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/Fay Lab DropBox/David Fay/EMBO_Fay_2025/Final Revision Documents/Supplemental Files/"/>
    </mc:Choice>
  </mc:AlternateContent>
  <xr:revisionPtr revIDLastSave="0" documentId="13_ncr:1_{DF7A73C5-CE9E-574C-816B-DA4B5D2B3330}" xr6:coauthVersionLast="47" xr6:coauthVersionMax="47" xr10:uidLastSave="{00000000-0000-0000-0000-000000000000}"/>
  <bookViews>
    <workbookView xWindow="2180" yWindow="680" windowWidth="27240" windowHeight="17500" xr2:uid="{8B5E63E3-AEE6-DE47-A636-B032E2B53233}"/>
  </bookViews>
  <sheets>
    <sheet name="Contents" sheetId="18" r:id="rId1"/>
    <sheet name="(1) NEKL-2–TurboID" sheetId="6" r:id="rId2"/>
    <sheet name="(2) NEKL-3–TurboID" sheetId="7" r:id="rId3"/>
    <sheet name="(3) MLT-2–TurboID" sheetId="8" r:id="rId4"/>
    <sheet name="(4) MLT-3–TurboID" sheetId="9" r:id="rId5"/>
    <sheet name="(5) MLT-4–TurboID" sheetId="14" r:id="rId6"/>
    <sheet name="(6) N2, NEKL-3; Exp 1 vs Exp 6" sheetId="16" r:id="rId7"/>
    <sheet name="(7) N2, MLT-4; Exp 4 vs Exp 6" sheetId="17" r:id="rId8"/>
  </sheets>
  <definedNames>
    <definedName name="_xlnm._FilterDatabase" localSheetId="1" hidden="1">'(1) NEKL-2–TurboID'!$M$1:$M$1814</definedName>
    <definedName name="_xlnm._FilterDatabase" localSheetId="2" hidden="1">'(2) NEKL-3–TurboID'!$N$1:$N$1123</definedName>
    <definedName name="_xlnm._FilterDatabase" localSheetId="3" hidden="1">'(3) MLT-2–TurboID'!$J$1:$J$508</definedName>
    <definedName name="_xlnm._FilterDatabase" localSheetId="4" hidden="1">'(4) MLT-3–TurboID'!$L$1:$L$1123</definedName>
    <definedName name="_xlnm._FilterDatabase" localSheetId="5" hidden="1">'(5) MLT-4–TurboID'!$J$1:$J$1117</definedName>
    <definedName name="_xlnm._FilterDatabase" localSheetId="6" hidden="1">'(6) N2, NEKL-3; Exp 1 vs Exp 6'!$AM$1:$AM$3470</definedName>
    <definedName name="_xlnm._FilterDatabase" localSheetId="7" hidden="1">'(7) N2, MLT-4; Exp 4 vs Exp 6'!$AH$1:$AN$863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030" i="6" l="1"/>
  <c r="Z993" i="6"/>
  <c r="Z985" i="6"/>
  <c r="Z905" i="6"/>
  <c r="Z886" i="6"/>
  <c r="Z885" i="6"/>
  <c r="Z830" i="6"/>
  <c r="Z803" i="6"/>
  <c r="Z714" i="6"/>
  <c r="Z699" i="6"/>
  <c r="Z681" i="6"/>
  <c r="Z638" i="6"/>
  <c r="Z613" i="6"/>
  <c r="Z607" i="6"/>
  <c r="Z487" i="6"/>
  <c r="Z424" i="6"/>
  <c r="Z421" i="6"/>
  <c r="Z378" i="6"/>
  <c r="Z340" i="6"/>
  <c r="Z326" i="6"/>
  <c r="Z302" i="6"/>
  <c r="Z261" i="6"/>
  <c r="Z224" i="6"/>
  <c r="Z213" i="6"/>
  <c r="Z187" i="6"/>
  <c r="Z104" i="6"/>
  <c r="Z64" i="6"/>
  <c r="S3" i="14" l="1"/>
  <c r="T3" i="14" s="1"/>
  <c r="S2" i="14"/>
  <c r="T2" i="14" s="1"/>
  <c r="U3" i="9"/>
  <c r="V3" i="9" s="1"/>
  <c r="U2" i="9"/>
  <c r="V2" i="9" s="1"/>
  <c r="S3" i="8"/>
  <c r="T3" i="8" s="1"/>
  <c r="T2" i="8"/>
  <c r="S2" i="8"/>
  <c r="W3" i="7"/>
  <c r="X3" i="7" s="1"/>
  <c r="W2" i="7"/>
  <c r="X2" i="7" s="1"/>
  <c r="W3" i="6"/>
  <c r="X3" i="6" s="1"/>
  <c r="W2" i="6"/>
  <c r="X2" i="6" s="1"/>
  <c r="AA3262" i="17" l="1"/>
  <c r="W3262" i="17"/>
  <c r="AA3261" i="17"/>
  <c r="W3261" i="17"/>
  <c r="AA3260" i="17"/>
  <c r="W3260" i="17"/>
  <c r="AA3259" i="17"/>
  <c r="W3259" i="17"/>
  <c r="AA3258" i="17"/>
  <c r="W3258" i="17"/>
  <c r="AA3257" i="17"/>
  <c r="W3257" i="17"/>
  <c r="AA3256" i="17"/>
  <c r="W3256" i="17"/>
  <c r="AA3255" i="17"/>
  <c r="W3255" i="17"/>
  <c r="AA3254" i="17"/>
  <c r="W3254" i="17"/>
  <c r="AA3253" i="17"/>
  <c r="W3253" i="17"/>
  <c r="AA3252" i="17"/>
  <c r="W3252" i="17"/>
  <c r="AA3251" i="17"/>
  <c r="W3251" i="17"/>
  <c r="AA3250" i="17"/>
  <c r="W3250" i="17"/>
  <c r="AA3249" i="17"/>
  <c r="W3249" i="17"/>
  <c r="AA3248" i="17"/>
  <c r="W3248" i="17"/>
  <c r="AA3247" i="17"/>
  <c r="W3247" i="17"/>
  <c r="AA3246" i="17"/>
  <c r="W3246" i="17"/>
  <c r="AA3245" i="17"/>
  <c r="W3245" i="17"/>
  <c r="AA3244" i="17"/>
  <c r="W3244" i="17"/>
  <c r="AA3243" i="17"/>
  <c r="W3243" i="17"/>
  <c r="AA3242" i="17"/>
  <c r="W3242" i="17"/>
  <c r="AA3241" i="17"/>
  <c r="W3241" i="17"/>
  <c r="AA3240" i="17"/>
  <c r="W3240" i="17"/>
  <c r="AA3239" i="17"/>
  <c r="W3239" i="17"/>
  <c r="AA3238" i="17"/>
  <c r="W3238" i="17"/>
  <c r="AA3237" i="17"/>
  <c r="W3237" i="17"/>
  <c r="AA3236" i="17"/>
  <c r="W3236" i="17"/>
  <c r="AA3235" i="17"/>
  <c r="W3235" i="17"/>
  <c r="AA3234" i="17"/>
  <c r="W3234" i="17"/>
  <c r="AA3233" i="17"/>
  <c r="W3233" i="17"/>
  <c r="AA3232" i="17"/>
  <c r="W3232" i="17"/>
  <c r="AA3231" i="17"/>
  <c r="W3231" i="17"/>
  <c r="AA3230" i="17"/>
  <c r="W3230" i="17"/>
  <c r="AA3229" i="17"/>
  <c r="W3229" i="17"/>
  <c r="AA3228" i="17"/>
  <c r="W3228" i="17"/>
  <c r="AA3227" i="17"/>
  <c r="W3227" i="17"/>
  <c r="AA3226" i="17"/>
  <c r="W3226" i="17"/>
  <c r="AA3225" i="17"/>
  <c r="W3225" i="17"/>
  <c r="AA3224" i="17"/>
  <c r="W3224" i="17"/>
  <c r="AA3223" i="17"/>
  <c r="W3223" i="17"/>
  <c r="AA3222" i="17"/>
  <c r="W3222" i="17"/>
  <c r="AA3221" i="17"/>
  <c r="W3221" i="17"/>
  <c r="AA3220" i="17"/>
  <c r="W3220" i="17"/>
  <c r="AA3219" i="17"/>
  <c r="W3219" i="17"/>
  <c r="AA3218" i="17"/>
  <c r="W3218" i="17"/>
  <c r="AA3217" i="17"/>
  <c r="W3217" i="17"/>
  <c r="AA3216" i="17"/>
  <c r="W3216" i="17"/>
  <c r="AA3215" i="17"/>
  <c r="W3215" i="17"/>
  <c r="AA3214" i="17"/>
  <c r="W3214" i="17"/>
  <c r="AA3213" i="17"/>
  <c r="W3213" i="17"/>
  <c r="AA3212" i="17"/>
  <c r="W3212" i="17"/>
  <c r="AA3211" i="17"/>
  <c r="W3211" i="17"/>
  <c r="AA3210" i="17"/>
  <c r="W3210" i="17"/>
  <c r="AA3209" i="17"/>
  <c r="W3209" i="17"/>
  <c r="AA3208" i="17"/>
  <c r="W3208" i="17"/>
  <c r="AA3207" i="17"/>
  <c r="W3207" i="17"/>
  <c r="AA3206" i="17"/>
  <c r="W3206" i="17"/>
  <c r="AA3205" i="17"/>
  <c r="W3205" i="17"/>
  <c r="AA3204" i="17"/>
  <c r="W3204" i="17"/>
  <c r="AA3203" i="17"/>
  <c r="W3203" i="17"/>
  <c r="AA3202" i="17"/>
  <c r="W3202" i="17"/>
  <c r="AA3201" i="17"/>
  <c r="W3201" i="17"/>
  <c r="AA3200" i="17"/>
  <c r="W3200" i="17"/>
  <c r="AA3199" i="17"/>
  <c r="W3199" i="17"/>
  <c r="AA3198" i="17"/>
  <c r="W3198" i="17"/>
  <c r="AA3197" i="17"/>
  <c r="W3197" i="17"/>
  <c r="AA3196" i="17"/>
  <c r="W3196" i="17"/>
  <c r="AA3195" i="17"/>
  <c r="W3195" i="17"/>
  <c r="AA3194" i="17"/>
  <c r="W3194" i="17"/>
  <c r="AA3193" i="17"/>
  <c r="W3193" i="17"/>
  <c r="AA3192" i="17"/>
  <c r="W3192" i="17"/>
  <c r="AA3191" i="17"/>
  <c r="W3191" i="17"/>
  <c r="AA3190" i="17"/>
  <c r="W3190" i="17"/>
  <c r="AA3189" i="17"/>
  <c r="W3189" i="17"/>
  <c r="AA3188" i="17"/>
  <c r="W3188" i="17"/>
  <c r="AA3187" i="17"/>
  <c r="W3187" i="17"/>
  <c r="AA3186" i="17"/>
  <c r="W3186" i="17"/>
  <c r="AA3185" i="17"/>
  <c r="W3185" i="17"/>
  <c r="AA3184" i="17"/>
  <c r="W3184" i="17"/>
  <c r="AA3183" i="17"/>
  <c r="W3183" i="17"/>
  <c r="AA3182" i="17"/>
  <c r="W3182" i="17"/>
  <c r="AA3181" i="17"/>
  <c r="W3181" i="17"/>
  <c r="AA3180" i="17"/>
  <c r="W3180" i="17"/>
  <c r="AA3179" i="17"/>
  <c r="W3179" i="17"/>
  <c r="AA3178" i="17"/>
  <c r="W3178" i="17"/>
  <c r="AA3177" i="17"/>
  <c r="W3177" i="17"/>
  <c r="AA3176" i="17"/>
  <c r="W3176" i="17"/>
  <c r="AA3175" i="17"/>
  <c r="W3175" i="17"/>
  <c r="AA3174" i="17"/>
  <c r="W3174" i="17"/>
  <c r="AA3173" i="17"/>
  <c r="W3173" i="17"/>
  <c r="AA3172" i="17"/>
  <c r="W3172" i="17"/>
  <c r="AA3171" i="17"/>
  <c r="W3171" i="17"/>
  <c r="AA3170" i="17"/>
  <c r="W3170" i="17"/>
  <c r="AA3169" i="17"/>
  <c r="W3169" i="17"/>
  <c r="AA3168" i="17"/>
  <c r="W3168" i="17"/>
  <c r="AA3167" i="17"/>
  <c r="W3167" i="17"/>
  <c r="AA3166" i="17"/>
  <c r="W3166" i="17"/>
  <c r="AA3165" i="17"/>
  <c r="W3165" i="17"/>
  <c r="AA3164" i="17"/>
  <c r="W3164" i="17"/>
  <c r="AA3163" i="17"/>
  <c r="W3163" i="17"/>
  <c r="AA3162" i="17"/>
  <c r="W3162" i="17"/>
  <c r="AA3161" i="17"/>
  <c r="W3161" i="17"/>
  <c r="AA3160" i="17"/>
  <c r="W3160" i="17"/>
  <c r="AA3159" i="17"/>
  <c r="W3159" i="17"/>
  <c r="AA3158" i="17"/>
  <c r="W3158" i="17"/>
  <c r="AA3157" i="17"/>
  <c r="W3157" i="17"/>
  <c r="AA3156" i="17"/>
  <c r="W3156" i="17"/>
  <c r="AA3155" i="17"/>
  <c r="W3155" i="17"/>
  <c r="AA3154" i="17"/>
  <c r="W3154" i="17"/>
  <c r="AA3153" i="17"/>
  <c r="W3153" i="17"/>
  <c r="AA3152" i="17"/>
  <c r="W3152" i="17"/>
  <c r="AA3151" i="17"/>
  <c r="W3151" i="17"/>
  <c r="AA3150" i="17"/>
  <c r="W3150" i="17"/>
  <c r="AA3149" i="17"/>
  <c r="W3149" i="17"/>
  <c r="AA3148" i="17"/>
  <c r="W3148" i="17"/>
  <c r="AA3147" i="17"/>
  <c r="W3147" i="17"/>
  <c r="AA3146" i="17"/>
  <c r="W3146" i="17"/>
  <c r="AA3145" i="17"/>
  <c r="W3145" i="17"/>
  <c r="AA3144" i="17"/>
  <c r="W3144" i="17"/>
  <c r="AA3143" i="17"/>
  <c r="W3143" i="17"/>
  <c r="AA3142" i="17"/>
  <c r="W3142" i="17"/>
  <c r="AA3141" i="17"/>
  <c r="W3141" i="17"/>
  <c r="AA3140" i="17"/>
  <c r="W3140" i="17"/>
  <c r="AA3139" i="17"/>
  <c r="W3139" i="17"/>
  <c r="AA3138" i="17"/>
  <c r="W3138" i="17"/>
  <c r="AA3137" i="17"/>
  <c r="W3137" i="17"/>
  <c r="AA3136" i="17"/>
  <c r="W3136" i="17"/>
  <c r="AA3135" i="17"/>
  <c r="W3135" i="17"/>
  <c r="AA3134" i="17"/>
  <c r="W3134" i="17"/>
  <c r="AA3133" i="17"/>
  <c r="W3133" i="17"/>
  <c r="AA3132" i="17"/>
  <c r="W3132" i="17"/>
  <c r="AA3131" i="17"/>
  <c r="W3131" i="17"/>
  <c r="AA3130" i="17"/>
  <c r="W3130" i="17"/>
  <c r="AA3129" i="17"/>
  <c r="W3129" i="17"/>
  <c r="AA3128" i="17"/>
  <c r="W3128" i="17"/>
  <c r="AA3127" i="17"/>
  <c r="W3127" i="17"/>
  <c r="AA3126" i="17"/>
  <c r="W3126" i="17"/>
  <c r="AA3125" i="17"/>
  <c r="W3125" i="17"/>
  <c r="AA3124" i="17"/>
  <c r="W3124" i="17"/>
  <c r="AA3123" i="17"/>
  <c r="W3123" i="17"/>
  <c r="AA3122" i="17"/>
  <c r="W3122" i="17"/>
  <c r="AA3121" i="17"/>
  <c r="W3121" i="17"/>
  <c r="AA3120" i="17"/>
  <c r="W3120" i="17"/>
  <c r="AA3119" i="17"/>
  <c r="W3119" i="17"/>
  <c r="AA3118" i="17"/>
  <c r="W3118" i="17"/>
  <c r="AA3117" i="17"/>
  <c r="W3117" i="17"/>
  <c r="AA3116" i="17"/>
  <c r="W3116" i="17"/>
  <c r="AA3115" i="17"/>
  <c r="W3115" i="17"/>
  <c r="AA3114" i="17"/>
  <c r="W3114" i="17"/>
  <c r="AA3113" i="17"/>
  <c r="W3113" i="17"/>
  <c r="AA3112" i="17"/>
  <c r="W3112" i="17"/>
  <c r="AA3111" i="17"/>
  <c r="W3111" i="17"/>
  <c r="AA3110" i="17"/>
  <c r="W3110" i="17"/>
  <c r="AA3109" i="17"/>
  <c r="W3109" i="17"/>
  <c r="AA3108" i="17"/>
  <c r="W3108" i="17"/>
  <c r="AA3107" i="17"/>
  <c r="W3107" i="17"/>
  <c r="AA3106" i="17"/>
  <c r="W3106" i="17"/>
  <c r="AA3105" i="17"/>
  <c r="W3105" i="17"/>
  <c r="AA3104" i="17"/>
  <c r="W3104" i="17"/>
  <c r="AA3103" i="17"/>
  <c r="W3103" i="17"/>
  <c r="AA3102" i="17"/>
  <c r="W3102" i="17"/>
  <c r="AA3101" i="17"/>
  <c r="W3101" i="17"/>
  <c r="AA3100" i="17"/>
  <c r="W3100" i="17"/>
  <c r="AA3099" i="17"/>
  <c r="W3099" i="17"/>
  <c r="AA3098" i="17"/>
  <c r="W3098" i="17"/>
  <c r="AA3097" i="17"/>
  <c r="W3097" i="17"/>
  <c r="AA3096" i="17"/>
  <c r="W3096" i="17"/>
  <c r="AA3095" i="17"/>
  <c r="W3095" i="17"/>
  <c r="AA3094" i="17"/>
  <c r="W3094" i="17"/>
  <c r="AA3093" i="17"/>
  <c r="W3093" i="17"/>
  <c r="AA3092" i="17"/>
  <c r="W3092" i="17"/>
  <c r="AA3091" i="17"/>
  <c r="W3091" i="17"/>
  <c r="AA3090" i="17"/>
  <c r="W3090" i="17"/>
  <c r="AA3089" i="17"/>
  <c r="W3089" i="17"/>
  <c r="AA3088" i="17"/>
  <c r="W3088" i="17"/>
  <c r="AA3087" i="17"/>
  <c r="W3087" i="17"/>
  <c r="AA3086" i="17"/>
  <c r="W3086" i="17"/>
  <c r="AA3085" i="17"/>
  <c r="W3085" i="17"/>
  <c r="AA3084" i="17"/>
  <c r="W3084" i="17"/>
  <c r="AA3083" i="17"/>
  <c r="W3083" i="17"/>
  <c r="AA3082" i="17"/>
  <c r="W3082" i="17"/>
  <c r="AA3081" i="17"/>
  <c r="W3081" i="17"/>
  <c r="AA3080" i="17"/>
  <c r="W3080" i="17"/>
  <c r="AA3079" i="17"/>
  <c r="W3079" i="17"/>
  <c r="AA3078" i="17"/>
  <c r="W3078" i="17"/>
  <c r="AA3077" i="17"/>
  <c r="W3077" i="17"/>
  <c r="AA3076" i="17"/>
  <c r="W3076" i="17"/>
  <c r="AA3075" i="17"/>
  <c r="W3075" i="17"/>
  <c r="AA3074" i="17"/>
  <c r="W3074" i="17"/>
  <c r="AA3073" i="17"/>
  <c r="W3073" i="17"/>
  <c r="AA3072" i="17"/>
  <c r="W3072" i="17"/>
  <c r="AA3071" i="17"/>
  <c r="W3071" i="17"/>
  <c r="AA3070" i="17"/>
  <c r="W3070" i="17"/>
  <c r="AA3069" i="17"/>
  <c r="W3069" i="17"/>
  <c r="AA3068" i="17"/>
  <c r="W3068" i="17"/>
  <c r="AA3067" i="17"/>
  <c r="W3067" i="17"/>
  <c r="AA3066" i="17"/>
  <c r="W3066" i="17"/>
  <c r="AA3065" i="17"/>
  <c r="W3065" i="17"/>
  <c r="AA3064" i="17"/>
  <c r="W3064" i="17"/>
  <c r="AA3063" i="17"/>
  <c r="W3063" i="17"/>
  <c r="AA3062" i="17"/>
  <c r="W3062" i="17"/>
  <c r="AA3061" i="17"/>
  <c r="W3061" i="17"/>
  <c r="AA3060" i="17"/>
  <c r="W3060" i="17"/>
  <c r="AA3059" i="17"/>
  <c r="W3059" i="17"/>
  <c r="AA3058" i="17"/>
  <c r="W3058" i="17"/>
  <c r="AA3057" i="17"/>
  <c r="W3057" i="17"/>
  <c r="AA3056" i="17"/>
  <c r="W3056" i="17"/>
  <c r="AA3055" i="17"/>
  <c r="W3055" i="17"/>
  <c r="AA3054" i="17"/>
  <c r="W3054" i="17"/>
  <c r="AA3053" i="17"/>
  <c r="W3053" i="17"/>
  <c r="AA3052" i="17"/>
  <c r="W3052" i="17"/>
  <c r="AA3051" i="17"/>
  <c r="W3051" i="17"/>
  <c r="AA3050" i="17"/>
  <c r="W3050" i="17"/>
  <c r="AA3049" i="17"/>
  <c r="W3049" i="17"/>
  <c r="AA3048" i="17"/>
  <c r="W3048" i="17"/>
  <c r="AA3047" i="17"/>
  <c r="W3047" i="17"/>
  <c r="AA3046" i="17"/>
  <c r="W3046" i="17"/>
  <c r="AA3045" i="17"/>
  <c r="W3045" i="17"/>
  <c r="AA3044" i="17"/>
  <c r="W3044" i="17"/>
  <c r="AA3043" i="17"/>
  <c r="W3043" i="17"/>
  <c r="AA3042" i="17"/>
  <c r="W3042" i="17"/>
  <c r="AA3041" i="17"/>
  <c r="W3041" i="17"/>
  <c r="AA3040" i="17"/>
  <c r="W3040" i="17"/>
  <c r="AA3039" i="17"/>
  <c r="W3039" i="17"/>
  <c r="AA3038" i="17"/>
  <c r="W3038" i="17"/>
  <c r="AA3037" i="17"/>
  <c r="W3037" i="17"/>
  <c r="AA3036" i="17"/>
  <c r="W3036" i="17"/>
  <c r="AA3035" i="17"/>
  <c r="W3035" i="17"/>
  <c r="AA3034" i="17"/>
  <c r="W3034" i="17"/>
  <c r="AA3033" i="17"/>
  <c r="W3033" i="17"/>
  <c r="AA3032" i="17"/>
  <c r="W3032" i="17"/>
  <c r="AA3031" i="17"/>
  <c r="W3031" i="17"/>
  <c r="AA3030" i="17"/>
  <c r="W3030" i="17"/>
  <c r="AA3029" i="17"/>
  <c r="W3029" i="17"/>
  <c r="AA3028" i="17"/>
  <c r="W3028" i="17"/>
  <c r="AA3027" i="17"/>
  <c r="W3027" i="17"/>
  <c r="AA3026" i="17"/>
  <c r="W3026" i="17"/>
  <c r="AA3025" i="17"/>
  <c r="W3025" i="17"/>
  <c r="AA3024" i="17"/>
  <c r="W3024" i="17"/>
  <c r="AA3023" i="17"/>
  <c r="W3023" i="17"/>
  <c r="AA3022" i="17"/>
  <c r="W3022" i="17"/>
  <c r="AA3021" i="17"/>
  <c r="W3021" i="17"/>
  <c r="AA3020" i="17"/>
  <c r="W3020" i="17"/>
  <c r="AA3019" i="17"/>
  <c r="W3019" i="17"/>
  <c r="AA3018" i="17"/>
  <c r="W3018" i="17"/>
  <c r="AA3017" i="17"/>
  <c r="W3017" i="17"/>
  <c r="AA3016" i="17"/>
  <c r="W3016" i="17"/>
  <c r="AA3015" i="17"/>
  <c r="W3015" i="17"/>
  <c r="AA3014" i="17"/>
  <c r="W3014" i="17"/>
  <c r="AA3013" i="17"/>
  <c r="W3013" i="17"/>
  <c r="AA3012" i="17"/>
  <c r="W3012" i="17"/>
  <c r="AA3011" i="17"/>
  <c r="W3011" i="17"/>
  <c r="AA3010" i="17"/>
  <c r="W3010" i="17"/>
  <c r="AA3009" i="17"/>
  <c r="W3009" i="17"/>
  <c r="AA3008" i="17"/>
  <c r="W3008" i="17"/>
  <c r="AA3007" i="17"/>
  <c r="W3007" i="17"/>
  <c r="AA3006" i="17"/>
  <c r="W3006" i="17"/>
  <c r="AA3005" i="17"/>
  <c r="W3005" i="17"/>
  <c r="AA3004" i="17"/>
  <c r="W3004" i="17"/>
  <c r="AA3003" i="17"/>
  <c r="W3003" i="17"/>
  <c r="AA3002" i="17"/>
  <c r="W3002" i="17"/>
  <c r="AA3001" i="17"/>
  <c r="W3001" i="17"/>
  <c r="AA3000" i="17"/>
  <c r="W3000" i="17"/>
  <c r="AA2999" i="17"/>
  <c r="W2999" i="17"/>
  <c r="AA2998" i="17"/>
  <c r="W2998" i="17"/>
  <c r="AA2997" i="17"/>
  <c r="W2997" i="17"/>
  <c r="AA2996" i="17"/>
  <c r="W2996" i="17"/>
  <c r="AA2995" i="17"/>
  <c r="W2995" i="17"/>
  <c r="AA2994" i="17"/>
  <c r="W2994" i="17"/>
  <c r="AA2993" i="17"/>
  <c r="W2993" i="17"/>
  <c r="AA2992" i="17"/>
  <c r="W2992" i="17"/>
  <c r="AA2991" i="17"/>
  <c r="W2991" i="17"/>
  <c r="AA2990" i="17"/>
  <c r="W2990" i="17"/>
  <c r="AA2989" i="17"/>
  <c r="W2989" i="17"/>
  <c r="AA2988" i="17"/>
  <c r="W2988" i="17"/>
  <c r="AA2987" i="17"/>
  <c r="W2987" i="17"/>
  <c r="AA2986" i="17"/>
  <c r="W2986" i="17"/>
  <c r="AA2985" i="17"/>
  <c r="W2985" i="17"/>
  <c r="AA2984" i="17"/>
  <c r="W2984" i="17"/>
  <c r="AA2983" i="17"/>
  <c r="W2983" i="17"/>
  <c r="AA2982" i="17"/>
  <c r="W2982" i="17"/>
  <c r="AA2981" i="17"/>
  <c r="W2981" i="17"/>
  <c r="AA2980" i="17"/>
  <c r="W2980" i="17"/>
  <c r="AA2979" i="17"/>
  <c r="W2979" i="17"/>
  <c r="AA2978" i="17"/>
  <c r="W2978" i="17"/>
  <c r="AA2977" i="17"/>
  <c r="W2977" i="17"/>
  <c r="AA2976" i="17"/>
  <c r="W2976" i="17"/>
  <c r="AA2975" i="17"/>
  <c r="W2975" i="17"/>
  <c r="AA2974" i="17"/>
  <c r="W2974" i="17"/>
  <c r="AA2973" i="17"/>
  <c r="W2973" i="17"/>
  <c r="AA2972" i="17"/>
  <c r="W2972" i="17"/>
  <c r="AA2971" i="17"/>
  <c r="W2971" i="17"/>
  <c r="AA2970" i="17"/>
  <c r="W2970" i="17"/>
  <c r="AA2969" i="17"/>
  <c r="W2969" i="17"/>
  <c r="AA2968" i="17"/>
  <c r="W2968" i="17"/>
  <c r="AA2967" i="17"/>
  <c r="W2967" i="17"/>
  <c r="AA2966" i="17"/>
  <c r="W2966" i="17"/>
  <c r="AA2965" i="17"/>
  <c r="W2965" i="17"/>
  <c r="AA2964" i="17"/>
  <c r="W2964" i="17"/>
  <c r="AA2963" i="17"/>
  <c r="W2963" i="17"/>
  <c r="AA2962" i="17"/>
  <c r="W2962" i="17"/>
  <c r="AA2961" i="17"/>
  <c r="W2961" i="17"/>
  <c r="AA2960" i="17"/>
  <c r="W2960" i="17"/>
  <c r="AA2959" i="17"/>
  <c r="W2959" i="17"/>
  <c r="AA2958" i="17"/>
  <c r="W2958" i="17"/>
  <c r="AA2957" i="17"/>
  <c r="W2957" i="17"/>
  <c r="AA2956" i="17"/>
  <c r="W2956" i="17"/>
  <c r="AA2955" i="17"/>
  <c r="W2955" i="17"/>
  <c r="AA2954" i="17"/>
  <c r="W2954" i="17"/>
  <c r="AA2953" i="17"/>
  <c r="W2953" i="17"/>
  <c r="AA2952" i="17"/>
  <c r="W2952" i="17"/>
  <c r="AA2951" i="17"/>
  <c r="W2951" i="17"/>
  <c r="AA2950" i="17"/>
  <c r="W2950" i="17"/>
  <c r="AA2949" i="17"/>
  <c r="W2949" i="17"/>
  <c r="AA2948" i="17"/>
  <c r="W2948" i="17"/>
  <c r="AA2947" i="17"/>
  <c r="W2947" i="17"/>
  <c r="AA2946" i="17"/>
  <c r="W2946" i="17"/>
  <c r="AA2945" i="17"/>
  <c r="W2945" i="17"/>
  <c r="AA2944" i="17"/>
  <c r="W2944" i="17"/>
  <c r="AA2943" i="17"/>
  <c r="W2943" i="17"/>
  <c r="AA2942" i="17"/>
  <c r="W2942" i="17"/>
  <c r="AA2941" i="17"/>
  <c r="W2941" i="17"/>
  <c r="AA2940" i="17"/>
  <c r="W2940" i="17"/>
  <c r="AA2939" i="17"/>
  <c r="W2939" i="17"/>
  <c r="AA2938" i="17"/>
  <c r="W2938" i="17"/>
  <c r="AA2937" i="17"/>
  <c r="W2937" i="17"/>
  <c r="AA2936" i="17"/>
  <c r="W2936" i="17"/>
  <c r="AA2935" i="17"/>
  <c r="W2935" i="17"/>
  <c r="AA2934" i="17"/>
  <c r="W2934" i="17"/>
  <c r="AA2933" i="17"/>
  <c r="W2933" i="17"/>
  <c r="AA2932" i="17"/>
  <c r="W2932" i="17"/>
  <c r="AA2931" i="17"/>
  <c r="W2931" i="17"/>
  <c r="AA2930" i="17"/>
  <c r="W2930" i="17"/>
  <c r="AA2929" i="17"/>
  <c r="W2929" i="17"/>
  <c r="AA2928" i="17"/>
  <c r="W2928" i="17"/>
  <c r="AA2927" i="17"/>
  <c r="W2927" i="17"/>
  <c r="AA2926" i="17"/>
  <c r="W2926" i="17"/>
  <c r="AA2925" i="17"/>
  <c r="W2925" i="17"/>
  <c r="AA2924" i="17"/>
  <c r="W2924" i="17"/>
  <c r="AA2923" i="17"/>
  <c r="W2923" i="17"/>
  <c r="AA2922" i="17"/>
  <c r="W2922" i="17"/>
  <c r="AA2921" i="17"/>
  <c r="W2921" i="17"/>
  <c r="AA2920" i="17"/>
  <c r="W2920" i="17"/>
  <c r="AA2919" i="17"/>
  <c r="W2919" i="17"/>
  <c r="AA2918" i="17"/>
  <c r="W2918" i="17"/>
  <c r="AA2917" i="17"/>
  <c r="W2917" i="17"/>
  <c r="AA2916" i="17"/>
  <c r="W2916" i="17"/>
  <c r="AA2915" i="17"/>
  <c r="W2915" i="17"/>
  <c r="AA2914" i="17"/>
  <c r="W2914" i="17"/>
  <c r="AA2913" i="17"/>
  <c r="W2913" i="17"/>
  <c r="AA2912" i="17"/>
  <c r="W2912" i="17"/>
  <c r="AA2911" i="17"/>
  <c r="W2911" i="17"/>
  <c r="AA2910" i="17"/>
  <c r="W2910" i="17"/>
  <c r="AA2909" i="17"/>
  <c r="W2909" i="17"/>
  <c r="AA2908" i="17"/>
  <c r="W2908" i="17"/>
  <c r="AA2907" i="17"/>
  <c r="W2907" i="17"/>
  <c r="AA2906" i="17"/>
  <c r="W2906" i="17"/>
  <c r="AA2905" i="17"/>
  <c r="W2905" i="17"/>
  <c r="AA2904" i="17"/>
  <c r="W2904" i="17"/>
  <c r="AA2903" i="17"/>
  <c r="W2903" i="17"/>
  <c r="AA2902" i="17"/>
  <c r="W2902" i="17"/>
  <c r="AA2901" i="17"/>
  <c r="W2901" i="17"/>
  <c r="AA2900" i="17"/>
  <c r="W2900" i="17"/>
  <c r="AA2899" i="17"/>
  <c r="W2899" i="17"/>
  <c r="AA2898" i="17"/>
  <c r="W2898" i="17"/>
  <c r="AA2897" i="17"/>
  <c r="W2897" i="17"/>
  <c r="AA2896" i="17"/>
  <c r="W2896" i="17"/>
  <c r="AA2895" i="17"/>
  <c r="W2895" i="17"/>
  <c r="AA2894" i="17"/>
  <c r="W2894" i="17"/>
  <c r="AA2893" i="17"/>
  <c r="W2893" i="17"/>
  <c r="AA2892" i="17"/>
  <c r="W2892" i="17"/>
  <c r="AA2891" i="17"/>
  <c r="W2891" i="17"/>
  <c r="AA2890" i="17"/>
  <c r="W2890" i="17"/>
  <c r="AA2889" i="17"/>
  <c r="W2889" i="17"/>
  <c r="AA2888" i="17"/>
  <c r="W2888" i="17"/>
  <c r="AA2887" i="17"/>
  <c r="W2887" i="17"/>
  <c r="AA2886" i="17"/>
  <c r="W2886" i="17"/>
  <c r="AA2885" i="17"/>
  <c r="W2885" i="17"/>
  <c r="AA2884" i="17"/>
  <c r="W2884" i="17"/>
  <c r="AA2883" i="17"/>
  <c r="W2883" i="17"/>
  <c r="AA2882" i="17"/>
  <c r="W2882" i="17"/>
  <c r="AA2881" i="17"/>
  <c r="W2881" i="17"/>
  <c r="AA2880" i="17"/>
  <c r="W2880" i="17"/>
  <c r="AA2879" i="17"/>
  <c r="W2879" i="17"/>
  <c r="AA2878" i="17"/>
  <c r="W2878" i="17"/>
  <c r="AA2877" i="17"/>
  <c r="W2877" i="17"/>
  <c r="AA2876" i="17"/>
  <c r="W2876" i="17"/>
  <c r="AA2875" i="17"/>
  <c r="W2875" i="17"/>
  <c r="AA2874" i="17"/>
  <c r="W2874" i="17"/>
  <c r="AA2873" i="17"/>
  <c r="W2873" i="17"/>
  <c r="AA2872" i="17"/>
  <c r="W2872" i="17"/>
  <c r="AA2871" i="17"/>
  <c r="W2871" i="17"/>
  <c r="AA2870" i="17"/>
  <c r="W2870" i="17"/>
  <c r="AA2869" i="17"/>
  <c r="W2869" i="17"/>
  <c r="AA2868" i="17"/>
  <c r="W2868" i="17"/>
  <c r="AA2867" i="17"/>
  <c r="W2867" i="17"/>
  <c r="AA2866" i="17"/>
  <c r="W2866" i="17"/>
  <c r="AA2865" i="17"/>
  <c r="W2865" i="17"/>
  <c r="AA2864" i="17"/>
  <c r="W2864" i="17"/>
  <c r="AA2863" i="17"/>
  <c r="W2863" i="17"/>
  <c r="AA2862" i="17"/>
  <c r="W2862" i="17"/>
  <c r="AA2861" i="17"/>
  <c r="W2861" i="17"/>
  <c r="AA2860" i="17"/>
  <c r="W2860" i="17"/>
  <c r="AA2859" i="17"/>
  <c r="W2859" i="17"/>
  <c r="AA2858" i="17"/>
  <c r="W2858" i="17"/>
  <c r="AA2857" i="17"/>
  <c r="W2857" i="17"/>
  <c r="AA2856" i="17"/>
  <c r="W2856" i="17"/>
  <c r="AA2855" i="17"/>
  <c r="W2855" i="17"/>
  <c r="AA2854" i="17"/>
  <c r="W2854" i="17"/>
  <c r="AA2853" i="17"/>
  <c r="W2853" i="17"/>
  <c r="AA2852" i="17"/>
  <c r="W2852" i="17"/>
  <c r="AA2851" i="17"/>
  <c r="W2851" i="17"/>
  <c r="AA2850" i="17"/>
  <c r="W2850" i="17"/>
  <c r="AA2849" i="17"/>
  <c r="W2849" i="17"/>
  <c r="AA2848" i="17"/>
  <c r="W2848" i="17"/>
  <c r="AA2847" i="17"/>
  <c r="W2847" i="17"/>
  <c r="AA2846" i="17"/>
  <c r="W2846" i="17"/>
  <c r="AA2845" i="17"/>
  <c r="W2845" i="17"/>
  <c r="AA2844" i="17"/>
  <c r="W2844" i="17"/>
  <c r="AA2843" i="17"/>
  <c r="W2843" i="17"/>
  <c r="AA2842" i="17"/>
  <c r="W2842" i="17"/>
  <c r="AA2841" i="17"/>
  <c r="W2841" i="17"/>
  <c r="AA2840" i="17"/>
  <c r="W2840" i="17"/>
  <c r="AA2839" i="17"/>
  <c r="W2839" i="17"/>
  <c r="AA2838" i="17"/>
  <c r="W2838" i="17"/>
  <c r="AA2837" i="17"/>
  <c r="W2837" i="17"/>
  <c r="AA2836" i="17"/>
  <c r="W2836" i="17"/>
  <c r="AA2835" i="17"/>
  <c r="W2835" i="17"/>
  <c r="AA2834" i="17"/>
  <c r="W2834" i="17"/>
  <c r="AA2833" i="17"/>
  <c r="W2833" i="17"/>
  <c r="AA2832" i="17"/>
  <c r="W2832" i="17"/>
  <c r="AA2831" i="17"/>
  <c r="W2831" i="17"/>
  <c r="AA2830" i="17"/>
  <c r="W2830" i="17"/>
  <c r="AA2829" i="17"/>
  <c r="W2829" i="17"/>
  <c r="AA2828" i="17"/>
  <c r="W2828" i="17"/>
  <c r="AA2827" i="17"/>
  <c r="W2827" i="17"/>
  <c r="AA2826" i="17"/>
  <c r="W2826" i="17"/>
  <c r="AA2825" i="17"/>
  <c r="W2825" i="17"/>
  <c r="AA2824" i="17"/>
  <c r="W2824" i="17"/>
  <c r="AA2823" i="17"/>
  <c r="W2823" i="17"/>
  <c r="AA2822" i="17"/>
  <c r="W2822" i="17"/>
  <c r="AA2821" i="17"/>
  <c r="W2821" i="17"/>
  <c r="AA2820" i="17"/>
  <c r="W2820" i="17"/>
  <c r="AA2819" i="17"/>
  <c r="W2819" i="17"/>
  <c r="AA2818" i="17"/>
  <c r="W2818" i="17"/>
  <c r="AA2817" i="17"/>
  <c r="W2817" i="17"/>
  <c r="AA2816" i="17"/>
  <c r="W2816" i="17"/>
  <c r="AA2815" i="17"/>
  <c r="W2815" i="17"/>
  <c r="AA2814" i="17"/>
  <c r="W2814" i="17"/>
  <c r="AA2813" i="17"/>
  <c r="W2813" i="17"/>
  <c r="AA2812" i="17"/>
  <c r="W2812" i="17"/>
  <c r="AA2811" i="17"/>
  <c r="W2811" i="17"/>
  <c r="AA2810" i="17"/>
  <c r="W2810" i="17"/>
  <c r="AA2809" i="17"/>
  <c r="W2809" i="17"/>
  <c r="AA2808" i="17"/>
  <c r="W2808" i="17"/>
  <c r="AA2807" i="17"/>
  <c r="W2807" i="17"/>
  <c r="AA2806" i="17"/>
  <c r="W2806" i="17"/>
  <c r="AA2805" i="17"/>
  <c r="W2805" i="17"/>
  <c r="AA2804" i="17"/>
  <c r="W2804" i="17"/>
  <c r="AA2803" i="17"/>
  <c r="W2803" i="17"/>
  <c r="AA2802" i="17"/>
  <c r="W2802" i="17"/>
  <c r="AA2801" i="17"/>
  <c r="W2801" i="17"/>
  <c r="AA2800" i="17"/>
  <c r="W2800" i="17"/>
  <c r="AA2799" i="17"/>
  <c r="W2799" i="17"/>
  <c r="AA2798" i="17"/>
  <c r="W2798" i="17"/>
  <c r="AA2797" i="17"/>
  <c r="W2797" i="17"/>
  <c r="AA2796" i="17"/>
  <c r="W2796" i="17"/>
  <c r="AA2795" i="17"/>
  <c r="W2795" i="17"/>
  <c r="AA2794" i="17"/>
  <c r="W2794" i="17"/>
  <c r="AA2793" i="17"/>
  <c r="W2793" i="17"/>
  <c r="AA2792" i="17"/>
  <c r="W2792" i="17"/>
  <c r="AA2791" i="17"/>
  <c r="W2791" i="17"/>
  <c r="AA2790" i="17"/>
  <c r="W2790" i="17"/>
  <c r="AA2789" i="17"/>
  <c r="W2789" i="17"/>
  <c r="AA2788" i="17"/>
  <c r="W2788" i="17"/>
  <c r="AA2787" i="17"/>
  <c r="W2787" i="17"/>
  <c r="AA2786" i="17"/>
  <c r="W2786" i="17"/>
  <c r="AA2785" i="17"/>
  <c r="W2785" i="17"/>
  <c r="AA2784" i="17"/>
  <c r="W2784" i="17"/>
  <c r="AA2783" i="17"/>
  <c r="W2783" i="17"/>
  <c r="AA2782" i="17"/>
  <c r="W2782" i="17"/>
  <c r="AA2781" i="17"/>
  <c r="W2781" i="17"/>
  <c r="AA2780" i="17"/>
  <c r="W2780" i="17"/>
  <c r="AA2779" i="17"/>
  <c r="W2779" i="17"/>
  <c r="AA2778" i="17"/>
  <c r="W2778" i="17"/>
  <c r="AA2777" i="17"/>
  <c r="W2777" i="17"/>
  <c r="AA2776" i="17"/>
  <c r="W2776" i="17"/>
  <c r="AA2775" i="17"/>
  <c r="W2775" i="17"/>
  <c r="AA2774" i="17"/>
  <c r="W2774" i="17"/>
  <c r="AA2773" i="17"/>
  <c r="W2773" i="17"/>
  <c r="AA2772" i="17"/>
  <c r="W2772" i="17"/>
  <c r="AA2771" i="17"/>
  <c r="W2771" i="17"/>
  <c r="AA2770" i="17"/>
  <c r="W2770" i="17"/>
  <c r="AA2769" i="17"/>
  <c r="W2769" i="17"/>
  <c r="AA2768" i="17"/>
  <c r="W2768" i="17"/>
  <c r="AA2767" i="17"/>
  <c r="W2767" i="17"/>
  <c r="AA2766" i="17"/>
  <c r="W2766" i="17"/>
  <c r="AA2765" i="17"/>
  <c r="W2765" i="17"/>
  <c r="AA2764" i="17"/>
  <c r="W2764" i="17"/>
  <c r="AA2763" i="17"/>
  <c r="W2763" i="17"/>
  <c r="AA2762" i="17"/>
  <c r="W2762" i="17"/>
  <c r="AA2761" i="17"/>
  <c r="W2761" i="17"/>
  <c r="AA2760" i="17"/>
  <c r="W2760" i="17"/>
  <c r="AA2759" i="17"/>
  <c r="W2759" i="17"/>
  <c r="AA2758" i="17"/>
  <c r="W2758" i="17"/>
  <c r="AA2757" i="17"/>
  <c r="W2757" i="17"/>
  <c r="AA2756" i="17"/>
  <c r="W2756" i="17"/>
  <c r="AA2755" i="17"/>
  <c r="W2755" i="17"/>
  <c r="AA2754" i="17"/>
  <c r="W2754" i="17"/>
  <c r="AA2753" i="17"/>
  <c r="W2753" i="17"/>
  <c r="AA2752" i="17"/>
  <c r="W2752" i="17"/>
  <c r="AA2751" i="17"/>
  <c r="W2751" i="17"/>
  <c r="AA2750" i="17"/>
  <c r="W2750" i="17"/>
  <c r="AA2749" i="17"/>
  <c r="W2749" i="17"/>
  <c r="AA2748" i="17"/>
  <c r="W2748" i="17"/>
  <c r="AA2747" i="17"/>
  <c r="W2747" i="17"/>
  <c r="AA2746" i="17"/>
  <c r="W2746" i="17"/>
  <c r="AA2745" i="17"/>
  <c r="W2745" i="17"/>
  <c r="AA2744" i="17"/>
  <c r="W2744" i="17"/>
  <c r="AA2743" i="17"/>
  <c r="W2743" i="17"/>
  <c r="AA2742" i="17"/>
  <c r="W2742" i="17"/>
  <c r="AA2741" i="17"/>
  <c r="W2741" i="17"/>
  <c r="AA2740" i="17"/>
  <c r="W2740" i="17"/>
  <c r="AA2739" i="17"/>
  <c r="W2739" i="17"/>
  <c r="AA2738" i="17"/>
  <c r="W2738" i="17"/>
  <c r="AA2737" i="17"/>
  <c r="W2737" i="17"/>
  <c r="AA2736" i="17"/>
  <c r="W2736" i="17"/>
  <c r="AA2735" i="17"/>
  <c r="W2735" i="17"/>
  <c r="AA2734" i="17"/>
  <c r="W2734" i="17"/>
  <c r="AA2733" i="17"/>
  <c r="W2733" i="17"/>
  <c r="AA2732" i="17"/>
  <c r="W2732" i="17"/>
  <c r="AA2731" i="17"/>
  <c r="W2731" i="17"/>
  <c r="AA2730" i="17"/>
  <c r="W2730" i="17"/>
  <c r="AA2729" i="17"/>
  <c r="W2729" i="17"/>
  <c r="AA2728" i="17"/>
  <c r="W2728" i="17"/>
  <c r="AA2727" i="17"/>
  <c r="W2727" i="17"/>
  <c r="AA2726" i="17"/>
  <c r="W2726" i="17"/>
  <c r="AA2725" i="17"/>
  <c r="W2725" i="17"/>
  <c r="AA2724" i="17"/>
  <c r="W2724" i="17"/>
  <c r="AA2723" i="17"/>
  <c r="W2723" i="17"/>
  <c r="AA2722" i="17"/>
  <c r="W2722" i="17"/>
  <c r="AA2721" i="17"/>
  <c r="W2721" i="17"/>
  <c r="AA2720" i="17"/>
  <c r="W2720" i="17"/>
  <c r="AA2719" i="17"/>
  <c r="W2719" i="17"/>
  <c r="AA2718" i="17"/>
  <c r="W2718" i="17"/>
  <c r="AA2717" i="17"/>
  <c r="W2717" i="17"/>
  <c r="AA2716" i="17"/>
  <c r="W2716" i="17"/>
  <c r="AA2715" i="17"/>
  <c r="W2715" i="17"/>
  <c r="AA2714" i="17"/>
  <c r="W2714" i="17"/>
  <c r="AA2713" i="17"/>
  <c r="W2713" i="17"/>
  <c r="AA2712" i="17"/>
  <c r="W2712" i="17"/>
  <c r="AA2711" i="17"/>
  <c r="W2711" i="17"/>
  <c r="AA2710" i="17"/>
  <c r="W2710" i="17"/>
  <c r="AA2709" i="17"/>
  <c r="W2709" i="17"/>
  <c r="AA2708" i="17"/>
  <c r="W2708" i="17"/>
  <c r="AA2707" i="17"/>
  <c r="W2707" i="17"/>
  <c r="AA2706" i="17"/>
  <c r="W2706" i="17"/>
  <c r="AA2705" i="17"/>
  <c r="W2705" i="17"/>
  <c r="AA2704" i="17"/>
  <c r="W2704" i="17"/>
  <c r="AA2703" i="17"/>
  <c r="W2703" i="17"/>
  <c r="AA2702" i="17"/>
  <c r="W2702" i="17"/>
  <c r="AA2701" i="17"/>
  <c r="W2701" i="17"/>
  <c r="AA2700" i="17"/>
  <c r="W2700" i="17"/>
  <c r="AA2699" i="17"/>
  <c r="W2699" i="17"/>
  <c r="AA2698" i="17"/>
  <c r="W2698" i="17"/>
  <c r="AA2697" i="17"/>
  <c r="W2697" i="17"/>
  <c r="AA2696" i="17"/>
  <c r="W2696" i="17"/>
  <c r="AA2695" i="17"/>
  <c r="W2695" i="17"/>
  <c r="AA2694" i="17"/>
  <c r="W2694" i="17"/>
  <c r="AA2693" i="17"/>
  <c r="W2693" i="17"/>
  <c r="AA2692" i="17"/>
  <c r="W2692" i="17"/>
  <c r="AA2691" i="17"/>
  <c r="W2691" i="17"/>
  <c r="AA2690" i="17"/>
  <c r="W2690" i="17"/>
  <c r="AA2689" i="17"/>
  <c r="W2689" i="17"/>
  <c r="AA2688" i="17"/>
  <c r="W2688" i="17"/>
  <c r="AA2687" i="17"/>
  <c r="W2687" i="17"/>
  <c r="AA2686" i="17"/>
  <c r="W2686" i="17"/>
  <c r="AA2685" i="17"/>
  <c r="W2685" i="17"/>
  <c r="AA2684" i="17"/>
  <c r="W2684" i="17"/>
  <c r="AA2683" i="17"/>
  <c r="W2683" i="17"/>
  <c r="AA2682" i="17"/>
  <c r="W2682" i="17"/>
  <c r="AA2681" i="17"/>
  <c r="W2681" i="17"/>
  <c r="AA2680" i="17"/>
  <c r="W2680" i="17"/>
  <c r="AA2679" i="17"/>
  <c r="W2679" i="17"/>
  <c r="AA2678" i="17"/>
  <c r="W2678" i="17"/>
  <c r="AA2677" i="17"/>
  <c r="W2677" i="17"/>
  <c r="AA2676" i="17"/>
  <c r="W2676" i="17"/>
  <c r="AA2675" i="17"/>
  <c r="W2675" i="17"/>
  <c r="AA2674" i="17"/>
  <c r="W2674" i="17"/>
  <c r="AA2673" i="17"/>
  <c r="W2673" i="17"/>
  <c r="AA2672" i="17"/>
  <c r="W2672" i="17"/>
  <c r="AA2671" i="17"/>
  <c r="W2671" i="17"/>
  <c r="AA2670" i="17"/>
  <c r="W2670" i="17"/>
  <c r="AA2669" i="17"/>
  <c r="W2669" i="17"/>
  <c r="AA2668" i="17"/>
  <c r="W2668" i="17"/>
  <c r="AA2667" i="17"/>
  <c r="W2667" i="17"/>
  <c r="AA2666" i="17"/>
  <c r="W2666" i="17"/>
  <c r="AA2665" i="17"/>
  <c r="W2665" i="17"/>
  <c r="AA2664" i="17"/>
  <c r="W2664" i="17"/>
  <c r="AA2663" i="17"/>
  <c r="W2663" i="17"/>
  <c r="AA2662" i="17"/>
  <c r="W2662" i="17"/>
  <c r="AA2661" i="17"/>
  <c r="W2661" i="17"/>
  <c r="AA2660" i="17"/>
  <c r="W2660" i="17"/>
  <c r="AA2659" i="17"/>
  <c r="W2659" i="17"/>
  <c r="AA2658" i="17"/>
  <c r="W2658" i="17"/>
  <c r="AA2657" i="17"/>
  <c r="W2657" i="17"/>
  <c r="AA2656" i="17"/>
  <c r="W2656" i="17"/>
  <c r="AA2655" i="17"/>
  <c r="W2655" i="17"/>
  <c r="AA2654" i="17"/>
  <c r="W2654" i="17"/>
  <c r="AA2653" i="17"/>
  <c r="W2653" i="17"/>
  <c r="AA2652" i="17"/>
  <c r="W2652" i="17"/>
  <c r="AA2651" i="17"/>
  <c r="W2651" i="17"/>
  <c r="AA2650" i="17"/>
  <c r="W2650" i="17"/>
  <c r="AA2649" i="17"/>
  <c r="W2649" i="17"/>
  <c r="AA2648" i="17"/>
  <c r="W2648" i="17"/>
  <c r="AA2647" i="17"/>
  <c r="W2647" i="17"/>
  <c r="AA2646" i="17"/>
  <c r="W2646" i="17"/>
  <c r="AA2645" i="17"/>
  <c r="W2645" i="17"/>
  <c r="AA2644" i="17"/>
  <c r="W2644" i="17"/>
  <c r="AA2643" i="17"/>
  <c r="W2643" i="17"/>
  <c r="AA2642" i="17"/>
  <c r="W2642" i="17"/>
  <c r="AA2641" i="17"/>
  <c r="W2641" i="17"/>
  <c r="AA2640" i="17"/>
  <c r="W2640" i="17"/>
  <c r="AA2639" i="17"/>
  <c r="W2639" i="17"/>
  <c r="AA2638" i="17"/>
  <c r="W2638" i="17"/>
  <c r="AA2637" i="17"/>
  <c r="W2637" i="17"/>
  <c r="AA2636" i="17"/>
  <c r="W2636" i="17"/>
  <c r="AA2635" i="17"/>
  <c r="W2635" i="17"/>
  <c r="AA2634" i="17"/>
  <c r="W2634" i="17"/>
  <c r="AA2633" i="17"/>
  <c r="W2633" i="17"/>
  <c r="AA2632" i="17"/>
  <c r="W2632" i="17"/>
  <c r="AA2631" i="17"/>
  <c r="W2631" i="17"/>
  <c r="AA2630" i="17"/>
  <c r="W2630" i="17"/>
  <c r="AA2629" i="17"/>
  <c r="W2629" i="17"/>
  <c r="AA2628" i="17"/>
  <c r="W2628" i="17"/>
  <c r="AA2627" i="17"/>
  <c r="W2627" i="17"/>
  <c r="AA2626" i="17"/>
  <c r="W2626" i="17"/>
  <c r="AA2625" i="17"/>
  <c r="W2625" i="17"/>
  <c r="AA2624" i="17"/>
  <c r="W2624" i="17"/>
  <c r="AA2623" i="17"/>
  <c r="W2623" i="17"/>
  <c r="AA2622" i="17"/>
  <c r="W2622" i="17"/>
  <c r="AA2621" i="17"/>
  <c r="W2621" i="17"/>
  <c r="AA2620" i="17"/>
  <c r="W2620" i="17"/>
  <c r="AA2619" i="17"/>
  <c r="W2619" i="17"/>
  <c r="AA2618" i="17"/>
  <c r="W2618" i="17"/>
  <c r="AA2617" i="17"/>
  <c r="W2617" i="17"/>
  <c r="AA2616" i="17"/>
  <c r="W2616" i="17"/>
  <c r="AA2615" i="17"/>
  <c r="W2615" i="17"/>
  <c r="AA2614" i="17"/>
  <c r="W2614" i="17"/>
  <c r="AA2613" i="17"/>
  <c r="W2613" i="17"/>
  <c r="AA2612" i="17"/>
  <c r="W2612" i="17"/>
  <c r="AA2611" i="17"/>
  <c r="W2611" i="17"/>
  <c r="AA2610" i="17"/>
  <c r="W2610" i="17"/>
  <c r="AA2609" i="17"/>
  <c r="W2609" i="17"/>
  <c r="AA2608" i="17"/>
  <c r="W2608" i="17"/>
  <c r="AA2607" i="17"/>
  <c r="W2607" i="17"/>
  <c r="AA2606" i="17"/>
  <c r="W2606" i="17"/>
  <c r="AA2605" i="17"/>
  <c r="W2605" i="17"/>
  <c r="AA2604" i="17"/>
  <c r="W2604" i="17"/>
  <c r="AA2603" i="17"/>
  <c r="W2603" i="17"/>
  <c r="AA2602" i="17"/>
  <c r="W2602" i="17"/>
  <c r="AA2601" i="17"/>
  <c r="W2601" i="17"/>
  <c r="AA2600" i="17"/>
  <c r="W2600" i="17"/>
  <c r="AA2599" i="17"/>
  <c r="W2599" i="17"/>
  <c r="AA2598" i="17"/>
  <c r="W2598" i="17"/>
  <c r="AA2597" i="17"/>
  <c r="W2597" i="17"/>
  <c r="AA2596" i="17"/>
  <c r="W2596" i="17"/>
  <c r="AA2595" i="17"/>
  <c r="W2595" i="17"/>
  <c r="AA2594" i="17"/>
  <c r="W2594" i="17"/>
  <c r="AA2593" i="17"/>
  <c r="W2593" i="17"/>
  <c r="AA2592" i="17"/>
  <c r="W2592" i="17"/>
  <c r="AA2591" i="17"/>
  <c r="W2591" i="17"/>
  <c r="AA2590" i="17"/>
  <c r="W2590" i="17"/>
  <c r="AA2589" i="17"/>
  <c r="W2589" i="17"/>
  <c r="AA2588" i="17"/>
  <c r="W2588" i="17"/>
  <c r="AA2587" i="17"/>
  <c r="W2587" i="17"/>
  <c r="AA2586" i="17"/>
  <c r="W2586" i="17"/>
  <c r="AA2585" i="17"/>
  <c r="W2585" i="17"/>
  <c r="AA2584" i="17"/>
  <c r="W2584" i="17"/>
  <c r="AA2583" i="17"/>
  <c r="W2583" i="17"/>
  <c r="AA2582" i="17"/>
  <c r="W2582" i="17"/>
  <c r="AA2581" i="17"/>
  <c r="W2581" i="17"/>
  <c r="AA2580" i="17"/>
  <c r="W2580" i="17"/>
  <c r="AA2579" i="17"/>
  <c r="W2579" i="17"/>
  <c r="AA2578" i="17"/>
  <c r="W2578" i="17"/>
  <c r="AA2577" i="17"/>
  <c r="W2577" i="17"/>
  <c r="AA2576" i="17"/>
  <c r="W2576" i="17"/>
  <c r="AA2575" i="17"/>
  <c r="W2575" i="17"/>
  <c r="AA2574" i="17"/>
  <c r="W2574" i="17"/>
  <c r="AA2573" i="17"/>
  <c r="W2573" i="17"/>
  <c r="AA2572" i="17"/>
  <c r="W2572" i="17"/>
  <c r="AA2571" i="17"/>
  <c r="W2571" i="17"/>
  <c r="AA2570" i="17"/>
  <c r="W2570" i="17"/>
  <c r="AA2569" i="17"/>
  <c r="W2569" i="17"/>
  <c r="AA2568" i="17"/>
  <c r="W2568" i="17"/>
  <c r="AA2567" i="17"/>
  <c r="W2567" i="17"/>
  <c r="AA2566" i="17"/>
  <c r="W2566" i="17"/>
  <c r="AA2565" i="17"/>
  <c r="W2565" i="17"/>
  <c r="AA2564" i="17"/>
  <c r="W2564" i="17"/>
  <c r="AA2563" i="17"/>
  <c r="W2563" i="17"/>
  <c r="AA2562" i="17"/>
  <c r="W2562" i="17"/>
  <c r="AA2561" i="17"/>
  <c r="W2561" i="17"/>
  <c r="AA2560" i="17"/>
  <c r="W2560" i="17"/>
  <c r="AA2559" i="17"/>
  <c r="W2559" i="17"/>
  <c r="AA2558" i="17"/>
  <c r="W2558" i="17"/>
  <c r="AA2557" i="17"/>
  <c r="W2557" i="17"/>
  <c r="AA2556" i="17"/>
  <c r="W2556" i="17"/>
  <c r="AA2555" i="17"/>
  <c r="W2555" i="17"/>
  <c r="AA2554" i="17"/>
  <c r="W2554" i="17"/>
  <c r="AA2553" i="17"/>
  <c r="W2553" i="17"/>
  <c r="AA2552" i="17"/>
  <c r="W2552" i="17"/>
  <c r="AA2551" i="17"/>
  <c r="W2551" i="17"/>
  <c r="AA2550" i="17"/>
  <c r="W2550" i="17"/>
  <c r="AA2549" i="17"/>
  <c r="W2549" i="17"/>
  <c r="AA2548" i="17"/>
  <c r="W2548" i="17"/>
  <c r="AA2547" i="17"/>
  <c r="W2547" i="17"/>
  <c r="AA2546" i="17"/>
  <c r="W2546" i="17"/>
  <c r="AA2545" i="17"/>
  <c r="W2545" i="17"/>
  <c r="AA2544" i="17"/>
  <c r="W2544" i="17"/>
  <c r="AA2543" i="17"/>
  <c r="W2543" i="17"/>
  <c r="AA2542" i="17"/>
  <c r="W2542" i="17"/>
  <c r="AA2541" i="17"/>
  <c r="W2541" i="17"/>
  <c r="AA2540" i="17"/>
  <c r="W2540" i="17"/>
  <c r="AA2539" i="17"/>
  <c r="W2539" i="17"/>
  <c r="AA2538" i="17"/>
  <c r="W2538" i="17"/>
  <c r="AA2537" i="17"/>
  <c r="W2537" i="17"/>
  <c r="AA2536" i="17"/>
  <c r="W2536" i="17"/>
  <c r="AA2535" i="17"/>
  <c r="W2535" i="17"/>
  <c r="AA2534" i="17"/>
  <c r="W2534" i="17"/>
  <c r="AA2533" i="17"/>
  <c r="W2533" i="17"/>
  <c r="AA2532" i="17"/>
  <c r="W2532" i="17"/>
  <c r="AA2531" i="17"/>
  <c r="W2531" i="17"/>
  <c r="AA2530" i="17"/>
  <c r="W2530" i="17"/>
  <c r="AA2529" i="17"/>
  <c r="W2529" i="17"/>
  <c r="AA2528" i="17"/>
  <c r="W2528" i="17"/>
  <c r="AA2527" i="17"/>
  <c r="W2527" i="17"/>
  <c r="AA2526" i="17"/>
  <c r="W2526" i="17"/>
  <c r="AA2525" i="17"/>
  <c r="W2525" i="17"/>
  <c r="AA2524" i="17"/>
  <c r="W2524" i="17"/>
  <c r="AA2523" i="17"/>
  <c r="W2523" i="17"/>
  <c r="AA2522" i="17"/>
  <c r="W2522" i="17"/>
  <c r="AA2521" i="17"/>
  <c r="W2521" i="17"/>
  <c r="AA2520" i="17"/>
  <c r="W2520" i="17"/>
  <c r="AA2519" i="17"/>
  <c r="W2519" i="17"/>
  <c r="AA2518" i="17"/>
  <c r="W2518" i="17"/>
  <c r="AA2517" i="17"/>
  <c r="W2517" i="17"/>
  <c r="AA2516" i="17"/>
  <c r="W2516" i="17"/>
  <c r="AA2515" i="17"/>
  <c r="W2515" i="17"/>
  <c r="AA2514" i="17"/>
  <c r="W2514" i="17"/>
  <c r="AA2513" i="17"/>
  <c r="W2513" i="17"/>
  <c r="AA2512" i="17"/>
  <c r="W2512" i="17"/>
  <c r="AA2511" i="17"/>
  <c r="W2511" i="17"/>
  <c r="AA2510" i="17"/>
  <c r="W2510" i="17"/>
  <c r="AA2509" i="17"/>
  <c r="W2509" i="17"/>
  <c r="AA2508" i="17"/>
  <c r="W2508" i="17"/>
  <c r="AA2507" i="17"/>
  <c r="W2507" i="17"/>
  <c r="AA2506" i="17"/>
  <c r="W2506" i="17"/>
  <c r="AA2505" i="17"/>
  <c r="W2505" i="17"/>
  <c r="AA2504" i="17"/>
  <c r="W2504" i="17"/>
  <c r="AA2503" i="17"/>
  <c r="W2503" i="17"/>
  <c r="AA2502" i="17"/>
  <c r="W2502" i="17"/>
  <c r="AA2501" i="17"/>
  <c r="W2501" i="17"/>
  <c r="AA2500" i="17"/>
  <c r="W2500" i="17"/>
  <c r="AA2499" i="17"/>
  <c r="W2499" i="17"/>
  <c r="AA2498" i="17"/>
  <c r="W2498" i="17"/>
  <c r="AA2497" i="17"/>
  <c r="W2497" i="17"/>
  <c r="AA2496" i="17"/>
  <c r="W2496" i="17"/>
  <c r="AA2495" i="17"/>
  <c r="W2495" i="17"/>
  <c r="AA2494" i="17"/>
  <c r="W2494" i="17"/>
  <c r="AA2493" i="17"/>
  <c r="W2493" i="17"/>
  <c r="AA2492" i="17"/>
  <c r="W2492" i="17"/>
  <c r="AA2491" i="17"/>
  <c r="W2491" i="17"/>
  <c r="AA2490" i="17"/>
  <c r="W2490" i="17"/>
  <c r="AA2489" i="17"/>
  <c r="W2489" i="17"/>
  <c r="AA2488" i="17"/>
  <c r="W2488" i="17"/>
  <c r="AA2487" i="17"/>
  <c r="W2487" i="17"/>
  <c r="AA2486" i="17"/>
  <c r="W2486" i="17"/>
  <c r="AA2485" i="17"/>
  <c r="W2485" i="17"/>
  <c r="AA2484" i="17"/>
  <c r="W2484" i="17"/>
  <c r="AA2483" i="17"/>
  <c r="W2483" i="17"/>
  <c r="AA2482" i="17"/>
  <c r="W2482" i="17"/>
  <c r="AA2481" i="17"/>
  <c r="W2481" i="17"/>
  <c r="AA2480" i="17"/>
  <c r="W2480" i="17"/>
  <c r="AA2479" i="17"/>
  <c r="W2479" i="17"/>
  <c r="AA2478" i="17"/>
  <c r="W2478" i="17"/>
  <c r="AA2477" i="17"/>
  <c r="W2477" i="17"/>
  <c r="AA2476" i="17"/>
  <c r="W2476" i="17"/>
  <c r="AA2475" i="17"/>
  <c r="W2475" i="17"/>
  <c r="AA2474" i="17"/>
  <c r="W2474" i="17"/>
  <c r="AA2473" i="17"/>
  <c r="W2473" i="17"/>
  <c r="AA2472" i="17"/>
  <c r="W2472" i="17"/>
  <c r="AA2471" i="17"/>
  <c r="W2471" i="17"/>
  <c r="AA2470" i="17"/>
  <c r="W2470" i="17"/>
  <c r="AA2469" i="17"/>
  <c r="W2469" i="17"/>
  <c r="AA2468" i="17"/>
  <c r="W2468" i="17"/>
  <c r="AA2467" i="17"/>
  <c r="W2467" i="17"/>
  <c r="AA2466" i="17"/>
  <c r="W2466" i="17"/>
  <c r="AA2465" i="17"/>
  <c r="W2465" i="17"/>
  <c r="AA2464" i="17"/>
  <c r="W2464" i="17"/>
  <c r="AA2463" i="17"/>
  <c r="W2463" i="17"/>
  <c r="AA2462" i="17"/>
  <c r="W2462" i="17"/>
  <c r="AA2461" i="17"/>
  <c r="W2461" i="17"/>
  <c r="AA2460" i="17"/>
  <c r="W2460" i="17"/>
  <c r="AA2459" i="17"/>
  <c r="W2459" i="17"/>
  <c r="AA2458" i="17"/>
  <c r="W2458" i="17"/>
  <c r="AA2457" i="17"/>
  <c r="W2457" i="17"/>
  <c r="AA2456" i="17"/>
  <c r="W2456" i="17"/>
  <c r="AA2455" i="17"/>
  <c r="W2455" i="17"/>
  <c r="AA2454" i="17"/>
  <c r="W2454" i="17"/>
  <c r="AA2453" i="17"/>
  <c r="W2453" i="17"/>
  <c r="AA2452" i="17"/>
  <c r="W2452" i="17"/>
  <c r="AA2451" i="17"/>
  <c r="W2451" i="17"/>
  <c r="AA2450" i="17"/>
  <c r="W2450" i="17"/>
  <c r="AA2449" i="17"/>
  <c r="W2449" i="17"/>
  <c r="AA2448" i="17"/>
  <c r="W2448" i="17"/>
  <c r="AA2447" i="17"/>
  <c r="W2447" i="17"/>
  <c r="AA2446" i="17"/>
  <c r="W2446" i="17"/>
  <c r="AA2445" i="17"/>
  <c r="W2445" i="17"/>
  <c r="AA2444" i="17"/>
  <c r="W2444" i="17"/>
  <c r="AA2443" i="17"/>
  <c r="W2443" i="17"/>
  <c r="AA2442" i="17"/>
  <c r="W2442" i="17"/>
  <c r="AA2441" i="17"/>
  <c r="W2441" i="17"/>
  <c r="AA2440" i="17"/>
  <c r="W2440" i="17"/>
  <c r="AA2439" i="17"/>
  <c r="W2439" i="17"/>
  <c r="AA2438" i="17"/>
  <c r="W2438" i="17"/>
  <c r="AA2437" i="17"/>
  <c r="W2437" i="17"/>
  <c r="AA2436" i="17"/>
  <c r="W2436" i="17"/>
  <c r="AA2435" i="17"/>
  <c r="W2435" i="17"/>
  <c r="AA2434" i="17"/>
  <c r="W2434" i="17"/>
  <c r="AA2433" i="17"/>
  <c r="W2433" i="17"/>
  <c r="AA2432" i="17"/>
  <c r="W2432" i="17"/>
  <c r="AA2431" i="17"/>
  <c r="W2431" i="17"/>
  <c r="AA2430" i="17"/>
  <c r="W2430" i="17"/>
  <c r="AA2429" i="17"/>
  <c r="W2429" i="17"/>
  <c r="AA2428" i="17"/>
  <c r="W2428" i="17"/>
  <c r="AA2427" i="17"/>
  <c r="W2427" i="17"/>
  <c r="AA2426" i="17"/>
  <c r="W2426" i="17"/>
  <c r="AA2425" i="17"/>
  <c r="W2425" i="17"/>
  <c r="AA2424" i="17"/>
  <c r="W2424" i="17"/>
  <c r="AA2423" i="17"/>
  <c r="W2423" i="17"/>
  <c r="AA2422" i="17"/>
  <c r="W2422" i="17"/>
  <c r="AA2421" i="17"/>
  <c r="W2421" i="17"/>
  <c r="AA2420" i="17"/>
  <c r="W2420" i="17"/>
  <c r="AA2419" i="17"/>
  <c r="W2419" i="17"/>
  <c r="AA2418" i="17"/>
  <c r="W2418" i="17"/>
  <c r="AA2417" i="17"/>
  <c r="W2417" i="17"/>
  <c r="AA2416" i="17"/>
  <c r="W2416" i="17"/>
  <c r="AA2415" i="17"/>
  <c r="W2415" i="17"/>
  <c r="AA2414" i="17"/>
  <c r="W2414" i="17"/>
  <c r="AA2413" i="17"/>
  <c r="W2413" i="17"/>
  <c r="AA2412" i="17"/>
  <c r="W2412" i="17"/>
  <c r="AA2411" i="17"/>
  <c r="W2411" i="17"/>
  <c r="AA2410" i="17"/>
  <c r="W2410" i="17"/>
  <c r="AA2409" i="17"/>
  <c r="W2409" i="17"/>
  <c r="AA2408" i="17"/>
  <c r="W2408" i="17"/>
  <c r="AA2407" i="17"/>
  <c r="W2407" i="17"/>
  <c r="AA2406" i="17"/>
  <c r="W2406" i="17"/>
  <c r="AA2405" i="17"/>
  <c r="W2405" i="17"/>
  <c r="AA2404" i="17"/>
  <c r="W2404" i="17"/>
  <c r="AA2403" i="17"/>
  <c r="W2403" i="17"/>
  <c r="AA2402" i="17"/>
  <c r="W2402" i="17"/>
  <c r="AA2401" i="17"/>
  <c r="W2401" i="17"/>
  <c r="AA2400" i="17"/>
  <c r="W2400" i="17"/>
  <c r="AA2399" i="17"/>
  <c r="W2399" i="17"/>
  <c r="AA2398" i="17"/>
  <c r="W2398" i="17"/>
  <c r="AA2397" i="17"/>
  <c r="W2397" i="17"/>
  <c r="AA2396" i="17"/>
  <c r="W2396" i="17"/>
  <c r="AA2395" i="17"/>
  <c r="W2395" i="17"/>
  <c r="AA2394" i="17"/>
  <c r="W2394" i="17"/>
  <c r="AA2393" i="17"/>
  <c r="W2393" i="17"/>
  <c r="AA2392" i="17"/>
  <c r="W2392" i="17"/>
  <c r="AA2391" i="17"/>
  <c r="W2391" i="17"/>
  <c r="AA2390" i="17"/>
  <c r="W2390" i="17"/>
  <c r="AA2389" i="17"/>
  <c r="W2389" i="17"/>
  <c r="AA2388" i="17"/>
  <c r="W2388" i="17"/>
  <c r="AA2387" i="17"/>
  <c r="W2387" i="17"/>
  <c r="AA2386" i="17"/>
  <c r="W2386" i="17"/>
  <c r="AA2385" i="17"/>
  <c r="W2385" i="17"/>
  <c r="AA2384" i="17"/>
  <c r="W2384" i="17"/>
  <c r="AA2383" i="17"/>
  <c r="W2383" i="17"/>
  <c r="AA2382" i="17"/>
  <c r="W2382" i="17"/>
  <c r="AA2381" i="17"/>
  <c r="W2381" i="17"/>
  <c r="AA2380" i="17"/>
  <c r="W2380" i="17"/>
  <c r="AA2379" i="17"/>
  <c r="W2379" i="17"/>
  <c r="AA2378" i="17"/>
  <c r="W2378" i="17"/>
  <c r="AA2377" i="17"/>
  <c r="W2377" i="17"/>
  <c r="AA2376" i="17"/>
  <c r="W2376" i="17"/>
  <c r="AA2375" i="17"/>
  <c r="W2375" i="17"/>
  <c r="AA2374" i="17"/>
  <c r="W2374" i="17"/>
  <c r="AA2373" i="17"/>
  <c r="W2373" i="17"/>
  <c r="AA2372" i="17"/>
  <c r="W2372" i="17"/>
  <c r="AA2371" i="17"/>
  <c r="W2371" i="17"/>
  <c r="AA2370" i="17"/>
  <c r="W2370" i="17"/>
  <c r="AA2369" i="17"/>
  <c r="W2369" i="17"/>
  <c r="AA2368" i="17"/>
  <c r="W2368" i="17"/>
  <c r="AA2367" i="17"/>
  <c r="W2367" i="17"/>
  <c r="AA2366" i="17"/>
  <c r="W2366" i="17"/>
  <c r="AA2365" i="17"/>
  <c r="W2365" i="17"/>
  <c r="AA2364" i="17"/>
  <c r="W2364" i="17"/>
  <c r="AA2363" i="17"/>
  <c r="W2363" i="17"/>
  <c r="AA2362" i="17"/>
  <c r="W2362" i="17"/>
  <c r="AA2361" i="17"/>
  <c r="W2361" i="17"/>
  <c r="AA2360" i="17"/>
  <c r="W2360" i="17"/>
  <c r="AA2359" i="17"/>
  <c r="W2359" i="17"/>
  <c r="AA2358" i="17"/>
  <c r="W2358" i="17"/>
  <c r="AA2357" i="17"/>
  <c r="W2357" i="17"/>
  <c r="AA2356" i="17"/>
  <c r="W2356" i="17"/>
  <c r="AA2355" i="17"/>
  <c r="W2355" i="17"/>
  <c r="AA2354" i="17"/>
  <c r="W2354" i="17"/>
  <c r="AA2353" i="17"/>
  <c r="W2353" i="17"/>
  <c r="AA2352" i="17"/>
  <c r="W2352" i="17"/>
  <c r="AA2351" i="17"/>
  <c r="W2351" i="17"/>
  <c r="AA2350" i="17"/>
  <c r="W2350" i="17"/>
  <c r="AA2349" i="17"/>
  <c r="W2349" i="17"/>
  <c r="AA2348" i="17"/>
  <c r="W2348" i="17"/>
  <c r="AA2347" i="17"/>
  <c r="W2347" i="17"/>
  <c r="AA2346" i="17"/>
  <c r="W2346" i="17"/>
  <c r="AA2345" i="17"/>
  <c r="W2345" i="17"/>
  <c r="AA2344" i="17"/>
  <c r="W2344" i="17"/>
  <c r="AA2343" i="17"/>
  <c r="W2343" i="17"/>
  <c r="AA2342" i="17"/>
  <c r="W2342" i="17"/>
  <c r="AA2341" i="17"/>
  <c r="W2341" i="17"/>
  <c r="AA2340" i="17"/>
  <c r="W2340" i="17"/>
  <c r="AA2339" i="17"/>
  <c r="W2339" i="17"/>
  <c r="AA2338" i="17"/>
  <c r="W2338" i="17"/>
  <c r="AA2337" i="17"/>
  <c r="W2337" i="17"/>
  <c r="AA2336" i="17"/>
  <c r="W2336" i="17"/>
  <c r="AA2335" i="17"/>
  <c r="W2335" i="17"/>
  <c r="AA2334" i="17"/>
  <c r="W2334" i="17"/>
  <c r="AA2333" i="17"/>
  <c r="W2333" i="17"/>
  <c r="AA2332" i="17"/>
  <c r="W2332" i="17"/>
  <c r="AA2331" i="17"/>
  <c r="W2331" i="17"/>
  <c r="AA2330" i="17"/>
  <c r="W2330" i="17"/>
  <c r="AA2329" i="17"/>
  <c r="W2329" i="17"/>
  <c r="AA2328" i="17"/>
  <c r="W2328" i="17"/>
  <c r="AA2327" i="17"/>
  <c r="W2327" i="17"/>
  <c r="AA2326" i="17"/>
  <c r="W2326" i="17"/>
  <c r="AA2325" i="17"/>
  <c r="W2325" i="17"/>
  <c r="AA2324" i="17"/>
  <c r="W2324" i="17"/>
  <c r="AA2323" i="17"/>
  <c r="W2323" i="17"/>
  <c r="AA2322" i="17"/>
  <c r="W2322" i="17"/>
  <c r="AA2321" i="17"/>
  <c r="W2321" i="17"/>
  <c r="AA2320" i="17"/>
  <c r="W2320" i="17"/>
  <c r="AA2319" i="17"/>
  <c r="W2319" i="17"/>
  <c r="AA2318" i="17"/>
  <c r="W2318" i="17"/>
  <c r="AA2317" i="17"/>
  <c r="W2317" i="17"/>
  <c r="AA2316" i="17"/>
  <c r="W2316" i="17"/>
  <c r="AA2315" i="17"/>
  <c r="W2315" i="17"/>
  <c r="AA2314" i="17"/>
  <c r="W2314" i="17"/>
  <c r="AA2313" i="17"/>
  <c r="W2313" i="17"/>
  <c r="AA2312" i="17"/>
  <c r="W2312" i="17"/>
  <c r="AA2311" i="17"/>
  <c r="W2311" i="17"/>
  <c r="AA2310" i="17"/>
  <c r="W2310" i="17"/>
  <c r="AA2309" i="17"/>
  <c r="W2309" i="17"/>
  <c r="AA2308" i="17"/>
  <c r="W2308" i="17"/>
  <c r="AA2307" i="17"/>
  <c r="W2307" i="17"/>
  <c r="AA2306" i="17"/>
  <c r="W2306" i="17"/>
  <c r="AA2305" i="17"/>
  <c r="W2305" i="17"/>
  <c r="AA2304" i="17"/>
  <c r="W2304" i="17"/>
  <c r="AA2303" i="17"/>
  <c r="W2303" i="17"/>
  <c r="AA2302" i="17"/>
  <c r="W2302" i="17"/>
  <c r="AA2301" i="17"/>
  <c r="W2301" i="17"/>
  <c r="AA2300" i="17"/>
  <c r="W2300" i="17"/>
  <c r="AA2299" i="17"/>
  <c r="W2299" i="17"/>
  <c r="AA2298" i="17"/>
  <c r="W2298" i="17"/>
  <c r="AA2297" i="17"/>
  <c r="W2297" i="17"/>
  <c r="AA2296" i="17"/>
  <c r="W2296" i="17"/>
  <c r="AA2295" i="17"/>
  <c r="W2295" i="17"/>
  <c r="AA2294" i="17"/>
  <c r="W2294" i="17"/>
  <c r="AA2293" i="17"/>
  <c r="W2293" i="17"/>
  <c r="AA2292" i="17"/>
  <c r="W2292" i="17"/>
  <c r="AA2291" i="17"/>
  <c r="W2291" i="17"/>
  <c r="AA2290" i="17"/>
  <c r="W2290" i="17"/>
  <c r="AA2289" i="17"/>
  <c r="W2289" i="17"/>
  <c r="AA2288" i="17"/>
  <c r="W2288" i="17"/>
  <c r="AA2287" i="17"/>
  <c r="W2287" i="17"/>
  <c r="AA2286" i="17"/>
  <c r="W2286" i="17"/>
  <c r="AA2285" i="17"/>
  <c r="W2285" i="17"/>
  <c r="AA2284" i="17"/>
  <c r="W2284" i="17"/>
  <c r="AA2283" i="17"/>
  <c r="W2283" i="17"/>
  <c r="AA2282" i="17"/>
  <c r="W2282" i="17"/>
  <c r="AA2281" i="17"/>
  <c r="W2281" i="17"/>
  <c r="AA2280" i="17"/>
  <c r="W2280" i="17"/>
  <c r="AA2279" i="17"/>
  <c r="W2279" i="17"/>
  <c r="AA2278" i="17"/>
  <c r="W2278" i="17"/>
  <c r="AA2277" i="17"/>
  <c r="W2277" i="17"/>
  <c r="AA2276" i="17"/>
  <c r="W2276" i="17"/>
  <c r="AA2275" i="17"/>
  <c r="W2275" i="17"/>
  <c r="AA2274" i="17"/>
  <c r="W2274" i="17"/>
  <c r="AA2273" i="17"/>
  <c r="W2273" i="17"/>
  <c r="AA2272" i="17"/>
  <c r="W2272" i="17"/>
  <c r="AA2271" i="17"/>
  <c r="W2271" i="17"/>
  <c r="AA2270" i="17"/>
  <c r="W2270" i="17"/>
  <c r="AA2269" i="17"/>
  <c r="W2269" i="17"/>
  <c r="AA2268" i="17"/>
  <c r="W2268" i="17"/>
  <c r="AA2267" i="17"/>
  <c r="W2267" i="17"/>
  <c r="AA2266" i="17"/>
  <c r="W2266" i="17"/>
  <c r="AA2265" i="17"/>
  <c r="W2265" i="17"/>
  <c r="AA2264" i="17"/>
  <c r="W2264" i="17"/>
  <c r="AA2263" i="17"/>
  <c r="W2263" i="17"/>
  <c r="AA2262" i="17"/>
  <c r="W2262" i="17"/>
  <c r="AA2261" i="17"/>
  <c r="W2261" i="17"/>
  <c r="AA2260" i="17"/>
  <c r="W2260" i="17"/>
  <c r="AA2259" i="17"/>
  <c r="W2259" i="17"/>
  <c r="AA2258" i="17"/>
  <c r="W2258" i="17"/>
  <c r="AA2257" i="17"/>
  <c r="W2257" i="17"/>
  <c r="AA2256" i="17"/>
  <c r="W2256" i="17"/>
  <c r="AA2255" i="17"/>
  <c r="W2255" i="17"/>
  <c r="AA2254" i="17"/>
  <c r="W2254" i="17"/>
  <c r="AA2253" i="17"/>
  <c r="W2253" i="17"/>
  <c r="AA2252" i="17"/>
  <c r="W2252" i="17"/>
  <c r="AA2251" i="17"/>
  <c r="W2251" i="17"/>
  <c r="AA2250" i="17"/>
  <c r="W2250" i="17"/>
  <c r="AA2249" i="17"/>
  <c r="W2249" i="17"/>
  <c r="AA2248" i="17"/>
  <c r="W2248" i="17"/>
  <c r="AA2247" i="17"/>
  <c r="W2247" i="17"/>
  <c r="AA2246" i="17"/>
  <c r="W2246" i="17"/>
  <c r="AA2245" i="17"/>
  <c r="W2245" i="17"/>
  <c r="AA2244" i="17"/>
  <c r="W2244" i="17"/>
  <c r="AA2243" i="17"/>
  <c r="W2243" i="17"/>
  <c r="AA2242" i="17"/>
  <c r="W2242" i="17"/>
  <c r="AA2241" i="17"/>
  <c r="W2241" i="17"/>
  <c r="AA2240" i="17"/>
  <c r="W2240" i="17"/>
  <c r="AA2239" i="17"/>
  <c r="W2239" i="17"/>
  <c r="AA2238" i="17"/>
  <c r="W2238" i="17"/>
  <c r="AA2237" i="17"/>
  <c r="W2237" i="17"/>
  <c r="AA2236" i="17"/>
  <c r="W2236" i="17"/>
  <c r="AA2235" i="17"/>
  <c r="W2235" i="17"/>
  <c r="AA2234" i="17"/>
  <c r="W2234" i="17"/>
  <c r="AA2233" i="17"/>
  <c r="W2233" i="17"/>
  <c r="AA2232" i="17"/>
  <c r="W2232" i="17"/>
  <c r="AA2231" i="17"/>
  <c r="W2231" i="17"/>
  <c r="AA2230" i="17"/>
  <c r="W2230" i="17"/>
  <c r="AA2229" i="17"/>
  <c r="W2229" i="17"/>
  <c r="AA2228" i="17"/>
  <c r="W2228" i="17"/>
  <c r="AA2227" i="17"/>
  <c r="W2227" i="17"/>
  <c r="AA2226" i="17"/>
  <c r="W2226" i="17"/>
  <c r="AA2225" i="17"/>
  <c r="W2225" i="17"/>
  <c r="AA2224" i="17"/>
  <c r="W2224" i="17"/>
  <c r="AA2223" i="17"/>
  <c r="W2223" i="17"/>
  <c r="AA2222" i="17"/>
  <c r="W2222" i="17"/>
  <c r="AA2221" i="17"/>
  <c r="W2221" i="17"/>
  <c r="AA2220" i="17"/>
  <c r="W2220" i="17"/>
  <c r="AA2219" i="17"/>
  <c r="W2219" i="17"/>
  <c r="AA2218" i="17"/>
  <c r="W2218" i="17"/>
  <c r="AA2217" i="17"/>
  <c r="W2217" i="17"/>
  <c r="AA2216" i="17"/>
  <c r="W2216" i="17"/>
  <c r="AA2215" i="17"/>
  <c r="W2215" i="17"/>
  <c r="AA2214" i="17"/>
  <c r="W2214" i="17"/>
  <c r="AA2213" i="17"/>
  <c r="W2213" i="17"/>
  <c r="AA2212" i="17"/>
  <c r="W2212" i="17"/>
  <c r="AA2211" i="17"/>
  <c r="W2211" i="17"/>
  <c r="AA2210" i="17"/>
  <c r="W2210" i="17"/>
  <c r="AA2209" i="17"/>
  <c r="W2209" i="17"/>
  <c r="AA2208" i="17"/>
  <c r="W2208" i="17"/>
  <c r="AA2207" i="17"/>
  <c r="W2207" i="17"/>
  <c r="AA2206" i="17"/>
  <c r="W2206" i="17"/>
  <c r="AA2205" i="17"/>
  <c r="W2205" i="17"/>
  <c r="AA2204" i="17"/>
  <c r="W2204" i="17"/>
  <c r="AA2203" i="17"/>
  <c r="W2203" i="17"/>
  <c r="AA2202" i="17"/>
  <c r="W2202" i="17"/>
  <c r="AA2201" i="17"/>
  <c r="W2201" i="17"/>
  <c r="AA2200" i="17"/>
  <c r="W2200" i="17"/>
  <c r="AA2199" i="17"/>
  <c r="W2199" i="17"/>
  <c r="AA2198" i="17"/>
  <c r="W2198" i="17"/>
  <c r="AA2197" i="17"/>
  <c r="W2197" i="17"/>
  <c r="AA2196" i="17"/>
  <c r="W2196" i="17"/>
  <c r="AA2195" i="17"/>
  <c r="W2195" i="17"/>
  <c r="AA2194" i="17"/>
  <c r="W2194" i="17"/>
  <c r="AA2193" i="17"/>
  <c r="W2193" i="17"/>
  <c r="AA2192" i="17"/>
  <c r="W2192" i="17"/>
  <c r="AA2191" i="17"/>
  <c r="W2191" i="17"/>
  <c r="AA2190" i="17"/>
  <c r="W2190" i="17"/>
  <c r="AA2189" i="17"/>
  <c r="W2189" i="17"/>
  <c r="AA2188" i="17"/>
  <c r="W2188" i="17"/>
  <c r="AA2187" i="17"/>
  <c r="W2187" i="17"/>
  <c r="AA2186" i="17"/>
  <c r="W2186" i="17"/>
  <c r="AA2185" i="17"/>
  <c r="W2185" i="17"/>
  <c r="AA2184" i="17"/>
  <c r="W2184" i="17"/>
  <c r="AA2183" i="17"/>
  <c r="W2183" i="17"/>
  <c r="AA2182" i="17"/>
  <c r="W2182" i="17"/>
  <c r="AA2181" i="17"/>
  <c r="W2181" i="17"/>
  <c r="AA2180" i="17"/>
  <c r="W2180" i="17"/>
  <c r="AA2179" i="17"/>
  <c r="W2179" i="17"/>
  <c r="AA2178" i="17"/>
  <c r="W2178" i="17"/>
  <c r="AA2177" i="17"/>
  <c r="W2177" i="17"/>
  <c r="AA2176" i="17"/>
  <c r="W2176" i="17"/>
  <c r="AA2175" i="17"/>
  <c r="W2175" i="17"/>
  <c r="AA2174" i="17"/>
  <c r="W2174" i="17"/>
  <c r="AA2173" i="17"/>
  <c r="W2173" i="17"/>
  <c r="AA2172" i="17"/>
  <c r="W2172" i="17"/>
  <c r="AA2171" i="17"/>
  <c r="W2171" i="17"/>
  <c r="AA2170" i="17"/>
  <c r="W2170" i="17"/>
  <c r="AA2169" i="17"/>
  <c r="W2169" i="17"/>
  <c r="AA2168" i="17"/>
  <c r="W2168" i="17"/>
  <c r="AA2167" i="17"/>
  <c r="W2167" i="17"/>
  <c r="AA2166" i="17"/>
  <c r="W2166" i="17"/>
  <c r="AA2165" i="17"/>
  <c r="W2165" i="17"/>
  <c r="AA2164" i="17"/>
  <c r="W2164" i="17"/>
  <c r="AA2163" i="17"/>
  <c r="W2163" i="17"/>
  <c r="AA2162" i="17"/>
  <c r="W2162" i="17"/>
  <c r="AA2161" i="17"/>
  <c r="W2161" i="17"/>
  <c r="AA2160" i="17"/>
  <c r="W2160" i="17"/>
  <c r="AA2159" i="17"/>
  <c r="W2159" i="17"/>
  <c r="AA2158" i="17"/>
  <c r="W2158" i="17"/>
  <c r="AA2157" i="17"/>
  <c r="W2157" i="17"/>
  <c r="AA2156" i="17"/>
  <c r="W2156" i="17"/>
  <c r="AA2155" i="17"/>
  <c r="W2155" i="17"/>
  <c r="AA2154" i="17"/>
  <c r="W2154" i="17"/>
  <c r="AA2153" i="17"/>
  <c r="W2153" i="17"/>
  <c r="AA2152" i="17"/>
  <c r="W2152" i="17"/>
  <c r="AA2151" i="17"/>
  <c r="W2151" i="17"/>
  <c r="AA2150" i="17"/>
  <c r="W2150" i="17"/>
  <c r="AA2149" i="17"/>
  <c r="W2149" i="17"/>
  <c r="AA2148" i="17"/>
  <c r="W2148" i="17"/>
  <c r="AA2147" i="17"/>
  <c r="W2147" i="17"/>
  <c r="AA2146" i="17"/>
  <c r="W2146" i="17"/>
  <c r="AA2145" i="17"/>
  <c r="W2145" i="17"/>
  <c r="AA2144" i="17"/>
  <c r="W2144" i="17"/>
  <c r="AA2143" i="17"/>
  <c r="W2143" i="17"/>
  <c r="AA2142" i="17"/>
  <c r="W2142" i="17"/>
  <c r="AA2141" i="17"/>
  <c r="W2141" i="17"/>
  <c r="AA2140" i="17"/>
  <c r="W2140" i="17"/>
  <c r="AA2139" i="17"/>
  <c r="W2139" i="17"/>
  <c r="AA2138" i="17"/>
  <c r="W2138" i="17"/>
  <c r="AA2137" i="17"/>
  <c r="W2137" i="17"/>
  <c r="AA2136" i="17"/>
  <c r="W2136" i="17"/>
  <c r="AA2135" i="17"/>
  <c r="W2135" i="17"/>
  <c r="AA2134" i="17"/>
  <c r="W2134" i="17"/>
  <c r="AA2133" i="17"/>
  <c r="W2133" i="17"/>
  <c r="AA2132" i="17"/>
  <c r="W2132" i="17"/>
  <c r="AA2131" i="17"/>
  <c r="W2131" i="17"/>
  <c r="AA2130" i="17"/>
  <c r="W2130" i="17"/>
  <c r="AA2129" i="17"/>
  <c r="W2129" i="17"/>
  <c r="AA2128" i="17"/>
  <c r="W2128" i="17"/>
  <c r="AA2127" i="17"/>
  <c r="W2127" i="17"/>
  <c r="AA2126" i="17"/>
  <c r="W2126" i="17"/>
  <c r="AA2125" i="17"/>
  <c r="W2125" i="17"/>
  <c r="AA2124" i="17"/>
  <c r="W2124" i="17"/>
  <c r="AA2123" i="17"/>
  <c r="W2123" i="17"/>
  <c r="AA2122" i="17"/>
  <c r="W2122" i="17"/>
  <c r="AA2121" i="17"/>
  <c r="W2121" i="17"/>
  <c r="AA2120" i="17"/>
  <c r="W2120" i="17"/>
  <c r="AA2119" i="17"/>
  <c r="W2119" i="17"/>
  <c r="AA2118" i="17"/>
  <c r="W2118" i="17"/>
  <c r="AA2117" i="17"/>
  <c r="W2117" i="17"/>
  <c r="AA2116" i="17"/>
  <c r="W2116" i="17"/>
  <c r="AA2115" i="17"/>
  <c r="W2115" i="17"/>
  <c r="AA2114" i="17"/>
  <c r="W2114" i="17"/>
  <c r="AA2113" i="17"/>
  <c r="W2113" i="17"/>
  <c r="AA2112" i="17"/>
  <c r="W2112" i="17"/>
  <c r="AA2111" i="17"/>
  <c r="W2111" i="17"/>
  <c r="AA2110" i="17"/>
  <c r="W2110" i="17"/>
  <c r="AA2109" i="17"/>
  <c r="W2109" i="17"/>
  <c r="AA2108" i="17"/>
  <c r="W2108" i="17"/>
  <c r="AA2107" i="17"/>
  <c r="W2107" i="17"/>
  <c r="AA2106" i="17"/>
  <c r="W2106" i="17"/>
  <c r="AA2105" i="17"/>
  <c r="W2105" i="17"/>
  <c r="AA2104" i="17"/>
  <c r="W2104" i="17"/>
  <c r="AA2103" i="17"/>
  <c r="W2103" i="17"/>
  <c r="AA2102" i="17"/>
  <c r="W2102" i="17"/>
  <c r="AA2101" i="17"/>
  <c r="W2101" i="17"/>
  <c r="AA2100" i="17"/>
  <c r="W2100" i="17"/>
  <c r="AA2099" i="17"/>
  <c r="W2099" i="17"/>
  <c r="AA2098" i="17"/>
  <c r="W2098" i="17"/>
  <c r="AA2097" i="17"/>
  <c r="W2097" i="17"/>
  <c r="AA2096" i="17"/>
  <c r="W2096" i="17"/>
  <c r="AA2095" i="17"/>
  <c r="W2095" i="17"/>
  <c r="AA2094" i="17"/>
  <c r="W2094" i="17"/>
  <c r="AA2093" i="17"/>
  <c r="W2093" i="17"/>
  <c r="AA2092" i="17"/>
  <c r="W2092" i="17"/>
  <c r="AA2091" i="17"/>
  <c r="W2091" i="17"/>
  <c r="AA2090" i="17"/>
  <c r="W2090" i="17"/>
  <c r="AA2089" i="17"/>
  <c r="W2089" i="17"/>
  <c r="AA2088" i="17"/>
  <c r="W2088" i="17"/>
  <c r="AA2087" i="17"/>
  <c r="W2087" i="17"/>
  <c r="AA2086" i="17"/>
  <c r="W2086" i="17"/>
  <c r="AA2085" i="17"/>
  <c r="W2085" i="17"/>
  <c r="AA2084" i="17"/>
  <c r="W2084" i="17"/>
  <c r="AA2083" i="17"/>
  <c r="W2083" i="17"/>
  <c r="AA2082" i="17"/>
  <c r="W2082" i="17"/>
  <c r="AA2081" i="17"/>
  <c r="W2081" i="17"/>
  <c r="AA2080" i="17"/>
  <c r="W2080" i="17"/>
  <c r="AA2079" i="17"/>
  <c r="W2079" i="17"/>
  <c r="AA2078" i="17"/>
  <c r="W2078" i="17"/>
  <c r="AA2077" i="17"/>
  <c r="W2077" i="17"/>
  <c r="AA2076" i="17"/>
  <c r="W2076" i="17"/>
  <c r="AA2075" i="17"/>
  <c r="W2075" i="17"/>
  <c r="AA2074" i="17"/>
  <c r="W2074" i="17"/>
  <c r="AA2073" i="17"/>
  <c r="W2073" i="17"/>
  <c r="AA2072" i="17"/>
  <c r="W2072" i="17"/>
  <c r="AA2071" i="17"/>
  <c r="W2071" i="17"/>
  <c r="AA2070" i="17"/>
  <c r="W2070" i="17"/>
  <c r="AA2069" i="17"/>
  <c r="W2069" i="17"/>
  <c r="AA2068" i="17"/>
  <c r="W2068" i="17"/>
  <c r="AA2067" i="17"/>
  <c r="W2067" i="17"/>
  <c r="AA2066" i="17"/>
  <c r="W2066" i="17"/>
  <c r="AA2065" i="17"/>
  <c r="W2065" i="17"/>
  <c r="AA2064" i="17"/>
  <c r="W2064" i="17"/>
  <c r="AA2063" i="17"/>
  <c r="W2063" i="17"/>
  <c r="AA2062" i="17"/>
  <c r="W2062" i="17"/>
  <c r="AA2061" i="17"/>
  <c r="W2061" i="17"/>
  <c r="AA2060" i="17"/>
  <c r="W2060" i="17"/>
  <c r="AA2059" i="17"/>
  <c r="W2059" i="17"/>
  <c r="AA2058" i="17"/>
  <c r="W2058" i="17"/>
  <c r="AA2057" i="17"/>
  <c r="W2057" i="17"/>
  <c r="AA2056" i="17"/>
  <c r="W2056" i="17"/>
  <c r="AA2055" i="17"/>
  <c r="W2055" i="17"/>
  <c r="AA2054" i="17"/>
  <c r="W2054" i="17"/>
  <c r="AA2053" i="17"/>
  <c r="W2053" i="17"/>
  <c r="AA2052" i="17"/>
  <c r="W2052" i="17"/>
  <c r="AA2051" i="17"/>
  <c r="W2051" i="17"/>
  <c r="AA2050" i="17"/>
  <c r="W2050" i="17"/>
  <c r="AA2049" i="17"/>
  <c r="W2049" i="17"/>
  <c r="AA2048" i="17"/>
  <c r="W2048" i="17"/>
  <c r="AA2047" i="17"/>
  <c r="W2047" i="17"/>
  <c r="AA2046" i="17"/>
  <c r="W2046" i="17"/>
  <c r="AA2045" i="17"/>
  <c r="W2045" i="17"/>
  <c r="AA2044" i="17"/>
  <c r="W2044" i="17"/>
  <c r="AA2043" i="17"/>
  <c r="W2043" i="17"/>
  <c r="AA2042" i="17"/>
  <c r="W2042" i="17"/>
  <c r="AA2041" i="17"/>
  <c r="W2041" i="17"/>
  <c r="AA2040" i="17"/>
  <c r="W2040" i="17"/>
  <c r="AA2039" i="17"/>
  <c r="W2039" i="17"/>
  <c r="AA2038" i="17"/>
  <c r="W2038" i="17"/>
  <c r="AA2037" i="17"/>
  <c r="W2037" i="17"/>
  <c r="AA2036" i="17"/>
  <c r="W2036" i="17"/>
  <c r="AA2035" i="17"/>
  <c r="W2035" i="17"/>
  <c r="AA2034" i="17"/>
  <c r="W2034" i="17"/>
  <c r="AA2033" i="17"/>
  <c r="W2033" i="17"/>
  <c r="AA2032" i="17"/>
  <c r="W2032" i="17"/>
  <c r="AA2031" i="17"/>
  <c r="W2031" i="17"/>
  <c r="AA2030" i="17"/>
  <c r="W2030" i="17"/>
  <c r="AA2029" i="17"/>
  <c r="W2029" i="17"/>
  <c r="AA2028" i="17"/>
  <c r="W2028" i="17"/>
  <c r="AA2027" i="17"/>
  <c r="W2027" i="17"/>
  <c r="AA2026" i="17"/>
  <c r="W2026" i="17"/>
  <c r="AA2025" i="17"/>
  <c r="W2025" i="17"/>
  <c r="AA2024" i="17"/>
  <c r="W2024" i="17"/>
  <c r="AA2023" i="17"/>
  <c r="W2023" i="17"/>
  <c r="AA2022" i="17"/>
  <c r="W2022" i="17"/>
  <c r="AA2021" i="17"/>
  <c r="W2021" i="17"/>
  <c r="AA2020" i="17"/>
  <c r="W2020" i="17"/>
  <c r="AA2019" i="17"/>
  <c r="W2019" i="17"/>
  <c r="AA2018" i="17"/>
  <c r="W2018" i="17"/>
  <c r="AA2017" i="17"/>
  <c r="W2017" i="17"/>
  <c r="AA2016" i="17"/>
  <c r="W2016" i="17"/>
  <c r="AA2015" i="17"/>
  <c r="W2015" i="17"/>
  <c r="AA2014" i="17"/>
  <c r="W2014" i="17"/>
  <c r="AA2013" i="17"/>
  <c r="W2013" i="17"/>
  <c r="AA2012" i="17"/>
  <c r="W2012" i="17"/>
  <c r="AA2011" i="17"/>
  <c r="W2011" i="17"/>
  <c r="AA2010" i="17"/>
  <c r="W2010" i="17"/>
  <c r="AA2009" i="17"/>
  <c r="W2009" i="17"/>
  <c r="AA2008" i="17"/>
  <c r="W2008" i="17"/>
  <c r="AA2007" i="17"/>
  <c r="W2007" i="17"/>
  <c r="AA2006" i="17"/>
  <c r="W2006" i="17"/>
  <c r="AA2005" i="17"/>
  <c r="W2005" i="17"/>
  <c r="AA2004" i="17"/>
  <c r="W2004" i="17"/>
  <c r="AA2003" i="17"/>
  <c r="W2003" i="17"/>
  <c r="AA2002" i="17"/>
  <c r="W2002" i="17"/>
  <c r="AA2001" i="17"/>
  <c r="W2001" i="17"/>
  <c r="AA2000" i="17"/>
  <c r="W2000" i="17"/>
  <c r="AA1999" i="17"/>
  <c r="W1999" i="17"/>
  <c r="AA1998" i="17"/>
  <c r="W1998" i="17"/>
  <c r="AA1997" i="17"/>
  <c r="W1997" i="17"/>
  <c r="AA1996" i="17"/>
  <c r="W1996" i="17"/>
  <c r="AA1995" i="17"/>
  <c r="W1995" i="17"/>
  <c r="AA1994" i="17"/>
  <c r="W1994" i="17"/>
  <c r="AA1993" i="17"/>
  <c r="W1993" i="17"/>
  <c r="AA1992" i="17"/>
  <c r="W1992" i="17"/>
  <c r="AA1991" i="17"/>
  <c r="W1991" i="17"/>
  <c r="AA1990" i="17"/>
  <c r="W1990" i="17"/>
  <c r="AA1989" i="17"/>
  <c r="W1989" i="17"/>
  <c r="AA1988" i="17"/>
  <c r="W1988" i="17"/>
  <c r="AA1987" i="17"/>
  <c r="W1987" i="17"/>
  <c r="AA1986" i="17"/>
  <c r="W1986" i="17"/>
  <c r="AA1985" i="17"/>
  <c r="W1985" i="17"/>
  <c r="AA1984" i="17"/>
  <c r="W1984" i="17"/>
  <c r="AA1983" i="17"/>
  <c r="W1983" i="17"/>
  <c r="AA1982" i="17"/>
  <c r="W1982" i="17"/>
  <c r="AA1981" i="17"/>
  <c r="W1981" i="17"/>
  <c r="AA1980" i="17"/>
  <c r="W1980" i="17"/>
  <c r="AA1979" i="17"/>
  <c r="W1979" i="17"/>
  <c r="AA1978" i="17"/>
  <c r="W1978" i="17"/>
  <c r="AA1977" i="17"/>
  <c r="W1977" i="17"/>
  <c r="AA1976" i="17"/>
  <c r="W1976" i="17"/>
  <c r="AA1975" i="17"/>
  <c r="W1975" i="17"/>
  <c r="AA1974" i="17"/>
  <c r="W1974" i="17"/>
  <c r="AA1973" i="17"/>
  <c r="W1973" i="17"/>
  <c r="AA1972" i="17"/>
  <c r="W1972" i="17"/>
  <c r="AA1971" i="17"/>
  <c r="W1971" i="17"/>
  <c r="AA1970" i="17"/>
  <c r="W1970" i="17"/>
  <c r="AA1969" i="17"/>
  <c r="W1969" i="17"/>
  <c r="AA1968" i="17"/>
  <c r="W1968" i="17"/>
  <c r="AA1967" i="17"/>
  <c r="W1967" i="17"/>
  <c r="AA1966" i="17"/>
  <c r="W1966" i="17"/>
  <c r="AA1965" i="17"/>
  <c r="W1965" i="17"/>
  <c r="AA1964" i="17"/>
  <c r="W1964" i="17"/>
  <c r="AA1963" i="17"/>
  <c r="W1963" i="17"/>
  <c r="AA1962" i="17"/>
  <c r="W1962" i="17"/>
  <c r="AA1961" i="17"/>
  <c r="W1961" i="17"/>
  <c r="AA1960" i="17"/>
  <c r="W1960" i="17"/>
  <c r="AA1959" i="17"/>
  <c r="W1959" i="17"/>
  <c r="AA1958" i="17"/>
  <c r="W1958" i="17"/>
  <c r="AA1957" i="17"/>
  <c r="W1957" i="17"/>
  <c r="AA1956" i="17"/>
  <c r="W1956" i="17"/>
  <c r="AA1955" i="17"/>
  <c r="W1955" i="17"/>
  <c r="AA1954" i="17"/>
  <c r="W1954" i="17"/>
  <c r="AA1953" i="17"/>
  <c r="W1953" i="17"/>
  <c r="AA1952" i="17"/>
  <c r="W1952" i="17"/>
  <c r="AA1951" i="17"/>
  <c r="W1951" i="17"/>
  <c r="AA1950" i="17"/>
  <c r="W1950" i="17"/>
  <c r="AA1949" i="17"/>
  <c r="W1949" i="17"/>
  <c r="AA1948" i="17"/>
  <c r="W1948" i="17"/>
  <c r="AA1947" i="17"/>
  <c r="W1947" i="17"/>
  <c r="AA1946" i="17"/>
  <c r="W1946" i="17"/>
  <c r="AA1945" i="17"/>
  <c r="W1945" i="17"/>
  <c r="AA1944" i="17"/>
  <c r="W1944" i="17"/>
  <c r="AA1943" i="17"/>
  <c r="W1943" i="17"/>
  <c r="AA1942" i="17"/>
  <c r="W1942" i="17"/>
  <c r="AA1941" i="17"/>
  <c r="W1941" i="17"/>
  <c r="AA1940" i="17"/>
  <c r="W1940" i="17"/>
  <c r="AA1939" i="17"/>
  <c r="W1939" i="17"/>
  <c r="AA1938" i="17"/>
  <c r="W1938" i="17"/>
  <c r="AA1937" i="17"/>
  <c r="W1937" i="17"/>
  <c r="AA1936" i="17"/>
  <c r="W1936" i="17"/>
  <c r="AA1935" i="17"/>
  <c r="W1935" i="17"/>
  <c r="AA1934" i="17"/>
  <c r="W1934" i="17"/>
  <c r="AA1933" i="17"/>
  <c r="W1933" i="17"/>
  <c r="AA1932" i="17"/>
  <c r="W1932" i="17"/>
  <c r="AA1931" i="17"/>
  <c r="W1931" i="17"/>
  <c r="AA1930" i="17"/>
  <c r="W1930" i="17"/>
  <c r="AA1929" i="17"/>
  <c r="W1929" i="17"/>
  <c r="AA1928" i="17"/>
  <c r="W1928" i="17"/>
  <c r="AA1927" i="17"/>
  <c r="W1927" i="17"/>
  <c r="AA1926" i="17"/>
  <c r="W1926" i="17"/>
  <c r="AA1925" i="17"/>
  <c r="W1925" i="17"/>
  <c r="AA1924" i="17"/>
  <c r="W1924" i="17"/>
  <c r="AA1923" i="17"/>
  <c r="W1923" i="17"/>
  <c r="AA1922" i="17"/>
  <c r="W1922" i="17"/>
  <c r="AA1921" i="17"/>
  <c r="W1921" i="17"/>
  <c r="AA1920" i="17"/>
  <c r="W1920" i="17"/>
  <c r="AA1919" i="17"/>
  <c r="W1919" i="17"/>
  <c r="AA1918" i="17"/>
  <c r="W1918" i="17"/>
  <c r="AA1917" i="17"/>
  <c r="W1917" i="17"/>
  <c r="AA1916" i="17"/>
  <c r="W1916" i="17"/>
  <c r="AA1915" i="17"/>
  <c r="W1915" i="17"/>
  <c r="AA1914" i="17"/>
  <c r="W1914" i="17"/>
  <c r="AA1913" i="17"/>
  <c r="W1913" i="17"/>
  <c r="AA1912" i="17"/>
  <c r="W1912" i="17"/>
  <c r="AA1911" i="17"/>
  <c r="W1911" i="17"/>
  <c r="AA1910" i="17"/>
  <c r="W1910" i="17"/>
  <c r="AA1909" i="17"/>
  <c r="W1909" i="17"/>
  <c r="AA1908" i="17"/>
  <c r="W1908" i="17"/>
  <c r="AA1907" i="17"/>
  <c r="W1907" i="17"/>
  <c r="AA1906" i="17"/>
  <c r="W1906" i="17"/>
  <c r="AA1905" i="17"/>
  <c r="W1905" i="17"/>
  <c r="AA1904" i="17"/>
  <c r="W1904" i="17"/>
  <c r="AA1903" i="17"/>
  <c r="W1903" i="17"/>
  <c r="AA1902" i="17"/>
  <c r="W1902" i="17"/>
  <c r="AA1901" i="17"/>
  <c r="W1901" i="17"/>
  <c r="AA1900" i="17"/>
  <c r="W1900" i="17"/>
  <c r="AA1899" i="17"/>
  <c r="W1899" i="17"/>
  <c r="AA1898" i="17"/>
  <c r="W1898" i="17"/>
  <c r="AA1897" i="17"/>
  <c r="W1897" i="17"/>
  <c r="AA1896" i="17"/>
  <c r="W1896" i="17"/>
  <c r="AA1895" i="17"/>
  <c r="W1895" i="17"/>
  <c r="AA1894" i="17"/>
  <c r="W1894" i="17"/>
  <c r="AA1893" i="17"/>
  <c r="W1893" i="17"/>
  <c r="AA1892" i="17"/>
  <c r="W1892" i="17"/>
  <c r="AA1891" i="17"/>
  <c r="W1891" i="17"/>
  <c r="AA1890" i="17"/>
  <c r="W1890" i="17"/>
  <c r="AA1889" i="17"/>
  <c r="W1889" i="17"/>
  <c r="AA1888" i="17"/>
  <c r="W1888" i="17"/>
  <c r="AA1887" i="17"/>
  <c r="W1887" i="17"/>
  <c r="AA1886" i="17"/>
  <c r="W1886" i="17"/>
  <c r="AA1885" i="17"/>
  <c r="W1885" i="17"/>
  <c r="AA1884" i="17"/>
  <c r="W1884" i="17"/>
  <c r="AA1883" i="17"/>
  <c r="W1883" i="17"/>
  <c r="AA1882" i="17"/>
  <c r="W1882" i="17"/>
  <c r="AA1881" i="17"/>
  <c r="W1881" i="17"/>
  <c r="AA1880" i="17"/>
  <c r="W1880" i="17"/>
  <c r="AA1879" i="17"/>
  <c r="W1879" i="17"/>
  <c r="AA1878" i="17"/>
  <c r="W1878" i="17"/>
  <c r="AA1877" i="17"/>
  <c r="W1877" i="17"/>
  <c r="AA1876" i="17"/>
  <c r="W1876" i="17"/>
  <c r="AA1875" i="17"/>
  <c r="W1875" i="17"/>
  <c r="AA1874" i="17"/>
  <c r="W1874" i="17"/>
  <c r="AA1873" i="17"/>
  <c r="W1873" i="17"/>
  <c r="AA1872" i="17"/>
  <c r="W1872" i="17"/>
  <c r="AA1871" i="17"/>
  <c r="W1871" i="17"/>
  <c r="AA1870" i="17"/>
  <c r="W1870" i="17"/>
  <c r="AA1869" i="17"/>
  <c r="W1869" i="17"/>
  <c r="AA1868" i="17"/>
  <c r="W1868" i="17"/>
  <c r="AA1867" i="17"/>
  <c r="W1867" i="17"/>
  <c r="AA1866" i="17"/>
  <c r="W1866" i="17"/>
  <c r="AA1865" i="17"/>
  <c r="W1865" i="17"/>
  <c r="AA1864" i="17"/>
  <c r="W1864" i="17"/>
  <c r="AA1863" i="17"/>
  <c r="W1863" i="17"/>
  <c r="AA1862" i="17"/>
  <c r="W1862" i="17"/>
  <c r="AA1861" i="17"/>
  <c r="W1861" i="17"/>
  <c r="AA1860" i="17"/>
  <c r="W1860" i="17"/>
  <c r="AA1859" i="17"/>
  <c r="W1859" i="17"/>
  <c r="AA1858" i="17"/>
  <c r="W1858" i="17"/>
  <c r="AA1857" i="17"/>
  <c r="W1857" i="17"/>
  <c r="AA1856" i="17"/>
  <c r="W1856" i="17"/>
  <c r="AA1855" i="17"/>
  <c r="W1855" i="17"/>
  <c r="AA1854" i="17"/>
  <c r="W1854" i="17"/>
  <c r="AA1853" i="17"/>
  <c r="W1853" i="17"/>
  <c r="AA1852" i="17"/>
  <c r="W1852" i="17"/>
  <c r="AA1851" i="17"/>
  <c r="W1851" i="17"/>
  <c r="AA1850" i="17"/>
  <c r="W1850" i="17"/>
  <c r="AA1849" i="17"/>
  <c r="W1849" i="17"/>
  <c r="AA1848" i="17"/>
  <c r="W1848" i="17"/>
  <c r="AA1847" i="17"/>
  <c r="W1847" i="17"/>
  <c r="AA1846" i="17"/>
  <c r="W1846" i="17"/>
  <c r="AA1845" i="17"/>
  <c r="W1845" i="17"/>
  <c r="AA1844" i="17"/>
  <c r="W1844" i="17"/>
  <c r="AA1843" i="17"/>
  <c r="W1843" i="17"/>
  <c r="AA1842" i="17"/>
  <c r="W1842" i="17"/>
  <c r="AA1841" i="17"/>
  <c r="W1841" i="17"/>
  <c r="AA1840" i="17"/>
  <c r="W1840" i="17"/>
  <c r="AA1839" i="17"/>
  <c r="W1839" i="17"/>
  <c r="AA1838" i="17"/>
  <c r="W1838" i="17"/>
  <c r="AA1837" i="17"/>
  <c r="W1837" i="17"/>
  <c r="AA1836" i="17"/>
  <c r="W1836" i="17"/>
  <c r="AA1835" i="17"/>
  <c r="W1835" i="17"/>
  <c r="AA1834" i="17"/>
  <c r="W1834" i="17"/>
  <c r="AA1833" i="17"/>
  <c r="W1833" i="17"/>
  <c r="AA1832" i="17"/>
  <c r="W1832" i="17"/>
  <c r="AA1831" i="17"/>
  <c r="W1831" i="17"/>
  <c r="AA1830" i="17"/>
  <c r="W1830" i="17"/>
  <c r="AA1829" i="17"/>
  <c r="W1829" i="17"/>
  <c r="AA1828" i="17"/>
  <c r="W1828" i="17"/>
  <c r="AA1827" i="17"/>
  <c r="W1827" i="17"/>
  <c r="AA1826" i="17"/>
  <c r="W1826" i="17"/>
  <c r="AA1825" i="17"/>
  <c r="W1825" i="17"/>
  <c r="AA1824" i="17"/>
  <c r="W1824" i="17"/>
  <c r="AA1823" i="17"/>
  <c r="W1823" i="17"/>
  <c r="AA1822" i="17"/>
  <c r="W1822" i="17"/>
  <c r="AA1821" i="17"/>
  <c r="W1821" i="17"/>
  <c r="AA1820" i="17"/>
  <c r="W1820" i="17"/>
  <c r="AA1819" i="17"/>
  <c r="W1819" i="17"/>
  <c r="AA1818" i="17"/>
  <c r="W1818" i="17"/>
  <c r="AA1817" i="17"/>
  <c r="W1817" i="17"/>
  <c r="AA1816" i="17"/>
  <c r="W1816" i="17"/>
  <c r="AA1815" i="17"/>
  <c r="W1815" i="17"/>
  <c r="AA1814" i="17"/>
  <c r="W1814" i="17"/>
  <c r="AA1813" i="17"/>
  <c r="W1813" i="17"/>
  <c r="AA1812" i="17"/>
  <c r="W1812" i="17"/>
  <c r="AA1811" i="17"/>
  <c r="W1811" i="17"/>
  <c r="AA1810" i="17"/>
  <c r="W1810" i="17"/>
  <c r="AA1809" i="17"/>
  <c r="W1809" i="17"/>
  <c r="AA1808" i="17"/>
  <c r="W1808" i="17"/>
  <c r="AA1807" i="17"/>
  <c r="W1807" i="17"/>
  <c r="AA1806" i="17"/>
  <c r="W1806" i="17"/>
  <c r="AA1805" i="17"/>
  <c r="W1805" i="17"/>
  <c r="AA1804" i="17"/>
  <c r="W1804" i="17"/>
  <c r="AA1803" i="17"/>
  <c r="W1803" i="17"/>
  <c r="AA1802" i="17"/>
  <c r="W1802" i="17"/>
  <c r="AA1801" i="17"/>
  <c r="W1801" i="17"/>
  <c r="AA1800" i="17"/>
  <c r="W1800" i="17"/>
  <c r="AA1799" i="17"/>
  <c r="W1799" i="17"/>
  <c r="AA1798" i="17"/>
  <c r="W1798" i="17"/>
  <c r="AA1797" i="17"/>
  <c r="W1797" i="17"/>
  <c r="AA1796" i="17"/>
  <c r="W1796" i="17"/>
  <c r="AA1795" i="17"/>
  <c r="W1795" i="17"/>
  <c r="AA1794" i="17"/>
  <c r="W1794" i="17"/>
  <c r="AA1793" i="17"/>
  <c r="W1793" i="17"/>
  <c r="AA1792" i="17"/>
  <c r="W1792" i="17"/>
  <c r="AA1791" i="17"/>
  <c r="W1791" i="17"/>
  <c r="AA1790" i="17"/>
  <c r="W1790" i="17"/>
  <c r="AA1789" i="17"/>
  <c r="W1789" i="17"/>
  <c r="AA1788" i="17"/>
  <c r="W1788" i="17"/>
  <c r="AA1787" i="17"/>
  <c r="W1787" i="17"/>
  <c r="AA1786" i="17"/>
  <c r="W1786" i="17"/>
  <c r="AA1785" i="17"/>
  <c r="W1785" i="17"/>
  <c r="AA1784" i="17"/>
  <c r="W1784" i="17"/>
  <c r="AA1783" i="17"/>
  <c r="W1783" i="17"/>
  <c r="AA1782" i="17"/>
  <c r="W1782" i="17"/>
  <c r="AA1781" i="17"/>
  <c r="W1781" i="17"/>
  <c r="AA1780" i="17"/>
  <c r="W1780" i="17"/>
  <c r="AA1779" i="17"/>
  <c r="W1779" i="17"/>
  <c r="AA1778" i="17"/>
  <c r="W1778" i="17"/>
  <c r="AA1777" i="17"/>
  <c r="W1777" i="17"/>
  <c r="AA1776" i="17"/>
  <c r="W1776" i="17"/>
  <c r="AA1775" i="17"/>
  <c r="W1775" i="17"/>
  <c r="AA1774" i="17"/>
  <c r="W1774" i="17"/>
  <c r="AA1773" i="17"/>
  <c r="W1773" i="17"/>
  <c r="AA1772" i="17"/>
  <c r="W1772" i="17"/>
  <c r="AA1771" i="17"/>
  <c r="W1771" i="17"/>
  <c r="AA1770" i="17"/>
  <c r="W1770" i="17"/>
  <c r="AA1769" i="17"/>
  <c r="W1769" i="17"/>
  <c r="AA1768" i="17"/>
  <c r="W1768" i="17"/>
  <c r="AA1767" i="17"/>
  <c r="W1767" i="17"/>
  <c r="AA1766" i="17"/>
  <c r="W1766" i="17"/>
  <c r="AA1765" i="17"/>
  <c r="W1765" i="17"/>
  <c r="AA1764" i="17"/>
  <c r="W1764" i="17"/>
  <c r="AA1763" i="17"/>
  <c r="W1763" i="17"/>
  <c r="AA1762" i="17"/>
  <c r="W1762" i="17"/>
  <c r="AA1761" i="17"/>
  <c r="W1761" i="17"/>
  <c r="AA1760" i="17"/>
  <c r="W1760" i="17"/>
  <c r="AA1759" i="17"/>
  <c r="W1759" i="17"/>
  <c r="AA1758" i="17"/>
  <c r="W1758" i="17"/>
  <c r="AA1757" i="17"/>
  <c r="W1757" i="17"/>
  <c r="AA1756" i="17"/>
  <c r="W1756" i="17"/>
  <c r="AA1755" i="17"/>
  <c r="W1755" i="17"/>
  <c r="AA1754" i="17"/>
  <c r="W1754" i="17"/>
  <c r="AA1753" i="17"/>
  <c r="W1753" i="17"/>
  <c r="AA1752" i="17"/>
  <c r="W1752" i="17"/>
  <c r="AA1751" i="17"/>
  <c r="W1751" i="17"/>
  <c r="AA1750" i="17"/>
  <c r="W1750" i="17"/>
  <c r="AA1749" i="17"/>
  <c r="W1749" i="17"/>
  <c r="AA1748" i="17"/>
  <c r="W1748" i="17"/>
  <c r="AA1747" i="17"/>
  <c r="W1747" i="17"/>
  <c r="AA1746" i="17"/>
  <c r="W1746" i="17"/>
  <c r="AA1745" i="17"/>
  <c r="W1745" i="17"/>
  <c r="AA1744" i="17"/>
  <c r="W1744" i="17"/>
  <c r="AA1743" i="17"/>
  <c r="W1743" i="17"/>
  <c r="AA1742" i="17"/>
  <c r="W1742" i="17"/>
  <c r="AA1741" i="17"/>
  <c r="W1741" i="17"/>
  <c r="AA1740" i="17"/>
  <c r="W1740" i="17"/>
  <c r="AA1739" i="17"/>
  <c r="W1739" i="17"/>
  <c r="AA1738" i="17"/>
  <c r="W1738" i="17"/>
  <c r="AA1737" i="17"/>
  <c r="W1737" i="17"/>
  <c r="AA1736" i="17"/>
  <c r="W1736" i="17"/>
  <c r="AA1735" i="17"/>
  <c r="W1735" i="17"/>
  <c r="AA1734" i="17"/>
  <c r="W1734" i="17"/>
  <c r="AA1733" i="17"/>
  <c r="W1733" i="17"/>
  <c r="AA1732" i="17"/>
  <c r="W1732" i="17"/>
  <c r="AA1731" i="17"/>
  <c r="W1731" i="17"/>
  <c r="AA1730" i="17"/>
  <c r="W1730" i="17"/>
  <c r="AA1729" i="17"/>
  <c r="W1729" i="17"/>
  <c r="AA1728" i="17"/>
  <c r="W1728" i="17"/>
  <c r="AA1727" i="17"/>
  <c r="W1727" i="17"/>
  <c r="AA1726" i="17"/>
  <c r="W1726" i="17"/>
  <c r="AA1725" i="17"/>
  <c r="W1725" i="17"/>
  <c r="AA1724" i="17"/>
  <c r="W1724" i="17"/>
  <c r="AA1723" i="17"/>
  <c r="W1723" i="17"/>
  <c r="AA1722" i="17"/>
  <c r="W1722" i="17"/>
  <c r="AA1721" i="17"/>
  <c r="W1721" i="17"/>
  <c r="AA1720" i="17"/>
  <c r="W1720" i="17"/>
  <c r="AA1719" i="17"/>
  <c r="W1719" i="17"/>
  <c r="AA1718" i="17"/>
  <c r="W1718" i="17"/>
  <c r="AA1717" i="17"/>
  <c r="W1717" i="17"/>
  <c r="AA1716" i="17"/>
  <c r="W1716" i="17"/>
  <c r="AA1715" i="17"/>
  <c r="W1715" i="17"/>
  <c r="AA1714" i="17"/>
  <c r="W1714" i="17"/>
  <c r="AA1713" i="17"/>
  <c r="W1713" i="17"/>
  <c r="AA1712" i="17"/>
  <c r="W1712" i="17"/>
  <c r="AA1711" i="17"/>
  <c r="W1711" i="17"/>
  <c r="AA1710" i="17"/>
  <c r="W1710" i="17"/>
  <c r="AA1709" i="17"/>
  <c r="W1709" i="17"/>
  <c r="AA1708" i="17"/>
  <c r="W1708" i="17"/>
  <c r="AA1707" i="17"/>
  <c r="W1707" i="17"/>
  <c r="AA1706" i="17"/>
  <c r="W1706" i="17"/>
  <c r="AA1705" i="17"/>
  <c r="W1705" i="17"/>
  <c r="AA1704" i="17"/>
  <c r="W1704" i="17"/>
  <c r="AA1703" i="17"/>
  <c r="W1703" i="17"/>
  <c r="AA1702" i="17"/>
  <c r="W1702" i="17"/>
  <c r="AA1701" i="17"/>
  <c r="W1701" i="17"/>
  <c r="AA1700" i="17"/>
  <c r="W1700" i="17"/>
  <c r="AA1699" i="17"/>
  <c r="W1699" i="17"/>
  <c r="AA1698" i="17"/>
  <c r="W1698" i="17"/>
  <c r="AA1697" i="17"/>
  <c r="W1697" i="17"/>
  <c r="AA1696" i="17"/>
  <c r="W1696" i="17"/>
  <c r="AA1695" i="17"/>
  <c r="W1695" i="17"/>
  <c r="AA1694" i="17"/>
  <c r="W1694" i="17"/>
  <c r="AA1693" i="17"/>
  <c r="W1693" i="17"/>
  <c r="AA1692" i="17"/>
  <c r="W1692" i="17"/>
  <c r="AA1691" i="17"/>
  <c r="W1691" i="17"/>
  <c r="AA1690" i="17"/>
  <c r="W1690" i="17"/>
  <c r="AA1689" i="17"/>
  <c r="W1689" i="17"/>
  <c r="AA1688" i="17"/>
  <c r="W1688" i="17"/>
  <c r="AA1687" i="17"/>
  <c r="W1687" i="17"/>
  <c r="AA1686" i="17"/>
  <c r="W1686" i="17"/>
  <c r="AA1685" i="17"/>
  <c r="W1685" i="17"/>
  <c r="AA1684" i="17"/>
  <c r="W1684" i="17"/>
  <c r="AA1683" i="17"/>
  <c r="W1683" i="17"/>
  <c r="AA1682" i="17"/>
  <c r="W1682" i="17"/>
  <c r="AA1681" i="17"/>
  <c r="W1681" i="17"/>
  <c r="AA1680" i="17"/>
  <c r="W1680" i="17"/>
  <c r="AA1679" i="17"/>
  <c r="W1679" i="17"/>
  <c r="AA1678" i="17"/>
  <c r="W1678" i="17"/>
  <c r="AA1677" i="17"/>
  <c r="W1677" i="17"/>
  <c r="AA1676" i="17"/>
  <c r="W1676" i="17"/>
  <c r="AA1675" i="17"/>
  <c r="W1675" i="17"/>
  <c r="AA1674" i="17"/>
  <c r="W1674" i="17"/>
  <c r="AA1673" i="17"/>
  <c r="W1673" i="17"/>
  <c r="AA1672" i="17"/>
  <c r="W1672" i="17"/>
  <c r="AA1671" i="17"/>
  <c r="W1671" i="17"/>
  <c r="AA1670" i="17"/>
  <c r="W1670" i="17"/>
  <c r="AA1669" i="17"/>
  <c r="W1669" i="17"/>
  <c r="AA1668" i="17"/>
  <c r="W1668" i="17"/>
  <c r="AA1667" i="17"/>
  <c r="W1667" i="17"/>
  <c r="AA1666" i="17"/>
  <c r="W1666" i="17"/>
  <c r="AA1665" i="17"/>
  <c r="W1665" i="17"/>
  <c r="AA1664" i="17"/>
  <c r="W1664" i="17"/>
  <c r="AA1663" i="17"/>
  <c r="W1663" i="17"/>
  <c r="AA1662" i="17"/>
  <c r="W1662" i="17"/>
  <c r="AA1661" i="17"/>
  <c r="W1661" i="17"/>
  <c r="AA1660" i="17"/>
  <c r="W1660" i="17"/>
  <c r="AA1659" i="17"/>
  <c r="W1659" i="17"/>
  <c r="AA1658" i="17"/>
  <c r="W1658" i="17"/>
  <c r="AA1657" i="17"/>
  <c r="W1657" i="17"/>
  <c r="AA1656" i="17"/>
  <c r="W1656" i="17"/>
  <c r="AA1655" i="17"/>
  <c r="W1655" i="17"/>
  <c r="AA1654" i="17"/>
  <c r="W1654" i="17"/>
  <c r="AA1653" i="17"/>
  <c r="W1653" i="17"/>
  <c r="AA1652" i="17"/>
  <c r="W1652" i="17"/>
  <c r="AA1651" i="17"/>
  <c r="W1651" i="17"/>
  <c r="AA1650" i="17"/>
  <c r="W1650" i="17"/>
  <c r="AA1649" i="17"/>
  <c r="W1649" i="17"/>
  <c r="AA1648" i="17"/>
  <c r="W1648" i="17"/>
  <c r="AA1647" i="17"/>
  <c r="W1647" i="17"/>
  <c r="AA1646" i="17"/>
  <c r="W1646" i="17"/>
  <c r="AA1645" i="17"/>
  <c r="W1645" i="17"/>
  <c r="AA1644" i="17"/>
  <c r="W1644" i="17"/>
  <c r="AA1643" i="17"/>
  <c r="W1643" i="17"/>
  <c r="AA1642" i="17"/>
  <c r="W1642" i="17"/>
  <c r="AA1641" i="17"/>
  <c r="W1641" i="17"/>
  <c r="AA1640" i="17"/>
  <c r="W1640" i="17"/>
  <c r="AA1639" i="17"/>
  <c r="W1639" i="17"/>
  <c r="AA1638" i="17"/>
  <c r="W1638" i="17"/>
  <c r="AA1637" i="17"/>
  <c r="W1637" i="17"/>
  <c r="AA1636" i="17"/>
  <c r="W1636" i="17"/>
  <c r="AA1635" i="17"/>
  <c r="W1635" i="17"/>
  <c r="AA1634" i="17"/>
  <c r="W1634" i="17"/>
  <c r="AA1633" i="17"/>
  <c r="W1633" i="17"/>
  <c r="AA1632" i="17"/>
  <c r="W1632" i="17"/>
  <c r="AA1631" i="17"/>
  <c r="W1631" i="17"/>
  <c r="AA1630" i="17"/>
  <c r="W1630" i="17"/>
  <c r="AA1629" i="17"/>
  <c r="W1629" i="17"/>
  <c r="AA1628" i="17"/>
  <c r="W1628" i="17"/>
  <c r="AA1627" i="17"/>
  <c r="W1627" i="17"/>
  <c r="AA1626" i="17"/>
  <c r="W1626" i="17"/>
  <c r="AA1625" i="17"/>
  <c r="W1625" i="17"/>
  <c r="AA1624" i="17"/>
  <c r="W1624" i="17"/>
  <c r="AA1623" i="17"/>
  <c r="W1623" i="17"/>
  <c r="AA1622" i="17"/>
  <c r="W1622" i="17"/>
  <c r="AA1621" i="17"/>
  <c r="W1621" i="17"/>
  <c r="AA1620" i="17"/>
  <c r="W1620" i="17"/>
  <c r="AA1619" i="17"/>
  <c r="W1619" i="17"/>
  <c r="AA1618" i="17"/>
  <c r="W1618" i="17"/>
  <c r="AA1617" i="17"/>
  <c r="W1617" i="17"/>
  <c r="AA1616" i="17"/>
  <c r="W1616" i="17"/>
  <c r="AA1615" i="17"/>
  <c r="W1615" i="17"/>
  <c r="AA1614" i="17"/>
  <c r="W1614" i="17"/>
  <c r="AA1613" i="17"/>
  <c r="W1613" i="17"/>
  <c r="AA1612" i="17"/>
  <c r="W1612" i="17"/>
  <c r="AA1611" i="17"/>
  <c r="W1611" i="17"/>
  <c r="AA1610" i="17"/>
  <c r="W1610" i="17"/>
  <c r="AA1609" i="17"/>
  <c r="W1609" i="17"/>
  <c r="AA1608" i="17"/>
  <c r="W1608" i="17"/>
  <c r="AA1607" i="17"/>
  <c r="W1607" i="17"/>
  <c r="AA1606" i="17"/>
  <c r="W1606" i="17"/>
  <c r="AA1605" i="17"/>
  <c r="W1605" i="17"/>
  <c r="AA1604" i="17"/>
  <c r="W1604" i="17"/>
  <c r="AA1603" i="17"/>
  <c r="W1603" i="17"/>
  <c r="AA1602" i="17"/>
  <c r="W1602" i="17"/>
  <c r="AA1601" i="17"/>
  <c r="W1601" i="17"/>
  <c r="AA1600" i="17"/>
  <c r="W1600" i="17"/>
  <c r="AA1599" i="17"/>
  <c r="W1599" i="17"/>
  <c r="AA1598" i="17"/>
  <c r="W1598" i="17"/>
  <c r="AA1597" i="17"/>
  <c r="W1597" i="17"/>
  <c r="AA1596" i="17"/>
  <c r="W1596" i="17"/>
  <c r="AA1595" i="17"/>
  <c r="W1595" i="17"/>
  <c r="AA1594" i="17"/>
  <c r="W1594" i="17"/>
  <c r="AA1593" i="17"/>
  <c r="W1593" i="17"/>
  <c r="AA1592" i="17"/>
  <c r="W1592" i="17"/>
  <c r="AA1591" i="17"/>
  <c r="W1591" i="17"/>
  <c r="AA1590" i="17"/>
  <c r="W1590" i="17"/>
  <c r="AA1589" i="17"/>
  <c r="W1589" i="17"/>
  <c r="AA1588" i="17"/>
  <c r="W1588" i="17"/>
  <c r="AA1587" i="17"/>
  <c r="W1587" i="17"/>
  <c r="AA1586" i="17"/>
  <c r="W1586" i="17"/>
  <c r="AA1585" i="17"/>
  <c r="W1585" i="17"/>
  <c r="AA1584" i="17"/>
  <c r="W1584" i="17"/>
  <c r="AA1583" i="17"/>
  <c r="W1583" i="17"/>
  <c r="AA1582" i="17"/>
  <c r="W1582" i="17"/>
  <c r="AA1581" i="17"/>
  <c r="W1581" i="17"/>
  <c r="AA1580" i="17"/>
  <c r="W1580" i="17"/>
  <c r="AA1579" i="17"/>
  <c r="W1579" i="17"/>
  <c r="AA1578" i="17"/>
  <c r="W1578" i="17"/>
  <c r="AA1577" i="17"/>
  <c r="W1577" i="17"/>
  <c r="AA1576" i="17"/>
  <c r="W1576" i="17"/>
  <c r="AA1575" i="17"/>
  <c r="W1575" i="17"/>
  <c r="AA1574" i="17"/>
  <c r="W1574" i="17"/>
  <c r="AA1573" i="17"/>
  <c r="W1573" i="17"/>
  <c r="AA1572" i="17"/>
  <c r="W1572" i="17"/>
  <c r="AA1571" i="17"/>
  <c r="W1571" i="17"/>
  <c r="AA1570" i="17"/>
  <c r="W1570" i="17"/>
  <c r="AA1569" i="17"/>
  <c r="W1569" i="17"/>
  <c r="AA1568" i="17"/>
  <c r="W1568" i="17"/>
  <c r="AA1567" i="17"/>
  <c r="W1567" i="17"/>
  <c r="AA1566" i="17"/>
  <c r="W1566" i="17"/>
  <c r="AA1565" i="17"/>
  <c r="W1565" i="17"/>
  <c r="AA1564" i="17"/>
  <c r="W1564" i="17"/>
  <c r="AA1563" i="17"/>
  <c r="W1563" i="17"/>
  <c r="AA1562" i="17"/>
  <c r="W1562" i="17"/>
  <c r="AA1561" i="17"/>
  <c r="W1561" i="17"/>
  <c r="AA1560" i="17"/>
  <c r="W1560" i="17"/>
  <c r="AA1559" i="17"/>
  <c r="W1559" i="17"/>
  <c r="AA1558" i="17"/>
  <c r="W1558" i="17"/>
  <c r="AA1557" i="17"/>
  <c r="W1557" i="17"/>
  <c r="AA1556" i="17"/>
  <c r="W1556" i="17"/>
  <c r="AA1555" i="17"/>
  <c r="W1555" i="17"/>
  <c r="AA1554" i="17"/>
  <c r="W1554" i="17"/>
  <c r="AA1553" i="17"/>
  <c r="W1553" i="17"/>
  <c r="AA1552" i="17"/>
  <c r="W1552" i="17"/>
  <c r="AA1551" i="17"/>
  <c r="W1551" i="17"/>
  <c r="AA1550" i="17"/>
  <c r="W1550" i="17"/>
  <c r="AA1549" i="17"/>
  <c r="W1549" i="17"/>
  <c r="AA1548" i="17"/>
  <c r="W1548" i="17"/>
  <c r="AA1547" i="17"/>
  <c r="W1547" i="17"/>
  <c r="AA1546" i="17"/>
  <c r="W1546" i="17"/>
  <c r="AA1545" i="17"/>
  <c r="W1545" i="17"/>
  <c r="AA1544" i="17"/>
  <c r="W1544" i="17"/>
  <c r="AA1543" i="17"/>
  <c r="W1543" i="17"/>
  <c r="AA1542" i="17"/>
  <c r="W1542" i="17"/>
  <c r="AA1541" i="17"/>
  <c r="W1541" i="17"/>
  <c r="AA1540" i="17"/>
  <c r="W1540" i="17"/>
  <c r="AA1539" i="17"/>
  <c r="W1539" i="17"/>
  <c r="AA1538" i="17"/>
  <c r="W1538" i="17"/>
  <c r="AA1537" i="17"/>
  <c r="W1537" i="17"/>
  <c r="AA1536" i="17"/>
  <c r="W1536" i="17"/>
  <c r="AA1535" i="17"/>
  <c r="W1535" i="17"/>
  <c r="AA1534" i="17"/>
  <c r="W1534" i="17"/>
  <c r="AA1533" i="17"/>
  <c r="W1533" i="17"/>
  <c r="AA1532" i="17"/>
  <c r="W1532" i="17"/>
  <c r="AA1531" i="17"/>
  <c r="W1531" i="17"/>
  <c r="AA1530" i="17"/>
  <c r="W1530" i="17"/>
  <c r="AA1529" i="17"/>
  <c r="W1529" i="17"/>
  <c r="AA1528" i="17"/>
  <c r="W1528" i="17"/>
  <c r="AA1527" i="17"/>
  <c r="W1527" i="17"/>
  <c r="AA1526" i="17"/>
  <c r="W1526" i="17"/>
  <c r="AA1525" i="17"/>
  <c r="W1525" i="17"/>
  <c r="AA1524" i="17"/>
  <c r="W1524" i="17"/>
  <c r="AA1523" i="17"/>
  <c r="W1523" i="17"/>
  <c r="AA1522" i="17"/>
  <c r="W1522" i="17"/>
  <c r="AA1521" i="17"/>
  <c r="W1521" i="17"/>
  <c r="AA1520" i="17"/>
  <c r="W1520" i="17"/>
  <c r="AA1519" i="17"/>
  <c r="W1519" i="17"/>
  <c r="AA1518" i="17"/>
  <c r="W1518" i="17"/>
  <c r="AA1517" i="17"/>
  <c r="W1517" i="17"/>
  <c r="AA1516" i="17"/>
  <c r="W1516" i="17"/>
  <c r="AA1515" i="17"/>
  <c r="W1515" i="17"/>
  <c r="AA1514" i="17"/>
  <c r="W1514" i="17"/>
  <c r="AA1513" i="17"/>
  <c r="W1513" i="17"/>
  <c r="AA1512" i="17"/>
  <c r="W1512" i="17"/>
  <c r="AA1511" i="17"/>
  <c r="W1511" i="17"/>
  <c r="AA1510" i="17"/>
  <c r="W1510" i="17"/>
  <c r="AA1509" i="17"/>
  <c r="W1509" i="17"/>
  <c r="AA1508" i="17"/>
  <c r="W1508" i="17"/>
  <c r="AA1507" i="17"/>
  <c r="W1507" i="17"/>
  <c r="AA1506" i="17"/>
  <c r="W1506" i="17"/>
  <c r="AA1505" i="17"/>
  <c r="W1505" i="17"/>
  <c r="AA1504" i="17"/>
  <c r="W1504" i="17"/>
  <c r="AA1503" i="17"/>
  <c r="W1503" i="17"/>
  <c r="AA1502" i="17"/>
  <c r="W1502" i="17"/>
  <c r="AA1501" i="17"/>
  <c r="W1501" i="17"/>
  <c r="AA1500" i="17"/>
  <c r="W1500" i="17"/>
  <c r="AA1499" i="17"/>
  <c r="W1499" i="17"/>
  <c r="AA1498" i="17"/>
  <c r="W1498" i="17"/>
  <c r="AA1497" i="17"/>
  <c r="W1497" i="17"/>
  <c r="AA1496" i="17"/>
  <c r="W1496" i="17"/>
  <c r="AA1495" i="17"/>
  <c r="W1495" i="17"/>
  <c r="AA1494" i="17"/>
  <c r="W1494" i="17"/>
  <c r="AA1493" i="17"/>
  <c r="W1493" i="17"/>
  <c r="AA1492" i="17"/>
  <c r="W1492" i="17"/>
  <c r="AA1491" i="17"/>
  <c r="W1491" i="17"/>
  <c r="AA1490" i="17"/>
  <c r="W1490" i="17"/>
  <c r="AA1489" i="17"/>
  <c r="W1489" i="17"/>
  <c r="AA1488" i="17"/>
  <c r="W1488" i="17"/>
  <c r="AA1487" i="17"/>
  <c r="W1487" i="17"/>
  <c r="AA1486" i="17"/>
  <c r="W1486" i="17"/>
  <c r="AA1485" i="17"/>
  <c r="W1485" i="17"/>
  <c r="AA1484" i="17"/>
  <c r="W1484" i="17"/>
  <c r="AA1483" i="17"/>
  <c r="W1483" i="17"/>
  <c r="AA1482" i="17"/>
  <c r="W1482" i="17"/>
  <c r="AA1481" i="17"/>
  <c r="W1481" i="17"/>
  <c r="AA1480" i="17"/>
  <c r="W1480" i="17"/>
  <c r="AA1479" i="17"/>
  <c r="W1479" i="17"/>
  <c r="AA1478" i="17"/>
  <c r="W1478" i="17"/>
  <c r="AA1477" i="17"/>
  <c r="W1477" i="17"/>
  <c r="AA1476" i="17"/>
  <c r="W1476" i="17"/>
  <c r="AA1475" i="17"/>
  <c r="W1475" i="17"/>
  <c r="AA1474" i="17"/>
  <c r="W1474" i="17"/>
  <c r="AA1473" i="17"/>
  <c r="W1473" i="17"/>
  <c r="AA1472" i="17"/>
  <c r="W1472" i="17"/>
  <c r="AA1471" i="17"/>
  <c r="W1471" i="17"/>
  <c r="AA1470" i="17"/>
  <c r="W1470" i="17"/>
  <c r="AA1469" i="17"/>
  <c r="W1469" i="17"/>
  <c r="AA1468" i="17"/>
  <c r="W1468" i="17"/>
  <c r="AA1467" i="17"/>
  <c r="W1467" i="17"/>
  <c r="AA1466" i="17"/>
  <c r="W1466" i="17"/>
  <c r="AA1465" i="17"/>
  <c r="W1465" i="17"/>
  <c r="AA1464" i="17"/>
  <c r="W1464" i="17"/>
  <c r="AA1463" i="17"/>
  <c r="W1463" i="17"/>
  <c r="AA1462" i="17"/>
  <c r="W1462" i="17"/>
  <c r="AA1461" i="17"/>
  <c r="W1461" i="17"/>
  <c r="AA1460" i="17"/>
  <c r="W1460" i="17"/>
  <c r="AA1459" i="17"/>
  <c r="W1459" i="17"/>
  <c r="AA1458" i="17"/>
  <c r="W1458" i="17"/>
  <c r="AA1457" i="17"/>
  <c r="W1457" i="17"/>
  <c r="AA1456" i="17"/>
  <c r="W1456" i="17"/>
  <c r="AA1455" i="17"/>
  <c r="W1455" i="17"/>
  <c r="AA1454" i="17"/>
  <c r="W1454" i="17"/>
  <c r="AA1453" i="17"/>
  <c r="W1453" i="17"/>
  <c r="AA1452" i="17"/>
  <c r="W1452" i="17"/>
  <c r="AA1451" i="17"/>
  <c r="W1451" i="17"/>
  <c r="AA1450" i="17"/>
  <c r="W1450" i="17"/>
  <c r="AA1449" i="17"/>
  <c r="W1449" i="17"/>
  <c r="AA1448" i="17"/>
  <c r="W1448" i="17"/>
  <c r="AA1447" i="17"/>
  <c r="W1447" i="17"/>
  <c r="AA1446" i="17"/>
  <c r="W1446" i="17"/>
  <c r="AA1445" i="17"/>
  <c r="W1445" i="17"/>
  <c r="AA1444" i="17"/>
  <c r="W1444" i="17"/>
  <c r="AA1443" i="17"/>
  <c r="W1443" i="17"/>
  <c r="AA1442" i="17"/>
  <c r="W1442" i="17"/>
  <c r="AA1441" i="17"/>
  <c r="W1441" i="17"/>
  <c r="AA1440" i="17"/>
  <c r="W1440" i="17"/>
  <c r="AA1439" i="17"/>
  <c r="W1439" i="17"/>
  <c r="AA1438" i="17"/>
  <c r="W1438" i="17"/>
  <c r="AA1437" i="17"/>
  <c r="W1437" i="17"/>
  <c r="AA1436" i="17"/>
  <c r="W1436" i="17"/>
  <c r="AA1435" i="17"/>
  <c r="W1435" i="17"/>
  <c r="AA1434" i="17"/>
  <c r="W1434" i="17"/>
  <c r="AA1433" i="17"/>
  <c r="W1433" i="17"/>
  <c r="AA1432" i="17"/>
  <c r="W1432" i="17"/>
  <c r="AA1431" i="17"/>
  <c r="W1431" i="17"/>
  <c r="AA1430" i="17"/>
  <c r="W1430" i="17"/>
  <c r="AA1429" i="17"/>
  <c r="W1429" i="17"/>
  <c r="AA1428" i="17"/>
  <c r="W1428" i="17"/>
  <c r="AA1427" i="17"/>
  <c r="W1427" i="17"/>
  <c r="AA1426" i="17"/>
  <c r="W1426" i="17"/>
  <c r="AA1425" i="17"/>
  <c r="W1425" i="17"/>
  <c r="AA1424" i="17"/>
  <c r="W1424" i="17"/>
  <c r="AA1423" i="17"/>
  <c r="W1423" i="17"/>
  <c r="AA1422" i="17"/>
  <c r="W1422" i="17"/>
  <c r="AA1421" i="17"/>
  <c r="W1421" i="17"/>
  <c r="AA1420" i="17"/>
  <c r="W1420" i="17"/>
  <c r="AA1419" i="17"/>
  <c r="W1419" i="17"/>
  <c r="AA1418" i="17"/>
  <c r="W1418" i="17"/>
  <c r="AA1417" i="17"/>
  <c r="W1417" i="17"/>
  <c r="AA1416" i="17"/>
  <c r="W1416" i="17"/>
  <c r="AA1415" i="17"/>
  <c r="W1415" i="17"/>
  <c r="AA1414" i="17"/>
  <c r="W1414" i="17"/>
  <c r="AA1413" i="17"/>
  <c r="W1413" i="17"/>
  <c r="AA1412" i="17"/>
  <c r="W1412" i="17"/>
  <c r="AA1411" i="17"/>
  <c r="W1411" i="17"/>
  <c r="AA1410" i="17"/>
  <c r="W1410" i="17"/>
  <c r="AA1409" i="17"/>
  <c r="W1409" i="17"/>
  <c r="AA1408" i="17"/>
  <c r="W1408" i="17"/>
  <c r="AA1407" i="17"/>
  <c r="W1407" i="17"/>
  <c r="AA1406" i="17"/>
  <c r="W1406" i="17"/>
  <c r="AA1405" i="17"/>
  <c r="W1405" i="17"/>
  <c r="AA1404" i="17"/>
  <c r="W1404" i="17"/>
  <c r="AA1403" i="17"/>
  <c r="W1403" i="17"/>
  <c r="AA1402" i="17"/>
  <c r="W1402" i="17"/>
  <c r="AA1401" i="17"/>
  <c r="W1401" i="17"/>
  <c r="AA1400" i="17"/>
  <c r="W1400" i="17"/>
  <c r="AA1399" i="17"/>
  <c r="W1399" i="17"/>
  <c r="AA1398" i="17"/>
  <c r="W1398" i="17"/>
  <c r="AA1397" i="17"/>
  <c r="W1397" i="17"/>
  <c r="AA1396" i="17"/>
  <c r="W1396" i="17"/>
  <c r="AA1395" i="17"/>
  <c r="W1395" i="17"/>
  <c r="AA1394" i="17"/>
  <c r="W1394" i="17"/>
  <c r="AA1393" i="17"/>
  <c r="W1393" i="17"/>
  <c r="AA1392" i="17"/>
  <c r="W1392" i="17"/>
  <c r="AA1391" i="17"/>
  <c r="W1391" i="17"/>
  <c r="AA1390" i="17"/>
  <c r="W1390" i="17"/>
  <c r="AA1389" i="17"/>
  <c r="W1389" i="17"/>
  <c r="AA1388" i="17"/>
  <c r="W1388" i="17"/>
  <c r="AA1387" i="17"/>
  <c r="W1387" i="17"/>
  <c r="AA1386" i="17"/>
  <c r="W1386" i="17"/>
  <c r="AA1385" i="17"/>
  <c r="W1385" i="17"/>
  <c r="AA1384" i="17"/>
  <c r="W1384" i="17"/>
  <c r="AA1383" i="17"/>
  <c r="W1383" i="17"/>
  <c r="AA1382" i="17"/>
  <c r="W1382" i="17"/>
  <c r="AA1381" i="17"/>
  <c r="W1381" i="17"/>
  <c r="AA1380" i="17"/>
  <c r="W1380" i="17"/>
  <c r="AA1379" i="17"/>
  <c r="W1379" i="17"/>
  <c r="AA1378" i="17"/>
  <c r="W1378" i="17"/>
  <c r="AA1377" i="17"/>
  <c r="W1377" i="17"/>
  <c r="AA1376" i="17"/>
  <c r="W1376" i="17"/>
  <c r="AA1375" i="17"/>
  <c r="W1375" i="17"/>
  <c r="AA1374" i="17"/>
  <c r="W1374" i="17"/>
  <c r="AA1373" i="17"/>
  <c r="W1373" i="17"/>
  <c r="AA1372" i="17"/>
  <c r="W1372" i="17"/>
  <c r="AA1371" i="17"/>
  <c r="W1371" i="17"/>
  <c r="AA1370" i="17"/>
  <c r="W1370" i="17"/>
  <c r="AA1369" i="17"/>
  <c r="W1369" i="17"/>
  <c r="AA1368" i="17"/>
  <c r="W1368" i="17"/>
  <c r="AA1367" i="17"/>
  <c r="W1367" i="17"/>
  <c r="AA1366" i="17"/>
  <c r="W1366" i="17"/>
  <c r="AA1365" i="17"/>
  <c r="W1365" i="17"/>
  <c r="AA1364" i="17"/>
  <c r="W1364" i="17"/>
  <c r="AA1363" i="17"/>
  <c r="W1363" i="17"/>
  <c r="AA1362" i="17"/>
  <c r="W1362" i="17"/>
  <c r="AA1361" i="17"/>
  <c r="W1361" i="17"/>
  <c r="AA1360" i="17"/>
  <c r="W1360" i="17"/>
  <c r="AA1359" i="17"/>
  <c r="W1359" i="17"/>
  <c r="AA1358" i="17"/>
  <c r="W1358" i="17"/>
  <c r="AA1357" i="17"/>
  <c r="W1357" i="17"/>
  <c r="AA1356" i="17"/>
  <c r="W1356" i="17"/>
  <c r="AA1355" i="17"/>
  <c r="W1355" i="17"/>
  <c r="AA1354" i="17"/>
  <c r="W1354" i="17"/>
  <c r="AA1353" i="17"/>
  <c r="W1353" i="17"/>
  <c r="AA1352" i="17"/>
  <c r="W1352" i="17"/>
  <c r="AA1351" i="17"/>
  <c r="W1351" i="17"/>
  <c r="AA1350" i="17"/>
  <c r="W1350" i="17"/>
  <c r="AA1349" i="17"/>
  <c r="W1349" i="17"/>
  <c r="AA1348" i="17"/>
  <c r="W1348" i="17"/>
  <c r="AA1347" i="17"/>
  <c r="W1347" i="17"/>
  <c r="AA1346" i="17"/>
  <c r="W1346" i="17"/>
  <c r="AA1345" i="17"/>
  <c r="W1345" i="17"/>
  <c r="AA1344" i="17"/>
  <c r="W1344" i="17"/>
  <c r="AA1343" i="17"/>
  <c r="W1343" i="17"/>
  <c r="AA1342" i="17"/>
  <c r="W1342" i="17"/>
  <c r="AA1341" i="17"/>
  <c r="W1341" i="17"/>
  <c r="AA1340" i="17"/>
  <c r="W1340" i="17"/>
  <c r="AA1339" i="17"/>
  <c r="W1339" i="17"/>
  <c r="AA1338" i="17"/>
  <c r="W1338" i="17"/>
  <c r="AA1337" i="17"/>
  <c r="W1337" i="17"/>
  <c r="AA1336" i="17"/>
  <c r="W1336" i="17"/>
  <c r="AA1335" i="17"/>
  <c r="W1335" i="17"/>
  <c r="AA1334" i="17"/>
  <c r="W1334" i="17"/>
  <c r="AA1333" i="17"/>
  <c r="W1333" i="17"/>
  <c r="AA1332" i="17"/>
  <c r="W1332" i="17"/>
  <c r="AA1331" i="17"/>
  <c r="W1331" i="17"/>
  <c r="AA1330" i="17"/>
  <c r="W1330" i="17"/>
  <c r="AA1329" i="17"/>
  <c r="W1329" i="17"/>
  <c r="AA1328" i="17"/>
  <c r="W1328" i="17"/>
  <c r="AA1327" i="17"/>
  <c r="W1327" i="17"/>
  <c r="AA1326" i="17"/>
  <c r="W1326" i="17"/>
  <c r="AA1325" i="17"/>
  <c r="W1325" i="17"/>
  <c r="AA1324" i="17"/>
  <c r="W1324" i="17"/>
  <c r="AA1323" i="17"/>
  <c r="W1323" i="17"/>
  <c r="AA1322" i="17"/>
  <c r="W1322" i="17"/>
  <c r="AA1321" i="17"/>
  <c r="W1321" i="17"/>
  <c r="AA1320" i="17"/>
  <c r="W1320" i="17"/>
  <c r="AA1319" i="17"/>
  <c r="W1319" i="17"/>
  <c r="AA1318" i="17"/>
  <c r="W1318" i="17"/>
  <c r="AA1317" i="17"/>
  <c r="W1317" i="17"/>
  <c r="AA1316" i="17"/>
  <c r="W1316" i="17"/>
  <c r="AA1315" i="17"/>
  <c r="W1315" i="17"/>
  <c r="AA1314" i="17"/>
  <c r="W1314" i="17"/>
  <c r="AA1313" i="17"/>
  <c r="W1313" i="17"/>
  <c r="AA1312" i="17"/>
  <c r="W1312" i="17"/>
  <c r="AA1311" i="17"/>
  <c r="W1311" i="17"/>
  <c r="AA1310" i="17"/>
  <c r="W1310" i="17"/>
  <c r="AA1309" i="17"/>
  <c r="W1309" i="17"/>
  <c r="AA1308" i="17"/>
  <c r="W1308" i="17"/>
  <c r="AA1307" i="17"/>
  <c r="W1307" i="17"/>
  <c r="AA1306" i="17"/>
  <c r="W1306" i="17"/>
  <c r="AA1305" i="17"/>
  <c r="W1305" i="17"/>
  <c r="AA1304" i="17"/>
  <c r="W1304" i="17"/>
  <c r="AA1303" i="17"/>
  <c r="W1303" i="17"/>
  <c r="AA1302" i="17"/>
  <c r="W1302" i="17"/>
  <c r="AA1301" i="17"/>
  <c r="W1301" i="17"/>
  <c r="AA1300" i="17"/>
  <c r="W1300" i="17"/>
  <c r="AA1299" i="17"/>
  <c r="W1299" i="17"/>
  <c r="AA1298" i="17"/>
  <c r="W1298" i="17"/>
  <c r="AA1297" i="17"/>
  <c r="W1297" i="17"/>
  <c r="AA1296" i="17"/>
  <c r="W1296" i="17"/>
  <c r="AA1295" i="17"/>
  <c r="W1295" i="17"/>
  <c r="AA1294" i="17"/>
  <c r="W1294" i="17"/>
  <c r="AA1293" i="17"/>
  <c r="W1293" i="17"/>
  <c r="AA1292" i="17"/>
  <c r="W1292" i="17"/>
  <c r="AA1291" i="17"/>
  <c r="W1291" i="17"/>
  <c r="AA1290" i="17"/>
  <c r="W1290" i="17"/>
  <c r="AA1289" i="17"/>
  <c r="W1289" i="17"/>
  <c r="AA1288" i="17"/>
  <c r="W1288" i="17"/>
  <c r="AA1287" i="17"/>
  <c r="W1287" i="17"/>
  <c r="AA1286" i="17"/>
  <c r="W1286" i="17"/>
  <c r="AA1285" i="17"/>
  <c r="W1285" i="17"/>
  <c r="AA1284" i="17"/>
  <c r="W1284" i="17"/>
  <c r="AA1283" i="17"/>
  <c r="W1283" i="17"/>
  <c r="AA1282" i="17"/>
  <c r="W1282" i="17"/>
  <c r="AA1281" i="17"/>
  <c r="W1281" i="17"/>
  <c r="AA1280" i="17"/>
  <c r="W1280" i="17"/>
  <c r="AA1279" i="17"/>
  <c r="W1279" i="17"/>
  <c r="AA1278" i="17"/>
  <c r="W1278" i="17"/>
  <c r="AA1277" i="17"/>
  <c r="W1277" i="17"/>
  <c r="AA1276" i="17"/>
  <c r="W1276" i="17"/>
  <c r="AA1275" i="17"/>
  <c r="W1275" i="17"/>
  <c r="AA1274" i="17"/>
  <c r="W1274" i="17"/>
  <c r="AA1273" i="17"/>
  <c r="W1273" i="17"/>
  <c r="AA1272" i="17"/>
  <c r="W1272" i="17"/>
  <c r="AA1271" i="17"/>
  <c r="W1271" i="17"/>
  <c r="AA1270" i="17"/>
  <c r="W1270" i="17"/>
  <c r="AA1269" i="17"/>
  <c r="W1269" i="17"/>
  <c r="AA1268" i="17"/>
  <c r="W1268" i="17"/>
  <c r="AA1267" i="17"/>
  <c r="W1267" i="17"/>
  <c r="AA1266" i="17"/>
  <c r="W1266" i="17"/>
  <c r="AA1265" i="17"/>
  <c r="W1265" i="17"/>
  <c r="AA1264" i="17"/>
  <c r="W1264" i="17"/>
  <c r="AA1263" i="17"/>
  <c r="W1263" i="17"/>
  <c r="AA1262" i="17"/>
  <c r="W1262" i="17"/>
  <c r="AA1261" i="17"/>
  <c r="W1261" i="17"/>
  <c r="AA1260" i="17"/>
  <c r="W1260" i="17"/>
  <c r="AA1259" i="17"/>
  <c r="W1259" i="17"/>
  <c r="AA1258" i="17"/>
  <c r="W1258" i="17"/>
  <c r="AA1257" i="17"/>
  <c r="W1257" i="17"/>
  <c r="AA1256" i="17"/>
  <c r="W1256" i="17"/>
  <c r="AA1255" i="17"/>
  <c r="W1255" i="17"/>
  <c r="AA1254" i="17"/>
  <c r="W1254" i="17"/>
  <c r="AA1253" i="17"/>
  <c r="W1253" i="17"/>
  <c r="AA1252" i="17"/>
  <c r="W1252" i="17"/>
  <c r="AA1251" i="17"/>
  <c r="W1251" i="17"/>
  <c r="AA1250" i="17"/>
  <c r="W1250" i="17"/>
  <c r="AA1249" i="17"/>
  <c r="W1249" i="17"/>
  <c r="AA1248" i="17"/>
  <c r="W1248" i="17"/>
  <c r="AA1247" i="17"/>
  <c r="W1247" i="17"/>
  <c r="AA1246" i="17"/>
  <c r="W1246" i="17"/>
  <c r="AA1245" i="17"/>
  <c r="W1245" i="17"/>
  <c r="AA1244" i="17"/>
  <c r="W1244" i="17"/>
  <c r="AA1243" i="17"/>
  <c r="W1243" i="17"/>
  <c r="AA1242" i="17"/>
  <c r="W1242" i="17"/>
  <c r="AA1241" i="17"/>
  <c r="W1241" i="17"/>
  <c r="AA1240" i="17"/>
  <c r="W1240" i="17"/>
  <c r="AA1239" i="17"/>
  <c r="W1239" i="17"/>
  <c r="AA1238" i="17"/>
  <c r="W1238" i="17"/>
  <c r="AA1237" i="17"/>
  <c r="W1237" i="17"/>
  <c r="AA1236" i="17"/>
  <c r="W1236" i="17"/>
  <c r="AA1235" i="17"/>
  <c r="W1235" i="17"/>
  <c r="AA1234" i="17"/>
  <c r="W1234" i="17"/>
  <c r="AA1233" i="17"/>
  <c r="W1233" i="17"/>
  <c r="AA1232" i="17"/>
  <c r="W1232" i="17"/>
  <c r="AA1231" i="17"/>
  <c r="W1231" i="17"/>
  <c r="AA1230" i="17"/>
  <c r="W1230" i="17"/>
  <c r="AA1229" i="17"/>
  <c r="W1229" i="17"/>
  <c r="AA1228" i="17"/>
  <c r="W1228" i="17"/>
  <c r="AA1227" i="17"/>
  <c r="W1227" i="17"/>
  <c r="AA1226" i="17"/>
  <c r="W1226" i="17"/>
  <c r="AA1225" i="17"/>
  <c r="W1225" i="17"/>
  <c r="AA1224" i="17"/>
  <c r="W1224" i="17"/>
  <c r="AA1223" i="17"/>
  <c r="W1223" i="17"/>
  <c r="AA1222" i="17"/>
  <c r="W1222" i="17"/>
  <c r="AA1221" i="17"/>
  <c r="W1221" i="17"/>
  <c r="AA1220" i="17"/>
  <c r="W1220" i="17"/>
  <c r="AA1219" i="17"/>
  <c r="W1219" i="17"/>
  <c r="AA1218" i="17"/>
  <c r="W1218" i="17"/>
  <c r="AA1217" i="17"/>
  <c r="W1217" i="17"/>
  <c r="AA1216" i="17"/>
  <c r="W1216" i="17"/>
  <c r="AA1215" i="17"/>
  <c r="W1215" i="17"/>
  <c r="AA1214" i="17"/>
  <c r="W1214" i="17"/>
  <c r="AA1213" i="17"/>
  <c r="W1213" i="17"/>
  <c r="AA1212" i="17"/>
  <c r="W1212" i="17"/>
  <c r="AA1211" i="17"/>
  <c r="W1211" i="17"/>
  <c r="AA1210" i="17"/>
  <c r="W1210" i="17"/>
  <c r="AA1209" i="17"/>
  <c r="W1209" i="17"/>
  <c r="AA1208" i="17"/>
  <c r="W1208" i="17"/>
  <c r="AA1207" i="17"/>
  <c r="W1207" i="17"/>
  <c r="AA1206" i="17"/>
  <c r="W1206" i="17"/>
  <c r="AA1205" i="17"/>
  <c r="W1205" i="17"/>
  <c r="AA1204" i="17"/>
  <c r="W1204" i="17"/>
  <c r="AA1203" i="17"/>
  <c r="W1203" i="17"/>
  <c r="AA1202" i="17"/>
  <c r="W1202" i="17"/>
  <c r="AA1201" i="17"/>
  <c r="W1201" i="17"/>
  <c r="AA1200" i="17"/>
  <c r="W1200" i="17"/>
  <c r="AA1199" i="17"/>
  <c r="W1199" i="17"/>
  <c r="AA1198" i="17"/>
  <c r="W1198" i="17"/>
  <c r="AA1197" i="17"/>
  <c r="W1197" i="17"/>
  <c r="AA1196" i="17"/>
  <c r="W1196" i="17"/>
  <c r="AA1195" i="17"/>
  <c r="W1195" i="17"/>
  <c r="AA1194" i="17"/>
  <c r="W1194" i="17"/>
  <c r="AA1193" i="17"/>
  <c r="W1193" i="17"/>
  <c r="AA1192" i="17"/>
  <c r="W1192" i="17"/>
  <c r="AA1191" i="17"/>
  <c r="W1191" i="17"/>
  <c r="AA1190" i="17"/>
  <c r="W1190" i="17"/>
  <c r="AA1189" i="17"/>
  <c r="W1189" i="17"/>
  <c r="AA1188" i="17"/>
  <c r="W1188" i="17"/>
  <c r="AA1187" i="17"/>
  <c r="W1187" i="17"/>
  <c r="AA1186" i="17"/>
  <c r="W1186" i="17"/>
  <c r="AA1185" i="17"/>
  <c r="W1185" i="17"/>
  <c r="AA1184" i="17"/>
  <c r="W1184" i="17"/>
  <c r="AA1183" i="17"/>
  <c r="W1183" i="17"/>
  <c r="AA1182" i="17"/>
  <c r="W1182" i="17"/>
  <c r="AA1181" i="17"/>
  <c r="W1181" i="17"/>
  <c r="AA1180" i="17"/>
  <c r="W1180" i="17"/>
  <c r="AA1179" i="17"/>
  <c r="W1179" i="17"/>
  <c r="AA1178" i="17"/>
  <c r="W1178" i="17"/>
  <c r="AA1177" i="17"/>
  <c r="W1177" i="17"/>
  <c r="AA1176" i="17"/>
  <c r="W1176" i="17"/>
  <c r="AA1175" i="17"/>
  <c r="W1175" i="17"/>
  <c r="AA1174" i="17"/>
  <c r="W1174" i="17"/>
  <c r="AA1173" i="17"/>
  <c r="W1173" i="17"/>
  <c r="AA1172" i="17"/>
  <c r="W1172" i="17"/>
  <c r="AA1171" i="17"/>
  <c r="W1171" i="17"/>
  <c r="AA1170" i="17"/>
  <c r="W1170" i="17"/>
  <c r="AA1169" i="17"/>
  <c r="W1169" i="17"/>
  <c r="AA1168" i="17"/>
  <c r="W1168" i="17"/>
  <c r="AA1167" i="17"/>
  <c r="W1167" i="17"/>
  <c r="AA1166" i="17"/>
  <c r="W1166" i="17"/>
  <c r="AA1165" i="17"/>
  <c r="W1165" i="17"/>
  <c r="AA1164" i="17"/>
  <c r="W1164" i="17"/>
  <c r="AA1163" i="17"/>
  <c r="W1163" i="17"/>
  <c r="AA1162" i="17"/>
  <c r="W1162" i="17"/>
  <c r="AA1161" i="17"/>
  <c r="W1161" i="17"/>
  <c r="AA1160" i="17"/>
  <c r="W1160" i="17"/>
  <c r="AA1159" i="17"/>
  <c r="W1159" i="17"/>
  <c r="AA1158" i="17"/>
  <c r="W1158" i="17"/>
  <c r="AA1157" i="17"/>
  <c r="W1157" i="17"/>
  <c r="AA1156" i="17"/>
  <c r="W1156" i="17"/>
  <c r="AA1155" i="17"/>
  <c r="W1155" i="17"/>
  <c r="AA1154" i="17"/>
  <c r="W1154" i="17"/>
  <c r="AA1153" i="17"/>
  <c r="W1153" i="17"/>
  <c r="AA1152" i="17"/>
  <c r="W1152" i="17"/>
  <c r="AA1151" i="17"/>
  <c r="W1151" i="17"/>
  <c r="AA1150" i="17"/>
  <c r="W1150" i="17"/>
  <c r="AA1149" i="17"/>
  <c r="W1149" i="17"/>
  <c r="AA1148" i="17"/>
  <c r="W1148" i="17"/>
  <c r="AA1147" i="17"/>
  <c r="W1147" i="17"/>
  <c r="AA1146" i="17"/>
  <c r="W1146" i="17"/>
  <c r="AA1145" i="17"/>
  <c r="W1145" i="17"/>
  <c r="AA1144" i="17"/>
  <c r="W1144" i="17"/>
  <c r="AA1143" i="17"/>
  <c r="W1143" i="17"/>
  <c r="AA1142" i="17"/>
  <c r="W1142" i="17"/>
  <c r="AA1141" i="17"/>
  <c r="W1141" i="17"/>
  <c r="AA1140" i="17"/>
  <c r="W1140" i="17"/>
  <c r="AA1139" i="17"/>
  <c r="W1139" i="17"/>
  <c r="AA1138" i="17"/>
  <c r="W1138" i="17"/>
  <c r="AA1137" i="17"/>
  <c r="W1137" i="17"/>
  <c r="AA1136" i="17"/>
  <c r="W1136" i="17"/>
  <c r="AA1135" i="17"/>
  <c r="W1135" i="17"/>
  <c r="AA1134" i="17"/>
  <c r="W1134" i="17"/>
  <c r="AA1133" i="17"/>
  <c r="W1133" i="17"/>
  <c r="AA1132" i="17"/>
  <c r="W1132" i="17"/>
  <c r="AA1131" i="17"/>
  <c r="W1131" i="17"/>
  <c r="AA1130" i="17"/>
  <c r="W1130" i="17"/>
  <c r="AA1129" i="17"/>
  <c r="W1129" i="17"/>
  <c r="AA1128" i="17"/>
  <c r="W1128" i="17"/>
  <c r="AA1127" i="17"/>
  <c r="W1127" i="17"/>
  <c r="AA1126" i="17"/>
  <c r="W1126" i="17"/>
  <c r="AA1125" i="17"/>
  <c r="W1125" i="17"/>
  <c r="AA1124" i="17"/>
  <c r="W1124" i="17"/>
  <c r="AA1123" i="17"/>
  <c r="W1123" i="17"/>
  <c r="AA1122" i="17"/>
  <c r="W1122" i="17"/>
  <c r="AA1121" i="17"/>
  <c r="W1121" i="17"/>
  <c r="AA1120" i="17"/>
  <c r="W1120" i="17"/>
  <c r="AA1119" i="17"/>
  <c r="W1119" i="17"/>
  <c r="AA1118" i="17"/>
  <c r="W1118" i="17"/>
  <c r="AA1117" i="17"/>
  <c r="W1117" i="17"/>
  <c r="AA1116" i="17"/>
  <c r="W1116" i="17"/>
  <c r="AA1115" i="17"/>
  <c r="W1115" i="17"/>
  <c r="AA1114" i="17"/>
  <c r="W1114" i="17"/>
  <c r="AA1113" i="17"/>
  <c r="W1113" i="17"/>
  <c r="AA1112" i="17"/>
  <c r="W1112" i="17"/>
  <c r="AA1111" i="17"/>
  <c r="W1111" i="17"/>
  <c r="AA1110" i="17"/>
  <c r="W1110" i="17"/>
  <c r="AA1109" i="17"/>
  <c r="W1109" i="17"/>
  <c r="AA1108" i="17"/>
  <c r="W1108" i="17"/>
  <c r="AA1107" i="17"/>
  <c r="W1107" i="17"/>
  <c r="AA1106" i="17"/>
  <c r="W1106" i="17"/>
  <c r="AA1105" i="17"/>
  <c r="W1105" i="17"/>
  <c r="AA1104" i="17"/>
  <c r="W1104" i="17"/>
  <c r="AA1103" i="17"/>
  <c r="W1103" i="17"/>
  <c r="AA1102" i="17"/>
  <c r="W1102" i="17"/>
  <c r="AA1101" i="17"/>
  <c r="W1101" i="17"/>
  <c r="AA1100" i="17"/>
  <c r="W1100" i="17"/>
  <c r="AA1099" i="17"/>
  <c r="W1099" i="17"/>
  <c r="AA1098" i="17"/>
  <c r="W1098" i="17"/>
  <c r="AA1097" i="17"/>
  <c r="W1097" i="17"/>
  <c r="AA1096" i="17"/>
  <c r="W1096" i="17"/>
  <c r="AA1095" i="17"/>
  <c r="W1095" i="17"/>
  <c r="AA1094" i="17"/>
  <c r="W1094" i="17"/>
  <c r="AA1093" i="17"/>
  <c r="W1093" i="17"/>
  <c r="AA1092" i="17"/>
  <c r="W1092" i="17"/>
  <c r="AA1091" i="17"/>
  <c r="W1091" i="17"/>
  <c r="AA1090" i="17"/>
  <c r="W1090" i="17"/>
  <c r="AA1089" i="17"/>
  <c r="W1089" i="17"/>
  <c r="AA1088" i="17"/>
  <c r="W1088" i="17"/>
  <c r="AA1087" i="17"/>
  <c r="W1087" i="17"/>
  <c r="AA1086" i="17"/>
  <c r="W1086" i="17"/>
  <c r="AA1085" i="17"/>
  <c r="W1085" i="17"/>
  <c r="AA1084" i="17"/>
  <c r="W1084" i="17"/>
  <c r="AA1083" i="17"/>
  <c r="W1083" i="17"/>
  <c r="AA1082" i="17"/>
  <c r="W1082" i="17"/>
  <c r="AA1081" i="17"/>
  <c r="W1081" i="17"/>
  <c r="AA1080" i="17"/>
  <c r="W1080" i="17"/>
  <c r="AA1079" i="17"/>
  <c r="W1079" i="17"/>
  <c r="AA1078" i="17"/>
  <c r="W1078" i="17"/>
  <c r="AA1077" i="17"/>
  <c r="W1077" i="17"/>
  <c r="AA1076" i="17"/>
  <c r="W1076" i="17"/>
  <c r="AA1075" i="17"/>
  <c r="W1075" i="17"/>
  <c r="AA1074" i="17"/>
  <c r="W1074" i="17"/>
  <c r="AA1073" i="17"/>
  <c r="W1073" i="17"/>
  <c r="AA1072" i="17"/>
  <c r="W1072" i="17"/>
  <c r="AA1071" i="17"/>
  <c r="W1071" i="17"/>
  <c r="AA1070" i="17"/>
  <c r="W1070" i="17"/>
  <c r="AA1069" i="17"/>
  <c r="W1069" i="17"/>
  <c r="AA1068" i="17"/>
  <c r="W1068" i="17"/>
  <c r="AA1067" i="17"/>
  <c r="W1067" i="17"/>
  <c r="AA1066" i="17"/>
  <c r="W1066" i="17"/>
  <c r="AA1065" i="17"/>
  <c r="W1065" i="17"/>
  <c r="AA1064" i="17"/>
  <c r="W1064" i="17"/>
  <c r="AA1063" i="17"/>
  <c r="W1063" i="17"/>
  <c r="AA1062" i="17"/>
  <c r="W1062" i="17"/>
  <c r="AA1061" i="17"/>
  <c r="W1061" i="17"/>
  <c r="AA1060" i="17"/>
  <c r="W1060" i="17"/>
  <c r="AA1059" i="17"/>
  <c r="W1059" i="17"/>
  <c r="AA1058" i="17"/>
  <c r="W1058" i="17"/>
  <c r="AA1057" i="17"/>
  <c r="W1057" i="17"/>
  <c r="AA1056" i="17"/>
  <c r="W1056" i="17"/>
  <c r="AA1055" i="17"/>
  <c r="W1055" i="17"/>
  <c r="AA1054" i="17"/>
  <c r="W1054" i="17"/>
  <c r="AA1053" i="17"/>
  <c r="W1053" i="17"/>
  <c r="AA1052" i="17"/>
  <c r="W1052" i="17"/>
  <c r="AA1051" i="17"/>
  <c r="W1051" i="17"/>
  <c r="AA1050" i="17"/>
  <c r="W1050" i="17"/>
  <c r="AA1049" i="17"/>
  <c r="W1049" i="17"/>
  <c r="AA1048" i="17"/>
  <c r="W1048" i="17"/>
  <c r="AA1047" i="17"/>
  <c r="W1047" i="17"/>
  <c r="AA1046" i="17"/>
  <c r="W1046" i="17"/>
  <c r="AA1045" i="17"/>
  <c r="W1045" i="17"/>
  <c r="AA1044" i="17"/>
  <c r="W1044" i="17"/>
  <c r="AA1043" i="17"/>
  <c r="W1043" i="17"/>
  <c r="AA1042" i="17"/>
  <c r="W1042" i="17"/>
  <c r="AA1041" i="17"/>
  <c r="W1041" i="17"/>
  <c r="AA1040" i="17"/>
  <c r="W1040" i="17"/>
  <c r="AA1039" i="17"/>
  <c r="W1039" i="17"/>
  <c r="AA1038" i="17"/>
  <c r="W1038" i="17"/>
  <c r="AA1037" i="17"/>
  <c r="W1037" i="17"/>
  <c r="AA1036" i="17"/>
  <c r="W1036" i="17"/>
  <c r="AA1035" i="17"/>
  <c r="W1035" i="17"/>
  <c r="AA1034" i="17"/>
  <c r="W1034" i="17"/>
  <c r="AA1033" i="17"/>
  <c r="W1033" i="17"/>
  <c r="AA1032" i="17"/>
  <c r="W1032" i="17"/>
  <c r="AA1031" i="17"/>
  <c r="W1031" i="17"/>
  <c r="AA1030" i="17"/>
  <c r="W1030" i="17"/>
  <c r="AA1029" i="17"/>
  <c r="W1029" i="17"/>
  <c r="AA1028" i="17"/>
  <c r="W1028" i="17"/>
  <c r="AA1027" i="17"/>
  <c r="W1027" i="17"/>
  <c r="AA1026" i="17"/>
  <c r="W1026" i="17"/>
  <c r="AA1025" i="17"/>
  <c r="W1025" i="17"/>
  <c r="AA1024" i="17"/>
  <c r="W1024" i="17"/>
  <c r="AA1023" i="17"/>
  <c r="W1023" i="17"/>
  <c r="AA1022" i="17"/>
  <c r="W1022" i="17"/>
  <c r="AA1021" i="17"/>
  <c r="W1021" i="17"/>
  <c r="AA1020" i="17"/>
  <c r="W1020" i="17"/>
  <c r="AA1019" i="17"/>
  <c r="W1019" i="17"/>
  <c r="AA1018" i="17"/>
  <c r="W1018" i="17"/>
  <c r="AA1017" i="17"/>
  <c r="W1017" i="17"/>
  <c r="AA1016" i="17"/>
  <c r="W1016" i="17"/>
  <c r="AA1015" i="17"/>
  <c r="W1015" i="17"/>
  <c r="AA1014" i="17"/>
  <c r="W1014" i="17"/>
  <c r="AA1013" i="17"/>
  <c r="W1013" i="17"/>
  <c r="AA1012" i="17"/>
  <c r="W1012" i="17"/>
  <c r="AA1011" i="17"/>
  <c r="W1011" i="17"/>
  <c r="AA1010" i="17"/>
  <c r="W1010" i="17"/>
  <c r="AA1009" i="17"/>
  <c r="W1009" i="17"/>
  <c r="AA1008" i="17"/>
  <c r="W1008" i="17"/>
  <c r="AA1007" i="17"/>
  <c r="W1007" i="17"/>
  <c r="AA1006" i="17"/>
  <c r="W1006" i="17"/>
  <c r="AA1005" i="17"/>
  <c r="W1005" i="17"/>
  <c r="AA1004" i="17"/>
  <c r="W1004" i="17"/>
  <c r="AA1003" i="17"/>
  <c r="W1003" i="17"/>
  <c r="AA1002" i="17"/>
  <c r="W1002" i="17"/>
  <c r="AA1001" i="17"/>
  <c r="W1001" i="17"/>
  <c r="AA1000" i="17"/>
  <c r="W1000" i="17"/>
  <c r="AA999" i="17"/>
  <c r="W999" i="17"/>
  <c r="AA998" i="17"/>
  <c r="W998" i="17"/>
  <c r="AA997" i="17"/>
  <c r="W997" i="17"/>
  <c r="AA996" i="17"/>
  <c r="W996" i="17"/>
  <c r="AA995" i="17"/>
  <c r="W995" i="17"/>
  <c r="AA994" i="17"/>
  <c r="W994" i="17"/>
  <c r="AA993" i="17"/>
  <c r="W993" i="17"/>
  <c r="AA992" i="17"/>
  <c r="W992" i="17"/>
  <c r="AA991" i="17"/>
  <c r="W991" i="17"/>
  <c r="AA990" i="17"/>
  <c r="W990" i="17"/>
  <c r="AA989" i="17"/>
  <c r="W989" i="17"/>
  <c r="AA988" i="17"/>
  <c r="W988" i="17"/>
  <c r="AA987" i="17"/>
  <c r="W987" i="17"/>
  <c r="AA986" i="17"/>
  <c r="W986" i="17"/>
  <c r="AA985" i="17"/>
  <c r="W985" i="17"/>
  <c r="AA984" i="17"/>
  <c r="W984" i="17"/>
  <c r="AA983" i="17"/>
  <c r="W983" i="17"/>
  <c r="AA982" i="17"/>
  <c r="W982" i="17"/>
  <c r="AA981" i="17"/>
  <c r="W981" i="17"/>
  <c r="AA980" i="17"/>
  <c r="W980" i="17"/>
  <c r="AA979" i="17"/>
  <c r="W979" i="17"/>
  <c r="AA978" i="17"/>
  <c r="W978" i="17"/>
  <c r="AA977" i="17"/>
  <c r="W977" i="17"/>
  <c r="AA976" i="17"/>
  <c r="W976" i="17"/>
  <c r="AA975" i="17"/>
  <c r="W975" i="17"/>
  <c r="AA974" i="17"/>
  <c r="W974" i="17"/>
  <c r="AA973" i="17"/>
  <c r="W973" i="17"/>
  <c r="AA972" i="17"/>
  <c r="W972" i="17"/>
  <c r="AA971" i="17"/>
  <c r="W971" i="17"/>
  <c r="AA970" i="17"/>
  <c r="W970" i="17"/>
  <c r="AA969" i="17"/>
  <c r="W969" i="17"/>
  <c r="AA968" i="17"/>
  <c r="W968" i="17"/>
  <c r="AA967" i="17"/>
  <c r="W967" i="17"/>
  <c r="AA966" i="17"/>
  <c r="W966" i="17"/>
  <c r="AA965" i="17"/>
  <c r="W965" i="17"/>
  <c r="AA964" i="17"/>
  <c r="W964" i="17"/>
  <c r="AA963" i="17"/>
  <c r="W963" i="17"/>
  <c r="AA962" i="17"/>
  <c r="W962" i="17"/>
  <c r="AA961" i="17"/>
  <c r="W961" i="17"/>
  <c r="AA960" i="17"/>
  <c r="W960" i="17"/>
  <c r="AA959" i="17"/>
  <c r="W959" i="17"/>
  <c r="AA958" i="17"/>
  <c r="W958" i="17"/>
  <c r="AA957" i="17"/>
  <c r="W957" i="17"/>
  <c r="AA956" i="17"/>
  <c r="W956" i="17"/>
  <c r="AA955" i="17"/>
  <c r="W955" i="17"/>
  <c r="AA954" i="17"/>
  <c r="W954" i="17"/>
  <c r="AA953" i="17"/>
  <c r="W953" i="17"/>
  <c r="AA952" i="17"/>
  <c r="W952" i="17"/>
  <c r="AA951" i="17"/>
  <c r="W951" i="17"/>
  <c r="AA950" i="17"/>
  <c r="W950" i="17"/>
  <c r="AA949" i="17"/>
  <c r="W949" i="17"/>
  <c r="AA948" i="17"/>
  <c r="W948" i="17"/>
  <c r="AA947" i="17"/>
  <c r="W947" i="17"/>
  <c r="AA946" i="17"/>
  <c r="W946" i="17"/>
  <c r="AA945" i="17"/>
  <c r="W945" i="17"/>
  <c r="AA944" i="17"/>
  <c r="W944" i="17"/>
  <c r="AA943" i="17"/>
  <c r="W943" i="17"/>
  <c r="AA942" i="17"/>
  <c r="W942" i="17"/>
  <c r="AA941" i="17"/>
  <c r="W941" i="17"/>
  <c r="AA940" i="17"/>
  <c r="W940" i="17"/>
  <c r="AA939" i="17"/>
  <c r="W939" i="17"/>
  <c r="AA938" i="17"/>
  <c r="W938" i="17"/>
  <c r="AA937" i="17"/>
  <c r="W937" i="17"/>
  <c r="AA936" i="17"/>
  <c r="W936" i="17"/>
  <c r="AA935" i="17"/>
  <c r="W935" i="17"/>
  <c r="AA934" i="17"/>
  <c r="W934" i="17"/>
  <c r="AA933" i="17"/>
  <c r="W933" i="17"/>
  <c r="AA932" i="17"/>
  <c r="W932" i="17"/>
  <c r="AA931" i="17"/>
  <c r="W931" i="17"/>
  <c r="AA930" i="17"/>
  <c r="W930" i="17"/>
  <c r="AA929" i="17"/>
  <c r="W929" i="17"/>
  <c r="AA928" i="17"/>
  <c r="W928" i="17"/>
  <c r="AA927" i="17"/>
  <c r="W927" i="17"/>
  <c r="AA926" i="17"/>
  <c r="W926" i="17"/>
  <c r="AA925" i="17"/>
  <c r="W925" i="17"/>
  <c r="AA924" i="17"/>
  <c r="W924" i="17"/>
  <c r="AA923" i="17"/>
  <c r="W923" i="17"/>
  <c r="AA922" i="17"/>
  <c r="W922" i="17"/>
  <c r="AA921" i="17"/>
  <c r="W921" i="17"/>
  <c r="AA920" i="17"/>
  <c r="W920" i="17"/>
  <c r="AA919" i="17"/>
  <c r="W919" i="17"/>
  <c r="AA918" i="17"/>
  <c r="W918" i="17"/>
  <c r="AA917" i="17"/>
  <c r="W917" i="17"/>
  <c r="AA916" i="17"/>
  <c r="W916" i="17"/>
  <c r="AA915" i="17"/>
  <c r="W915" i="17"/>
  <c r="AA914" i="17"/>
  <c r="W914" i="17"/>
  <c r="AA913" i="17"/>
  <c r="W913" i="17"/>
  <c r="AA912" i="17"/>
  <c r="W912" i="17"/>
  <c r="AA911" i="17"/>
  <c r="W911" i="17"/>
  <c r="AA910" i="17"/>
  <c r="W910" i="17"/>
  <c r="AA909" i="17"/>
  <c r="W909" i="17"/>
  <c r="AA908" i="17"/>
  <c r="W908" i="17"/>
  <c r="AA907" i="17"/>
  <c r="W907" i="17"/>
  <c r="AA906" i="17"/>
  <c r="W906" i="17"/>
  <c r="AA905" i="17"/>
  <c r="W905" i="17"/>
  <c r="AA904" i="17"/>
  <c r="W904" i="17"/>
  <c r="AA903" i="17"/>
  <c r="W903" i="17"/>
  <c r="AA902" i="17"/>
  <c r="W902" i="17"/>
  <c r="AA901" i="17"/>
  <c r="W901" i="17"/>
  <c r="AA900" i="17"/>
  <c r="W900" i="17"/>
  <c r="AA899" i="17"/>
  <c r="W899" i="17"/>
  <c r="AA898" i="17"/>
  <c r="W898" i="17"/>
  <c r="AA897" i="17"/>
  <c r="W897" i="17"/>
  <c r="AA896" i="17"/>
  <c r="W896" i="17"/>
  <c r="AA895" i="17"/>
  <c r="W895" i="17"/>
  <c r="AA894" i="17"/>
  <c r="W894" i="17"/>
  <c r="AA893" i="17"/>
  <c r="W893" i="17"/>
  <c r="AA892" i="17"/>
  <c r="W892" i="17"/>
  <c r="AA891" i="17"/>
  <c r="W891" i="17"/>
  <c r="AA890" i="17"/>
  <c r="W890" i="17"/>
  <c r="AA889" i="17"/>
  <c r="W889" i="17"/>
  <c r="AA888" i="17"/>
  <c r="W888" i="17"/>
  <c r="AA887" i="17"/>
  <c r="W887" i="17"/>
  <c r="AA886" i="17"/>
  <c r="W886" i="17"/>
  <c r="AA885" i="17"/>
  <c r="W885" i="17"/>
  <c r="AA884" i="17"/>
  <c r="W884" i="17"/>
  <c r="AA883" i="17"/>
  <c r="W883" i="17"/>
  <c r="AA882" i="17"/>
  <c r="W882" i="17"/>
  <c r="AA881" i="17"/>
  <c r="W881" i="17"/>
  <c r="AA880" i="17"/>
  <c r="W880" i="17"/>
  <c r="AA879" i="17"/>
  <c r="W879" i="17"/>
  <c r="AA878" i="17"/>
  <c r="W878" i="17"/>
  <c r="AA877" i="17"/>
  <c r="W877" i="17"/>
  <c r="AA876" i="17"/>
  <c r="W876" i="17"/>
  <c r="AA875" i="17"/>
  <c r="W875" i="17"/>
  <c r="AA874" i="17"/>
  <c r="W874" i="17"/>
  <c r="AA873" i="17"/>
  <c r="W873" i="17"/>
  <c r="AA872" i="17"/>
  <c r="W872" i="17"/>
  <c r="AA871" i="17"/>
  <c r="W871" i="17"/>
  <c r="AA870" i="17"/>
  <c r="W870" i="17"/>
  <c r="AA869" i="17"/>
  <c r="W869" i="17"/>
  <c r="AA868" i="17"/>
  <c r="W868" i="17"/>
  <c r="AA867" i="17"/>
  <c r="W867" i="17"/>
  <c r="AA866" i="17"/>
  <c r="W866" i="17"/>
  <c r="AA865" i="17"/>
  <c r="W865" i="17"/>
  <c r="AA864" i="17"/>
  <c r="W864" i="17"/>
  <c r="AA863" i="17"/>
  <c r="W863" i="17"/>
  <c r="AA862" i="17"/>
  <c r="W862" i="17"/>
  <c r="AA861" i="17"/>
  <c r="W861" i="17"/>
  <c r="AA860" i="17"/>
  <c r="W860" i="17"/>
  <c r="AA859" i="17"/>
  <c r="W859" i="17"/>
  <c r="AA858" i="17"/>
  <c r="W858" i="17"/>
  <c r="AA857" i="17"/>
  <c r="W857" i="17"/>
  <c r="AA856" i="17"/>
  <c r="W856" i="17"/>
  <c r="AA855" i="17"/>
  <c r="W855" i="17"/>
  <c r="AA854" i="17"/>
  <c r="W854" i="17"/>
  <c r="AA853" i="17"/>
  <c r="W853" i="17"/>
  <c r="AA852" i="17"/>
  <c r="W852" i="17"/>
  <c r="AA851" i="17"/>
  <c r="W851" i="17"/>
  <c r="AA850" i="17"/>
  <c r="W850" i="17"/>
  <c r="AA849" i="17"/>
  <c r="W849" i="17"/>
  <c r="AA848" i="17"/>
  <c r="W848" i="17"/>
  <c r="AA847" i="17"/>
  <c r="W847" i="17"/>
  <c r="AA846" i="17"/>
  <c r="W846" i="17"/>
  <c r="AA845" i="17"/>
  <c r="W845" i="17"/>
  <c r="AA844" i="17"/>
  <c r="W844" i="17"/>
  <c r="AA843" i="17"/>
  <c r="W843" i="17"/>
  <c r="AA842" i="17"/>
  <c r="W842" i="17"/>
  <c r="AA841" i="17"/>
  <c r="W841" i="17"/>
  <c r="AA840" i="17"/>
  <c r="W840" i="17"/>
  <c r="AA839" i="17"/>
  <c r="W839" i="17"/>
  <c r="AA838" i="17"/>
  <c r="W838" i="17"/>
  <c r="AA837" i="17"/>
  <c r="W837" i="17"/>
  <c r="AA836" i="17"/>
  <c r="W836" i="17"/>
  <c r="AA835" i="17"/>
  <c r="W835" i="17"/>
  <c r="AA834" i="17"/>
  <c r="W834" i="17"/>
  <c r="AA833" i="17"/>
  <c r="W833" i="17"/>
  <c r="AA832" i="17"/>
  <c r="W832" i="17"/>
  <c r="AA831" i="17"/>
  <c r="W831" i="17"/>
  <c r="AA830" i="17"/>
  <c r="W830" i="17"/>
  <c r="AA829" i="17"/>
  <c r="W829" i="17"/>
  <c r="AA828" i="17"/>
  <c r="W828" i="17"/>
  <c r="AA827" i="17"/>
  <c r="W827" i="17"/>
  <c r="AA826" i="17"/>
  <c r="W826" i="17"/>
  <c r="AA825" i="17"/>
  <c r="W825" i="17"/>
  <c r="AA824" i="17"/>
  <c r="W824" i="17"/>
  <c r="AA823" i="17"/>
  <c r="W823" i="17"/>
  <c r="AA822" i="17"/>
  <c r="W822" i="17"/>
  <c r="AA821" i="17"/>
  <c r="W821" i="17"/>
  <c r="AA820" i="17"/>
  <c r="W820" i="17"/>
  <c r="AA819" i="17"/>
  <c r="W819" i="17"/>
  <c r="AA818" i="17"/>
  <c r="W818" i="17"/>
  <c r="AA817" i="17"/>
  <c r="W817" i="17"/>
  <c r="AA816" i="17"/>
  <c r="W816" i="17"/>
  <c r="AA815" i="17"/>
  <c r="W815" i="17"/>
  <c r="AA814" i="17"/>
  <c r="W814" i="17"/>
  <c r="AA813" i="17"/>
  <c r="W813" i="17"/>
  <c r="AA812" i="17"/>
  <c r="W812" i="17"/>
  <c r="AA811" i="17"/>
  <c r="W811" i="17"/>
  <c r="AA810" i="17"/>
  <c r="W810" i="17"/>
  <c r="AA809" i="17"/>
  <c r="W809" i="17"/>
  <c r="AA808" i="17"/>
  <c r="W808" i="17"/>
  <c r="AA807" i="17"/>
  <c r="W807" i="17"/>
  <c r="AA806" i="17"/>
  <c r="W806" i="17"/>
  <c r="AA805" i="17"/>
  <c r="W805" i="17"/>
  <c r="AA804" i="17"/>
  <c r="W804" i="17"/>
  <c r="AA803" i="17"/>
  <c r="W803" i="17"/>
  <c r="AA802" i="17"/>
  <c r="W802" i="17"/>
  <c r="AA801" i="17"/>
  <c r="W801" i="17"/>
  <c r="AA800" i="17"/>
  <c r="W800" i="17"/>
  <c r="AA799" i="17"/>
  <c r="W799" i="17"/>
  <c r="AA798" i="17"/>
  <c r="W798" i="17"/>
  <c r="AA797" i="17"/>
  <c r="W797" i="17"/>
  <c r="AA796" i="17"/>
  <c r="W796" i="17"/>
  <c r="AA795" i="17"/>
  <c r="W795" i="17"/>
  <c r="AA794" i="17"/>
  <c r="W794" i="17"/>
  <c r="AA793" i="17"/>
  <c r="W793" i="17"/>
  <c r="AA792" i="17"/>
  <c r="W792" i="17"/>
  <c r="AA791" i="17"/>
  <c r="W791" i="17"/>
  <c r="AA790" i="17"/>
  <c r="W790" i="17"/>
  <c r="AA789" i="17"/>
  <c r="W789" i="17"/>
  <c r="AA788" i="17"/>
  <c r="W788" i="17"/>
  <c r="AA787" i="17"/>
  <c r="W787" i="17"/>
  <c r="AA786" i="17"/>
  <c r="W786" i="17"/>
  <c r="AA785" i="17"/>
  <c r="W785" i="17"/>
  <c r="AA784" i="17"/>
  <c r="W784" i="17"/>
  <c r="AA783" i="17"/>
  <c r="W783" i="17"/>
  <c r="AA782" i="17"/>
  <c r="W782" i="17"/>
  <c r="AA781" i="17"/>
  <c r="W781" i="17"/>
  <c r="AA780" i="17"/>
  <c r="W780" i="17"/>
  <c r="AA779" i="17"/>
  <c r="W779" i="17"/>
  <c r="AA778" i="17"/>
  <c r="W778" i="17"/>
  <c r="AA777" i="17"/>
  <c r="W777" i="17"/>
  <c r="AA776" i="17"/>
  <c r="W776" i="17"/>
  <c r="AA775" i="17"/>
  <c r="W775" i="17"/>
  <c r="AA774" i="17"/>
  <c r="W774" i="17"/>
  <c r="AA773" i="17"/>
  <c r="W773" i="17"/>
  <c r="AA772" i="17"/>
  <c r="W772" i="17"/>
  <c r="AA771" i="17"/>
  <c r="W771" i="17"/>
  <c r="AA770" i="17"/>
  <c r="W770" i="17"/>
  <c r="AA769" i="17"/>
  <c r="W769" i="17"/>
  <c r="AA768" i="17"/>
  <c r="W768" i="17"/>
  <c r="AA767" i="17"/>
  <c r="W767" i="17"/>
  <c r="AA766" i="17"/>
  <c r="W766" i="17"/>
  <c r="AA765" i="17"/>
  <c r="W765" i="17"/>
  <c r="AA764" i="17"/>
  <c r="W764" i="17"/>
  <c r="AA763" i="17"/>
  <c r="W763" i="17"/>
  <c r="AA762" i="17"/>
  <c r="W762" i="17"/>
  <c r="AA761" i="17"/>
  <c r="W761" i="17"/>
  <c r="AA760" i="17"/>
  <c r="W760" i="17"/>
  <c r="AA759" i="17"/>
  <c r="W759" i="17"/>
  <c r="AA758" i="17"/>
  <c r="W758" i="17"/>
  <c r="AA757" i="17"/>
  <c r="W757" i="17"/>
  <c r="AA756" i="17"/>
  <c r="W756" i="17"/>
  <c r="AA755" i="17"/>
  <c r="W755" i="17"/>
  <c r="AA754" i="17"/>
  <c r="W754" i="17"/>
  <c r="AA753" i="17"/>
  <c r="W753" i="17"/>
  <c r="AA752" i="17"/>
  <c r="W752" i="17"/>
  <c r="AA751" i="17"/>
  <c r="W751" i="17"/>
  <c r="AA750" i="17"/>
  <c r="W750" i="17"/>
  <c r="AA749" i="17"/>
  <c r="W749" i="17"/>
  <c r="AA748" i="17"/>
  <c r="W748" i="17"/>
  <c r="AA747" i="17"/>
  <c r="W747" i="17"/>
  <c r="AA746" i="17"/>
  <c r="W746" i="17"/>
  <c r="AA745" i="17"/>
  <c r="W745" i="17"/>
  <c r="AA744" i="17"/>
  <c r="W744" i="17"/>
  <c r="AA743" i="17"/>
  <c r="W743" i="17"/>
  <c r="AA742" i="17"/>
  <c r="W742" i="17"/>
  <c r="AA741" i="17"/>
  <c r="W741" i="17"/>
  <c r="AA740" i="17"/>
  <c r="W740" i="17"/>
  <c r="AA739" i="17"/>
  <c r="W739" i="17"/>
  <c r="AA738" i="17"/>
  <c r="W738" i="17"/>
  <c r="AA737" i="17"/>
  <c r="W737" i="17"/>
  <c r="AA736" i="17"/>
  <c r="W736" i="17"/>
  <c r="AA735" i="17"/>
  <c r="W735" i="17"/>
  <c r="AA734" i="17"/>
  <c r="W734" i="17"/>
  <c r="AA733" i="17"/>
  <c r="W733" i="17"/>
  <c r="AA732" i="17"/>
  <c r="W732" i="17"/>
  <c r="AA731" i="17"/>
  <c r="W731" i="17"/>
  <c r="AA730" i="17"/>
  <c r="W730" i="17"/>
  <c r="AA729" i="17"/>
  <c r="W729" i="17"/>
  <c r="AA728" i="17"/>
  <c r="W728" i="17"/>
  <c r="AA727" i="17"/>
  <c r="W727" i="17"/>
  <c r="AA726" i="17"/>
  <c r="W726" i="17"/>
  <c r="AA725" i="17"/>
  <c r="W725" i="17"/>
  <c r="AA724" i="17"/>
  <c r="W724" i="17"/>
  <c r="AA723" i="17"/>
  <c r="W723" i="17"/>
  <c r="AA722" i="17"/>
  <c r="W722" i="17"/>
  <c r="AA721" i="17"/>
  <c r="W721" i="17"/>
  <c r="AA720" i="17"/>
  <c r="W720" i="17"/>
  <c r="AA719" i="17"/>
  <c r="W719" i="17"/>
  <c r="AA718" i="17"/>
  <c r="W718" i="17"/>
  <c r="AA717" i="17"/>
  <c r="W717" i="17"/>
  <c r="AA716" i="17"/>
  <c r="W716" i="17"/>
  <c r="AA715" i="17"/>
  <c r="W715" i="17"/>
  <c r="AA714" i="17"/>
  <c r="W714" i="17"/>
  <c r="AA713" i="17"/>
  <c r="W713" i="17"/>
  <c r="AA712" i="17"/>
  <c r="W712" i="17"/>
  <c r="AA711" i="17"/>
  <c r="W711" i="17"/>
  <c r="AA710" i="17"/>
  <c r="W710" i="17"/>
  <c r="AA709" i="17"/>
  <c r="W709" i="17"/>
  <c r="AA708" i="17"/>
  <c r="W708" i="17"/>
  <c r="AA707" i="17"/>
  <c r="W707" i="17"/>
  <c r="AA706" i="17"/>
  <c r="W706" i="17"/>
  <c r="AA705" i="17"/>
  <c r="W705" i="17"/>
  <c r="AA704" i="17"/>
  <c r="W704" i="17"/>
  <c r="AA703" i="17"/>
  <c r="W703" i="17"/>
  <c r="AA702" i="17"/>
  <c r="W702" i="17"/>
  <c r="AA701" i="17"/>
  <c r="W701" i="17"/>
  <c r="AA700" i="17"/>
  <c r="W700" i="17"/>
  <c r="AA699" i="17"/>
  <c r="W699" i="17"/>
  <c r="AA698" i="17"/>
  <c r="W698" i="17"/>
  <c r="AA697" i="17"/>
  <c r="W697" i="17"/>
  <c r="AA696" i="17"/>
  <c r="W696" i="17"/>
  <c r="AA695" i="17"/>
  <c r="W695" i="17"/>
  <c r="AA694" i="17"/>
  <c r="W694" i="17"/>
  <c r="AA693" i="17"/>
  <c r="W693" i="17"/>
  <c r="AA692" i="17"/>
  <c r="W692" i="17"/>
  <c r="AA691" i="17"/>
  <c r="W691" i="17"/>
  <c r="AA690" i="17"/>
  <c r="W690" i="17"/>
  <c r="AA689" i="17"/>
  <c r="W689" i="17"/>
  <c r="AA688" i="17"/>
  <c r="W688" i="17"/>
  <c r="AA687" i="17"/>
  <c r="W687" i="17"/>
  <c r="AA686" i="17"/>
  <c r="W686" i="17"/>
  <c r="AA685" i="17"/>
  <c r="W685" i="17"/>
  <c r="AA684" i="17"/>
  <c r="W684" i="17"/>
  <c r="AA683" i="17"/>
  <c r="W683" i="17"/>
  <c r="AA682" i="17"/>
  <c r="W682" i="17"/>
  <c r="AA681" i="17"/>
  <c r="W681" i="17"/>
  <c r="AA680" i="17"/>
  <c r="W680" i="17"/>
  <c r="AA679" i="17"/>
  <c r="W679" i="17"/>
  <c r="AA678" i="17"/>
  <c r="W678" i="17"/>
  <c r="AA677" i="17"/>
  <c r="W677" i="17"/>
  <c r="AA676" i="17"/>
  <c r="W676" i="17"/>
  <c r="AA675" i="17"/>
  <c r="W675" i="17"/>
  <c r="AA674" i="17"/>
  <c r="W674" i="17"/>
  <c r="AA673" i="17"/>
  <c r="W673" i="17"/>
  <c r="AA672" i="17"/>
  <c r="W672" i="17"/>
  <c r="AA671" i="17"/>
  <c r="W671" i="17"/>
  <c r="AA670" i="17"/>
  <c r="W670" i="17"/>
  <c r="AA669" i="17"/>
  <c r="W669" i="17"/>
  <c r="AA668" i="17"/>
  <c r="W668" i="17"/>
  <c r="AA667" i="17"/>
  <c r="W667" i="17"/>
  <c r="AA666" i="17"/>
  <c r="W666" i="17"/>
  <c r="AA665" i="17"/>
  <c r="W665" i="17"/>
  <c r="AA664" i="17"/>
  <c r="W664" i="17"/>
  <c r="AA663" i="17"/>
  <c r="W663" i="17"/>
  <c r="AA662" i="17"/>
  <c r="W662" i="17"/>
  <c r="AA661" i="17"/>
  <c r="W661" i="17"/>
  <c r="AA660" i="17"/>
  <c r="W660" i="17"/>
  <c r="AA659" i="17"/>
  <c r="W659" i="17"/>
  <c r="AA658" i="17"/>
  <c r="W658" i="17"/>
  <c r="AA657" i="17"/>
  <c r="W657" i="17"/>
  <c r="AA656" i="17"/>
  <c r="W656" i="17"/>
  <c r="AA655" i="17"/>
  <c r="W655" i="17"/>
  <c r="AA654" i="17"/>
  <c r="W654" i="17"/>
  <c r="AA653" i="17"/>
  <c r="W653" i="17"/>
  <c r="AA652" i="17"/>
  <c r="W652" i="17"/>
  <c r="AA651" i="17"/>
  <c r="W651" i="17"/>
  <c r="AA650" i="17"/>
  <c r="W650" i="17"/>
  <c r="AA649" i="17"/>
  <c r="W649" i="17"/>
  <c r="AA648" i="17"/>
  <c r="W648" i="17"/>
  <c r="AA647" i="17"/>
  <c r="W647" i="17"/>
  <c r="AA646" i="17"/>
  <c r="W646" i="17"/>
  <c r="AA645" i="17"/>
  <c r="W645" i="17"/>
  <c r="AA644" i="17"/>
  <c r="W644" i="17"/>
  <c r="AA643" i="17"/>
  <c r="W643" i="17"/>
  <c r="AA642" i="17"/>
  <c r="W642" i="17"/>
  <c r="AA641" i="17"/>
  <c r="W641" i="17"/>
  <c r="AA640" i="17"/>
  <c r="W640" i="17"/>
  <c r="AA639" i="17"/>
  <c r="W639" i="17"/>
  <c r="AA638" i="17"/>
  <c r="W638" i="17"/>
  <c r="AA637" i="17"/>
  <c r="W637" i="17"/>
  <c r="AA636" i="17"/>
  <c r="W636" i="17"/>
  <c r="AA635" i="17"/>
  <c r="W635" i="17"/>
  <c r="AA634" i="17"/>
  <c r="W634" i="17"/>
  <c r="AA633" i="17"/>
  <c r="W633" i="17"/>
  <c r="AA632" i="17"/>
  <c r="W632" i="17"/>
  <c r="AA631" i="17"/>
  <c r="W631" i="17"/>
  <c r="AA630" i="17"/>
  <c r="W630" i="17"/>
  <c r="AA629" i="17"/>
  <c r="W629" i="17"/>
  <c r="AA628" i="17"/>
  <c r="W628" i="17"/>
  <c r="AA627" i="17"/>
  <c r="W627" i="17"/>
  <c r="AA626" i="17"/>
  <c r="W626" i="17"/>
  <c r="AA625" i="17"/>
  <c r="W625" i="17"/>
  <c r="AA624" i="17"/>
  <c r="W624" i="17"/>
  <c r="AA623" i="17"/>
  <c r="W623" i="17"/>
  <c r="AA622" i="17"/>
  <c r="W622" i="17"/>
  <c r="AA621" i="17"/>
  <c r="W621" i="17"/>
  <c r="AA620" i="17"/>
  <c r="W620" i="17"/>
  <c r="AA619" i="17"/>
  <c r="W619" i="17"/>
  <c r="AA618" i="17"/>
  <c r="W618" i="17"/>
  <c r="AA617" i="17"/>
  <c r="W617" i="17"/>
  <c r="AA616" i="17"/>
  <c r="W616" i="17"/>
  <c r="AA615" i="17"/>
  <c r="W615" i="17"/>
  <c r="AA614" i="17"/>
  <c r="W614" i="17"/>
  <c r="AA613" i="17"/>
  <c r="W613" i="17"/>
  <c r="AA612" i="17"/>
  <c r="W612" i="17"/>
  <c r="AA611" i="17"/>
  <c r="W611" i="17"/>
  <c r="AA610" i="17"/>
  <c r="W610" i="17"/>
  <c r="AA609" i="17"/>
  <c r="W609" i="17"/>
  <c r="AA608" i="17"/>
  <c r="W608" i="17"/>
  <c r="AA607" i="17"/>
  <c r="W607" i="17"/>
  <c r="AA606" i="17"/>
  <c r="W606" i="17"/>
  <c r="AA605" i="17"/>
  <c r="W605" i="17"/>
  <c r="AA604" i="17"/>
  <c r="W604" i="17"/>
  <c r="AA603" i="17"/>
  <c r="W603" i="17"/>
  <c r="AA602" i="17"/>
  <c r="W602" i="17"/>
  <c r="AA601" i="17"/>
  <c r="W601" i="17"/>
  <c r="AA600" i="17"/>
  <c r="W600" i="17"/>
  <c r="AA599" i="17"/>
  <c r="W599" i="17"/>
  <c r="AA598" i="17"/>
  <c r="W598" i="17"/>
  <c r="AA597" i="17"/>
  <c r="W597" i="17"/>
  <c r="AA596" i="17"/>
  <c r="W596" i="17"/>
  <c r="AA595" i="17"/>
  <c r="W595" i="17"/>
  <c r="AA594" i="17"/>
  <c r="W594" i="17"/>
  <c r="AA593" i="17"/>
  <c r="W593" i="17"/>
  <c r="AA592" i="17"/>
  <c r="W592" i="17"/>
  <c r="AA591" i="17"/>
  <c r="W591" i="17"/>
  <c r="AA590" i="17"/>
  <c r="W590" i="17"/>
  <c r="AA589" i="17"/>
  <c r="W589" i="17"/>
  <c r="AA588" i="17"/>
  <c r="W588" i="17"/>
  <c r="AA587" i="17"/>
  <c r="W587" i="17"/>
  <c r="AA586" i="17"/>
  <c r="W586" i="17"/>
  <c r="AA585" i="17"/>
  <c r="W585" i="17"/>
  <c r="AA584" i="17"/>
  <c r="W584" i="17"/>
  <c r="AA583" i="17"/>
  <c r="W583" i="17"/>
  <c r="AA582" i="17"/>
  <c r="W582" i="17"/>
  <c r="AA581" i="17"/>
  <c r="W581" i="17"/>
  <c r="AA580" i="17"/>
  <c r="W580" i="17"/>
  <c r="AA579" i="17"/>
  <c r="W579" i="17"/>
  <c r="AA578" i="17"/>
  <c r="W578" i="17"/>
  <c r="AA577" i="17"/>
  <c r="W577" i="17"/>
  <c r="AA576" i="17"/>
  <c r="W576" i="17"/>
  <c r="AA575" i="17"/>
  <c r="W575" i="17"/>
  <c r="AA574" i="17"/>
  <c r="W574" i="17"/>
  <c r="AA573" i="17"/>
  <c r="W573" i="17"/>
  <c r="AA572" i="17"/>
  <c r="W572" i="17"/>
  <c r="AA571" i="17"/>
  <c r="W571" i="17"/>
  <c r="AA570" i="17"/>
  <c r="W570" i="17"/>
  <c r="AA569" i="17"/>
  <c r="W569" i="17"/>
  <c r="AA568" i="17"/>
  <c r="W568" i="17"/>
  <c r="AA567" i="17"/>
  <c r="W567" i="17"/>
  <c r="AA566" i="17"/>
  <c r="W566" i="17"/>
  <c r="AA565" i="17"/>
  <c r="W565" i="17"/>
  <c r="AA564" i="17"/>
  <c r="W564" i="17"/>
  <c r="AA563" i="17"/>
  <c r="W563" i="17"/>
  <c r="AA562" i="17"/>
  <c r="W562" i="17"/>
  <c r="AA561" i="17"/>
  <c r="W561" i="17"/>
  <c r="AA560" i="17"/>
  <c r="W560" i="17"/>
  <c r="AA559" i="17"/>
  <c r="W559" i="17"/>
  <c r="AA558" i="17"/>
  <c r="W558" i="17"/>
  <c r="AA557" i="17"/>
  <c r="W557" i="17"/>
  <c r="AA556" i="17"/>
  <c r="W556" i="17"/>
  <c r="AA555" i="17"/>
  <c r="W555" i="17"/>
  <c r="AA554" i="17"/>
  <c r="W554" i="17"/>
  <c r="AA553" i="17"/>
  <c r="W553" i="17"/>
  <c r="AA552" i="17"/>
  <c r="W552" i="17"/>
  <c r="AA551" i="17"/>
  <c r="W551" i="17"/>
  <c r="AA550" i="17"/>
  <c r="W550" i="17"/>
  <c r="AA549" i="17"/>
  <c r="W549" i="17"/>
  <c r="AA548" i="17"/>
  <c r="W548" i="17"/>
  <c r="AA547" i="17"/>
  <c r="W547" i="17"/>
  <c r="AA546" i="17"/>
  <c r="W546" i="17"/>
  <c r="AA545" i="17"/>
  <c r="W545" i="17"/>
  <c r="AA544" i="17"/>
  <c r="W544" i="17"/>
  <c r="AA543" i="17"/>
  <c r="W543" i="17"/>
  <c r="AA542" i="17"/>
  <c r="W542" i="17"/>
  <c r="AA541" i="17"/>
  <c r="W541" i="17"/>
  <c r="AA540" i="17"/>
  <c r="W540" i="17"/>
  <c r="AA539" i="17"/>
  <c r="W539" i="17"/>
  <c r="AA538" i="17"/>
  <c r="W538" i="17"/>
  <c r="AA537" i="17"/>
  <c r="W537" i="17"/>
  <c r="AA536" i="17"/>
  <c r="W536" i="17"/>
  <c r="AA535" i="17"/>
  <c r="W535" i="17"/>
  <c r="AA534" i="17"/>
  <c r="W534" i="17"/>
  <c r="AA533" i="17"/>
  <c r="W533" i="17"/>
  <c r="AA532" i="17"/>
  <c r="W532" i="17"/>
  <c r="AA531" i="17"/>
  <c r="W531" i="17"/>
  <c r="AA530" i="17"/>
  <c r="W530" i="17"/>
  <c r="AA529" i="17"/>
  <c r="W529" i="17"/>
  <c r="AA528" i="17"/>
  <c r="W528" i="17"/>
  <c r="AA527" i="17"/>
  <c r="W527" i="17"/>
  <c r="AA526" i="17"/>
  <c r="W526" i="17"/>
  <c r="AA525" i="17"/>
  <c r="W525" i="17"/>
  <c r="AA524" i="17"/>
  <c r="W524" i="17"/>
  <c r="AA523" i="17"/>
  <c r="W523" i="17"/>
  <c r="AA522" i="17"/>
  <c r="W522" i="17"/>
  <c r="AA521" i="17"/>
  <c r="W521" i="17"/>
  <c r="AA520" i="17"/>
  <c r="W520" i="17"/>
  <c r="AA519" i="17"/>
  <c r="W519" i="17"/>
  <c r="AA518" i="17"/>
  <c r="W518" i="17"/>
  <c r="AA517" i="17"/>
  <c r="W517" i="17"/>
  <c r="AA516" i="17"/>
  <c r="W516" i="17"/>
  <c r="AA515" i="17"/>
  <c r="W515" i="17"/>
  <c r="AA514" i="17"/>
  <c r="W514" i="17"/>
  <c r="AA513" i="17"/>
  <c r="W513" i="17"/>
  <c r="AA512" i="17"/>
  <c r="W512" i="17"/>
  <c r="AA511" i="17"/>
  <c r="W511" i="17"/>
  <c r="AA510" i="17"/>
  <c r="W510" i="17"/>
  <c r="AA509" i="17"/>
  <c r="W509" i="17"/>
  <c r="AA508" i="17"/>
  <c r="W508" i="17"/>
  <c r="AA507" i="17"/>
  <c r="W507" i="17"/>
  <c r="AA506" i="17"/>
  <c r="W506" i="17"/>
  <c r="AA505" i="17"/>
  <c r="W505" i="17"/>
  <c r="AA504" i="17"/>
  <c r="W504" i="17"/>
  <c r="AA503" i="17"/>
  <c r="W503" i="17"/>
  <c r="AA502" i="17"/>
  <c r="W502" i="17"/>
  <c r="AA501" i="17"/>
  <c r="W501" i="17"/>
  <c r="AA500" i="17"/>
  <c r="W500" i="17"/>
  <c r="AA499" i="17"/>
  <c r="W499" i="17"/>
  <c r="AA498" i="17"/>
  <c r="W498" i="17"/>
  <c r="AA497" i="17"/>
  <c r="W497" i="17"/>
  <c r="AA496" i="17"/>
  <c r="W496" i="17"/>
  <c r="AA495" i="17"/>
  <c r="W495" i="17"/>
  <c r="AA494" i="17"/>
  <c r="W494" i="17"/>
  <c r="AA493" i="17"/>
  <c r="W493" i="17"/>
  <c r="AA492" i="17"/>
  <c r="W492" i="17"/>
  <c r="AA491" i="17"/>
  <c r="W491" i="17"/>
  <c r="AA490" i="17"/>
  <c r="W490" i="17"/>
  <c r="AA489" i="17"/>
  <c r="W489" i="17"/>
  <c r="AA488" i="17"/>
  <c r="W488" i="17"/>
  <c r="AA487" i="17"/>
  <c r="W487" i="17"/>
  <c r="AA486" i="17"/>
  <c r="W486" i="17"/>
  <c r="AA485" i="17"/>
  <c r="W485" i="17"/>
  <c r="AA484" i="17"/>
  <c r="W484" i="17"/>
  <c r="AA483" i="17"/>
  <c r="W483" i="17"/>
  <c r="AA482" i="17"/>
  <c r="W482" i="17"/>
  <c r="AA481" i="17"/>
  <c r="W481" i="17"/>
  <c r="AA480" i="17"/>
  <c r="W480" i="17"/>
  <c r="AA479" i="17"/>
  <c r="W479" i="17"/>
  <c r="AA478" i="17"/>
  <c r="W478" i="17"/>
  <c r="AA477" i="17"/>
  <c r="W477" i="17"/>
  <c r="AA476" i="17"/>
  <c r="W476" i="17"/>
  <c r="AA475" i="17"/>
  <c r="W475" i="17"/>
  <c r="AA474" i="17"/>
  <c r="W474" i="17"/>
  <c r="AA473" i="17"/>
  <c r="W473" i="17"/>
  <c r="AA472" i="17"/>
  <c r="W472" i="17"/>
  <c r="AA471" i="17"/>
  <c r="W471" i="17"/>
  <c r="AA470" i="17"/>
  <c r="W470" i="17"/>
  <c r="AA469" i="17"/>
  <c r="W469" i="17"/>
  <c r="AA468" i="17"/>
  <c r="W468" i="17"/>
  <c r="AA467" i="17"/>
  <c r="W467" i="17"/>
  <c r="AA466" i="17"/>
  <c r="W466" i="17"/>
  <c r="AA465" i="17"/>
  <c r="W465" i="17"/>
  <c r="AA464" i="17"/>
  <c r="W464" i="17"/>
  <c r="AA463" i="17"/>
  <c r="W463" i="17"/>
  <c r="AA462" i="17"/>
  <c r="W462" i="17"/>
  <c r="AA461" i="17"/>
  <c r="W461" i="17"/>
  <c r="AA460" i="17"/>
  <c r="W460" i="17"/>
  <c r="AA459" i="17"/>
  <c r="W459" i="17"/>
  <c r="AA458" i="17"/>
  <c r="W458" i="17"/>
  <c r="AA457" i="17"/>
  <c r="W457" i="17"/>
  <c r="AA456" i="17"/>
  <c r="W456" i="17"/>
  <c r="AA455" i="17"/>
  <c r="W455" i="17"/>
  <c r="AA454" i="17"/>
  <c r="W454" i="17"/>
  <c r="AA453" i="17"/>
  <c r="W453" i="17"/>
  <c r="AA452" i="17"/>
  <c r="W452" i="17"/>
  <c r="AA451" i="17"/>
  <c r="W451" i="17"/>
  <c r="AA450" i="17"/>
  <c r="W450" i="17"/>
  <c r="AA449" i="17"/>
  <c r="W449" i="17"/>
  <c r="AA448" i="17"/>
  <c r="W448" i="17"/>
  <c r="AA447" i="17"/>
  <c r="W447" i="17"/>
  <c r="AA446" i="17"/>
  <c r="W446" i="17"/>
  <c r="AA445" i="17"/>
  <c r="W445" i="17"/>
  <c r="AA444" i="17"/>
  <c r="W444" i="17"/>
  <c r="AA443" i="17"/>
  <c r="W443" i="17"/>
  <c r="AA442" i="17"/>
  <c r="W442" i="17"/>
  <c r="AA441" i="17"/>
  <c r="W441" i="17"/>
  <c r="AA440" i="17"/>
  <c r="W440" i="17"/>
  <c r="AA439" i="17"/>
  <c r="W439" i="17"/>
  <c r="AA438" i="17"/>
  <c r="W438" i="17"/>
  <c r="AA437" i="17"/>
  <c r="W437" i="17"/>
  <c r="AA436" i="17"/>
  <c r="W436" i="17"/>
  <c r="AA435" i="17"/>
  <c r="W435" i="17"/>
  <c r="AA434" i="17"/>
  <c r="W434" i="17"/>
  <c r="AA433" i="17"/>
  <c r="W433" i="17"/>
  <c r="AA432" i="17"/>
  <c r="W432" i="17"/>
  <c r="AA431" i="17"/>
  <c r="W431" i="17"/>
  <c r="AA430" i="17"/>
  <c r="W430" i="17"/>
  <c r="AA429" i="17"/>
  <c r="W429" i="17"/>
  <c r="AA428" i="17"/>
  <c r="W428" i="17"/>
  <c r="AA427" i="17"/>
  <c r="W427" i="17"/>
  <c r="AA426" i="17"/>
  <c r="W426" i="17"/>
  <c r="AA425" i="17"/>
  <c r="W425" i="17"/>
  <c r="AA424" i="17"/>
  <c r="W424" i="17"/>
  <c r="AA423" i="17"/>
  <c r="W423" i="17"/>
  <c r="AA422" i="17"/>
  <c r="W422" i="17"/>
  <c r="AA421" i="17"/>
  <c r="W421" i="17"/>
  <c r="AA420" i="17"/>
  <c r="W420" i="17"/>
  <c r="AA419" i="17"/>
  <c r="W419" i="17"/>
  <c r="AA418" i="17"/>
  <c r="W418" i="17"/>
  <c r="AA417" i="17"/>
  <c r="W417" i="17"/>
  <c r="AA416" i="17"/>
  <c r="W416" i="17"/>
  <c r="AA415" i="17"/>
  <c r="W415" i="17"/>
  <c r="AA414" i="17"/>
  <c r="W414" i="17"/>
  <c r="AA413" i="17"/>
  <c r="W413" i="17"/>
  <c r="AA412" i="17"/>
  <c r="W412" i="17"/>
  <c r="AA411" i="17"/>
  <c r="W411" i="17"/>
  <c r="AA410" i="17"/>
  <c r="W410" i="17"/>
  <c r="AA409" i="17"/>
  <c r="W409" i="17"/>
  <c r="AA408" i="17"/>
  <c r="W408" i="17"/>
  <c r="AA407" i="17"/>
  <c r="W407" i="17"/>
  <c r="AA406" i="17"/>
  <c r="W406" i="17"/>
  <c r="AA405" i="17"/>
  <c r="W405" i="17"/>
  <c r="AA404" i="17"/>
  <c r="W404" i="17"/>
  <c r="AA403" i="17"/>
  <c r="W403" i="17"/>
  <c r="AA402" i="17"/>
  <c r="W402" i="17"/>
  <c r="AA401" i="17"/>
  <c r="W401" i="17"/>
  <c r="AA400" i="17"/>
  <c r="W400" i="17"/>
  <c r="AA399" i="17"/>
  <c r="W399" i="17"/>
  <c r="AA398" i="17"/>
  <c r="W398" i="17"/>
  <c r="AA397" i="17"/>
  <c r="W397" i="17"/>
  <c r="AA396" i="17"/>
  <c r="W396" i="17"/>
  <c r="AA395" i="17"/>
  <c r="W395" i="17"/>
  <c r="AA394" i="17"/>
  <c r="W394" i="17"/>
  <c r="AA393" i="17"/>
  <c r="W393" i="17"/>
  <c r="AA392" i="17"/>
  <c r="W392" i="17"/>
  <c r="AA391" i="17"/>
  <c r="W391" i="17"/>
  <c r="AA390" i="17"/>
  <c r="W390" i="17"/>
  <c r="AA389" i="17"/>
  <c r="W389" i="17"/>
  <c r="AA388" i="17"/>
  <c r="W388" i="17"/>
  <c r="AA387" i="17"/>
  <c r="W387" i="17"/>
  <c r="AA386" i="17"/>
  <c r="W386" i="17"/>
  <c r="AA385" i="17"/>
  <c r="W385" i="17"/>
  <c r="AA384" i="17"/>
  <c r="W384" i="17"/>
  <c r="AA383" i="17"/>
  <c r="W383" i="17"/>
  <c r="AA382" i="17"/>
  <c r="W382" i="17"/>
  <c r="AA381" i="17"/>
  <c r="W381" i="17"/>
  <c r="AA380" i="17"/>
  <c r="W380" i="17"/>
  <c r="AA379" i="17"/>
  <c r="W379" i="17"/>
  <c r="AA378" i="17"/>
  <c r="W378" i="17"/>
  <c r="AA377" i="17"/>
  <c r="W377" i="17"/>
  <c r="AA376" i="17"/>
  <c r="W376" i="17"/>
  <c r="AA375" i="17"/>
  <c r="W375" i="17"/>
  <c r="AA374" i="17"/>
  <c r="W374" i="17"/>
  <c r="AA373" i="17"/>
  <c r="W373" i="17"/>
  <c r="AA372" i="17"/>
  <c r="W372" i="17"/>
  <c r="AA371" i="17"/>
  <c r="W371" i="17"/>
  <c r="AA370" i="17"/>
  <c r="W370" i="17"/>
  <c r="AA369" i="17"/>
  <c r="W369" i="17"/>
  <c r="AA368" i="17"/>
  <c r="W368" i="17"/>
  <c r="AA367" i="17"/>
  <c r="W367" i="17"/>
  <c r="AA366" i="17"/>
  <c r="W366" i="17"/>
  <c r="AA365" i="17"/>
  <c r="W365" i="17"/>
  <c r="AA364" i="17"/>
  <c r="W364" i="17"/>
  <c r="AA363" i="17"/>
  <c r="W363" i="17"/>
  <c r="AA362" i="17"/>
  <c r="W362" i="17"/>
  <c r="AA361" i="17"/>
  <c r="W361" i="17"/>
  <c r="AA360" i="17"/>
  <c r="W360" i="17"/>
  <c r="AA359" i="17"/>
  <c r="W359" i="17"/>
  <c r="AA358" i="17"/>
  <c r="W358" i="17"/>
  <c r="AA357" i="17"/>
  <c r="W357" i="17"/>
  <c r="AA356" i="17"/>
  <c r="W356" i="17"/>
  <c r="AA355" i="17"/>
  <c r="W355" i="17"/>
  <c r="AA354" i="17"/>
  <c r="W354" i="17"/>
  <c r="AA353" i="17"/>
  <c r="W353" i="17"/>
  <c r="AA352" i="17"/>
  <c r="W352" i="17"/>
  <c r="AA351" i="17"/>
  <c r="W351" i="17"/>
  <c r="AA350" i="17"/>
  <c r="W350" i="17"/>
  <c r="AA349" i="17"/>
  <c r="W349" i="17"/>
  <c r="AA348" i="17"/>
  <c r="W348" i="17"/>
  <c r="AA347" i="17"/>
  <c r="W347" i="17"/>
  <c r="AA346" i="17"/>
  <c r="W346" i="17"/>
  <c r="AA345" i="17"/>
  <c r="W345" i="17"/>
  <c r="AA344" i="17"/>
  <c r="W344" i="17"/>
  <c r="AA343" i="17"/>
  <c r="W343" i="17"/>
  <c r="AA342" i="17"/>
  <c r="W342" i="17"/>
  <c r="AA341" i="17"/>
  <c r="W341" i="17"/>
  <c r="AA340" i="17"/>
  <c r="W340" i="17"/>
  <c r="AA339" i="17"/>
  <c r="W339" i="17"/>
  <c r="AA338" i="17"/>
  <c r="W338" i="17"/>
  <c r="AA337" i="17"/>
  <c r="W337" i="17"/>
  <c r="AA336" i="17"/>
  <c r="W336" i="17"/>
  <c r="AA335" i="17"/>
  <c r="W335" i="17"/>
  <c r="AA334" i="17"/>
  <c r="W334" i="17"/>
  <c r="AA333" i="17"/>
  <c r="W333" i="17"/>
  <c r="AA332" i="17"/>
  <c r="W332" i="17"/>
  <c r="AA331" i="17"/>
  <c r="W331" i="17"/>
  <c r="AA330" i="17"/>
  <c r="W330" i="17"/>
  <c r="AA329" i="17"/>
  <c r="W329" i="17"/>
  <c r="AA328" i="17"/>
  <c r="W328" i="17"/>
  <c r="AA327" i="17"/>
  <c r="W327" i="17"/>
  <c r="AA326" i="17"/>
  <c r="W326" i="17"/>
  <c r="AA325" i="17"/>
  <c r="W325" i="17"/>
  <c r="AA324" i="17"/>
  <c r="W324" i="17"/>
  <c r="AA323" i="17"/>
  <c r="W323" i="17"/>
  <c r="AA322" i="17"/>
  <c r="W322" i="17"/>
  <c r="AA321" i="17"/>
  <c r="W321" i="17"/>
  <c r="AA320" i="17"/>
  <c r="W320" i="17"/>
  <c r="AA319" i="17"/>
  <c r="W319" i="17"/>
  <c r="AA318" i="17"/>
  <c r="W318" i="17"/>
  <c r="AA317" i="17"/>
  <c r="W317" i="17"/>
  <c r="AA316" i="17"/>
  <c r="W316" i="17"/>
  <c r="AA315" i="17"/>
  <c r="W315" i="17"/>
  <c r="AA314" i="17"/>
  <c r="W314" i="17"/>
  <c r="AA313" i="17"/>
  <c r="W313" i="17"/>
  <c r="AA312" i="17"/>
  <c r="W312" i="17"/>
  <c r="AA311" i="17"/>
  <c r="W311" i="17"/>
  <c r="AA310" i="17"/>
  <c r="W310" i="17"/>
  <c r="AA309" i="17"/>
  <c r="W309" i="17"/>
  <c r="AA308" i="17"/>
  <c r="W308" i="17"/>
  <c r="AA307" i="17"/>
  <c r="W307" i="17"/>
  <c r="AA306" i="17"/>
  <c r="W306" i="17"/>
  <c r="AA305" i="17"/>
  <c r="W305" i="17"/>
  <c r="AA304" i="17"/>
  <c r="W304" i="17"/>
  <c r="AA303" i="17"/>
  <c r="W303" i="17"/>
  <c r="AA302" i="17"/>
  <c r="W302" i="17"/>
  <c r="AA301" i="17"/>
  <c r="W301" i="17"/>
  <c r="AA300" i="17"/>
  <c r="W300" i="17"/>
  <c r="AA299" i="17"/>
  <c r="W299" i="17"/>
  <c r="AA298" i="17"/>
  <c r="W298" i="17"/>
  <c r="AA297" i="17"/>
  <c r="W297" i="17"/>
  <c r="AA296" i="17"/>
  <c r="W296" i="17"/>
  <c r="AA295" i="17"/>
  <c r="W295" i="17"/>
  <c r="AA294" i="17"/>
  <c r="W294" i="17"/>
  <c r="AA293" i="17"/>
  <c r="W293" i="17"/>
  <c r="AA292" i="17"/>
  <c r="W292" i="17"/>
  <c r="AA291" i="17"/>
  <c r="W291" i="17"/>
  <c r="AA290" i="17"/>
  <c r="W290" i="17"/>
  <c r="AA289" i="17"/>
  <c r="W289" i="17"/>
  <c r="AA288" i="17"/>
  <c r="W288" i="17"/>
  <c r="AA287" i="17"/>
  <c r="W287" i="17"/>
  <c r="AA286" i="17"/>
  <c r="W286" i="17"/>
  <c r="AA285" i="17"/>
  <c r="W285" i="17"/>
  <c r="AA284" i="17"/>
  <c r="W284" i="17"/>
  <c r="AA283" i="17"/>
  <c r="W283" i="17"/>
  <c r="AA282" i="17"/>
  <c r="W282" i="17"/>
  <c r="AA281" i="17"/>
  <c r="W281" i="17"/>
  <c r="AA280" i="17"/>
  <c r="W280" i="17"/>
  <c r="AA279" i="17"/>
  <c r="W279" i="17"/>
  <c r="AA278" i="17"/>
  <c r="W278" i="17"/>
  <c r="AA277" i="17"/>
  <c r="W277" i="17"/>
  <c r="AA276" i="17"/>
  <c r="W276" i="17"/>
  <c r="AA275" i="17"/>
  <c r="W275" i="17"/>
  <c r="AA274" i="17"/>
  <c r="W274" i="17"/>
  <c r="AA273" i="17"/>
  <c r="W273" i="17"/>
  <c r="AA272" i="17"/>
  <c r="W272" i="17"/>
  <c r="AA271" i="17"/>
  <c r="W271" i="17"/>
  <c r="AA270" i="17"/>
  <c r="W270" i="17"/>
  <c r="AA269" i="17"/>
  <c r="W269" i="17"/>
  <c r="AA268" i="17"/>
  <c r="W268" i="17"/>
  <c r="AA267" i="17"/>
  <c r="W267" i="17"/>
  <c r="AA266" i="17"/>
  <c r="W266" i="17"/>
  <c r="AA265" i="17"/>
  <c r="W265" i="17"/>
  <c r="AA264" i="17"/>
  <c r="W264" i="17"/>
  <c r="AA263" i="17"/>
  <c r="W263" i="17"/>
  <c r="AA262" i="17"/>
  <c r="W262" i="17"/>
  <c r="AA261" i="17"/>
  <c r="W261" i="17"/>
  <c r="AA260" i="17"/>
  <c r="W260" i="17"/>
  <c r="AA259" i="17"/>
  <c r="W259" i="17"/>
  <c r="AA258" i="17"/>
  <c r="W258" i="17"/>
  <c r="AA257" i="17"/>
  <c r="W257" i="17"/>
  <c r="AA256" i="17"/>
  <c r="W256" i="17"/>
  <c r="AA255" i="17"/>
  <c r="W255" i="17"/>
  <c r="AA254" i="17"/>
  <c r="W254" i="17"/>
  <c r="AA253" i="17"/>
  <c r="W253" i="17"/>
  <c r="AA252" i="17"/>
  <c r="W252" i="17"/>
  <c r="AA251" i="17"/>
  <c r="W251" i="17"/>
  <c r="AA250" i="17"/>
  <c r="W250" i="17"/>
  <c r="AA249" i="17"/>
  <c r="W249" i="17"/>
  <c r="AA248" i="17"/>
  <c r="W248" i="17"/>
  <c r="AA247" i="17"/>
  <c r="W247" i="17"/>
  <c r="AA246" i="17"/>
  <c r="W246" i="17"/>
  <c r="AA245" i="17"/>
  <c r="W245" i="17"/>
  <c r="AA244" i="17"/>
  <c r="W244" i="17"/>
  <c r="AA243" i="17"/>
  <c r="W243" i="17"/>
  <c r="AA242" i="17"/>
  <c r="W242" i="17"/>
  <c r="AA241" i="17"/>
  <c r="W241" i="17"/>
  <c r="AA240" i="17"/>
  <c r="W240" i="17"/>
  <c r="AA239" i="17"/>
  <c r="W239" i="17"/>
  <c r="AA238" i="17"/>
  <c r="W238" i="17"/>
  <c r="AA237" i="17"/>
  <c r="W237" i="17"/>
  <c r="AA236" i="17"/>
  <c r="W236" i="17"/>
  <c r="AA235" i="17"/>
  <c r="W235" i="17"/>
  <c r="AA234" i="17"/>
  <c r="W234" i="17"/>
  <c r="AA233" i="17"/>
  <c r="W233" i="17"/>
  <c r="AA232" i="17"/>
  <c r="W232" i="17"/>
  <c r="AA231" i="17"/>
  <c r="W231" i="17"/>
  <c r="AA230" i="17"/>
  <c r="W230" i="17"/>
  <c r="AA229" i="17"/>
  <c r="W229" i="17"/>
  <c r="AA228" i="17"/>
  <c r="W228" i="17"/>
  <c r="AA227" i="17"/>
  <c r="W227" i="17"/>
  <c r="AA226" i="17"/>
  <c r="W226" i="17"/>
  <c r="AA225" i="17"/>
  <c r="W225" i="17"/>
  <c r="AA224" i="17"/>
  <c r="W224" i="17"/>
  <c r="AA223" i="17"/>
  <c r="W223" i="17"/>
  <c r="AA222" i="17"/>
  <c r="W222" i="17"/>
  <c r="AA221" i="17"/>
  <c r="W221" i="17"/>
  <c r="AA220" i="17"/>
  <c r="W220" i="17"/>
  <c r="AA219" i="17"/>
  <c r="W219" i="17"/>
  <c r="AA218" i="17"/>
  <c r="W218" i="17"/>
  <c r="AA217" i="17"/>
  <c r="W217" i="17"/>
  <c r="AA216" i="17"/>
  <c r="W216" i="17"/>
  <c r="AA215" i="17"/>
  <c r="W215" i="17"/>
  <c r="AA214" i="17"/>
  <c r="W214" i="17"/>
  <c r="AA213" i="17"/>
  <c r="W213" i="17"/>
  <c r="AA212" i="17"/>
  <c r="W212" i="17"/>
  <c r="AA211" i="17"/>
  <c r="W211" i="17"/>
  <c r="AA210" i="17"/>
  <c r="W210" i="17"/>
  <c r="AA209" i="17"/>
  <c r="W209" i="17"/>
  <c r="AA208" i="17"/>
  <c r="W208" i="17"/>
  <c r="AA207" i="17"/>
  <c r="W207" i="17"/>
  <c r="AA206" i="17"/>
  <c r="W206" i="17"/>
  <c r="AA205" i="17"/>
  <c r="W205" i="17"/>
  <c r="AA204" i="17"/>
  <c r="W204" i="17"/>
  <c r="AA203" i="17"/>
  <c r="W203" i="17"/>
  <c r="AA202" i="17"/>
  <c r="W202" i="17"/>
  <c r="AA201" i="17"/>
  <c r="W201" i="17"/>
  <c r="AA200" i="17"/>
  <c r="W200" i="17"/>
  <c r="AA199" i="17"/>
  <c r="W199" i="17"/>
  <c r="AA198" i="17"/>
  <c r="W198" i="17"/>
  <c r="AA197" i="17"/>
  <c r="W197" i="17"/>
  <c r="AA196" i="17"/>
  <c r="W196" i="17"/>
  <c r="AA195" i="17"/>
  <c r="W195" i="17"/>
  <c r="AA194" i="17"/>
  <c r="W194" i="17"/>
  <c r="AA193" i="17"/>
  <c r="W193" i="17"/>
  <c r="AA192" i="17"/>
  <c r="W192" i="17"/>
  <c r="AA191" i="17"/>
  <c r="W191" i="17"/>
  <c r="AA190" i="17"/>
  <c r="W190" i="17"/>
  <c r="AA189" i="17"/>
  <c r="W189" i="17"/>
  <c r="AA188" i="17"/>
  <c r="W188" i="17"/>
  <c r="AA187" i="17"/>
  <c r="W187" i="17"/>
  <c r="AA186" i="17"/>
  <c r="W186" i="17"/>
  <c r="AA185" i="17"/>
  <c r="W185" i="17"/>
  <c r="AA184" i="17"/>
  <c r="W184" i="17"/>
  <c r="AA183" i="17"/>
  <c r="W183" i="17"/>
  <c r="AA182" i="17"/>
  <c r="W182" i="17"/>
  <c r="AA181" i="17"/>
  <c r="W181" i="17"/>
  <c r="AA180" i="17"/>
  <c r="W180" i="17"/>
  <c r="AA179" i="17"/>
  <c r="W179" i="17"/>
  <c r="AA178" i="17"/>
  <c r="W178" i="17"/>
  <c r="AA177" i="17"/>
  <c r="W177" i="17"/>
  <c r="AA176" i="17"/>
  <c r="W176" i="17"/>
  <c r="AA175" i="17"/>
  <c r="W175" i="17"/>
  <c r="AA174" i="17"/>
  <c r="W174" i="17"/>
  <c r="AA173" i="17"/>
  <c r="W173" i="17"/>
  <c r="AA172" i="17"/>
  <c r="W172" i="17"/>
  <c r="AA171" i="17"/>
  <c r="W171" i="17"/>
  <c r="AA170" i="17"/>
  <c r="W170" i="17"/>
  <c r="AA169" i="17"/>
  <c r="W169" i="17"/>
  <c r="AA168" i="17"/>
  <c r="W168" i="17"/>
  <c r="AA167" i="17"/>
  <c r="W167" i="17"/>
  <c r="AA166" i="17"/>
  <c r="W166" i="17"/>
  <c r="AA165" i="17"/>
  <c r="W165" i="17"/>
  <c r="AA164" i="17"/>
  <c r="W164" i="17"/>
  <c r="AA163" i="17"/>
  <c r="W163" i="17"/>
  <c r="AA162" i="17"/>
  <c r="W162" i="17"/>
  <c r="AA161" i="17"/>
  <c r="W161" i="17"/>
  <c r="AA160" i="17"/>
  <c r="W160" i="17"/>
  <c r="AA159" i="17"/>
  <c r="W159" i="17"/>
  <c r="AA158" i="17"/>
  <c r="W158" i="17"/>
  <c r="AA157" i="17"/>
  <c r="W157" i="17"/>
  <c r="AA156" i="17"/>
  <c r="W156" i="17"/>
  <c r="AA155" i="17"/>
  <c r="W155" i="17"/>
  <c r="AA154" i="17"/>
  <c r="W154" i="17"/>
  <c r="AA153" i="17"/>
  <c r="W153" i="17"/>
  <c r="AA152" i="17"/>
  <c r="W152" i="17"/>
  <c r="AA151" i="17"/>
  <c r="W151" i="17"/>
  <c r="AA150" i="17"/>
  <c r="W150" i="17"/>
  <c r="AA149" i="17"/>
  <c r="W149" i="17"/>
  <c r="AA148" i="17"/>
  <c r="W148" i="17"/>
  <c r="AA147" i="17"/>
  <c r="W147" i="17"/>
  <c r="AA146" i="17"/>
  <c r="W146" i="17"/>
  <c r="AA145" i="17"/>
  <c r="W145" i="17"/>
  <c r="AA144" i="17"/>
  <c r="W144" i="17"/>
  <c r="AA143" i="17"/>
  <c r="W143" i="17"/>
  <c r="AA142" i="17"/>
  <c r="W142" i="17"/>
  <c r="AA141" i="17"/>
  <c r="W141" i="17"/>
  <c r="AA140" i="17"/>
  <c r="W140" i="17"/>
  <c r="AA139" i="17"/>
  <c r="W139" i="17"/>
  <c r="AA138" i="17"/>
  <c r="W138" i="17"/>
  <c r="AA137" i="17"/>
  <c r="W137" i="17"/>
  <c r="AA136" i="17"/>
  <c r="W136" i="17"/>
  <c r="AA135" i="17"/>
  <c r="W135" i="17"/>
  <c r="AA134" i="17"/>
  <c r="W134" i="17"/>
  <c r="AA133" i="17"/>
  <c r="W133" i="17"/>
  <c r="AA132" i="17"/>
  <c r="W132" i="17"/>
  <c r="AA131" i="17"/>
  <c r="W131" i="17"/>
  <c r="AA130" i="17"/>
  <c r="W130" i="17"/>
  <c r="AA129" i="17"/>
  <c r="W129" i="17"/>
  <c r="AA128" i="17"/>
  <c r="W128" i="17"/>
  <c r="AA127" i="17"/>
  <c r="W127" i="17"/>
  <c r="AA126" i="17"/>
  <c r="W126" i="17"/>
  <c r="AA125" i="17"/>
  <c r="W125" i="17"/>
  <c r="AA124" i="17"/>
  <c r="W124" i="17"/>
  <c r="AA123" i="17"/>
  <c r="W123" i="17"/>
  <c r="AA122" i="17"/>
  <c r="W122" i="17"/>
  <c r="AA121" i="17"/>
  <c r="W121" i="17"/>
  <c r="AA120" i="17"/>
  <c r="W120" i="17"/>
  <c r="AA119" i="17"/>
  <c r="W119" i="17"/>
  <c r="AA118" i="17"/>
  <c r="W118" i="17"/>
  <c r="AA117" i="17"/>
  <c r="W117" i="17"/>
  <c r="AA116" i="17"/>
  <c r="W116" i="17"/>
  <c r="AA115" i="17"/>
  <c r="W115" i="17"/>
  <c r="AA114" i="17"/>
  <c r="W114" i="17"/>
  <c r="AA113" i="17"/>
  <c r="W113" i="17"/>
  <c r="AA112" i="17"/>
  <c r="W112" i="17"/>
  <c r="AA111" i="17"/>
  <c r="W111" i="17"/>
  <c r="AA110" i="17"/>
  <c r="W110" i="17"/>
  <c r="AA109" i="17"/>
  <c r="W109" i="17"/>
  <c r="AA108" i="17"/>
  <c r="W108" i="17"/>
  <c r="AA107" i="17"/>
  <c r="W107" i="17"/>
  <c r="AA106" i="17"/>
  <c r="W106" i="17"/>
  <c r="AA105" i="17"/>
  <c r="W105" i="17"/>
  <c r="AA104" i="17"/>
  <c r="W104" i="17"/>
  <c r="AA103" i="17"/>
  <c r="W103" i="17"/>
  <c r="AA102" i="17"/>
  <c r="W102" i="17"/>
  <c r="AA101" i="17"/>
  <c r="W101" i="17"/>
  <c r="AA100" i="17"/>
  <c r="W100" i="17"/>
  <c r="AA99" i="17"/>
  <c r="W99" i="17"/>
  <c r="AA98" i="17"/>
  <c r="W98" i="17"/>
  <c r="AA97" i="17"/>
  <c r="W97" i="17"/>
  <c r="AA96" i="17"/>
  <c r="W96" i="17"/>
  <c r="AA95" i="17"/>
  <c r="W95" i="17"/>
  <c r="AA94" i="17"/>
  <c r="W94" i="17"/>
  <c r="AA93" i="17"/>
  <c r="W93" i="17"/>
  <c r="AA92" i="17"/>
  <c r="W92" i="17"/>
  <c r="AA91" i="17"/>
  <c r="W91" i="17"/>
  <c r="AA90" i="17"/>
  <c r="W90" i="17"/>
  <c r="AA89" i="17"/>
  <c r="W89" i="17"/>
  <c r="AA88" i="17"/>
  <c r="W88" i="17"/>
  <c r="AA87" i="17"/>
  <c r="W87" i="17"/>
  <c r="AA86" i="17"/>
  <c r="W86" i="17"/>
  <c r="AA85" i="17"/>
  <c r="W85" i="17"/>
  <c r="AA84" i="17"/>
  <c r="W84" i="17"/>
  <c r="AA83" i="17"/>
  <c r="W83" i="17"/>
  <c r="AA82" i="17"/>
  <c r="W82" i="17"/>
  <c r="AA81" i="17"/>
  <c r="W81" i="17"/>
  <c r="AA80" i="17"/>
  <c r="W80" i="17"/>
  <c r="AA79" i="17"/>
  <c r="W79" i="17"/>
  <c r="AA78" i="17"/>
  <c r="W78" i="17"/>
  <c r="AA77" i="17"/>
  <c r="W77" i="17"/>
  <c r="AA76" i="17"/>
  <c r="W76" i="17"/>
  <c r="AA75" i="17"/>
  <c r="W75" i="17"/>
  <c r="AA74" i="17"/>
  <c r="W74" i="17"/>
  <c r="AA73" i="17"/>
  <c r="W73" i="17"/>
  <c r="AA72" i="17"/>
  <c r="W72" i="17"/>
  <c r="AA71" i="17"/>
  <c r="W71" i="17"/>
  <c r="AA70" i="17"/>
  <c r="W70" i="17"/>
  <c r="AA69" i="17"/>
  <c r="W69" i="17"/>
  <c r="AA68" i="17"/>
  <c r="W68" i="17"/>
  <c r="AA67" i="17"/>
  <c r="W67" i="17"/>
  <c r="AA66" i="17"/>
  <c r="W66" i="17"/>
  <c r="AA65" i="17"/>
  <c r="W65" i="17"/>
  <c r="AA64" i="17"/>
  <c r="W64" i="17"/>
  <c r="AA63" i="17"/>
  <c r="W63" i="17"/>
  <c r="AA62" i="17"/>
  <c r="W62" i="17"/>
  <c r="AA61" i="17"/>
  <c r="W61" i="17"/>
  <c r="AA60" i="17"/>
  <c r="W60" i="17"/>
  <c r="AA59" i="17"/>
  <c r="W59" i="17"/>
  <c r="AA58" i="17"/>
  <c r="W58" i="17"/>
  <c r="AA57" i="17"/>
  <c r="W57" i="17"/>
  <c r="AA56" i="17"/>
  <c r="W56" i="17"/>
  <c r="AA55" i="17"/>
  <c r="W55" i="17"/>
  <c r="AA54" i="17"/>
  <c r="W54" i="17"/>
  <c r="AA53" i="17"/>
  <c r="W53" i="17"/>
  <c r="AA52" i="17"/>
  <c r="W52" i="17"/>
  <c r="AA51" i="17"/>
  <c r="W51" i="17"/>
  <c r="AA50" i="17"/>
  <c r="W50" i="17"/>
  <c r="AA49" i="17"/>
  <c r="W49" i="17"/>
  <c r="AA48" i="17"/>
  <c r="W48" i="17"/>
  <c r="AA47" i="17"/>
  <c r="W47" i="17"/>
  <c r="AA46" i="17"/>
  <c r="W46" i="17"/>
  <c r="AA45" i="17"/>
  <c r="W45" i="17"/>
  <c r="AA44" i="17"/>
  <c r="W44" i="17"/>
  <c r="AA43" i="17"/>
  <c r="W43" i="17"/>
  <c r="AA42" i="17"/>
  <c r="W42" i="17"/>
  <c r="AA41" i="17"/>
  <c r="W41" i="17"/>
  <c r="AA40" i="17"/>
  <c r="W40" i="17"/>
  <c r="AA39" i="17"/>
  <c r="W39" i="17"/>
  <c r="AA38" i="17"/>
  <c r="W38" i="17"/>
  <c r="AA37" i="17"/>
  <c r="W37" i="17"/>
  <c r="AA36" i="17"/>
  <c r="W36" i="17"/>
  <c r="AA35" i="17"/>
  <c r="W35" i="17"/>
  <c r="AA34" i="17"/>
  <c r="W34" i="17"/>
  <c r="AA33" i="17"/>
  <c r="W33" i="17"/>
  <c r="AA32" i="17"/>
  <c r="W32" i="17"/>
  <c r="AA31" i="17"/>
  <c r="W31" i="17"/>
  <c r="AA30" i="17"/>
  <c r="W30" i="17"/>
  <c r="AA29" i="17"/>
  <c r="W29" i="17"/>
  <c r="AA28" i="17"/>
  <c r="W28" i="17"/>
  <c r="AA27" i="17"/>
  <c r="W27" i="17"/>
  <c r="AA26" i="17"/>
  <c r="W26" i="17"/>
  <c r="AA25" i="17"/>
  <c r="W25" i="17"/>
  <c r="AA24" i="17"/>
  <c r="W24" i="17"/>
  <c r="AA23" i="17"/>
  <c r="W23" i="17"/>
  <c r="AA22" i="17"/>
  <c r="W22" i="17"/>
  <c r="AA21" i="17"/>
  <c r="W21" i="17"/>
  <c r="AA20" i="17"/>
  <c r="W20" i="17"/>
  <c r="AA19" i="17"/>
  <c r="W19" i="17"/>
  <c r="AA18" i="17"/>
  <c r="W18" i="17"/>
  <c r="AA17" i="17"/>
  <c r="W17" i="17"/>
  <c r="AA16" i="17"/>
  <c r="W16" i="17"/>
  <c r="AA15" i="17"/>
  <c r="W15" i="17"/>
  <c r="AA14" i="17"/>
  <c r="W14" i="17"/>
  <c r="AA13" i="17"/>
  <c r="W13" i="17"/>
  <c r="AA12" i="17"/>
  <c r="W12" i="17"/>
  <c r="AA11" i="17"/>
  <c r="W11" i="17"/>
  <c r="AA10" i="17"/>
  <c r="W10" i="17"/>
  <c r="AA9" i="17"/>
  <c r="W9" i="17"/>
  <c r="AA8" i="17"/>
  <c r="W8" i="17"/>
  <c r="AA7" i="17"/>
  <c r="W7" i="17"/>
  <c r="AA6" i="17"/>
  <c r="W6" i="17"/>
  <c r="AA5" i="17"/>
  <c r="W5" i="17"/>
  <c r="AA4" i="17"/>
  <c r="W4" i="17"/>
  <c r="AA3" i="17"/>
  <c r="W3" i="17"/>
  <c r="AA2" i="17"/>
  <c r="W2" i="17"/>
  <c r="T3305" i="17"/>
  <c r="P3305" i="17"/>
  <c r="T3304" i="17"/>
  <c r="P3304" i="17"/>
  <c r="T3303" i="17"/>
  <c r="P3303" i="17"/>
  <c r="T3302" i="17"/>
  <c r="P3302" i="17"/>
  <c r="T3301" i="17"/>
  <c r="P3301" i="17"/>
  <c r="T3300" i="17"/>
  <c r="P3300" i="17"/>
  <c r="T3299" i="17"/>
  <c r="P3299" i="17"/>
  <c r="T3298" i="17"/>
  <c r="P3298" i="17"/>
  <c r="T3297" i="17"/>
  <c r="P3297" i="17"/>
  <c r="T3296" i="17"/>
  <c r="P3296" i="17"/>
  <c r="T3295" i="17"/>
  <c r="P3295" i="17"/>
  <c r="T3294" i="17"/>
  <c r="P3294" i="17"/>
  <c r="T3293" i="17"/>
  <c r="P3293" i="17"/>
  <c r="T3292" i="17"/>
  <c r="P3292" i="17"/>
  <c r="T3291" i="17"/>
  <c r="P3291" i="17"/>
  <c r="T3290" i="17"/>
  <c r="P3290" i="17"/>
  <c r="T3289" i="17"/>
  <c r="P3289" i="17"/>
  <c r="T3288" i="17"/>
  <c r="P3288" i="17"/>
  <c r="T3287" i="17"/>
  <c r="P3287" i="17"/>
  <c r="T3286" i="17"/>
  <c r="P3286" i="17"/>
  <c r="T3285" i="17"/>
  <c r="P3285" i="17"/>
  <c r="T3284" i="17"/>
  <c r="P3284" i="17"/>
  <c r="T3283" i="17"/>
  <c r="P3283" i="17"/>
  <c r="T3282" i="17"/>
  <c r="P3282" i="17"/>
  <c r="T3281" i="17"/>
  <c r="P3281" i="17"/>
  <c r="T3280" i="17"/>
  <c r="P3280" i="17"/>
  <c r="T3279" i="17"/>
  <c r="P3279" i="17"/>
  <c r="T3278" i="17"/>
  <c r="P3278" i="17"/>
  <c r="T3277" i="17"/>
  <c r="P3277" i="17"/>
  <c r="T3276" i="17"/>
  <c r="P3276" i="17"/>
  <c r="T3275" i="17"/>
  <c r="P3275" i="17"/>
  <c r="T3274" i="17"/>
  <c r="P3274" i="17"/>
  <c r="T3273" i="17"/>
  <c r="P3273" i="17"/>
  <c r="T3272" i="17"/>
  <c r="P3272" i="17"/>
  <c r="T3271" i="17"/>
  <c r="P3271" i="17"/>
  <c r="T3270" i="17"/>
  <c r="P3270" i="17"/>
  <c r="T3269" i="17"/>
  <c r="P3269" i="17"/>
  <c r="T3268" i="17"/>
  <c r="P3268" i="17"/>
  <c r="T3267" i="17"/>
  <c r="P3267" i="17"/>
  <c r="T3266" i="17"/>
  <c r="P3266" i="17"/>
  <c r="T3265" i="17"/>
  <c r="P3265" i="17"/>
  <c r="T3264" i="17"/>
  <c r="P3264" i="17"/>
  <c r="T3263" i="17"/>
  <c r="P3263" i="17"/>
  <c r="T3262" i="17"/>
  <c r="P3262" i="17"/>
  <c r="T3261" i="17"/>
  <c r="P3261" i="17"/>
  <c r="T3260" i="17"/>
  <c r="P3260" i="17"/>
  <c r="T3259" i="17"/>
  <c r="P3259" i="17"/>
  <c r="T3258" i="17"/>
  <c r="P3258" i="17"/>
  <c r="T3257" i="17"/>
  <c r="P3257" i="17"/>
  <c r="T3256" i="17"/>
  <c r="P3256" i="17"/>
  <c r="T3255" i="17"/>
  <c r="P3255" i="17"/>
  <c r="T3254" i="17"/>
  <c r="P3254" i="17"/>
  <c r="T3253" i="17"/>
  <c r="P3253" i="17"/>
  <c r="T3252" i="17"/>
  <c r="P3252" i="17"/>
  <c r="T3251" i="17"/>
  <c r="P3251" i="17"/>
  <c r="T3250" i="17"/>
  <c r="P3250" i="17"/>
  <c r="T3249" i="17"/>
  <c r="P3249" i="17"/>
  <c r="T3248" i="17"/>
  <c r="P3248" i="17"/>
  <c r="T3247" i="17"/>
  <c r="P3247" i="17"/>
  <c r="T3246" i="17"/>
  <c r="P3246" i="17"/>
  <c r="T3245" i="17"/>
  <c r="P3245" i="17"/>
  <c r="T3244" i="17"/>
  <c r="P3244" i="17"/>
  <c r="T3243" i="17"/>
  <c r="P3243" i="17"/>
  <c r="T3242" i="17"/>
  <c r="P3242" i="17"/>
  <c r="T3241" i="17"/>
  <c r="P3241" i="17"/>
  <c r="T3240" i="17"/>
  <c r="P3240" i="17"/>
  <c r="T3239" i="17"/>
  <c r="P3239" i="17"/>
  <c r="T3238" i="17"/>
  <c r="P3238" i="17"/>
  <c r="T3237" i="17"/>
  <c r="P3237" i="17"/>
  <c r="T3236" i="17"/>
  <c r="P3236" i="17"/>
  <c r="T3235" i="17"/>
  <c r="P3235" i="17"/>
  <c r="T3234" i="17"/>
  <c r="P3234" i="17"/>
  <c r="T3233" i="17"/>
  <c r="P3233" i="17"/>
  <c r="T3232" i="17"/>
  <c r="P3232" i="17"/>
  <c r="T3231" i="17"/>
  <c r="P3231" i="17"/>
  <c r="T3230" i="17"/>
  <c r="P3230" i="17"/>
  <c r="T3229" i="17"/>
  <c r="P3229" i="17"/>
  <c r="T3228" i="17"/>
  <c r="P3228" i="17"/>
  <c r="T3227" i="17"/>
  <c r="P3227" i="17"/>
  <c r="T3226" i="17"/>
  <c r="P3226" i="17"/>
  <c r="T3225" i="17"/>
  <c r="P3225" i="17"/>
  <c r="T3224" i="17"/>
  <c r="P3224" i="17"/>
  <c r="T3223" i="17"/>
  <c r="P3223" i="17"/>
  <c r="T3222" i="17"/>
  <c r="P3222" i="17"/>
  <c r="T3221" i="17"/>
  <c r="P3221" i="17"/>
  <c r="T3220" i="17"/>
  <c r="P3220" i="17"/>
  <c r="T3219" i="17"/>
  <c r="P3219" i="17"/>
  <c r="T3218" i="17"/>
  <c r="P3218" i="17"/>
  <c r="T3217" i="17"/>
  <c r="P3217" i="17"/>
  <c r="T3216" i="17"/>
  <c r="P3216" i="17"/>
  <c r="T3215" i="17"/>
  <c r="P3215" i="17"/>
  <c r="T3214" i="17"/>
  <c r="P3214" i="17"/>
  <c r="T3213" i="17"/>
  <c r="P3213" i="17"/>
  <c r="T3212" i="17"/>
  <c r="P3212" i="17"/>
  <c r="T3211" i="17"/>
  <c r="P3211" i="17"/>
  <c r="T3210" i="17"/>
  <c r="P3210" i="17"/>
  <c r="T3209" i="17"/>
  <c r="P3209" i="17"/>
  <c r="T3208" i="17"/>
  <c r="P3208" i="17"/>
  <c r="T3207" i="17"/>
  <c r="P3207" i="17"/>
  <c r="T3206" i="17"/>
  <c r="P3206" i="17"/>
  <c r="T3205" i="17"/>
  <c r="P3205" i="17"/>
  <c r="T3204" i="17"/>
  <c r="P3204" i="17"/>
  <c r="T3203" i="17"/>
  <c r="P3203" i="17"/>
  <c r="T3202" i="17"/>
  <c r="P3202" i="17"/>
  <c r="T3201" i="17"/>
  <c r="P3201" i="17"/>
  <c r="T3200" i="17"/>
  <c r="P3200" i="17"/>
  <c r="T3199" i="17"/>
  <c r="P3199" i="17"/>
  <c r="T3198" i="17"/>
  <c r="P3198" i="17"/>
  <c r="T3197" i="17"/>
  <c r="P3197" i="17"/>
  <c r="T3196" i="17"/>
  <c r="P3196" i="17"/>
  <c r="T3195" i="17"/>
  <c r="P3195" i="17"/>
  <c r="T3194" i="17"/>
  <c r="P3194" i="17"/>
  <c r="T3193" i="17"/>
  <c r="P3193" i="17"/>
  <c r="T3192" i="17"/>
  <c r="P3192" i="17"/>
  <c r="T3191" i="17"/>
  <c r="P3191" i="17"/>
  <c r="T3190" i="17"/>
  <c r="P3190" i="17"/>
  <c r="T3189" i="17"/>
  <c r="P3189" i="17"/>
  <c r="T3188" i="17"/>
  <c r="P3188" i="17"/>
  <c r="T3187" i="17"/>
  <c r="P3187" i="17"/>
  <c r="T3186" i="17"/>
  <c r="P3186" i="17"/>
  <c r="T3185" i="17"/>
  <c r="P3185" i="17"/>
  <c r="T3184" i="17"/>
  <c r="P3184" i="17"/>
  <c r="T3183" i="17"/>
  <c r="P3183" i="17"/>
  <c r="T3182" i="17"/>
  <c r="P3182" i="17"/>
  <c r="T3181" i="17"/>
  <c r="P3181" i="17"/>
  <c r="T3180" i="17"/>
  <c r="P3180" i="17"/>
  <c r="T3179" i="17"/>
  <c r="P3179" i="17"/>
  <c r="T3178" i="17"/>
  <c r="P3178" i="17"/>
  <c r="T3177" i="17"/>
  <c r="P3177" i="17"/>
  <c r="T3176" i="17"/>
  <c r="P3176" i="17"/>
  <c r="T3175" i="17"/>
  <c r="P3175" i="17"/>
  <c r="T3174" i="17"/>
  <c r="P3174" i="17"/>
  <c r="T3173" i="17"/>
  <c r="P3173" i="17"/>
  <c r="T3172" i="17"/>
  <c r="P3172" i="17"/>
  <c r="T3171" i="17"/>
  <c r="P3171" i="17"/>
  <c r="T3170" i="17"/>
  <c r="P3170" i="17"/>
  <c r="T3169" i="17"/>
  <c r="P3169" i="17"/>
  <c r="T3168" i="17"/>
  <c r="P3168" i="17"/>
  <c r="T3167" i="17"/>
  <c r="P3167" i="17"/>
  <c r="T3166" i="17"/>
  <c r="P3166" i="17"/>
  <c r="T3165" i="17"/>
  <c r="P3165" i="17"/>
  <c r="T3164" i="17"/>
  <c r="P3164" i="17"/>
  <c r="T3163" i="17"/>
  <c r="P3163" i="17"/>
  <c r="T3162" i="17"/>
  <c r="P3162" i="17"/>
  <c r="T3161" i="17"/>
  <c r="P3161" i="17"/>
  <c r="T3160" i="17"/>
  <c r="P3160" i="17"/>
  <c r="T3159" i="17"/>
  <c r="P3159" i="17"/>
  <c r="T3158" i="17"/>
  <c r="P3158" i="17"/>
  <c r="T3157" i="17"/>
  <c r="P3157" i="17"/>
  <c r="T3156" i="17"/>
  <c r="P3156" i="17"/>
  <c r="T3155" i="17"/>
  <c r="P3155" i="17"/>
  <c r="T3154" i="17"/>
  <c r="P3154" i="17"/>
  <c r="T3153" i="17"/>
  <c r="P3153" i="17"/>
  <c r="T3152" i="17"/>
  <c r="P3152" i="17"/>
  <c r="T3151" i="17"/>
  <c r="P3151" i="17"/>
  <c r="T3150" i="17"/>
  <c r="P3150" i="17"/>
  <c r="T3149" i="17"/>
  <c r="P3149" i="17"/>
  <c r="T3148" i="17"/>
  <c r="P3148" i="17"/>
  <c r="T3147" i="17"/>
  <c r="P3147" i="17"/>
  <c r="T3146" i="17"/>
  <c r="P3146" i="17"/>
  <c r="T3145" i="17"/>
  <c r="P3145" i="17"/>
  <c r="T3144" i="17"/>
  <c r="P3144" i="17"/>
  <c r="T3143" i="17"/>
  <c r="P3143" i="17"/>
  <c r="T3142" i="17"/>
  <c r="P3142" i="17"/>
  <c r="T3141" i="17"/>
  <c r="P3141" i="17"/>
  <c r="T3140" i="17"/>
  <c r="P3140" i="17"/>
  <c r="T3139" i="17"/>
  <c r="P3139" i="17"/>
  <c r="T3138" i="17"/>
  <c r="P3138" i="17"/>
  <c r="T3137" i="17"/>
  <c r="P3137" i="17"/>
  <c r="T3136" i="17"/>
  <c r="P3136" i="17"/>
  <c r="T3135" i="17"/>
  <c r="P3135" i="17"/>
  <c r="T3134" i="17"/>
  <c r="P3134" i="17"/>
  <c r="T3133" i="17"/>
  <c r="P3133" i="17"/>
  <c r="T3132" i="17"/>
  <c r="P3132" i="17"/>
  <c r="T3131" i="17"/>
  <c r="P3131" i="17"/>
  <c r="T3130" i="17"/>
  <c r="P3130" i="17"/>
  <c r="T3129" i="17"/>
  <c r="P3129" i="17"/>
  <c r="T3128" i="17"/>
  <c r="P3128" i="17"/>
  <c r="T3127" i="17"/>
  <c r="P3127" i="17"/>
  <c r="T3126" i="17"/>
  <c r="P3126" i="17"/>
  <c r="T3125" i="17"/>
  <c r="P3125" i="17"/>
  <c r="T3124" i="17"/>
  <c r="P3124" i="17"/>
  <c r="T3123" i="17"/>
  <c r="P3123" i="17"/>
  <c r="T3122" i="17"/>
  <c r="P3122" i="17"/>
  <c r="T3121" i="17"/>
  <c r="P3121" i="17"/>
  <c r="T3120" i="17"/>
  <c r="P3120" i="17"/>
  <c r="T3119" i="17"/>
  <c r="P3119" i="17"/>
  <c r="T3118" i="17"/>
  <c r="P3118" i="17"/>
  <c r="T3117" i="17"/>
  <c r="P3117" i="17"/>
  <c r="T3116" i="17"/>
  <c r="P3116" i="17"/>
  <c r="T3115" i="17"/>
  <c r="P3115" i="17"/>
  <c r="T3114" i="17"/>
  <c r="P3114" i="17"/>
  <c r="T3113" i="17"/>
  <c r="P3113" i="17"/>
  <c r="T3112" i="17"/>
  <c r="P3112" i="17"/>
  <c r="T3111" i="17"/>
  <c r="P3111" i="17"/>
  <c r="T3110" i="17"/>
  <c r="P3110" i="17"/>
  <c r="T3109" i="17"/>
  <c r="P3109" i="17"/>
  <c r="T3108" i="17"/>
  <c r="P3108" i="17"/>
  <c r="T3107" i="17"/>
  <c r="P3107" i="17"/>
  <c r="T3106" i="17"/>
  <c r="P3106" i="17"/>
  <c r="T3105" i="17"/>
  <c r="P3105" i="17"/>
  <c r="T3104" i="17"/>
  <c r="P3104" i="17"/>
  <c r="T3103" i="17"/>
  <c r="P3103" i="17"/>
  <c r="T3102" i="17"/>
  <c r="P3102" i="17"/>
  <c r="T3101" i="17"/>
  <c r="P3101" i="17"/>
  <c r="T3100" i="17"/>
  <c r="P3100" i="17"/>
  <c r="T3099" i="17"/>
  <c r="P3099" i="17"/>
  <c r="T3098" i="17"/>
  <c r="P3098" i="17"/>
  <c r="T3097" i="17"/>
  <c r="P3097" i="17"/>
  <c r="T3096" i="17"/>
  <c r="P3096" i="17"/>
  <c r="T3095" i="17"/>
  <c r="P3095" i="17"/>
  <c r="T3094" i="17"/>
  <c r="P3094" i="17"/>
  <c r="T3093" i="17"/>
  <c r="P3093" i="17"/>
  <c r="T3092" i="17"/>
  <c r="P3092" i="17"/>
  <c r="T3091" i="17"/>
  <c r="P3091" i="17"/>
  <c r="T3090" i="17"/>
  <c r="P3090" i="17"/>
  <c r="T3089" i="17"/>
  <c r="P3089" i="17"/>
  <c r="T3088" i="17"/>
  <c r="P3088" i="17"/>
  <c r="T3087" i="17"/>
  <c r="P3087" i="17"/>
  <c r="T3086" i="17"/>
  <c r="P3086" i="17"/>
  <c r="T3085" i="17"/>
  <c r="P3085" i="17"/>
  <c r="T3084" i="17"/>
  <c r="P3084" i="17"/>
  <c r="T3083" i="17"/>
  <c r="P3083" i="17"/>
  <c r="T3082" i="17"/>
  <c r="P3082" i="17"/>
  <c r="T3081" i="17"/>
  <c r="P3081" i="17"/>
  <c r="T3080" i="17"/>
  <c r="P3080" i="17"/>
  <c r="T3079" i="17"/>
  <c r="P3079" i="17"/>
  <c r="T3078" i="17"/>
  <c r="P3078" i="17"/>
  <c r="T3077" i="17"/>
  <c r="P3077" i="17"/>
  <c r="T3076" i="17"/>
  <c r="P3076" i="17"/>
  <c r="T3075" i="17"/>
  <c r="P3075" i="17"/>
  <c r="T3074" i="17"/>
  <c r="P3074" i="17"/>
  <c r="T3073" i="17"/>
  <c r="P3073" i="17"/>
  <c r="T3072" i="17"/>
  <c r="P3072" i="17"/>
  <c r="T3071" i="17"/>
  <c r="P3071" i="17"/>
  <c r="T3070" i="17"/>
  <c r="P3070" i="17"/>
  <c r="T3069" i="17"/>
  <c r="P3069" i="17"/>
  <c r="T3068" i="17"/>
  <c r="P3068" i="17"/>
  <c r="T3067" i="17"/>
  <c r="P3067" i="17"/>
  <c r="T3066" i="17"/>
  <c r="P3066" i="17"/>
  <c r="T3065" i="17"/>
  <c r="P3065" i="17"/>
  <c r="T3064" i="17"/>
  <c r="P3064" i="17"/>
  <c r="T3063" i="17"/>
  <c r="P3063" i="17"/>
  <c r="T3062" i="17"/>
  <c r="P3062" i="17"/>
  <c r="T3061" i="17"/>
  <c r="P3061" i="17"/>
  <c r="T3060" i="17"/>
  <c r="P3060" i="17"/>
  <c r="T3059" i="17"/>
  <c r="P3059" i="17"/>
  <c r="T3058" i="17"/>
  <c r="P3058" i="17"/>
  <c r="T3057" i="17"/>
  <c r="P3057" i="17"/>
  <c r="T3056" i="17"/>
  <c r="P3056" i="17"/>
  <c r="T3055" i="17"/>
  <c r="P3055" i="17"/>
  <c r="T3054" i="17"/>
  <c r="P3054" i="17"/>
  <c r="T3053" i="17"/>
  <c r="P3053" i="17"/>
  <c r="T3052" i="17"/>
  <c r="P3052" i="17"/>
  <c r="T3051" i="17"/>
  <c r="P3051" i="17"/>
  <c r="T3050" i="17"/>
  <c r="P3050" i="17"/>
  <c r="T3049" i="17"/>
  <c r="P3049" i="17"/>
  <c r="T3048" i="17"/>
  <c r="P3048" i="17"/>
  <c r="T3047" i="17"/>
  <c r="P3047" i="17"/>
  <c r="T3046" i="17"/>
  <c r="P3046" i="17"/>
  <c r="T3045" i="17"/>
  <c r="P3045" i="17"/>
  <c r="T3044" i="17"/>
  <c r="P3044" i="17"/>
  <c r="T3043" i="17"/>
  <c r="P3043" i="17"/>
  <c r="T3042" i="17"/>
  <c r="P3042" i="17"/>
  <c r="T3041" i="17"/>
  <c r="P3041" i="17"/>
  <c r="T3040" i="17"/>
  <c r="P3040" i="17"/>
  <c r="T3039" i="17"/>
  <c r="P3039" i="17"/>
  <c r="T3038" i="17"/>
  <c r="P3038" i="17"/>
  <c r="T3037" i="17"/>
  <c r="P3037" i="17"/>
  <c r="T3036" i="17"/>
  <c r="P3036" i="17"/>
  <c r="T3035" i="17"/>
  <c r="P3035" i="17"/>
  <c r="T3034" i="17"/>
  <c r="P3034" i="17"/>
  <c r="T3033" i="17"/>
  <c r="P3033" i="17"/>
  <c r="T3032" i="17"/>
  <c r="P3032" i="17"/>
  <c r="T3031" i="17"/>
  <c r="P3031" i="17"/>
  <c r="T3030" i="17"/>
  <c r="P3030" i="17"/>
  <c r="T3029" i="17"/>
  <c r="P3029" i="17"/>
  <c r="T3028" i="17"/>
  <c r="P3028" i="17"/>
  <c r="T3027" i="17"/>
  <c r="P3027" i="17"/>
  <c r="T3026" i="17"/>
  <c r="P3026" i="17"/>
  <c r="T3025" i="17"/>
  <c r="P3025" i="17"/>
  <c r="T3024" i="17"/>
  <c r="P3024" i="17"/>
  <c r="T3023" i="17"/>
  <c r="P3023" i="17"/>
  <c r="T3022" i="17"/>
  <c r="P3022" i="17"/>
  <c r="T3021" i="17"/>
  <c r="P3021" i="17"/>
  <c r="T3020" i="17"/>
  <c r="P3020" i="17"/>
  <c r="T3019" i="17"/>
  <c r="P3019" i="17"/>
  <c r="T3018" i="17"/>
  <c r="P3018" i="17"/>
  <c r="T3017" i="17"/>
  <c r="P3017" i="17"/>
  <c r="T3016" i="17"/>
  <c r="P3016" i="17"/>
  <c r="T3015" i="17"/>
  <c r="P3015" i="17"/>
  <c r="T3014" i="17"/>
  <c r="P3014" i="17"/>
  <c r="T3013" i="17"/>
  <c r="P3013" i="17"/>
  <c r="T3012" i="17"/>
  <c r="P3012" i="17"/>
  <c r="T3011" i="17"/>
  <c r="P3011" i="17"/>
  <c r="T3010" i="17"/>
  <c r="P3010" i="17"/>
  <c r="T3009" i="17"/>
  <c r="P3009" i="17"/>
  <c r="T3008" i="17"/>
  <c r="P3008" i="17"/>
  <c r="T3007" i="17"/>
  <c r="P3007" i="17"/>
  <c r="T3006" i="17"/>
  <c r="P3006" i="17"/>
  <c r="T3005" i="17"/>
  <c r="P3005" i="17"/>
  <c r="T3004" i="17"/>
  <c r="P3004" i="17"/>
  <c r="T3003" i="17"/>
  <c r="P3003" i="17"/>
  <c r="T3002" i="17"/>
  <c r="P3002" i="17"/>
  <c r="T3001" i="17"/>
  <c r="P3001" i="17"/>
  <c r="T3000" i="17"/>
  <c r="P3000" i="17"/>
  <c r="T2999" i="17"/>
  <c r="P2999" i="17"/>
  <c r="T2998" i="17"/>
  <c r="P2998" i="17"/>
  <c r="T2997" i="17"/>
  <c r="P2997" i="17"/>
  <c r="T2996" i="17"/>
  <c r="P2996" i="17"/>
  <c r="T2995" i="17"/>
  <c r="P2995" i="17"/>
  <c r="T2994" i="17"/>
  <c r="P2994" i="17"/>
  <c r="T2993" i="17"/>
  <c r="P2993" i="17"/>
  <c r="T2992" i="17"/>
  <c r="P2992" i="17"/>
  <c r="T2991" i="17"/>
  <c r="P2991" i="17"/>
  <c r="T2990" i="17"/>
  <c r="P2990" i="17"/>
  <c r="T2989" i="17"/>
  <c r="P2989" i="17"/>
  <c r="T2988" i="17"/>
  <c r="P2988" i="17"/>
  <c r="T2987" i="17"/>
  <c r="P2987" i="17"/>
  <c r="T2986" i="17"/>
  <c r="P2986" i="17"/>
  <c r="T2985" i="17"/>
  <c r="P2985" i="17"/>
  <c r="T2984" i="17"/>
  <c r="P2984" i="17"/>
  <c r="T2983" i="17"/>
  <c r="P2983" i="17"/>
  <c r="T2982" i="17"/>
  <c r="P2982" i="17"/>
  <c r="T2981" i="17"/>
  <c r="P2981" i="17"/>
  <c r="T2980" i="17"/>
  <c r="P2980" i="17"/>
  <c r="T2979" i="17"/>
  <c r="P2979" i="17"/>
  <c r="T2978" i="17"/>
  <c r="P2978" i="17"/>
  <c r="T2977" i="17"/>
  <c r="P2977" i="17"/>
  <c r="T2976" i="17"/>
  <c r="P2976" i="17"/>
  <c r="T2975" i="17"/>
  <c r="P2975" i="17"/>
  <c r="T2974" i="17"/>
  <c r="P2974" i="17"/>
  <c r="T2973" i="17"/>
  <c r="P2973" i="17"/>
  <c r="T2972" i="17"/>
  <c r="P2972" i="17"/>
  <c r="T2971" i="17"/>
  <c r="P2971" i="17"/>
  <c r="T2970" i="17"/>
  <c r="P2970" i="17"/>
  <c r="T2969" i="17"/>
  <c r="P2969" i="17"/>
  <c r="T2968" i="17"/>
  <c r="P2968" i="17"/>
  <c r="T2967" i="17"/>
  <c r="P2967" i="17"/>
  <c r="T2966" i="17"/>
  <c r="P2966" i="17"/>
  <c r="T2965" i="17"/>
  <c r="P2965" i="17"/>
  <c r="T2964" i="17"/>
  <c r="P2964" i="17"/>
  <c r="T2963" i="17"/>
  <c r="P2963" i="17"/>
  <c r="T2962" i="17"/>
  <c r="P2962" i="17"/>
  <c r="T2961" i="17"/>
  <c r="P2961" i="17"/>
  <c r="T2960" i="17"/>
  <c r="P2960" i="17"/>
  <c r="T2959" i="17"/>
  <c r="P2959" i="17"/>
  <c r="T2958" i="17"/>
  <c r="P2958" i="17"/>
  <c r="T2957" i="17"/>
  <c r="P2957" i="17"/>
  <c r="T2956" i="17"/>
  <c r="P2956" i="17"/>
  <c r="T2955" i="17"/>
  <c r="P2955" i="17"/>
  <c r="T2954" i="17"/>
  <c r="P2954" i="17"/>
  <c r="T2953" i="17"/>
  <c r="P2953" i="17"/>
  <c r="T2952" i="17"/>
  <c r="P2952" i="17"/>
  <c r="T2951" i="17"/>
  <c r="P2951" i="17"/>
  <c r="T2950" i="17"/>
  <c r="P2950" i="17"/>
  <c r="T2949" i="17"/>
  <c r="P2949" i="17"/>
  <c r="T2948" i="17"/>
  <c r="P2948" i="17"/>
  <c r="T2947" i="17"/>
  <c r="P2947" i="17"/>
  <c r="T2946" i="17"/>
  <c r="P2946" i="17"/>
  <c r="T2945" i="17"/>
  <c r="P2945" i="17"/>
  <c r="T2944" i="17"/>
  <c r="P2944" i="17"/>
  <c r="T2943" i="17"/>
  <c r="P2943" i="17"/>
  <c r="T2942" i="17"/>
  <c r="P2942" i="17"/>
  <c r="T2941" i="17"/>
  <c r="P2941" i="17"/>
  <c r="T2940" i="17"/>
  <c r="P2940" i="17"/>
  <c r="T2939" i="17"/>
  <c r="P2939" i="17"/>
  <c r="T2938" i="17"/>
  <c r="P2938" i="17"/>
  <c r="T2937" i="17"/>
  <c r="P2937" i="17"/>
  <c r="T2936" i="17"/>
  <c r="P2936" i="17"/>
  <c r="T2935" i="17"/>
  <c r="P2935" i="17"/>
  <c r="T2934" i="17"/>
  <c r="P2934" i="17"/>
  <c r="T2933" i="17"/>
  <c r="P2933" i="17"/>
  <c r="T2932" i="17"/>
  <c r="P2932" i="17"/>
  <c r="T2931" i="17"/>
  <c r="P2931" i="17"/>
  <c r="T2930" i="17"/>
  <c r="P2930" i="17"/>
  <c r="T2929" i="17"/>
  <c r="P2929" i="17"/>
  <c r="T2928" i="17"/>
  <c r="P2928" i="17"/>
  <c r="T2927" i="17"/>
  <c r="P2927" i="17"/>
  <c r="T2926" i="17"/>
  <c r="P2926" i="17"/>
  <c r="T2925" i="17"/>
  <c r="P2925" i="17"/>
  <c r="T2924" i="17"/>
  <c r="P2924" i="17"/>
  <c r="T2923" i="17"/>
  <c r="P2923" i="17"/>
  <c r="T2922" i="17"/>
  <c r="P2922" i="17"/>
  <c r="T2921" i="17"/>
  <c r="P2921" i="17"/>
  <c r="T2920" i="17"/>
  <c r="P2920" i="17"/>
  <c r="T2919" i="17"/>
  <c r="P2919" i="17"/>
  <c r="T2918" i="17"/>
  <c r="P2918" i="17"/>
  <c r="T2917" i="17"/>
  <c r="P2917" i="17"/>
  <c r="T2916" i="17"/>
  <c r="P2916" i="17"/>
  <c r="T2915" i="17"/>
  <c r="P2915" i="17"/>
  <c r="T2914" i="17"/>
  <c r="P2914" i="17"/>
  <c r="T2913" i="17"/>
  <c r="P2913" i="17"/>
  <c r="T2912" i="17"/>
  <c r="P2912" i="17"/>
  <c r="T2911" i="17"/>
  <c r="P2911" i="17"/>
  <c r="T2910" i="17"/>
  <c r="P2910" i="17"/>
  <c r="T2909" i="17"/>
  <c r="P2909" i="17"/>
  <c r="T2908" i="17"/>
  <c r="P2908" i="17"/>
  <c r="T2907" i="17"/>
  <c r="P2907" i="17"/>
  <c r="T2906" i="17"/>
  <c r="P2906" i="17"/>
  <c r="T2905" i="17"/>
  <c r="P2905" i="17"/>
  <c r="T2904" i="17"/>
  <c r="P2904" i="17"/>
  <c r="T2903" i="17"/>
  <c r="P2903" i="17"/>
  <c r="T2902" i="17"/>
  <c r="P2902" i="17"/>
  <c r="T2901" i="17"/>
  <c r="P2901" i="17"/>
  <c r="T2900" i="17"/>
  <c r="P2900" i="17"/>
  <c r="T2899" i="17"/>
  <c r="P2899" i="17"/>
  <c r="T2898" i="17"/>
  <c r="P2898" i="17"/>
  <c r="T2897" i="17"/>
  <c r="P2897" i="17"/>
  <c r="T2896" i="17"/>
  <c r="P2896" i="17"/>
  <c r="T2895" i="17"/>
  <c r="P2895" i="17"/>
  <c r="T2894" i="17"/>
  <c r="P2894" i="17"/>
  <c r="T2893" i="17"/>
  <c r="P2893" i="17"/>
  <c r="T2892" i="17"/>
  <c r="P2892" i="17"/>
  <c r="T2891" i="17"/>
  <c r="P2891" i="17"/>
  <c r="T2890" i="17"/>
  <c r="P2890" i="17"/>
  <c r="T2889" i="17"/>
  <c r="P2889" i="17"/>
  <c r="T2888" i="17"/>
  <c r="P2888" i="17"/>
  <c r="T2887" i="17"/>
  <c r="P2887" i="17"/>
  <c r="T2886" i="17"/>
  <c r="P2886" i="17"/>
  <c r="T2885" i="17"/>
  <c r="P2885" i="17"/>
  <c r="T2884" i="17"/>
  <c r="P2884" i="17"/>
  <c r="T2883" i="17"/>
  <c r="P2883" i="17"/>
  <c r="T2882" i="17"/>
  <c r="P2882" i="17"/>
  <c r="T2881" i="17"/>
  <c r="P2881" i="17"/>
  <c r="T2880" i="17"/>
  <c r="P2880" i="17"/>
  <c r="T2879" i="17"/>
  <c r="P2879" i="17"/>
  <c r="T2878" i="17"/>
  <c r="P2878" i="17"/>
  <c r="T2877" i="17"/>
  <c r="P2877" i="17"/>
  <c r="T2876" i="17"/>
  <c r="P2876" i="17"/>
  <c r="T2875" i="17"/>
  <c r="P2875" i="17"/>
  <c r="T2874" i="17"/>
  <c r="P2874" i="17"/>
  <c r="T2873" i="17"/>
  <c r="P2873" i="17"/>
  <c r="T2872" i="17"/>
  <c r="P2872" i="17"/>
  <c r="T2871" i="17"/>
  <c r="P2871" i="17"/>
  <c r="T2870" i="17"/>
  <c r="P2870" i="17"/>
  <c r="T2869" i="17"/>
  <c r="P2869" i="17"/>
  <c r="T2868" i="17"/>
  <c r="P2868" i="17"/>
  <c r="T2867" i="17"/>
  <c r="P2867" i="17"/>
  <c r="T2866" i="17"/>
  <c r="P2866" i="17"/>
  <c r="T2865" i="17"/>
  <c r="P2865" i="17"/>
  <c r="T2864" i="17"/>
  <c r="P2864" i="17"/>
  <c r="T2863" i="17"/>
  <c r="P2863" i="17"/>
  <c r="T2862" i="17"/>
  <c r="P2862" i="17"/>
  <c r="T2861" i="17"/>
  <c r="P2861" i="17"/>
  <c r="T2860" i="17"/>
  <c r="P2860" i="17"/>
  <c r="T2859" i="17"/>
  <c r="P2859" i="17"/>
  <c r="T2858" i="17"/>
  <c r="P2858" i="17"/>
  <c r="T2857" i="17"/>
  <c r="P2857" i="17"/>
  <c r="T2856" i="17"/>
  <c r="P2856" i="17"/>
  <c r="T2855" i="17"/>
  <c r="P2855" i="17"/>
  <c r="T2854" i="17"/>
  <c r="P2854" i="17"/>
  <c r="T2853" i="17"/>
  <c r="P2853" i="17"/>
  <c r="T2852" i="17"/>
  <c r="P2852" i="17"/>
  <c r="T2851" i="17"/>
  <c r="P2851" i="17"/>
  <c r="T2850" i="17"/>
  <c r="P2850" i="17"/>
  <c r="T2849" i="17"/>
  <c r="P2849" i="17"/>
  <c r="T2848" i="17"/>
  <c r="P2848" i="17"/>
  <c r="T2847" i="17"/>
  <c r="P2847" i="17"/>
  <c r="T2846" i="17"/>
  <c r="P2846" i="17"/>
  <c r="T2845" i="17"/>
  <c r="P2845" i="17"/>
  <c r="T2844" i="17"/>
  <c r="P2844" i="17"/>
  <c r="T2843" i="17"/>
  <c r="P2843" i="17"/>
  <c r="T2842" i="17"/>
  <c r="P2842" i="17"/>
  <c r="T2841" i="17"/>
  <c r="P2841" i="17"/>
  <c r="T2840" i="17"/>
  <c r="P2840" i="17"/>
  <c r="T2839" i="17"/>
  <c r="P2839" i="17"/>
  <c r="T2838" i="17"/>
  <c r="P2838" i="17"/>
  <c r="T2837" i="17"/>
  <c r="P2837" i="17"/>
  <c r="T2836" i="17"/>
  <c r="P2836" i="17"/>
  <c r="T2835" i="17"/>
  <c r="P2835" i="17"/>
  <c r="T2834" i="17"/>
  <c r="P2834" i="17"/>
  <c r="T2833" i="17"/>
  <c r="P2833" i="17"/>
  <c r="T2832" i="17"/>
  <c r="P2832" i="17"/>
  <c r="T2831" i="17"/>
  <c r="P2831" i="17"/>
  <c r="T2830" i="17"/>
  <c r="P2830" i="17"/>
  <c r="T2829" i="17"/>
  <c r="P2829" i="17"/>
  <c r="T2828" i="17"/>
  <c r="P2828" i="17"/>
  <c r="T2827" i="17"/>
  <c r="P2827" i="17"/>
  <c r="T2826" i="17"/>
  <c r="P2826" i="17"/>
  <c r="T2825" i="17"/>
  <c r="P2825" i="17"/>
  <c r="T2824" i="17"/>
  <c r="P2824" i="17"/>
  <c r="T2823" i="17"/>
  <c r="P2823" i="17"/>
  <c r="T2822" i="17"/>
  <c r="P2822" i="17"/>
  <c r="T2821" i="17"/>
  <c r="P2821" i="17"/>
  <c r="T2820" i="17"/>
  <c r="P2820" i="17"/>
  <c r="T2819" i="17"/>
  <c r="P2819" i="17"/>
  <c r="T2818" i="17"/>
  <c r="P2818" i="17"/>
  <c r="T2817" i="17"/>
  <c r="P2817" i="17"/>
  <c r="T2816" i="17"/>
  <c r="P2816" i="17"/>
  <c r="T2815" i="17"/>
  <c r="P2815" i="17"/>
  <c r="T2814" i="17"/>
  <c r="P2814" i="17"/>
  <c r="T2813" i="17"/>
  <c r="P2813" i="17"/>
  <c r="T2812" i="17"/>
  <c r="P2812" i="17"/>
  <c r="T2811" i="17"/>
  <c r="P2811" i="17"/>
  <c r="T2810" i="17"/>
  <c r="P2810" i="17"/>
  <c r="T2809" i="17"/>
  <c r="P2809" i="17"/>
  <c r="T2808" i="17"/>
  <c r="P2808" i="17"/>
  <c r="T2807" i="17"/>
  <c r="P2807" i="17"/>
  <c r="T2806" i="17"/>
  <c r="P2806" i="17"/>
  <c r="T2805" i="17"/>
  <c r="P2805" i="17"/>
  <c r="T2804" i="17"/>
  <c r="P2804" i="17"/>
  <c r="T2803" i="17"/>
  <c r="P2803" i="17"/>
  <c r="T2802" i="17"/>
  <c r="P2802" i="17"/>
  <c r="T2801" i="17"/>
  <c r="P2801" i="17"/>
  <c r="T2800" i="17"/>
  <c r="P2800" i="17"/>
  <c r="T2799" i="17"/>
  <c r="P2799" i="17"/>
  <c r="T2798" i="17"/>
  <c r="P2798" i="17"/>
  <c r="T2797" i="17"/>
  <c r="P2797" i="17"/>
  <c r="T2796" i="17"/>
  <c r="P2796" i="17"/>
  <c r="T2795" i="17"/>
  <c r="P2795" i="17"/>
  <c r="T2794" i="17"/>
  <c r="P2794" i="17"/>
  <c r="T2793" i="17"/>
  <c r="P2793" i="17"/>
  <c r="T2792" i="17"/>
  <c r="P2792" i="17"/>
  <c r="T2791" i="17"/>
  <c r="P2791" i="17"/>
  <c r="T2790" i="17"/>
  <c r="P2790" i="17"/>
  <c r="T2789" i="17"/>
  <c r="P2789" i="17"/>
  <c r="T2788" i="17"/>
  <c r="P2788" i="17"/>
  <c r="T2787" i="17"/>
  <c r="P2787" i="17"/>
  <c r="T2786" i="17"/>
  <c r="P2786" i="17"/>
  <c r="T2785" i="17"/>
  <c r="P2785" i="17"/>
  <c r="T2784" i="17"/>
  <c r="P2784" i="17"/>
  <c r="T2783" i="17"/>
  <c r="P2783" i="17"/>
  <c r="T2782" i="17"/>
  <c r="P2782" i="17"/>
  <c r="T2781" i="17"/>
  <c r="P2781" i="17"/>
  <c r="T2780" i="17"/>
  <c r="P2780" i="17"/>
  <c r="T2779" i="17"/>
  <c r="P2779" i="17"/>
  <c r="T2778" i="17"/>
  <c r="P2778" i="17"/>
  <c r="T2777" i="17"/>
  <c r="P2777" i="17"/>
  <c r="T2776" i="17"/>
  <c r="P2776" i="17"/>
  <c r="T2775" i="17"/>
  <c r="P2775" i="17"/>
  <c r="T2774" i="17"/>
  <c r="P2774" i="17"/>
  <c r="T2773" i="17"/>
  <c r="P2773" i="17"/>
  <c r="T2772" i="17"/>
  <c r="P2772" i="17"/>
  <c r="T2771" i="17"/>
  <c r="P2771" i="17"/>
  <c r="T2770" i="17"/>
  <c r="P2770" i="17"/>
  <c r="T2769" i="17"/>
  <c r="P2769" i="17"/>
  <c r="T2768" i="17"/>
  <c r="P2768" i="17"/>
  <c r="T2767" i="17"/>
  <c r="P2767" i="17"/>
  <c r="T2766" i="17"/>
  <c r="P2766" i="17"/>
  <c r="T2765" i="17"/>
  <c r="P2765" i="17"/>
  <c r="T2764" i="17"/>
  <c r="P2764" i="17"/>
  <c r="T2763" i="17"/>
  <c r="P2763" i="17"/>
  <c r="T2762" i="17"/>
  <c r="P2762" i="17"/>
  <c r="T2761" i="17"/>
  <c r="P2761" i="17"/>
  <c r="T2760" i="17"/>
  <c r="P2760" i="17"/>
  <c r="T2759" i="17"/>
  <c r="P2759" i="17"/>
  <c r="T2758" i="17"/>
  <c r="P2758" i="17"/>
  <c r="T2757" i="17"/>
  <c r="P2757" i="17"/>
  <c r="T2756" i="17"/>
  <c r="P2756" i="17"/>
  <c r="T2755" i="17"/>
  <c r="P2755" i="17"/>
  <c r="T2754" i="17"/>
  <c r="P2754" i="17"/>
  <c r="T2753" i="17"/>
  <c r="P2753" i="17"/>
  <c r="T2752" i="17"/>
  <c r="P2752" i="17"/>
  <c r="T2751" i="17"/>
  <c r="P2751" i="17"/>
  <c r="T2750" i="17"/>
  <c r="P2750" i="17"/>
  <c r="T2749" i="17"/>
  <c r="P2749" i="17"/>
  <c r="T2748" i="17"/>
  <c r="P2748" i="17"/>
  <c r="T2747" i="17"/>
  <c r="P2747" i="17"/>
  <c r="T2746" i="17"/>
  <c r="P2746" i="17"/>
  <c r="T2745" i="17"/>
  <c r="P2745" i="17"/>
  <c r="T2744" i="17"/>
  <c r="P2744" i="17"/>
  <c r="T2743" i="17"/>
  <c r="P2743" i="17"/>
  <c r="T2742" i="17"/>
  <c r="P2742" i="17"/>
  <c r="T2741" i="17"/>
  <c r="P2741" i="17"/>
  <c r="T2740" i="17"/>
  <c r="P2740" i="17"/>
  <c r="T2739" i="17"/>
  <c r="P2739" i="17"/>
  <c r="T2738" i="17"/>
  <c r="P2738" i="17"/>
  <c r="T2737" i="17"/>
  <c r="P2737" i="17"/>
  <c r="T2736" i="17"/>
  <c r="P2736" i="17"/>
  <c r="T2735" i="17"/>
  <c r="P2735" i="17"/>
  <c r="T2734" i="17"/>
  <c r="P2734" i="17"/>
  <c r="T2733" i="17"/>
  <c r="P2733" i="17"/>
  <c r="T2732" i="17"/>
  <c r="P2732" i="17"/>
  <c r="T2731" i="17"/>
  <c r="P2731" i="17"/>
  <c r="T2730" i="17"/>
  <c r="P2730" i="17"/>
  <c r="T2729" i="17"/>
  <c r="P2729" i="17"/>
  <c r="T2728" i="17"/>
  <c r="P2728" i="17"/>
  <c r="T2727" i="17"/>
  <c r="P2727" i="17"/>
  <c r="T2726" i="17"/>
  <c r="P2726" i="17"/>
  <c r="T2725" i="17"/>
  <c r="P2725" i="17"/>
  <c r="T2724" i="17"/>
  <c r="P2724" i="17"/>
  <c r="T2723" i="17"/>
  <c r="P2723" i="17"/>
  <c r="T2722" i="17"/>
  <c r="P2722" i="17"/>
  <c r="T2721" i="17"/>
  <c r="P2721" i="17"/>
  <c r="T2720" i="17"/>
  <c r="P2720" i="17"/>
  <c r="T2719" i="17"/>
  <c r="P2719" i="17"/>
  <c r="T2718" i="17"/>
  <c r="P2718" i="17"/>
  <c r="T2717" i="17"/>
  <c r="P2717" i="17"/>
  <c r="T2716" i="17"/>
  <c r="P2716" i="17"/>
  <c r="T2715" i="17"/>
  <c r="P2715" i="17"/>
  <c r="T2714" i="17"/>
  <c r="P2714" i="17"/>
  <c r="T2713" i="17"/>
  <c r="P2713" i="17"/>
  <c r="T2712" i="17"/>
  <c r="P2712" i="17"/>
  <c r="T2711" i="17"/>
  <c r="P2711" i="17"/>
  <c r="T2710" i="17"/>
  <c r="P2710" i="17"/>
  <c r="T2709" i="17"/>
  <c r="P2709" i="17"/>
  <c r="T2708" i="17"/>
  <c r="P2708" i="17"/>
  <c r="T2707" i="17"/>
  <c r="P2707" i="17"/>
  <c r="T2706" i="17"/>
  <c r="P2706" i="17"/>
  <c r="T2705" i="17"/>
  <c r="P2705" i="17"/>
  <c r="T2704" i="17"/>
  <c r="P2704" i="17"/>
  <c r="T2703" i="17"/>
  <c r="P2703" i="17"/>
  <c r="T2702" i="17"/>
  <c r="P2702" i="17"/>
  <c r="T2701" i="17"/>
  <c r="P2701" i="17"/>
  <c r="T2700" i="17"/>
  <c r="P2700" i="17"/>
  <c r="T2699" i="17"/>
  <c r="P2699" i="17"/>
  <c r="T2698" i="17"/>
  <c r="P2698" i="17"/>
  <c r="T2697" i="17"/>
  <c r="P2697" i="17"/>
  <c r="T2696" i="17"/>
  <c r="P2696" i="17"/>
  <c r="T2695" i="17"/>
  <c r="P2695" i="17"/>
  <c r="T2694" i="17"/>
  <c r="P2694" i="17"/>
  <c r="T2693" i="17"/>
  <c r="P2693" i="17"/>
  <c r="T2692" i="17"/>
  <c r="P2692" i="17"/>
  <c r="T2691" i="17"/>
  <c r="P2691" i="17"/>
  <c r="T2690" i="17"/>
  <c r="P2690" i="17"/>
  <c r="T2689" i="17"/>
  <c r="P2689" i="17"/>
  <c r="T2688" i="17"/>
  <c r="P2688" i="17"/>
  <c r="T2687" i="17"/>
  <c r="P2687" i="17"/>
  <c r="T2686" i="17"/>
  <c r="P2686" i="17"/>
  <c r="T2685" i="17"/>
  <c r="P2685" i="17"/>
  <c r="T2684" i="17"/>
  <c r="P2684" i="17"/>
  <c r="T2683" i="17"/>
  <c r="P2683" i="17"/>
  <c r="T2682" i="17"/>
  <c r="P2682" i="17"/>
  <c r="T2681" i="17"/>
  <c r="P2681" i="17"/>
  <c r="T2680" i="17"/>
  <c r="P2680" i="17"/>
  <c r="T2679" i="17"/>
  <c r="P2679" i="17"/>
  <c r="T2678" i="17"/>
  <c r="P2678" i="17"/>
  <c r="T2677" i="17"/>
  <c r="P2677" i="17"/>
  <c r="T2676" i="17"/>
  <c r="P2676" i="17"/>
  <c r="T2675" i="17"/>
  <c r="P2675" i="17"/>
  <c r="T2674" i="17"/>
  <c r="P2674" i="17"/>
  <c r="T2673" i="17"/>
  <c r="P2673" i="17"/>
  <c r="T2672" i="17"/>
  <c r="P2672" i="17"/>
  <c r="T2671" i="17"/>
  <c r="P2671" i="17"/>
  <c r="T2670" i="17"/>
  <c r="P2670" i="17"/>
  <c r="T2669" i="17"/>
  <c r="P2669" i="17"/>
  <c r="T2668" i="17"/>
  <c r="P2668" i="17"/>
  <c r="T2667" i="17"/>
  <c r="P2667" i="17"/>
  <c r="T2666" i="17"/>
  <c r="P2666" i="17"/>
  <c r="T2665" i="17"/>
  <c r="P2665" i="17"/>
  <c r="T2664" i="17"/>
  <c r="P2664" i="17"/>
  <c r="T2663" i="17"/>
  <c r="P2663" i="17"/>
  <c r="T2662" i="17"/>
  <c r="P2662" i="17"/>
  <c r="T2661" i="17"/>
  <c r="P2661" i="17"/>
  <c r="T2660" i="17"/>
  <c r="P2660" i="17"/>
  <c r="T2659" i="17"/>
  <c r="P2659" i="17"/>
  <c r="T2658" i="17"/>
  <c r="P2658" i="17"/>
  <c r="T2657" i="17"/>
  <c r="P2657" i="17"/>
  <c r="T2656" i="17"/>
  <c r="P2656" i="17"/>
  <c r="T2655" i="17"/>
  <c r="P2655" i="17"/>
  <c r="T2654" i="17"/>
  <c r="P2654" i="17"/>
  <c r="T2653" i="17"/>
  <c r="P2653" i="17"/>
  <c r="T2652" i="17"/>
  <c r="P2652" i="17"/>
  <c r="T2651" i="17"/>
  <c r="P2651" i="17"/>
  <c r="T2650" i="17"/>
  <c r="P2650" i="17"/>
  <c r="T2649" i="17"/>
  <c r="P2649" i="17"/>
  <c r="T2648" i="17"/>
  <c r="P2648" i="17"/>
  <c r="T2647" i="17"/>
  <c r="P2647" i="17"/>
  <c r="T2646" i="17"/>
  <c r="P2646" i="17"/>
  <c r="T2645" i="17"/>
  <c r="P2645" i="17"/>
  <c r="T2644" i="17"/>
  <c r="P2644" i="17"/>
  <c r="T2643" i="17"/>
  <c r="P2643" i="17"/>
  <c r="T2642" i="17"/>
  <c r="P2642" i="17"/>
  <c r="T2641" i="17"/>
  <c r="P2641" i="17"/>
  <c r="T2640" i="17"/>
  <c r="P2640" i="17"/>
  <c r="T2639" i="17"/>
  <c r="P2639" i="17"/>
  <c r="T2638" i="17"/>
  <c r="P2638" i="17"/>
  <c r="T2637" i="17"/>
  <c r="P2637" i="17"/>
  <c r="T2636" i="17"/>
  <c r="P2636" i="17"/>
  <c r="T2635" i="17"/>
  <c r="P2635" i="17"/>
  <c r="T2634" i="17"/>
  <c r="P2634" i="17"/>
  <c r="T2633" i="17"/>
  <c r="P2633" i="17"/>
  <c r="T2632" i="17"/>
  <c r="P2632" i="17"/>
  <c r="T2631" i="17"/>
  <c r="P2631" i="17"/>
  <c r="T2630" i="17"/>
  <c r="P2630" i="17"/>
  <c r="T2629" i="17"/>
  <c r="P2629" i="17"/>
  <c r="T2628" i="17"/>
  <c r="P2628" i="17"/>
  <c r="T2627" i="17"/>
  <c r="P2627" i="17"/>
  <c r="T2626" i="17"/>
  <c r="P2626" i="17"/>
  <c r="T2625" i="17"/>
  <c r="P2625" i="17"/>
  <c r="T2624" i="17"/>
  <c r="P2624" i="17"/>
  <c r="T2623" i="17"/>
  <c r="P2623" i="17"/>
  <c r="T2622" i="17"/>
  <c r="P2622" i="17"/>
  <c r="T2621" i="17"/>
  <c r="P2621" i="17"/>
  <c r="T2620" i="17"/>
  <c r="P2620" i="17"/>
  <c r="T2619" i="17"/>
  <c r="P2619" i="17"/>
  <c r="T2618" i="17"/>
  <c r="P2618" i="17"/>
  <c r="T2617" i="17"/>
  <c r="P2617" i="17"/>
  <c r="T2616" i="17"/>
  <c r="P2616" i="17"/>
  <c r="T2615" i="17"/>
  <c r="P2615" i="17"/>
  <c r="T2614" i="17"/>
  <c r="P2614" i="17"/>
  <c r="T2613" i="17"/>
  <c r="P2613" i="17"/>
  <c r="T2612" i="17"/>
  <c r="P2612" i="17"/>
  <c r="T2611" i="17"/>
  <c r="P2611" i="17"/>
  <c r="T2610" i="17"/>
  <c r="P2610" i="17"/>
  <c r="T2609" i="17"/>
  <c r="P2609" i="17"/>
  <c r="T2608" i="17"/>
  <c r="P2608" i="17"/>
  <c r="T2607" i="17"/>
  <c r="P2607" i="17"/>
  <c r="T2606" i="17"/>
  <c r="P2606" i="17"/>
  <c r="T2605" i="17"/>
  <c r="P2605" i="17"/>
  <c r="T2604" i="17"/>
  <c r="P2604" i="17"/>
  <c r="T2603" i="17"/>
  <c r="P2603" i="17"/>
  <c r="T2602" i="17"/>
  <c r="P2602" i="17"/>
  <c r="T2601" i="17"/>
  <c r="P2601" i="17"/>
  <c r="T2600" i="17"/>
  <c r="P2600" i="17"/>
  <c r="T2599" i="17"/>
  <c r="P2599" i="17"/>
  <c r="T2598" i="17"/>
  <c r="P2598" i="17"/>
  <c r="T2597" i="17"/>
  <c r="P2597" i="17"/>
  <c r="T2596" i="17"/>
  <c r="P2596" i="17"/>
  <c r="T2595" i="17"/>
  <c r="P2595" i="17"/>
  <c r="T2594" i="17"/>
  <c r="P2594" i="17"/>
  <c r="T2593" i="17"/>
  <c r="P2593" i="17"/>
  <c r="T2592" i="17"/>
  <c r="P2592" i="17"/>
  <c r="T2591" i="17"/>
  <c r="P2591" i="17"/>
  <c r="T2590" i="17"/>
  <c r="P2590" i="17"/>
  <c r="T2589" i="17"/>
  <c r="P2589" i="17"/>
  <c r="T2588" i="17"/>
  <c r="P2588" i="17"/>
  <c r="T2587" i="17"/>
  <c r="P2587" i="17"/>
  <c r="T2586" i="17"/>
  <c r="P2586" i="17"/>
  <c r="T2585" i="17"/>
  <c r="P2585" i="17"/>
  <c r="T2584" i="17"/>
  <c r="P2584" i="17"/>
  <c r="T2583" i="17"/>
  <c r="P2583" i="17"/>
  <c r="T2582" i="17"/>
  <c r="P2582" i="17"/>
  <c r="T2581" i="17"/>
  <c r="P2581" i="17"/>
  <c r="T2580" i="17"/>
  <c r="P2580" i="17"/>
  <c r="T2579" i="17"/>
  <c r="P2579" i="17"/>
  <c r="T2578" i="17"/>
  <c r="P2578" i="17"/>
  <c r="T2577" i="17"/>
  <c r="P2577" i="17"/>
  <c r="T2576" i="17"/>
  <c r="P2576" i="17"/>
  <c r="T2575" i="17"/>
  <c r="P2575" i="17"/>
  <c r="T2574" i="17"/>
  <c r="P2574" i="17"/>
  <c r="T2573" i="17"/>
  <c r="P2573" i="17"/>
  <c r="T2572" i="17"/>
  <c r="P2572" i="17"/>
  <c r="T2571" i="17"/>
  <c r="P2571" i="17"/>
  <c r="T2570" i="17"/>
  <c r="P2570" i="17"/>
  <c r="T2569" i="17"/>
  <c r="P2569" i="17"/>
  <c r="T2568" i="17"/>
  <c r="P2568" i="17"/>
  <c r="T2567" i="17"/>
  <c r="P2567" i="17"/>
  <c r="T2566" i="17"/>
  <c r="P2566" i="17"/>
  <c r="T2565" i="17"/>
  <c r="P2565" i="17"/>
  <c r="T2564" i="17"/>
  <c r="P2564" i="17"/>
  <c r="T2563" i="17"/>
  <c r="P2563" i="17"/>
  <c r="T2562" i="17"/>
  <c r="P2562" i="17"/>
  <c r="T2561" i="17"/>
  <c r="P2561" i="17"/>
  <c r="T2560" i="17"/>
  <c r="P2560" i="17"/>
  <c r="T2559" i="17"/>
  <c r="P2559" i="17"/>
  <c r="T2558" i="17"/>
  <c r="P2558" i="17"/>
  <c r="T2557" i="17"/>
  <c r="P2557" i="17"/>
  <c r="T2556" i="17"/>
  <c r="P2556" i="17"/>
  <c r="T2555" i="17"/>
  <c r="P2555" i="17"/>
  <c r="T2554" i="17"/>
  <c r="P2554" i="17"/>
  <c r="T2553" i="17"/>
  <c r="P2553" i="17"/>
  <c r="T2552" i="17"/>
  <c r="P2552" i="17"/>
  <c r="T2551" i="17"/>
  <c r="P2551" i="17"/>
  <c r="T2550" i="17"/>
  <c r="P2550" i="17"/>
  <c r="T2549" i="17"/>
  <c r="P2549" i="17"/>
  <c r="T2548" i="17"/>
  <c r="P2548" i="17"/>
  <c r="T2547" i="17"/>
  <c r="P2547" i="17"/>
  <c r="T2546" i="17"/>
  <c r="P2546" i="17"/>
  <c r="T2545" i="17"/>
  <c r="P2545" i="17"/>
  <c r="T2544" i="17"/>
  <c r="P2544" i="17"/>
  <c r="T2543" i="17"/>
  <c r="P2543" i="17"/>
  <c r="T2542" i="17"/>
  <c r="P2542" i="17"/>
  <c r="T2541" i="17"/>
  <c r="P2541" i="17"/>
  <c r="T2540" i="17"/>
  <c r="P2540" i="17"/>
  <c r="T2539" i="17"/>
  <c r="P2539" i="17"/>
  <c r="T2538" i="17"/>
  <c r="P2538" i="17"/>
  <c r="T2537" i="17"/>
  <c r="P2537" i="17"/>
  <c r="T2536" i="17"/>
  <c r="P2536" i="17"/>
  <c r="T2535" i="17"/>
  <c r="P2535" i="17"/>
  <c r="T2534" i="17"/>
  <c r="P2534" i="17"/>
  <c r="T2533" i="17"/>
  <c r="P2533" i="17"/>
  <c r="T2532" i="17"/>
  <c r="P2532" i="17"/>
  <c r="T2531" i="17"/>
  <c r="P2531" i="17"/>
  <c r="T2530" i="17"/>
  <c r="P2530" i="17"/>
  <c r="T2529" i="17"/>
  <c r="P2529" i="17"/>
  <c r="T2528" i="17"/>
  <c r="P2528" i="17"/>
  <c r="T2527" i="17"/>
  <c r="P2527" i="17"/>
  <c r="T2526" i="17"/>
  <c r="P2526" i="17"/>
  <c r="T2525" i="17"/>
  <c r="P2525" i="17"/>
  <c r="T2524" i="17"/>
  <c r="P2524" i="17"/>
  <c r="T2523" i="17"/>
  <c r="P2523" i="17"/>
  <c r="T2522" i="17"/>
  <c r="P2522" i="17"/>
  <c r="T2521" i="17"/>
  <c r="P2521" i="17"/>
  <c r="T2520" i="17"/>
  <c r="P2520" i="17"/>
  <c r="T2519" i="17"/>
  <c r="P2519" i="17"/>
  <c r="T2518" i="17"/>
  <c r="P2518" i="17"/>
  <c r="T2517" i="17"/>
  <c r="P2517" i="17"/>
  <c r="T2516" i="17"/>
  <c r="P2516" i="17"/>
  <c r="T2515" i="17"/>
  <c r="P2515" i="17"/>
  <c r="T2514" i="17"/>
  <c r="P2514" i="17"/>
  <c r="T2513" i="17"/>
  <c r="P2513" i="17"/>
  <c r="T2512" i="17"/>
  <c r="P2512" i="17"/>
  <c r="T2511" i="17"/>
  <c r="P2511" i="17"/>
  <c r="T2510" i="17"/>
  <c r="P2510" i="17"/>
  <c r="T2509" i="17"/>
  <c r="P2509" i="17"/>
  <c r="T2508" i="17"/>
  <c r="P2508" i="17"/>
  <c r="T2507" i="17"/>
  <c r="P2507" i="17"/>
  <c r="T2506" i="17"/>
  <c r="P2506" i="17"/>
  <c r="T2505" i="17"/>
  <c r="P2505" i="17"/>
  <c r="T2504" i="17"/>
  <c r="P2504" i="17"/>
  <c r="T2503" i="17"/>
  <c r="P2503" i="17"/>
  <c r="T2502" i="17"/>
  <c r="P2502" i="17"/>
  <c r="T2501" i="17"/>
  <c r="P2501" i="17"/>
  <c r="T2500" i="17"/>
  <c r="P2500" i="17"/>
  <c r="T2499" i="17"/>
  <c r="P2499" i="17"/>
  <c r="T2498" i="17"/>
  <c r="P2498" i="17"/>
  <c r="T2497" i="17"/>
  <c r="P2497" i="17"/>
  <c r="T2496" i="17"/>
  <c r="P2496" i="17"/>
  <c r="T2495" i="17"/>
  <c r="P2495" i="17"/>
  <c r="T2494" i="17"/>
  <c r="P2494" i="17"/>
  <c r="T2493" i="17"/>
  <c r="P2493" i="17"/>
  <c r="T2492" i="17"/>
  <c r="P2492" i="17"/>
  <c r="T2491" i="17"/>
  <c r="P2491" i="17"/>
  <c r="T2490" i="17"/>
  <c r="P2490" i="17"/>
  <c r="T2489" i="17"/>
  <c r="P2489" i="17"/>
  <c r="T2488" i="17"/>
  <c r="P2488" i="17"/>
  <c r="T2487" i="17"/>
  <c r="P2487" i="17"/>
  <c r="T2486" i="17"/>
  <c r="P2486" i="17"/>
  <c r="T2485" i="17"/>
  <c r="P2485" i="17"/>
  <c r="T2484" i="17"/>
  <c r="P2484" i="17"/>
  <c r="T2483" i="17"/>
  <c r="P2483" i="17"/>
  <c r="T2482" i="17"/>
  <c r="P2482" i="17"/>
  <c r="T2481" i="17"/>
  <c r="P2481" i="17"/>
  <c r="T2480" i="17"/>
  <c r="P2480" i="17"/>
  <c r="T2479" i="17"/>
  <c r="P2479" i="17"/>
  <c r="T2478" i="17"/>
  <c r="P2478" i="17"/>
  <c r="T2477" i="17"/>
  <c r="P2477" i="17"/>
  <c r="T2476" i="17"/>
  <c r="P2476" i="17"/>
  <c r="T2475" i="17"/>
  <c r="P2475" i="17"/>
  <c r="T2474" i="17"/>
  <c r="P2474" i="17"/>
  <c r="T2473" i="17"/>
  <c r="P2473" i="17"/>
  <c r="T2472" i="17"/>
  <c r="P2472" i="17"/>
  <c r="T2471" i="17"/>
  <c r="P2471" i="17"/>
  <c r="T2470" i="17"/>
  <c r="P2470" i="17"/>
  <c r="T2469" i="17"/>
  <c r="P2469" i="17"/>
  <c r="T2468" i="17"/>
  <c r="P2468" i="17"/>
  <c r="T2467" i="17"/>
  <c r="P2467" i="17"/>
  <c r="T2466" i="17"/>
  <c r="P2466" i="17"/>
  <c r="T2465" i="17"/>
  <c r="P2465" i="17"/>
  <c r="T2464" i="17"/>
  <c r="P2464" i="17"/>
  <c r="T2463" i="17"/>
  <c r="P2463" i="17"/>
  <c r="T2462" i="17"/>
  <c r="P2462" i="17"/>
  <c r="T2461" i="17"/>
  <c r="P2461" i="17"/>
  <c r="T2460" i="17"/>
  <c r="P2460" i="17"/>
  <c r="T2459" i="17"/>
  <c r="P2459" i="17"/>
  <c r="T2458" i="17"/>
  <c r="P2458" i="17"/>
  <c r="T2457" i="17"/>
  <c r="P2457" i="17"/>
  <c r="T2456" i="17"/>
  <c r="P2456" i="17"/>
  <c r="T2455" i="17"/>
  <c r="P2455" i="17"/>
  <c r="T2454" i="17"/>
  <c r="P2454" i="17"/>
  <c r="T2453" i="17"/>
  <c r="P2453" i="17"/>
  <c r="T2452" i="17"/>
  <c r="P2452" i="17"/>
  <c r="T2451" i="17"/>
  <c r="P2451" i="17"/>
  <c r="T2450" i="17"/>
  <c r="P2450" i="17"/>
  <c r="T2449" i="17"/>
  <c r="P2449" i="17"/>
  <c r="T2448" i="17"/>
  <c r="P2448" i="17"/>
  <c r="T2447" i="17"/>
  <c r="P2447" i="17"/>
  <c r="T2446" i="17"/>
  <c r="P2446" i="17"/>
  <c r="T2445" i="17"/>
  <c r="P2445" i="17"/>
  <c r="T2444" i="17"/>
  <c r="P2444" i="17"/>
  <c r="T2443" i="17"/>
  <c r="P2443" i="17"/>
  <c r="T2442" i="17"/>
  <c r="P2442" i="17"/>
  <c r="T2441" i="17"/>
  <c r="P2441" i="17"/>
  <c r="T2440" i="17"/>
  <c r="P2440" i="17"/>
  <c r="T2439" i="17"/>
  <c r="P2439" i="17"/>
  <c r="T2438" i="17"/>
  <c r="P2438" i="17"/>
  <c r="T2437" i="17"/>
  <c r="P2437" i="17"/>
  <c r="T2436" i="17"/>
  <c r="P2436" i="17"/>
  <c r="T2435" i="17"/>
  <c r="P2435" i="17"/>
  <c r="T2434" i="17"/>
  <c r="P2434" i="17"/>
  <c r="T2433" i="17"/>
  <c r="P2433" i="17"/>
  <c r="T2432" i="17"/>
  <c r="P2432" i="17"/>
  <c r="T2431" i="17"/>
  <c r="P2431" i="17"/>
  <c r="T2430" i="17"/>
  <c r="P2430" i="17"/>
  <c r="T2429" i="17"/>
  <c r="P2429" i="17"/>
  <c r="T2428" i="17"/>
  <c r="P2428" i="17"/>
  <c r="T2427" i="17"/>
  <c r="P2427" i="17"/>
  <c r="T2426" i="17"/>
  <c r="P2426" i="17"/>
  <c r="T2425" i="17"/>
  <c r="P2425" i="17"/>
  <c r="T2424" i="17"/>
  <c r="P2424" i="17"/>
  <c r="T2423" i="17"/>
  <c r="P2423" i="17"/>
  <c r="T2422" i="17"/>
  <c r="P2422" i="17"/>
  <c r="T2421" i="17"/>
  <c r="P2421" i="17"/>
  <c r="T2420" i="17"/>
  <c r="P2420" i="17"/>
  <c r="T2419" i="17"/>
  <c r="P2419" i="17"/>
  <c r="T2418" i="17"/>
  <c r="P2418" i="17"/>
  <c r="T2417" i="17"/>
  <c r="P2417" i="17"/>
  <c r="T2416" i="17"/>
  <c r="P2416" i="17"/>
  <c r="T2415" i="17"/>
  <c r="P2415" i="17"/>
  <c r="T2414" i="17"/>
  <c r="P2414" i="17"/>
  <c r="T2413" i="17"/>
  <c r="P2413" i="17"/>
  <c r="T2412" i="17"/>
  <c r="P2412" i="17"/>
  <c r="T2411" i="17"/>
  <c r="P2411" i="17"/>
  <c r="T2410" i="17"/>
  <c r="P2410" i="17"/>
  <c r="T2409" i="17"/>
  <c r="P2409" i="17"/>
  <c r="T2408" i="17"/>
  <c r="P2408" i="17"/>
  <c r="T2407" i="17"/>
  <c r="P2407" i="17"/>
  <c r="T2406" i="17"/>
  <c r="P2406" i="17"/>
  <c r="T2405" i="17"/>
  <c r="P2405" i="17"/>
  <c r="T2404" i="17"/>
  <c r="P2404" i="17"/>
  <c r="T2403" i="17"/>
  <c r="P2403" i="17"/>
  <c r="T2402" i="17"/>
  <c r="P2402" i="17"/>
  <c r="T2401" i="17"/>
  <c r="P2401" i="17"/>
  <c r="T2400" i="17"/>
  <c r="P2400" i="17"/>
  <c r="T2399" i="17"/>
  <c r="P2399" i="17"/>
  <c r="T2398" i="17"/>
  <c r="P2398" i="17"/>
  <c r="T2397" i="17"/>
  <c r="P2397" i="17"/>
  <c r="T2396" i="17"/>
  <c r="P2396" i="17"/>
  <c r="T2395" i="17"/>
  <c r="P2395" i="17"/>
  <c r="T2394" i="17"/>
  <c r="P2394" i="17"/>
  <c r="T2393" i="17"/>
  <c r="P2393" i="17"/>
  <c r="T2392" i="17"/>
  <c r="P2392" i="17"/>
  <c r="T2391" i="17"/>
  <c r="P2391" i="17"/>
  <c r="T2390" i="17"/>
  <c r="P2390" i="17"/>
  <c r="T2389" i="17"/>
  <c r="P2389" i="17"/>
  <c r="T2388" i="17"/>
  <c r="P2388" i="17"/>
  <c r="T2387" i="17"/>
  <c r="P2387" i="17"/>
  <c r="T2386" i="17"/>
  <c r="P2386" i="17"/>
  <c r="T2385" i="17"/>
  <c r="P2385" i="17"/>
  <c r="T2384" i="17"/>
  <c r="P2384" i="17"/>
  <c r="T2383" i="17"/>
  <c r="P2383" i="17"/>
  <c r="T2382" i="17"/>
  <c r="P2382" i="17"/>
  <c r="T2381" i="17"/>
  <c r="P2381" i="17"/>
  <c r="T2380" i="17"/>
  <c r="P2380" i="17"/>
  <c r="T2379" i="17"/>
  <c r="P2379" i="17"/>
  <c r="T2378" i="17"/>
  <c r="P2378" i="17"/>
  <c r="T2377" i="17"/>
  <c r="P2377" i="17"/>
  <c r="T2376" i="17"/>
  <c r="P2376" i="17"/>
  <c r="T2375" i="17"/>
  <c r="P2375" i="17"/>
  <c r="T2374" i="17"/>
  <c r="P2374" i="17"/>
  <c r="T2373" i="17"/>
  <c r="P2373" i="17"/>
  <c r="T2372" i="17"/>
  <c r="P2372" i="17"/>
  <c r="T2371" i="17"/>
  <c r="P2371" i="17"/>
  <c r="T2370" i="17"/>
  <c r="P2370" i="17"/>
  <c r="T2369" i="17"/>
  <c r="P2369" i="17"/>
  <c r="T2368" i="17"/>
  <c r="P2368" i="17"/>
  <c r="T2367" i="17"/>
  <c r="P2367" i="17"/>
  <c r="T2366" i="17"/>
  <c r="P2366" i="17"/>
  <c r="T2365" i="17"/>
  <c r="P2365" i="17"/>
  <c r="T2364" i="17"/>
  <c r="P2364" i="17"/>
  <c r="T2363" i="17"/>
  <c r="P2363" i="17"/>
  <c r="T2362" i="17"/>
  <c r="P2362" i="17"/>
  <c r="T2361" i="17"/>
  <c r="P2361" i="17"/>
  <c r="T2360" i="17"/>
  <c r="P2360" i="17"/>
  <c r="T2359" i="17"/>
  <c r="P2359" i="17"/>
  <c r="T2358" i="17"/>
  <c r="P2358" i="17"/>
  <c r="T2357" i="17"/>
  <c r="P2357" i="17"/>
  <c r="T2356" i="17"/>
  <c r="P2356" i="17"/>
  <c r="T2355" i="17"/>
  <c r="P2355" i="17"/>
  <c r="T2354" i="17"/>
  <c r="P2354" i="17"/>
  <c r="T2353" i="17"/>
  <c r="P2353" i="17"/>
  <c r="T2352" i="17"/>
  <c r="P2352" i="17"/>
  <c r="T2351" i="17"/>
  <c r="P2351" i="17"/>
  <c r="T2350" i="17"/>
  <c r="P2350" i="17"/>
  <c r="T2349" i="17"/>
  <c r="P2349" i="17"/>
  <c r="T2348" i="17"/>
  <c r="P2348" i="17"/>
  <c r="T2347" i="17"/>
  <c r="P2347" i="17"/>
  <c r="T2346" i="17"/>
  <c r="P2346" i="17"/>
  <c r="T2345" i="17"/>
  <c r="P2345" i="17"/>
  <c r="T2344" i="17"/>
  <c r="P2344" i="17"/>
  <c r="T2343" i="17"/>
  <c r="P2343" i="17"/>
  <c r="T2342" i="17"/>
  <c r="P2342" i="17"/>
  <c r="T2341" i="17"/>
  <c r="P2341" i="17"/>
  <c r="T2340" i="17"/>
  <c r="P2340" i="17"/>
  <c r="T2339" i="17"/>
  <c r="P2339" i="17"/>
  <c r="T2338" i="17"/>
  <c r="P2338" i="17"/>
  <c r="T2337" i="17"/>
  <c r="P2337" i="17"/>
  <c r="T2336" i="17"/>
  <c r="P2336" i="17"/>
  <c r="T2335" i="17"/>
  <c r="P2335" i="17"/>
  <c r="T2334" i="17"/>
  <c r="P2334" i="17"/>
  <c r="T2333" i="17"/>
  <c r="P2333" i="17"/>
  <c r="T2332" i="17"/>
  <c r="P2332" i="17"/>
  <c r="T2331" i="17"/>
  <c r="P2331" i="17"/>
  <c r="T2330" i="17"/>
  <c r="P2330" i="17"/>
  <c r="T2329" i="17"/>
  <c r="P2329" i="17"/>
  <c r="T2328" i="17"/>
  <c r="P2328" i="17"/>
  <c r="T2327" i="17"/>
  <c r="P2327" i="17"/>
  <c r="T2326" i="17"/>
  <c r="P2326" i="17"/>
  <c r="T2325" i="17"/>
  <c r="P2325" i="17"/>
  <c r="T2324" i="17"/>
  <c r="P2324" i="17"/>
  <c r="T2323" i="17"/>
  <c r="P2323" i="17"/>
  <c r="T2322" i="17"/>
  <c r="P2322" i="17"/>
  <c r="T2321" i="17"/>
  <c r="P2321" i="17"/>
  <c r="T2320" i="17"/>
  <c r="P2320" i="17"/>
  <c r="T2319" i="17"/>
  <c r="P2319" i="17"/>
  <c r="T2318" i="17"/>
  <c r="P2318" i="17"/>
  <c r="T2317" i="17"/>
  <c r="P2317" i="17"/>
  <c r="T2316" i="17"/>
  <c r="P2316" i="17"/>
  <c r="T2315" i="17"/>
  <c r="P2315" i="17"/>
  <c r="T2314" i="17"/>
  <c r="P2314" i="17"/>
  <c r="T2313" i="17"/>
  <c r="P2313" i="17"/>
  <c r="T2312" i="17"/>
  <c r="P2312" i="17"/>
  <c r="T2311" i="17"/>
  <c r="P2311" i="17"/>
  <c r="T2310" i="17"/>
  <c r="P2310" i="17"/>
  <c r="T2309" i="17"/>
  <c r="P2309" i="17"/>
  <c r="T2308" i="17"/>
  <c r="P2308" i="17"/>
  <c r="T2307" i="17"/>
  <c r="P2307" i="17"/>
  <c r="T2306" i="17"/>
  <c r="P2306" i="17"/>
  <c r="T2305" i="17"/>
  <c r="P2305" i="17"/>
  <c r="T2304" i="17"/>
  <c r="P2304" i="17"/>
  <c r="T2303" i="17"/>
  <c r="P2303" i="17"/>
  <c r="T2302" i="17"/>
  <c r="P2302" i="17"/>
  <c r="T2301" i="17"/>
  <c r="P2301" i="17"/>
  <c r="T2300" i="17"/>
  <c r="P2300" i="17"/>
  <c r="T2299" i="17"/>
  <c r="P2299" i="17"/>
  <c r="T2298" i="17"/>
  <c r="P2298" i="17"/>
  <c r="T2297" i="17"/>
  <c r="P2297" i="17"/>
  <c r="T2296" i="17"/>
  <c r="P2296" i="17"/>
  <c r="T2295" i="17"/>
  <c r="P2295" i="17"/>
  <c r="T2294" i="17"/>
  <c r="P2294" i="17"/>
  <c r="T2293" i="17"/>
  <c r="P2293" i="17"/>
  <c r="T2292" i="17"/>
  <c r="P2292" i="17"/>
  <c r="T2291" i="17"/>
  <c r="P2291" i="17"/>
  <c r="T2290" i="17"/>
  <c r="P2290" i="17"/>
  <c r="T2289" i="17"/>
  <c r="P2289" i="17"/>
  <c r="T2288" i="17"/>
  <c r="P2288" i="17"/>
  <c r="T2287" i="17"/>
  <c r="P2287" i="17"/>
  <c r="T2286" i="17"/>
  <c r="P2286" i="17"/>
  <c r="T2285" i="17"/>
  <c r="P2285" i="17"/>
  <c r="T2284" i="17"/>
  <c r="P2284" i="17"/>
  <c r="T2283" i="17"/>
  <c r="P2283" i="17"/>
  <c r="T2282" i="17"/>
  <c r="P2282" i="17"/>
  <c r="T2281" i="17"/>
  <c r="P2281" i="17"/>
  <c r="T2280" i="17"/>
  <c r="P2280" i="17"/>
  <c r="T2279" i="17"/>
  <c r="P2279" i="17"/>
  <c r="T2278" i="17"/>
  <c r="P2278" i="17"/>
  <c r="T2277" i="17"/>
  <c r="P2277" i="17"/>
  <c r="T2276" i="17"/>
  <c r="P2276" i="17"/>
  <c r="T2275" i="17"/>
  <c r="P2275" i="17"/>
  <c r="T2274" i="17"/>
  <c r="P2274" i="17"/>
  <c r="T2273" i="17"/>
  <c r="P2273" i="17"/>
  <c r="T2272" i="17"/>
  <c r="P2272" i="17"/>
  <c r="T2271" i="17"/>
  <c r="P2271" i="17"/>
  <c r="T2270" i="17"/>
  <c r="P2270" i="17"/>
  <c r="T2269" i="17"/>
  <c r="P2269" i="17"/>
  <c r="T2268" i="17"/>
  <c r="P2268" i="17"/>
  <c r="T2267" i="17"/>
  <c r="P2267" i="17"/>
  <c r="T2266" i="17"/>
  <c r="P2266" i="17"/>
  <c r="T2265" i="17"/>
  <c r="P2265" i="17"/>
  <c r="T2264" i="17"/>
  <c r="P2264" i="17"/>
  <c r="T2263" i="17"/>
  <c r="P2263" i="17"/>
  <c r="T2262" i="17"/>
  <c r="P2262" i="17"/>
  <c r="T2261" i="17"/>
  <c r="P2261" i="17"/>
  <c r="T2260" i="17"/>
  <c r="P2260" i="17"/>
  <c r="T2259" i="17"/>
  <c r="P2259" i="17"/>
  <c r="T2258" i="17"/>
  <c r="P2258" i="17"/>
  <c r="T2257" i="17"/>
  <c r="P2257" i="17"/>
  <c r="T2256" i="17"/>
  <c r="P2256" i="17"/>
  <c r="T2255" i="17"/>
  <c r="P2255" i="17"/>
  <c r="T2254" i="17"/>
  <c r="P2254" i="17"/>
  <c r="T2253" i="17"/>
  <c r="P2253" i="17"/>
  <c r="T2252" i="17"/>
  <c r="P2252" i="17"/>
  <c r="T2251" i="17"/>
  <c r="P2251" i="17"/>
  <c r="T2250" i="17"/>
  <c r="P2250" i="17"/>
  <c r="T2249" i="17"/>
  <c r="P2249" i="17"/>
  <c r="T2248" i="17"/>
  <c r="P2248" i="17"/>
  <c r="T2247" i="17"/>
  <c r="P2247" i="17"/>
  <c r="T2246" i="17"/>
  <c r="P2246" i="17"/>
  <c r="T2245" i="17"/>
  <c r="P2245" i="17"/>
  <c r="T2244" i="17"/>
  <c r="P2244" i="17"/>
  <c r="T2243" i="17"/>
  <c r="P2243" i="17"/>
  <c r="T2242" i="17"/>
  <c r="P2242" i="17"/>
  <c r="T2241" i="17"/>
  <c r="P2241" i="17"/>
  <c r="T2240" i="17"/>
  <c r="P2240" i="17"/>
  <c r="T2239" i="17"/>
  <c r="P2239" i="17"/>
  <c r="T2238" i="17"/>
  <c r="P2238" i="17"/>
  <c r="T2237" i="17"/>
  <c r="P2237" i="17"/>
  <c r="T2236" i="17"/>
  <c r="P2236" i="17"/>
  <c r="T2235" i="17"/>
  <c r="P2235" i="17"/>
  <c r="T2234" i="17"/>
  <c r="P2234" i="17"/>
  <c r="T2233" i="17"/>
  <c r="P2233" i="17"/>
  <c r="T2232" i="17"/>
  <c r="P2232" i="17"/>
  <c r="T2231" i="17"/>
  <c r="P2231" i="17"/>
  <c r="T2230" i="17"/>
  <c r="P2230" i="17"/>
  <c r="T2229" i="17"/>
  <c r="P2229" i="17"/>
  <c r="T2228" i="17"/>
  <c r="P2228" i="17"/>
  <c r="T2227" i="17"/>
  <c r="P2227" i="17"/>
  <c r="T2226" i="17"/>
  <c r="P2226" i="17"/>
  <c r="T2225" i="17"/>
  <c r="P2225" i="17"/>
  <c r="T2224" i="17"/>
  <c r="P2224" i="17"/>
  <c r="T2223" i="17"/>
  <c r="P2223" i="17"/>
  <c r="T2222" i="17"/>
  <c r="P2222" i="17"/>
  <c r="T2221" i="17"/>
  <c r="P2221" i="17"/>
  <c r="T2220" i="17"/>
  <c r="P2220" i="17"/>
  <c r="T2219" i="17"/>
  <c r="P2219" i="17"/>
  <c r="T2218" i="17"/>
  <c r="P2218" i="17"/>
  <c r="T2217" i="17"/>
  <c r="P2217" i="17"/>
  <c r="T2216" i="17"/>
  <c r="P2216" i="17"/>
  <c r="T2215" i="17"/>
  <c r="P2215" i="17"/>
  <c r="T2214" i="17"/>
  <c r="P2214" i="17"/>
  <c r="T2213" i="17"/>
  <c r="P2213" i="17"/>
  <c r="T2212" i="17"/>
  <c r="P2212" i="17"/>
  <c r="T2211" i="17"/>
  <c r="P2211" i="17"/>
  <c r="T2210" i="17"/>
  <c r="P2210" i="17"/>
  <c r="T2209" i="17"/>
  <c r="P2209" i="17"/>
  <c r="T2208" i="17"/>
  <c r="P2208" i="17"/>
  <c r="T2207" i="17"/>
  <c r="P2207" i="17"/>
  <c r="T2206" i="17"/>
  <c r="P2206" i="17"/>
  <c r="T2205" i="17"/>
  <c r="P2205" i="17"/>
  <c r="T2204" i="17"/>
  <c r="P2204" i="17"/>
  <c r="T2203" i="17"/>
  <c r="P2203" i="17"/>
  <c r="T2202" i="17"/>
  <c r="P2202" i="17"/>
  <c r="T2201" i="17"/>
  <c r="P2201" i="17"/>
  <c r="T2200" i="17"/>
  <c r="P2200" i="17"/>
  <c r="T2199" i="17"/>
  <c r="P2199" i="17"/>
  <c r="T2198" i="17"/>
  <c r="P2198" i="17"/>
  <c r="T2197" i="17"/>
  <c r="P2197" i="17"/>
  <c r="T2196" i="17"/>
  <c r="P2196" i="17"/>
  <c r="T2195" i="17"/>
  <c r="P2195" i="17"/>
  <c r="T2194" i="17"/>
  <c r="P2194" i="17"/>
  <c r="T2193" i="17"/>
  <c r="P2193" i="17"/>
  <c r="T2192" i="17"/>
  <c r="P2192" i="17"/>
  <c r="T2191" i="17"/>
  <c r="P2191" i="17"/>
  <c r="T2190" i="17"/>
  <c r="P2190" i="17"/>
  <c r="T2189" i="17"/>
  <c r="P2189" i="17"/>
  <c r="T2188" i="17"/>
  <c r="P2188" i="17"/>
  <c r="T2187" i="17"/>
  <c r="P2187" i="17"/>
  <c r="T2186" i="17"/>
  <c r="P2186" i="17"/>
  <c r="T2185" i="17"/>
  <c r="P2185" i="17"/>
  <c r="T2184" i="17"/>
  <c r="P2184" i="17"/>
  <c r="T2183" i="17"/>
  <c r="P2183" i="17"/>
  <c r="T2182" i="17"/>
  <c r="P2182" i="17"/>
  <c r="T2181" i="17"/>
  <c r="P2181" i="17"/>
  <c r="T2180" i="17"/>
  <c r="P2180" i="17"/>
  <c r="T2179" i="17"/>
  <c r="P2179" i="17"/>
  <c r="T2178" i="17"/>
  <c r="P2178" i="17"/>
  <c r="T2177" i="17"/>
  <c r="P2177" i="17"/>
  <c r="T2176" i="17"/>
  <c r="P2176" i="17"/>
  <c r="T2175" i="17"/>
  <c r="P2175" i="17"/>
  <c r="T2174" i="17"/>
  <c r="P2174" i="17"/>
  <c r="T2173" i="17"/>
  <c r="P2173" i="17"/>
  <c r="T2172" i="17"/>
  <c r="P2172" i="17"/>
  <c r="T2171" i="17"/>
  <c r="P2171" i="17"/>
  <c r="T2170" i="17"/>
  <c r="P2170" i="17"/>
  <c r="T2169" i="17"/>
  <c r="P2169" i="17"/>
  <c r="T2168" i="17"/>
  <c r="P2168" i="17"/>
  <c r="T2167" i="17"/>
  <c r="P2167" i="17"/>
  <c r="T2166" i="17"/>
  <c r="P2166" i="17"/>
  <c r="T2165" i="17"/>
  <c r="P2165" i="17"/>
  <c r="T2164" i="17"/>
  <c r="P2164" i="17"/>
  <c r="T2163" i="17"/>
  <c r="P2163" i="17"/>
  <c r="T2162" i="17"/>
  <c r="P2162" i="17"/>
  <c r="T2161" i="17"/>
  <c r="P2161" i="17"/>
  <c r="T2160" i="17"/>
  <c r="P2160" i="17"/>
  <c r="T2159" i="17"/>
  <c r="P2159" i="17"/>
  <c r="T2158" i="17"/>
  <c r="P2158" i="17"/>
  <c r="T2157" i="17"/>
  <c r="P2157" i="17"/>
  <c r="T2156" i="17"/>
  <c r="P2156" i="17"/>
  <c r="T2155" i="17"/>
  <c r="P2155" i="17"/>
  <c r="T2154" i="17"/>
  <c r="P2154" i="17"/>
  <c r="T2153" i="17"/>
  <c r="P2153" i="17"/>
  <c r="T2152" i="17"/>
  <c r="P2152" i="17"/>
  <c r="T2151" i="17"/>
  <c r="P2151" i="17"/>
  <c r="T2150" i="17"/>
  <c r="P2150" i="17"/>
  <c r="T2149" i="17"/>
  <c r="P2149" i="17"/>
  <c r="T2148" i="17"/>
  <c r="P2148" i="17"/>
  <c r="T2147" i="17"/>
  <c r="P2147" i="17"/>
  <c r="T2146" i="17"/>
  <c r="P2146" i="17"/>
  <c r="T2145" i="17"/>
  <c r="P2145" i="17"/>
  <c r="T2144" i="17"/>
  <c r="P2144" i="17"/>
  <c r="T2143" i="17"/>
  <c r="P2143" i="17"/>
  <c r="T2142" i="17"/>
  <c r="P2142" i="17"/>
  <c r="T2141" i="17"/>
  <c r="P2141" i="17"/>
  <c r="T2140" i="17"/>
  <c r="P2140" i="17"/>
  <c r="T2139" i="17"/>
  <c r="P2139" i="17"/>
  <c r="T2138" i="17"/>
  <c r="P2138" i="17"/>
  <c r="T2137" i="17"/>
  <c r="P2137" i="17"/>
  <c r="T2136" i="17"/>
  <c r="P2136" i="17"/>
  <c r="T2135" i="17"/>
  <c r="P2135" i="17"/>
  <c r="T2134" i="17"/>
  <c r="P2134" i="17"/>
  <c r="T2133" i="17"/>
  <c r="P2133" i="17"/>
  <c r="T2132" i="17"/>
  <c r="P2132" i="17"/>
  <c r="T2131" i="17"/>
  <c r="P2131" i="17"/>
  <c r="T2130" i="17"/>
  <c r="P2130" i="17"/>
  <c r="T2129" i="17"/>
  <c r="P2129" i="17"/>
  <c r="T2128" i="17"/>
  <c r="P2128" i="17"/>
  <c r="T2127" i="17"/>
  <c r="P2127" i="17"/>
  <c r="T2126" i="17"/>
  <c r="P2126" i="17"/>
  <c r="T2125" i="17"/>
  <c r="P2125" i="17"/>
  <c r="T2124" i="17"/>
  <c r="P2124" i="17"/>
  <c r="T2123" i="17"/>
  <c r="P2123" i="17"/>
  <c r="T2122" i="17"/>
  <c r="P2122" i="17"/>
  <c r="T2121" i="17"/>
  <c r="P2121" i="17"/>
  <c r="T2120" i="17"/>
  <c r="P2120" i="17"/>
  <c r="T2119" i="17"/>
  <c r="P2119" i="17"/>
  <c r="T2118" i="17"/>
  <c r="P2118" i="17"/>
  <c r="T2117" i="17"/>
  <c r="P2117" i="17"/>
  <c r="T2116" i="17"/>
  <c r="P2116" i="17"/>
  <c r="T2115" i="17"/>
  <c r="P2115" i="17"/>
  <c r="T2114" i="17"/>
  <c r="P2114" i="17"/>
  <c r="T2113" i="17"/>
  <c r="P2113" i="17"/>
  <c r="T2112" i="17"/>
  <c r="P2112" i="17"/>
  <c r="T2111" i="17"/>
  <c r="P2111" i="17"/>
  <c r="T2110" i="17"/>
  <c r="P2110" i="17"/>
  <c r="T2109" i="17"/>
  <c r="P2109" i="17"/>
  <c r="T2108" i="17"/>
  <c r="P2108" i="17"/>
  <c r="T2107" i="17"/>
  <c r="P2107" i="17"/>
  <c r="T2106" i="17"/>
  <c r="P2106" i="17"/>
  <c r="T2105" i="17"/>
  <c r="P2105" i="17"/>
  <c r="T2104" i="17"/>
  <c r="P2104" i="17"/>
  <c r="T2103" i="17"/>
  <c r="P2103" i="17"/>
  <c r="T2102" i="17"/>
  <c r="P2102" i="17"/>
  <c r="T2101" i="17"/>
  <c r="P2101" i="17"/>
  <c r="T2100" i="17"/>
  <c r="P2100" i="17"/>
  <c r="T2099" i="17"/>
  <c r="P2099" i="17"/>
  <c r="T2098" i="17"/>
  <c r="P2098" i="17"/>
  <c r="T2097" i="17"/>
  <c r="P2097" i="17"/>
  <c r="T2096" i="17"/>
  <c r="P2096" i="17"/>
  <c r="T2095" i="17"/>
  <c r="P2095" i="17"/>
  <c r="T2094" i="17"/>
  <c r="P2094" i="17"/>
  <c r="T2093" i="17"/>
  <c r="P2093" i="17"/>
  <c r="T2092" i="17"/>
  <c r="P2092" i="17"/>
  <c r="T2091" i="17"/>
  <c r="P2091" i="17"/>
  <c r="T2090" i="17"/>
  <c r="P2090" i="17"/>
  <c r="T2089" i="17"/>
  <c r="P2089" i="17"/>
  <c r="T2088" i="17"/>
  <c r="P2088" i="17"/>
  <c r="T2087" i="17"/>
  <c r="P2087" i="17"/>
  <c r="T2086" i="17"/>
  <c r="P2086" i="17"/>
  <c r="T2085" i="17"/>
  <c r="P2085" i="17"/>
  <c r="T2084" i="17"/>
  <c r="P2084" i="17"/>
  <c r="T2083" i="17"/>
  <c r="P2083" i="17"/>
  <c r="T2082" i="17"/>
  <c r="P2082" i="17"/>
  <c r="T2081" i="17"/>
  <c r="P2081" i="17"/>
  <c r="T2080" i="17"/>
  <c r="P2080" i="17"/>
  <c r="T2079" i="17"/>
  <c r="P2079" i="17"/>
  <c r="T2078" i="17"/>
  <c r="P2078" i="17"/>
  <c r="T2077" i="17"/>
  <c r="P2077" i="17"/>
  <c r="T2076" i="17"/>
  <c r="P2076" i="17"/>
  <c r="T2075" i="17"/>
  <c r="P2075" i="17"/>
  <c r="T2074" i="17"/>
  <c r="P2074" i="17"/>
  <c r="T2073" i="17"/>
  <c r="P2073" i="17"/>
  <c r="T2072" i="17"/>
  <c r="P2072" i="17"/>
  <c r="T2071" i="17"/>
  <c r="P2071" i="17"/>
  <c r="T2070" i="17"/>
  <c r="P2070" i="17"/>
  <c r="T2069" i="17"/>
  <c r="P2069" i="17"/>
  <c r="T2068" i="17"/>
  <c r="P2068" i="17"/>
  <c r="T2067" i="17"/>
  <c r="P2067" i="17"/>
  <c r="T2066" i="17"/>
  <c r="P2066" i="17"/>
  <c r="T2065" i="17"/>
  <c r="P2065" i="17"/>
  <c r="T2064" i="17"/>
  <c r="P2064" i="17"/>
  <c r="T2063" i="17"/>
  <c r="P2063" i="17"/>
  <c r="T2062" i="17"/>
  <c r="P2062" i="17"/>
  <c r="T2061" i="17"/>
  <c r="P2061" i="17"/>
  <c r="T2060" i="17"/>
  <c r="P2060" i="17"/>
  <c r="T2059" i="17"/>
  <c r="P2059" i="17"/>
  <c r="T2058" i="17"/>
  <c r="P2058" i="17"/>
  <c r="T2057" i="17"/>
  <c r="P2057" i="17"/>
  <c r="T2056" i="17"/>
  <c r="P2056" i="17"/>
  <c r="T2055" i="17"/>
  <c r="P2055" i="17"/>
  <c r="T2054" i="17"/>
  <c r="P2054" i="17"/>
  <c r="T2053" i="17"/>
  <c r="P2053" i="17"/>
  <c r="T2052" i="17"/>
  <c r="P2052" i="17"/>
  <c r="T2051" i="17"/>
  <c r="P2051" i="17"/>
  <c r="T2050" i="17"/>
  <c r="P2050" i="17"/>
  <c r="T2049" i="17"/>
  <c r="P2049" i="17"/>
  <c r="T2048" i="17"/>
  <c r="P2048" i="17"/>
  <c r="T2047" i="17"/>
  <c r="P2047" i="17"/>
  <c r="T2046" i="17"/>
  <c r="P2046" i="17"/>
  <c r="T2045" i="17"/>
  <c r="P2045" i="17"/>
  <c r="T2044" i="17"/>
  <c r="P2044" i="17"/>
  <c r="T2043" i="17"/>
  <c r="P2043" i="17"/>
  <c r="T2042" i="17"/>
  <c r="P2042" i="17"/>
  <c r="T2041" i="17"/>
  <c r="P2041" i="17"/>
  <c r="T2040" i="17"/>
  <c r="P2040" i="17"/>
  <c r="T2039" i="17"/>
  <c r="P2039" i="17"/>
  <c r="T2038" i="17"/>
  <c r="P2038" i="17"/>
  <c r="T2037" i="17"/>
  <c r="P2037" i="17"/>
  <c r="T2036" i="17"/>
  <c r="P2036" i="17"/>
  <c r="T2035" i="17"/>
  <c r="P2035" i="17"/>
  <c r="T2034" i="17"/>
  <c r="P2034" i="17"/>
  <c r="T2033" i="17"/>
  <c r="P2033" i="17"/>
  <c r="T2032" i="17"/>
  <c r="P2032" i="17"/>
  <c r="T2031" i="17"/>
  <c r="P2031" i="17"/>
  <c r="T2030" i="17"/>
  <c r="P2030" i="17"/>
  <c r="T2029" i="17"/>
  <c r="P2029" i="17"/>
  <c r="T2028" i="17"/>
  <c r="P2028" i="17"/>
  <c r="T2027" i="17"/>
  <c r="P2027" i="17"/>
  <c r="T2026" i="17"/>
  <c r="P2026" i="17"/>
  <c r="T2025" i="17"/>
  <c r="P2025" i="17"/>
  <c r="T2024" i="17"/>
  <c r="P2024" i="17"/>
  <c r="T2023" i="17"/>
  <c r="P2023" i="17"/>
  <c r="T2022" i="17"/>
  <c r="P2022" i="17"/>
  <c r="T2021" i="17"/>
  <c r="P2021" i="17"/>
  <c r="T2020" i="17"/>
  <c r="P2020" i="17"/>
  <c r="T2019" i="17"/>
  <c r="P2019" i="17"/>
  <c r="T2018" i="17"/>
  <c r="P2018" i="17"/>
  <c r="T2017" i="17"/>
  <c r="P2017" i="17"/>
  <c r="T2016" i="17"/>
  <c r="P2016" i="17"/>
  <c r="T2015" i="17"/>
  <c r="P2015" i="17"/>
  <c r="T2014" i="17"/>
  <c r="P2014" i="17"/>
  <c r="T2013" i="17"/>
  <c r="P2013" i="17"/>
  <c r="T2012" i="17"/>
  <c r="P2012" i="17"/>
  <c r="T2011" i="17"/>
  <c r="P2011" i="17"/>
  <c r="T2010" i="17"/>
  <c r="P2010" i="17"/>
  <c r="T2009" i="17"/>
  <c r="P2009" i="17"/>
  <c r="T2008" i="17"/>
  <c r="P2008" i="17"/>
  <c r="T2007" i="17"/>
  <c r="P2007" i="17"/>
  <c r="T2006" i="17"/>
  <c r="P2006" i="17"/>
  <c r="T2005" i="17"/>
  <c r="P2005" i="17"/>
  <c r="T2004" i="17"/>
  <c r="P2004" i="17"/>
  <c r="T2003" i="17"/>
  <c r="P2003" i="17"/>
  <c r="T2002" i="17"/>
  <c r="P2002" i="17"/>
  <c r="T2001" i="17"/>
  <c r="P2001" i="17"/>
  <c r="T2000" i="17"/>
  <c r="P2000" i="17"/>
  <c r="T1999" i="17"/>
  <c r="P1999" i="17"/>
  <c r="T1998" i="17"/>
  <c r="P1998" i="17"/>
  <c r="T1997" i="17"/>
  <c r="P1997" i="17"/>
  <c r="T1996" i="17"/>
  <c r="P1996" i="17"/>
  <c r="T1995" i="17"/>
  <c r="P1995" i="17"/>
  <c r="T1994" i="17"/>
  <c r="P1994" i="17"/>
  <c r="T1993" i="17"/>
  <c r="P1993" i="17"/>
  <c r="T1992" i="17"/>
  <c r="P1992" i="17"/>
  <c r="T1991" i="17"/>
  <c r="P1991" i="17"/>
  <c r="T1990" i="17"/>
  <c r="P1990" i="17"/>
  <c r="T1989" i="17"/>
  <c r="P1989" i="17"/>
  <c r="T1988" i="17"/>
  <c r="P1988" i="17"/>
  <c r="T1987" i="17"/>
  <c r="P1987" i="17"/>
  <c r="T1986" i="17"/>
  <c r="P1986" i="17"/>
  <c r="T1985" i="17"/>
  <c r="P1985" i="17"/>
  <c r="T1984" i="17"/>
  <c r="P1984" i="17"/>
  <c r="T1983" i="17"/>
  <c r="P1983" i="17"/>
  <c r="T1982" i="17"/>
  <c r="P1982" i="17"/>
  <c r="T1981" i="17"/>
  <c r="P1981" i="17"/>
  <c r="T1980" i="17"/>
  <c r="P1980" i="17"/>
  <c r="T1979" i="17"/>
  <c r="P1979" i="17"/>
  <c r="T1978" i="17"/>
  <c r="P1978" i="17"/>
  <c r="T1977" i="17"/>
  <c r="P1977" i="17"/>
  <c r="T1976" i="17"/>
  <c r="P1976" i="17"/>
  <c r="T1975" i="17"/>
  <c r="P1975" i="17"/>
  <c r="T1974" i="17"/>
  <c r="P1974" i="17"/>
  <c r="T1973" i="17"/>
  <c r="P1973" i="17"/>
  <c r="T1972" i="17"/>
  <c r="P1972" i="17"/>
  <c r="T1971" i="17"/>
  <c r="P1971" i="17"/>
  <c r="T1970" i="17"/>
  <c r="P1970" i="17"/>
  <c r="T1969" i="17"/>
  <c r="P1969" i="17"/>
  <c r="T1968" i="17"/>
  <c r="P1968" i="17"/>
  <c r="T1967" i="17"/>
  <c r="P1967" i="17"/>
  <c r="T1966" i="17"/>
  <c r="P1966" i="17"/>
  <c r="T1965" i="17"/>
  <c r="P1965" i="17"/>
  <c r="T1964" i="17"/>
  <c r="P1964" i="17"/>
  <c r="T1963" i="17"/>
  <c r="P1963" i="17"/>
  <c r="T1962" i="17"/>
  <c r="P1962" i="17"/>
  <c r="T1961" i="17"/>
  <c r="P1961" i="17"/>
  <c r="T1960" i="17"/>
  <c r="P1960" i="17"/>
  <c r="T1959" i="17"/>
  <c r="P1959" i="17"/>
  <c r="T1958" i="17"/>
  <c r="P1958" i="17"/>
  <c r="T1957" i="17"/>
  <c r="P1957" i="17"/>
  <c r="T1956" i="17"/>
  <c r="P1956" i="17"/>
  <c r="T1955" i="17"/>
  <c r="P1955" i="17"/>
  <c r="T1954" i="17"/>
  <c r="P1954" i="17"/>
  <c r="T1953" i="17"/>
  <c r="P1953" i="17"/>
  <c r="T1952" i="17"/>
  <c r="P1952" i="17"/>
  <c r="T1951" i="17"/>
  <c r="P1951" i="17"/>
  <c r="T1950" i="17"/>
  <c r="P1950" i="17"/>
  <c r="T1949" i="17"/>
  <c r="P1949" i="17"/>
  <c r="T1948" i="17"/>
  <c r="P1948" i="17"/>
  <c r="T1947" i="17"/>
  <c r="P1947" i="17"/>
  <c r="T1946" i="17"/>
  <c r="P1946" i="17"/>
  <c r="T1945" i="17"/>
  <c r="P1945" i="17"/>
  <c r="T1944" i="17"/>
  <c r="P1944" i="17"/>
  <c r="T1943" i="17"/>
  <c r="P1943" i="17"/>
  <c r="T1942" i="17"/>
  <c r="P1942" i="17"/>
  <c r="T1941" i="17"/>
  <c r="P1941" i="17"/>
  <c r="T1940" i="17"/>
  <c r="P1940" i="17"/>
  <c r="T1939" i="17"/>
  <c r="P1939" i="17"/>
  <c r="T1938" i="17"/>
  <c r="P1938" i="17"/>
  <c r="T1937" i="17"/>
  <c r="P1937" i="17"/>
  <c r="T1936" i="17"/>
  <c r="P1936" i="17"/>
  <c r="T1935" i="17"/>
  <c r="P1935" i="17"/>
  <c r="T1934" i="17"/>
  <c r="P1934" i="17"/>
  <c r="T1933" i="17"/>
  <c r="P1933" i="17"/>
  <c r="T1932" i="17"/>
  <c r="P1932" i="17"/>
  <c r="T1931" i="17"/>
  <c r="P1931" i="17"/>
  <c r="T1930" i="17"/>
  <c r="P1930" i="17"/>
  <c r="T1929" i="17"/>
  <c r="P1929" i="17"/>
  <c r="T1928" i="17"/>
  <c r="P1928" i="17"/>
  <c r="T1927" i="17"/>
  <c r="P1927" i="17"/>
  <c r="T1926" i="17"/>
  <c r="P1926" i="17"/>
  <c r="T1925" i="17"/>
  <c r="P1925" i="17"/>
  <c r="T1924" i="17"/>
  <c r="P1924" i="17"/>
  <c r="T1923" i="17"/>
  <c r="P1923" i="17"/>
  <c r="T1922" i="17"/>
  <c r="P1922" i="17"/>
  <c r="T1921" i="17"/>
  <c r="P1921" i="17"/>
  <c r="T1920" i="17"/>
  <c r="P1920" i="17"/>
  <c r="T1919" i="17"/>
  <c r="P1919" i="17"/>
  <c r="T1918" i="17"/>
  <c r="P1918" i="17"/>
  <c r="T1917" i="17"/>
  <c r="P1917" i="17"/>
  <c r="T1916" i="17"/>
  <c r="P1916" i="17"/>
  <c r="T1915" i="17"/>
  <c r="P1915" i="17"/>
  <c r="T1914" i="17"/>
  <c r="P1914" i="17"/>
  <c r="T1913" i="17"/>
  <c r="P1913" i="17"/>
  <c r="T1912" i="17"/>
  <c r="P1912" i="17"/>
  <c r="T1911" i="17"/>
  <c r="P1911" i="17"/>
  <c r="T1910" i="17"/>
  <c r="P1910" i="17"/>
  <c r="T1909" i="17"/>
  <c r="P1909" i="17"/>
  <c r="T1908" i="17"/>
  <c r="P1908" i="17"/>
  <c r="T1907" i="17"/>
  <c r="P1907" i="17"/>
  <c r="T1906" i="17"/>
  <c r="P1906" i="17"/>
  <c r="T1905" i="17"/>
  <c r="P1905" i="17"/>
  <c r="T1904" i="17"/>
  <c r="P1904" i="17"/>
  <c r="T1903" i="17"/>
  <c r="P1903" i="17"/>
  <c r="T1902" i="17"/>
  <c r="P1902" i="17"/>
  <c r="T1901" i="17"/>
  <c r="P1901" i="17"/>
  <c r="T1900" i="17"/>
  <c r="P1900" i="17"/>
  <c r="T1899" i="17"/>
  <c r="P1899" i="17"/>
  <c r="T1898" i="17"/>
  <c r="P1898" i="17"/>
  <c r="T1897" i="17"/>
  <c r="P1897" i="17"/>
  <c r="T1896" i="17"/>
  <c r="P1896" i="17"/>
  <c r="T1895" i="17"/>
  <c r="P1895" i="17"/>
  <c r="T1894" i="17"/>
  <c r="P1894" i="17"/>
  <c r="T1893" i="17"/>
  <c r="P1893" i="17"/>
  <c r="T1892" i="17"/>
  <c r="P1892" i="17"/>
  <c r="T1891" i="17"/>
  <c r="P1891" i="17"/>
  <c r="T1890" i="17"/>
  <c r="P1890" i="17"/>
  <c r="T1889" i="17"/>
  <c r="P1889" i="17"/>
  <c r="T1888" i="17"/>
  <c r="P1888" i="17"/>
  <c r="T1887" i="17"/>
  <c r="P1887" i="17"/>
  <c r="T1886" i="17"/>
  <c r="P1886" i="17"/>
  <c r="T1885" i="17"/>
  <c r="P1885" i="17"/>
  <c r="T1884" i="17"/>
  <c r="P1884" i="17"/>
  <c r="T1883" i="17"/>
  <c r="P1883" i="17"/>
  <c r="T1882" i="17"/>
  <c r="P1882" i="17"/>
  <c r="T1881" i="17"/>
  <c r="P1881" i="17"/>
  <c r="T1880" i="17"/>
  <c r="P1880" i="17"/>
  <c r="T1879" i="17"/>
  <c r="P1879" i="17"/>
  <c r="T1878" i="17"/>
  <c r="P1878" i="17"/>
  <c r="T1877" i="17"/>
  <c r="P1877" i="17"/>
  <c r="T1876" i="17"/>
  <c r="P1876" i="17"/>
  <c r="T1875" i="17"/>
  <c r="P1875" i="17"/>
  <c r="T1874" i="17"/>
  <c r="P1874" i="17"/>
  <c r="T1873" i="17"/>
  <c r="P1873" i="17"/>
  <c r="T1872" i="17"/>
  <c r="P1872" i="17"/>
  <c r="T1871" i="17"/>
  <c r="P1871" i="17"/>
  <c r="T1870" i="17"/>
  <c r="P1870" i="17"/>
  <c r="T1869" i="17"/>
  <c r="P1869" i="17"/>
  <c r="T1868" i="17"/>
  <c r="P1868" i="17"/>
  <c r="T1867" i="17"/>
  <c r="P1867" i="17"/>
  <c r="T1866" i="17"/>
  <c r="P1866" i="17"/>
  <c r="T1865" i="17"/>
  <c r="P1865" i="17"/>
  <c r="T1864" i="17"/>
  <c r="P1864" i="17"/>
  <c r="T1863" i="17"/>
  <c r="P1863" i="17"/>
  <c r="T1862" i="17"/>
  <c r="P1862" i="17"/>
  <c r="T1861" i="17"/>
  <c r="P1861" i="17"/>
  <c r="T1860" i="17"/>
  <c r="P1860" i="17"/>
  <c r="T1859" i="17"/>
  <c r="P1859" i="17"/>
  <c r="T1858" i="17"/>
  <c r="P1858" i="17"/>
  <c r="T1857" i="17"/>
  <c r="P1857" i="17"/>
  <c r="T1856" i="17"/>
  <c r="P1856" i="17"/>
  <c r="T1855" i="17"/>
  <c r="P1855" i="17"/>
  <c r="T1854" i="17"/>
  <c r="P1854" i="17"/>
  <c r="T1853" i="17"/>
  <c r="P1853" i="17"/>
  <c r="T1852" i="17"/>
  <c r="P1852" i="17"/>
  <c r="T1851" i="17"/>
  <c r="P1851" i="17"/>
  <c r="T1850" i="17"/>
  <c r="P1850" i="17"/>
  <c r="T1849" i="17"/>
  <c r="P1849" i="17"/>
  <c r="T1848" i="17"/>
  <c r="P1848" i="17"/>
  <c r="T1847" i="17"/>
  <c r="P1847" i="17"/>
  <c r="T1846" i="17"/>
  <c r="P1846" i="17"/>
  <c r="T1845" i="17"/>
  <c r="P1845" i="17"/>
  <c r="T1844" i="17"/>
  <c r="P1844" i="17"/>
  <c r="T1843" i="17"/>
  <c r="P1843" i="17"/>
  <c r="T1842" i="17"/>
  <c r="P1842" i="17"/>
  <c r="T1841" i="17"/>
  <c r="P1841" i="17"/>
  <c r="T1840" i="17"/>
  <c r="P1840" i="17"/>
  <c r="T1839" i="17"/>
  <c r="P1839" i="17"/>
  <c r="T1838" i="17"/>
  <c r="P1838" i="17"/>
  <c r="T1837" i="17"/>
  <c r="P1837" i="17"/>
  <c r="T1836" i="17"/>
  <c r="P1836" i="17"/>
  <c r="T1835" i="17"/>
  <c r="P1835" i="17"/>
  <c r="T1834" i="17"/>
  <c r="P1834" i="17"/>
  <c r="T1833" i="17"/>
  <c r="P1833" i="17"/>
  <c r="T1832" i="17"/>
  <c r="P1832" i="17"/>
  <c r="T1831" i="17"/>
  <c r="P1831" i="17"/>
  <c r="T1830" i="17"/>
  <c r="P1830" i="17"/>
  <c r="T1829" i="17"/>
  <c r="P1829" i="17"/>
  <c r="T1828" i="17"/>
  <c r="P1828" i="17"/>
  <c r="T1827" i="17"/>
  <c r="P1827" i="17"/>
  <c r="T1826" i="17"/>
  <c r="P1826" i="17"/>
  <c r="T1825" i="17"/>
  <c r="P1825" i="17"/>
  <c r="T1824" i="17"/>
  <c r="P1824" i="17"/>
  <c r="T1823" i="17"/>
  <c r="P1823" i="17"/>
  <c r="T1822" i="17"/>
  <c r="P1822" i="17"/>
  <c r="T1821" i="17"/>
  <c r="P1821" i="17"/>
  <c r="T1820" i="17"/>
  <c r="P1820" i="17"/>
  <c r="T1819" i="17"/>
  <c r="P1819" i="17"/>
  <c r="T1818" i="17"/>
  <c r="P1818" i="17"/>
  <c r="T1817" i="17"/>
  <c r="P1817" i="17"/>
  <c r="T1816" i="17"/>
  <c r="P1816" i="17"/>
  <c r="T1815" i="17"/>
  <c r="P1815" i="17"/>
  <c r="T1814" i="17"/>
  <c r="P1814" i="17"/>
  <c r="T1813" i="17"/>
  <c r="P1813" i="17"/>
  <c r="T1812" i="17"/>
  <c r="P1812" i="17"/>
  <c r="T1811" i="17"/>
  <c r="P1811" i="17"/>
  <c r="T1810" i="17"/>
  <c r="P1810" i="17"/>
  <c r="T1809" i="17"/>
  <c r="P1809" i="17"/>
  <c r="T1808" i="17"/>
  <c r="P1808" i="17"/>
  <c r="T1807" i="17"/>
  <c r="P1807" i="17"/>
  <c r="T1806" i="17"/>
  <c r="P1806" i="17"/>
  <c r="T1805" i="17"/>
  <c r="P1805" i="17"/>
  <c r="T1804" i="17"/>
  <c r="P1804" i="17"/>
  <c r="T1803" i="17"/>
  <c r="P1803" i="17"/>
  <c r="T1802" i="17"/>
  <c r="P1802" i="17"/>
  <c r="T1801" i="17"/>
  <c r="P1801" i="17"/>
  <c r="T1800" i="17"/>
  <c r="P1800" i="17"/>
  <c r="T1799" i="17"/>
  <c r="P1799" i="17"/>
  <c r="T1798" i="17"/>
  <c r="P1798" i="17"/>
  <c r="T1797" i="17"/>
  <c r="P1797" i="17"/>
  <c r="T1796" i="17"/>
  <c r="P1796" i="17"/>
  <c r="T1795" i="17"/>
  <c r="P1795" i="17"/>
  <c r="T1794" i="17"/>
  <c r="P1794" i="17"/>
  <c r="T1793" i="17"/>
  <c r="P1793" i="17"/>
  <c r="T1792" i="17"/>
  <c r="P1792" i="17"/>
  <c r="T1791" i="17"/>
  <c r="P1791" i="17"/>
  <c r="T1790" i="17"/>
  <c r="P1790" i="17"/>
  <c r="T1789" i="17"/>
  <c r="P1789" i="17"/>
  <c r="T1788" i="17"/>
  <c r="P1788" i="17"/>
  <c r="T1787" i="17"/>
  <c r="P1787" i="17"/>
  <c r="T1786" i="17"/>
  <c r="P1786" i="17"/>
  <c r="T1785" i="17"/>
  <c r="P1785" i="17"/>
  <c r="T1784" i="17"/>
  <c r="P1784" i="17"/>
  <c r="T1783" i="17"/>
  <c r="P1783" i="17"/>
  <c r="T1782" i="17"/>
  <c r="P1782" i="17"/>
  <c r="T1781" i="17"/>
  <c r="P1781" i="17"/>
  <c r="T1780" i="17"/>
  <c r="P1780" i="17"/>
  <c r="T1779" i="17"/>
  <c r="P1779" i="17"/>
  <c r="T1778" i="17"/>
  <c r="P1778" i="17"/>
  <c r="T1777" i="17"/>
  <c r="P1777" i="17"/>
  <c r="T1776" i="17"/>
  <c r="P1776" i="17"/>
  <c r="T1775" i="17"/>
  <c r="P1775" i="17"/>
  <c r="T1774" i="17"/>
  <c r="P1774" i="17"/>
  <c r="T1773" i="17"/>
  <c r="P1773" i="17"/>
  <c r="T1772" i="17"/>
  <c r="P1772" i="17"/>
  <c r="T1771" i="17"/>
  <c r="P1771" i="17"/>
  <c r="T1770" i="17"/>
  <c r="P1770" i="17"/>
  <c r="T1769" i="17"/>
  <c r="P1769" i="17"/>
  <c r="T1768" i="17"/>
  <c r="P1768" i="17"/>
  <c r="T1767" i="17"/>
  <c r="P1767" i="17"/>
  <c r="T1766" i="17"/>
  <c r="P1766" i="17"/>
  <c r="T1765" i="17"/>
  <c r="P1765" i="17"/>
  <c r="T1764" i="17"/>
  <c r="P1764" i="17"/>
  <c r="T1763" i="17"/>
  <c r="P1763" i="17"/>
  <c r="T1762" i="17"/>
  <c r="P1762" i="17"/>
  <c r="T1761" i="17"/>
  <c r="P1761" i="17"/>
  <c r="T1760" i="17"/>
  <c r="P1760" i="17"/>
  <c r="T1759" i="17"/>
  <c r="P1759" i="17"/>
  <c r="T1758" i="17"/>
  <c r="P1758" i="17"/>
  <c r="T1757" i="17"/>
  <c r="P1757" i="17"/>
  <c r="T1756" i="17"/>
  <c r="P1756" i="17"/>
  <c r="T1755" i="17"/>
  <c r="P1755" i="17"/>
  <c r="T1754" i="17"/>
  <c r="P1754" i="17"/>
  <c r="T1753" i="17"/>
  <c r="P1753" i="17"/>
  <c r="T1752" i="17"/>
  <c r="P1752" i="17"/>
  <c r="T1751" i="17"/>
  <c r="P1751" i="17"/>
  <c r="T1750" i="17"/>
  <c r="P1750" i="17"/>
  <c r="T1749" i="17"/>
  <c r="P1749" i="17"/>
  <c r="T1748" i="17"/>
  <c r="P1748" i="17"/>
  <c r="T1747" i="17"/>
  <c r="P1747" i="17"/>
  <c r="T1746" i="17"/>
  <c r="P1746" i="17"/>
  <c r="T1745" i="17"/>
  <c r="P1745" i="17"/>
  <c r="T1744" i="17"/>
  <c r="P1744" i="17"/>
  <c r="T1743" i="17"/>
  <c r="P1743" i="17"/>
  <c r="T1742" i="17"/>
  <c r="P1742" i="17"/>
  <c r="T1741" i="17"/>
  <c r="P1741" i="17"/>
  <c r="T1740" i="17"/>
  <c r="P1740" i="17"/>
  <c r="T1739" i="17"/>
  <c r="P1739" i="17"/>
  <c r="T1738" i="17"/>
  <c r="P1738" i="17"/>
  <c r="T1737" i="17"/>
  <c r="P1737" i="17"/>
  <c r="T1736" i="17"/>
  <c r="P1736" i="17"/>
  <c r="T1735" i="17"/>
  <c r="P1735" i="17"/>
  <c r="T1734" i="17"/>
  <c r="P1734" i="17"/>
  <c r="T1733" i="17"/>
  <c r="P1733" i="17"/>
  <c r="T1732" i="17"/>
  <c r="P1732" i="17"/>
  <c r="T1731" i="17"/>
  <c r="P1731" i="17"/>
  <c r="T1730" i="17"/>
  <c r="P1730" i="17"/>
  <c r="T1729" i="17"/>
  <c r="P1729" i="17"/>
  <c r="T1728" i="17"/>
  <c r="P1728" i="17"/>
  <c r="T1727" i="17"/>
  <c r="P1727" i="17"/>
  <c r="T1726" i="17"/>
  <c r="P1726" i="17"/>
  <c r="T1725" i="17"/>
  <c r="P1725" i="17"/>
  <c r="T1724" i="17"/>
  <c r="P1724" i="17"/>
  <c r="T1723" i="17"/>
  <c r="P1723" i="17"/>
  <c r="T1722" i="17"/>
  <c r="P1722" i="17"/>
  <c r="T1721" i="17"/>
  <c r="P1721" i="17"/>
  <c r="T1720" i="17"/>
  <c r="P1720" i="17"/>
  <c r="T1719" i="17"/>
  <c r="P1719" i="17"/>
  <c r="T1718" i="17"/>
  <c r="P1718" i="17"/>
  <c r="T1717" i="17"/>
  <c r="P1717" i="17"/>
  <c r="T1716" i="17"/>
  <c r="P1716" i="17"/>
  <c r="T1715" i="17"/>
  <c r="P1715" i="17"/>
  <c r="T1714" i="17"/>
  <c r="P1714" i="17"/>
  <c r="T1713" i="17"/>
  <c r="P1713" i="17"/>
  <c r="T1712" i="17"/>
  <c r="P1712" i="17"/>
  <c r="T1711" i="17"/>
  <c r="P1711" i="17"/>
  <c r="T1710" i="17"/>
  <c r="P1710" i="17"/>
  <c r="T1709" i="17"/>
  <c r="P1709" i="17"/>
  <c r="T1708" i="17"/>
  <c r="P1708" i="17"/>
  <c r="T1707" i="17"/>
  <c r="P1707" i="17"/>
  <c r="T1706" i="17"/>
  <c r="P1706" i="17"/>
  <c r="T1705" i="17"/>
  <c r="P1705" i="17"/>
  <c r="T1704" i="17"/>
  <c r="P1704" i="17"/>
  <c r="T1703" i="17"/>
  <c r="P1703" i="17"/>
  <c r="T1702" i="17"/>
  <c r="P1702" i="17"/>
  <c r="T1701" i="17"/>
  <c r="P1701" i="17"/>
  <c r="T1700" i="17"/>
  <c r="P1700" i="17"/>
  <c r="T1699" i="17"/>
  <c r="P1699" i="17"/>
  <c r="T1698" i="17"/>
  <c r="P1698" i="17"/>
  <c r="T1697" i="17"/>
  <c r="P1697" i="17"/>
  <c r="T1696" i="17"/>
  <c r="P1696" i="17"/>
  <c r="T1695" i="17"/>
  <c r="P1695" i="17"/>
  <c r="T1694" i="17"/>
  <c r="P1694" i="17"/>
  <c r="T1693" i="17"/>
  <c r="P1693" i="17"/>
  <c r="T1692" i="17"/>
  <c r="P1692" i="17"/>
  <c r="T1691" i="17"/>
  <c r="P1691" i="17"/>
  <c r="T1690" i="17"/>
  <c r="P1690" i="17"/>
  <c r="T1689" i="17"/>
  <c r="P1689" i="17"/>
  <c r="T1688" i="17"/>
  <c r="P1688" i="17"/>
  <c r="T1687" i="17"/>
  <c r="P1687" i="17"/>
  <c r="T1686" i="17"/>
  <c r="P1686" i="17"/>
  <c r="T1685" i="17"/>
  <c r="P1685" i="17"/>
  <c r="T1684" i="17"/>
  <c r="P1684" i="17"/>
  <c r="T1683" i="17"/>
  <c r="P1683" i="17"/>
  <c r="T1682" i="17"/>
  <c r="P1682" i="17"/>
  <c r="T1681" i="17"/>
  <c r="P1681" i="17"/>
  <c r="T1680" i="17"/>
  <c r="P1680" i="17"/>
  <c r="T1679" i="17"/>
  <c r="P1679" i="17"/>
  <c r="T1678" i="17"/>
  <c r="P1678" i="17"/>
  <c r="T1677" i="17"/>
  <c r="P1677" i="17"/>
  <c r="T1676" i="17"/>
  <c r="P1676" i="17"/>
  <c r="T1675" i="17"/>
  <c r="P1675" i="17"/>
  <c r="T1674" i="17"/>
  <c r="P1674" i="17"/>
  <c r="T1673" i="17"/>
  <c r="P1673" i="17"/>
  <c r="T1672" i="17"/>
  <c r="P1672" i="17"/>
  <c r="T1671" i="17"/>
  <c r="P1671" i="17"/>
  <c r="T1670" i="17"/>
  <c r="P1670" i="17"/>
  <c r="T1669" i="17"/>
  <c r="P1669" i="17"/>
  <c r="T1668" i="17"/>
  <c r="P1668" i="17"/>
  <c r="T1667" i="17"/>
  <c r="P1667" i="17"/>
  <c r="T1666" i="17"/>
  <c r="P1666" i="17"/>
  <c r="T1665" i="17"/>
  <c r="P1665" i="17"/>
  <c r="T1664" i="17"/>
  <c r="P1664" i="17"/>
  <c r="T1663" i="17"/>
  <c r="P1663" i="17"/>
  <c r="T1662" i="17"/>
  <c r="P1662" i="17"/>
  <c r="T1661" i="17"/>
  <c r="P1661" i="17"/>
  <c r="T1660" i="17"/>
  <c r="P1660" i="17"/>
  <c r="T1659" i="17"/>
  <c r="P1659" i="17"/>
  <c r="T1658" i="17"/>
  <c r="P1658" i="17"/>
  <c r="T1657" i="17"/>
  <c r="P1657" i="17"/>
  <c r="T1656" i="17"/>
  <c r="P1656" i="17"/>
  <c r="T1655" i="17"/>
  <c r="P1655" i="17"/>
  <c r="T1654" i="17"/>
  <c r="P1654" i="17"/>
  <c r="T1653" i="17"/>
  <c r="P1653" i="17"/>
  <c r="T1652" i="17"/>
  <c r="P1652" i="17"/>
  <c r="T1651" i="17"/>
  <c r="P1651" i="17"/>
  <c r="T1650" i="17"/>
  <c r="P1650" i="17"/>
  <c r="T1649" i="17"/>
  <c r="P1649" i="17"/>
  <c r="T1648" i="17"/>
  <c r="P1648" i="17"/>
  <c r="T1647" i="17"/>
  <c r="P1647" i="17"/>
  <c r="T1646" i="17"/>
  <c r="P1646" i="17"/>
  <c r="T1645" i="17"/>
  <c r="P1645" i="17"/>
  <c r="T1644" i="17"/>
  <c r="P1644" i="17"/>
  <c r="T1643" i="17"/>
  <c r="P1643" i="17"/>
  <c r="T1642" i="17"/>
  <c r="P1642" i="17"/>
  <c r="T1641" i="17"/>
  <c r="P1641" i="17"/>
  <c r="T1640" i="17"/>
  <c r="P1640" i="17"/>
  <c r="T1639" i="17"/>
  <c r="P1639" i="17"/>
  <c r="T1638" i="17"/>
  <c r="P1638" i="17"/>
  <c r="T1637" i="17"/>
  <c r="P1637" i="17"/>
  <c r="T1636" i="17"/>
  <c r="P1636" i="17"/>
  <c r="T1635" i="17"/>
  <c r="P1635" i="17"/>
  <c r="T1634" i="17"/>
  <c r="P1634" i="17"/>
  <c r="T1633" i="17"/>
  <c r="P1633" i="17"/>
  <c r="T1632" i="17"/>
  <c r="P1632" i="17"/>
  <c r="T1631" i="17"/>
  <c r="P1631" i="17"/>
  <c r="T1630" i="17"/>
  <c r="P1630" i="17"/>
  <c r="T1629" i="17"/>
  <c r="P1629" i="17"/>
  <c r="T1628" i="17"/>
  <c r="P1628" i="17"/>
  <c r="T1627" i="17"/>
  <c r="P1627" i="17"/>
  <c r="T1626" i="17"/>
  <c r="P1626" i="17"/>
  <c r="T1625" i="17"/>
  <c r="P1625" i="17"/>
  <c r="T1624" i="17"/>
  <c r="P1624" i="17"/>
  <c r="T1623" i="17"/>
  <c r="P1623" i="17"/>
  <c r="T1622" i="17"/>
  <c r="P1622" i="17"/>
  <c r="T1621" i="17"/>
  <c r="P1621" i="17"/>
  <c r="T1620" i="17"/>
  <c r="P1620" i="17"/>
  <c r="T1619" i="17"/>
  <c r="P1619" i="17"/>
  <c r="T1618" i="17"/>
  <c r="P1618" i="17"/>
  <c r="T1617" i="17"/>
  <c r="P1617" i="17"/>
  <c r="T1616" i="17"/>
  <c r="P1616" i="17"/>
  <c r="T1615" i="17"/>
  <c r="P1615" i="17"/>
  <c r="T1614" i="17"/>
  <c r="P1614" i="17"/>
  <c r="T1613" i="17"/>
  <c r="P1613" i="17"/>
  <c r="T1612" i="17"/>
  <c r="P1612" i="17"/>
  <c r="T1611" i="17"/>
  <c r="P1611" i="17"/>
  <c r="T1610" i="17"/>
  <c r="P1610" i="17"/>
  <c r="T1609" i="17"/>
  <c r="P1609" i="17"/>
  <c r="T1608" i="17"/>
  <c r="P1608" i="17"/>
  <c r="T1607" i="17"/>
  <c r="P1607" i="17"/>
  <c r="T1606" i="17"/>
  <c r="P1606" i="17"/>
  <c r="T1605" i="17"/>
  <c r="P1605" i="17"/>
  <c r="T1604" i="17"/>
  <c r="P1604" i="17"/>
  <c r="T1603" i="17"/>
  <c r="P1603" i="17"/>
  <c r="T1602" i="17"/>
  <c r="P1602" i="17"/>
  <c r="T1601" i="17"/>
  <c r="P1601" i="17"/>
  <c r="T1600" i="17"/>
  <c r="P1600" i="17"/>
  <c r="T1599" i="17"/>
  <c r="P1599" i="17"/>
  <c r="T1598" i="17"/>
  <c r="P1598" i="17"/>
  <c r="T1597" i="17"/>
  <c r="P1597" i="17"/>
  <c r="T1596" i="17"/>
  <c r="P1596" i="17"/>
  <c r="T1595" i="17"/>
  <c r="P1595" i="17"/>
  <c r="T1594" i="17"/>
  <c r="P1594" i="17"/>
  <c r="T1593" i="17"/>
  <c r="P1593" i="17"/>
  <c r="T1592" i="17"/>
  <c r="P1592" i="17"/>
  <c r="T1591" i="17"/>
  <c r="P1591" i="17"/>
  <c r="T1590" i="17"/>
  <c r="P1590" i="17"/>
  <c r="T1589" i="17"/>
  <c r="P1589" i="17"/>
  <c r="T1588" i="17"/>
  <c r="P1588" i="17"/>
  <c r="T1587" i="17"/>
  <c r="P1587" i="17"/>
  <c r="T1586" i="17"/>
  <c r="P1586" i="17"/>
  <c r="T1585" i="17"/>
  <c r="P1585" i="17"/>
  <c r="T1584" i="17"/>
  <c r="P1584" i="17"/>
  <c r="T1583" i="17"/>
  <c r="P1583" i="17"/>
  <c r="T1582" i="17"/>
  <c r="P1582" i="17"/>
  <c r="T1581" i="17"/>
  <c r="P1581" i="17"/>
  <c r="T1580" i="17"/>
  <c r="P1580" i="17"/>
  <c r="T1579" i="17"/>
  <c r="P1579" i="17"/>
  <c r="T1578" i="17"/>
  <c r="P1578" i="17"/>
  <c r="T1577" i="17"/>
  <c r="P1577" i="17"/>
  <c r="T1576" i="17"/>
  <c r="P1576" i="17"/>
  <c r="T1575" i="17"/>
  <c r="P1575" i="17"/>
  <c r="T1574" i="17"/>
  <c r="P1574" i="17"/>
  <c r="T1573" i="17"/>
  <c r="P1573" i="17"/>
  <c r="T1572" i="17"/>
  <c r="P1572" i="17"/>
  <c r="T1571" i="17"/>
  <c r="P1571" i="17"/>
  <c r="T1570" i="17"/>
  <c r="P1570" i="17"/>
  <c r="T1569" i="17"/>
  <c r="P1569" i="17"/>
  <c r="T1568" i="17"/>
  <c r="P1568" i="17"/>
  <c r="T1567" i="17"/>
  <c r="P1567" i="17"/>
  <c r="T1566" i="17"/>
  <c r="P1566" i="17"/>
  <c r="T1565" i="17"/>
  <c r="P1565" i="17"/>
  <c r="T1564" i="17"/>
  <c r="P1564" i="17"/>
  <c r="T1563" i="17"/>
  <c r="P1563" i="17"/>
  <c r="T1562" i="17"/>
  <c r="P1562" i="17"/>
  <c r="T1561" i="17"/>
  <c r="P1561" i="17"/>
  <c r="T1560" i="17"/>
  <c r="P1560" i="17"/>
  <c r="T1559" i="17"/>
  <c r="P1559" i="17"/>
  <c r="T1558" i="17"/>
  <c r="P1558" i="17"/>
  <c r="T1557" i="17"/>
  <c r="P1557" i="17"/>
  <c r="T1556" i="17"/>
  <c r="P1556" i="17"/>
  <c r="T1555" i="17"/>
  <c r="P1555" i="17"/>
  <c r="T1554" i="17"/>
  <c r="P1554" i="17"/>
  <c r="T1553" i="17"/>
  <c r="P1553" i="17"/>
  <c r="T1552" i="17"/>
  <c r="P1552" i="17"/>
  <c r="T1551" i="17"/>
  <c r="P1551" i="17"/>
  <c r="T1550" i="17"/>
  <c r="P1550" i="17"/>
  <c r="T1549" i="17"/>
  <c r="P1549" i="17"/>
  <c r="T1548" i="17"/>
  <c r="P1548" i="17"/>
  <c r="T1547" i="17"/>
  <c r="P1547" i="17"/>
  <c r="T1546" i="17"/>
  <c r="P1546" i="17"/>
  <c r="T1545" i="17"/>
  <c r="P1545" i="17"/>
  <c r="T1544" i="17"/>
  <c r="P1544" i="17"/>
  <c r="T1543" i="17"/>
  <c r="P1543" i="17"/>
  <c r="T1542" i="17"/>
  <c r="P1542" i="17"/>
  <c r="T1541" i="17"/>
  <c r="P1541" i="17"/>
  <c r="T1540" i="17"/>
  <c r="P1540" i="17"/>
  <c r="T1539" i="17"/>
  <c r="P1539" i="17"/>
  <c r="T1538" i="17"/>
  <c r="P1538" i="17"/>
  <c r="T1537" i="17"/>
  <c r="P1537" i="17"/>
  <c r="T1536" i="17"/>
  <c r="P1536" i="17"/>
  <c r="T1535" i="17"/>
  <c r="P1535" i="17"/>
  <c r="T1534" i="17"/>
  <c r="P1534" i="17"/>
  <c r="T1533" i="17"/>
  <c r="P1533" i="17"/>
  <c r="T1532" i="17"/>
  <c r="P1532" i="17"/>
  <c r="T1531" i="17"/>
  <c r="P1531" i="17"/>
  <c r="T1530" i="17"/>
  <c r="P1530" i="17"/>
  <c r="T1529" i="17"/>
  <c r="P1529" i="17"/>
  <c r="T1528" i="17"/>
  <c r="P1528" i="17"/>
  <c r="T1527" i="17"/>
  <c r="P1527" i="17"/>
  <c r="T1526" i="17"/>
  <c r="P1526" i="17"/>
  <c r="T1525" i="17"/>
  <c r="P1525" i="17"/>
  <c r="T1524" i="17"/>
  <c r="P1524" i="17"/>
  <c r="T1523" i="17"/>
  <c r="P1523" i="17"/>
  <c r="T1522" i="17"/>
  <c r="P1522" i="17"/>
  <c r="T1521" i="17"/>
  <c r="P1521" i="17"/>
  <c r="T1520" i="17"/>
  <c r="P1520" i="17"/>
  <c r="T1519" i="17"/>
  <c r="P1519" i="17"/>
  <c r="T1518" i="17"/>
  <c r="P1518" i="17"/>
  <c r="T1517" i="17"/>
  <c r="P1517" i="17"/>
  <c r="T1516" i="17"/>
  <c r="P1516" i="17"/>
  <c r="T1515" i="17"/>
  <c r="P1515" i="17"/>
  <c r="T1514" i="17"/>
  <c r="P1514" i="17"/>
  <c r="T1513" i="17"/>
  <c r="P1513" i="17"/>
  <c r="T1512" i="17"/>
  <c r="P1512" i="17"/>
  <c r="T1511" i="17"/>
  <c r="P1511" i="17"/>
  <c r="T1510" i="17"/>
  <c r="P1510" i="17"/>
  <c r="T1509" i="17"/>
  <c r="P1509" i="17"/>
  <c r="T1508" i="17"/>
  <c r="P1508" i="17"/>
  <c r="T1507" i="17"/>
  <c r="P1507" i="17"/>
  <c r="T1506" i="17"/>
  <c r="P1506" i="17"/>
  <c r="T1505" i="17"/>
  <c r="P1505" i="17"/>
  <c r="T1504" i="17"/>
  <c r="P1504" i="17"/>
  <c r="T1503" i="17"/>
  <c r="P1503" i="17"/>
  <c r="T1502" i="17"/>
  <c r="P1502" i="17"/>
  <c r="T1501" i="17"/>
  <c r="P1501" i="17"/>
  <c r="T1500" i="17"/>
  <c r="P1500" i="17"/>
  <c r="T1499" i="17"/>
  <c r="P1499" i="17"/>
  <c r="T1498" i="17"/>
  <c r="P1498" i="17"/>
  <c r="T1497" i="17"/>
  <c r="P1497" i="17"/>
  <c r="T1496" i="17"/>
  <c r="P1496" i="17"/>
  <c r="T1495" i="17"/>
  <c r="P1495" i="17"/>
  <c r="T1494" i="17"/>
  <c r="P1494" i="17"/>
  <c r="T1493" i="17"/>
  <c r="P1493" i="17"/>
  <c r="T1492" i="17"/>
  <c r="P1492" i="17"/>
  <c r="T1491" i="17"/>
  <c r="P1491" i="17"/>
  <c r="T1490" i="17"/>
  <c r="P1490" i="17"/>
  <c r="T1489" i="17"/>
  <c r="P1489" i="17"/>
  <c r="T1488" i="17"/>
  <c r="P1488" i="17"/>
  <c r="T1487" i="17"/>
  <c r="P1487" i="17"/>
  <c r="T1486" i="17"/>
  <c r="P1486" i="17"/>
  <c r="T1485" i="17"/>
  <c r="P1485" i="17"/>
  <c r="T1484" i="17"/>
  <c r="P1484" i="17"/>
  <c r="T1483" i="17"/>
  <c r="P1483" i="17"/>
  <c r="T1482" i="17"/>
  <c r="P1482" i="17"/>
  <c r="T1481" i="17"/>
  <c r="P1481" i="17"/>
  <c r="T1480" i="17"/>
  <c r="P1480" i="17"/>
  <c r="T1479" i="17"/>
  <c r="P1479" i="17"/>
  <c r="T1478" i="17"/>
  <c r="P1478" i="17"/>
  <c r="T1477" i="17"/>
  <c r="P1477" i="17"/>
  <c r="T1476" i="17"/>
  <c r="P1476" i="17"/>
  <c r="T1475" i="17"/>
  <c r="P1475" i="17"/>
  <c r="T1474" i="17"/>
  <c r="P1474" i="17"/>
  <c r="T1473" i="17"/>
  <c r="P1473" i="17"/>
  <c r="T1472" i="17"/>
  <c r="P1472" i="17"/>
  <c r="T1471" i="17"/>
  <c r="P1471" i="17"/>
  <c r="T1470" i="17"/>
  <c r="P1470" i="17"/>
  <c r="T1469" i="17"/>
  <c r="P1469" i="17"/>
  <c r="T1468" i="17"/>
  <c r="P1468" i="17"/>
  <c r="T1467" i="17"/>
  <c r="P1467" i="17"/>
  <c r="T1466" i="17"/>
  <c r="P1466" i="17"/>
  <c r="T1465" i="17"/>
  <c r="P1465" i="17"/>
  <c r="T1464" i="17"/>
  <c r="P1464" i="17"/>
  <c r="T1463" i="17"/>
  <c r="P1463" i="17"/>
  <c r="T1462" i="17"/>
  <c r="P1462" i="17"/>
  <c r="T1461" i="17"/>
  <c r="P1461" i="17"/>
  <c r="T1460" i="17"/>
  <c r="P1460" i="17"/>
  <c r="T1459" i="17"/>
  <c r="P1459" i="17"/>
  <c r="T1458" i="17"/>
  <c r="P1458" i="17"/>
  <c r="T1457" i="17"/>
  <c r="P1457" i="17"/>
  <c r="T1456" i="17"/>
  <c r="P1456" i="17"/>
  <c r="T1455" i="17"/>
  <c r="P1455" i="17"/>
  <c r="T1454" i="17"/>
  <c r="P1454" i="17"/>
  <c r="T1453" i="17"/>
  <c r="P1453" i="17"/>
  <c r="T1452" i="17"/>
  <c r="P1452" i="17"/>
  <c r="T1451" i="17"/>
  <c r="P1451" i="17"/>
  <c r="T1450" i="17"/>
  <c r="P1450" i="17"/>
  <c r="T1449" i="17"/>
  <c r="P1449" i="17"/>
  <c r="T1448" i="17"/>
  <c r="P1448" i="17"/>
  <c r="T1447" i="17"/>
  <c r="P1447" i="17"/>
  <c r="T1446" i="17"/>
  <c r="P1446" i="17"/>
  <c r="T1445" i="17"/>
  <c r="P1445" i="17"/>
  <c r="T1444" i="17"/>
  <c r="P1444" i="17"/>
  <c r="T1443" i="17"/>
  <c r="P1443" i="17"/>
  <c r="T1442" i="17"/>
  <c r="P1442" i="17"/>
  <c r="T1441" i="17"/>
  <c r="P1441" i="17"/>
  <c r="T1440" i="17"/>
  <c r="P1440" i="17"/>
  <c r="T1439" i="17"/>
  <c r="P1439" i="17"/>
  <c r="T1438" i="17"/>
  <c r="P1438" i="17"/>
  <c r="T1437" i="17"/>
  <c r="P1437" i="17"/>
  <c r="T1436" i="17"/>
  <c r="P1436" i="17"/>
  <c r="T1435" i="17"/>
  <c r="P1435" i="17"/>
  <c r="T1434" i="17"/>
  <c r="P1434" i="17"/>
  <c r="T1433" i="17"/>
  <c r="P1433" i="17"/>
  <c r="T1432" i="17"/>
  <c r="P1432" i="17"/>
  <c r="T1431" i="17"/>
  <c r="P1431" i="17"/>
  <c r="T1430" i="17"/>
  <c r="P1430" i="17"/>
  <c r="T1429" i="17"/>
  <c r="P1429" i="17"/>
  <c r="T1428" i="17"/>
  <c r="P1428" i="17"/>
  <c r="T1427" i="17"/>
  <c r="P1427" i="17"/>
  <c r="T1426" i="17"/>
  <c r="P1426" i="17"/>
  <c r="T1425" i="17"/>
  <c r="P1425" i="17"/>
  <c r="T1424" i="17"/>
  <c r="P1424" i="17"/>
  <c r="T1423" i="17"/>
  <c r="P1423" i="17"/>
  <c r="T1422" i="17"/>
  <c r="P1422" i="17"/>
  <c r="T1421" i="17"/>
  <c r="P1421" i="17"/>
  <c r="T1420" i="17"/>
  <c r="P1420" i="17"/>
  <c r="T1419" i="17"/>
  <c r="P1419" i="17"/>
  <c r="T1418" i="17"/>
  <c r="P1418" i="17"/>
  <c r="T1417" i="17"/>
  <c r="P1417" i="17"/>
  <c r="T1416" i="17"/>
  <c r="P1416" i="17"/>
  <c r="T1415" i="17"/>
  <c r="P1415" i="17"/>
  <c r="T1414" i="17"/>
  <c r="P1414" i="17"/>
  <c r="T1413" i="17"/>
  <c r="P1413" i="17"/>
  <c r="T1412" i="17"/>
  <c r="P1412" i="17"/>
  <c r="T1411" i="17"/>
  <c r="P1411" i="17"/>
  <c r="T1410" i="17"/>
  <c r="P1410" i="17"/>
  <c r="T1409" i="17"/>
  <c r="P1409" i="17"/>
  <c r="T1408" i="17"/>
  <c r="P1408" i="17"/>
  <c r="T1407" i="17"/>
  <c r="P1407" i="17"/>
  <c r="T1406" i="17"/>
  <c r="P1406" i="17"/>
  <c r="T1405" i="17"/>
  <c r="P1405" i="17"/>
  <c r="T1404" i="17"/>
  <c r="P1404" i="17"/>
  <c r="T1403" i="17"/>
  <c r="P1403" i="17"/>
  <c r="T1402" i="17"/>
  <c r="P1402" i="17"/>
  <c r="T1401" i="17"/>
  <c r="P1401" i="17"/>
  <c r="T1400" i="17"/>
  <c r="P1400" i="17"/>
  <c r="T1399" i="17"/>
  <c r="P1399" i="17"/>
  <c r="T1398" i="17"/>
  <c r="P1398" i="17"/>
  <c r="T1397" i="17"/>
  <c r="P1397" i="17"/>
  <c r="T1396" i="17"/>
  <c r="P1396" i="17"/>
  <c r="T1395" i="17"/>
  <c r="P1395" i="17"/>
  <c r="T1394" i="17"/>
  <c r="P1394" i="17"/>
  <c r="T1393" i="17"/>
  <c r="P1393" i="17"/>
  <c r="T1392" i="17"/>
  <c r="P1392" i="17"/>
  <c r="T1391" i="17"/>
  <c r="P1391" i="17"/>
  <c r="T1390" i="17"/>
  <c r="P1390" i="17"/>
  <c r="T1389" i="17"/>
  <c r="P1389" i="17"/>
  <c r="T1388" i="17"/>
  <c r="P1388" i="17"/>
  <c r="T1387" i="17"/>
  <c r="P1387" i="17"/>
  <c r="T1386" i="17"/>
  <c r="P1386" i="17"/>
  <c r="T1385" i="17"/>
  <c r="P1385" i="17"/>
  <c r="T1384" i="17"/>
  <c r="P1384" i="17"/>
  <c r="T1383" i="17"/>
  <c r="P1383" i="17"/>
  <c r="T1382" i="17"/>
  <c r="P1382" i="17"/>
  <c r="T1381" i="17"/>
  <c r="P1381" i="17"/>
  <c r="T1380" i="17"/>
  <c r="P1380" i="17"/>
  <c r="T1379" i="17"/>
  <c r="P1379" i="17"/>
  <c r="T1378" i="17"/>
  <c r="P1378" i="17"/>
  <c r="T1377" i="17"/>
  <c r="P1377" i="17"/>
  <c r="T1376" i="17"/>
  <c r="P1376" i="17"/>
  <c r="T1375" i="17"/>
  <c r="P1375" i="17"/>
  <c r="T1374" i="17"/>
  <c r="P1374" i="17"/>
  <c r="T1373" i="17"/>
  <c r="P1373" i="17"/>
  <c r="T1372" i="17"/>
  <c r="P1372" i="17"/>
  <c r="T1371" i="17"/>
  <c r="P1371" i="17"/>
  <c r="T1370" i="17"/>
  <c r="P1370" i="17"/>
  <c r="T1369" i="17"/>
  <c r="P1369" i="17"/>
  <c r="T1368" i="17"/>
  <c r="P1368" i="17"/>
  <c r="T1367" i="17"/>
  <c r="P1367" i="17"/>
  <c r="T1366" i="17"/>
  <c r="P1366" i="17"/>
  <c r="T1365" i="17"/>
  <c r="P1365" i="17"/>
  <c r="T1364" i="17"/>
  <c r="P1364" i="17"/>
  <c r="T1363" i="17"/>
  <c r="P1363" i="17"/>
  <c r="T1362" i="17"/>
  <c r="P1362" i="17"/>
  <c r="T1361" i="17"/>
  <c r="P1361" i="17"/>
  <c r="T1360" i="17"/>
  <c r="P1360" i="17"/>
  <c r="T1359" i="17"/>
  <c r="P1359" i="17"/>
  <c r="T1358" i="17"/>
  <c r="P1358" i="17"/>
  <c r="T1357" i="17"/>
  <c r="P1357" i="17"/>
  <c r="T1356" i="17"/>
  <c r="P1356" i="17"/>
  <c r="T1355" i="17"/>
  <c r="P1355" i="17"/>
  <c r="T1354" i="17"/>
  <c r="P1354" i="17"/>
  <c r="T1353" i="17"/>
  <c r="P1353" i="17"/>
  <c r="T1352" i="17"/>
  <c r="P1352" i="17"/>
  <c r="T1351" i="17"/>
  <c r="P1351" i="17"/>
  <c r="T1350" i="17"/>
  <c r="P1350" i="17"/>
  <c r="T1349" i="17"/>
  <c r="P1349" i="17"/>
  <c r="T1348" i="17"/>
  <c r="P1348" i="17"/>
  <c r="T1347" i="17"/>
  <c r="P1347" i="17"/>
  <c r="T1346" i="17"/>
  <c r="P1346" i="17"/>
  <c r="T1345" i="17"/>
  <c r="P1345" i="17"/>
  <c r="T1344" i="17"/>
  <c r="P1344" i="17"/>
  <c r="T1343" i="17"/>
  <c r="P1343" i="17"/>
  <c r="T1342" i="17"/>
  <c r="P1342" i="17"/>
  <c r="T1341" i="17"/>
  <c r="P1341" i="17"/>
  <c r="T1340" i="17"/>
  <c r="P1340" i="17"/>
  <c r="T1339" i="17"/>
  <c r="P1339" i="17"/>
  <c r="T1338" i="17"/>
  <c r="P1338" i="17"/>
  <c r="T1337" i="17"/>
  <c r="P1337" i="17"/>
  <c r="T1336" i="17"/>
  <c r="P1336" i="17"/>
  <c r="T1335" i="17"/>
  <c r="P1335" i="17"/>
  <c r="T1334" i="17"/>
  <c r="P1334" i="17"/>
  <c r="T1333" i="17"/>
  <c r="P1333" i="17"/>
  <c r="T1332" i="17"/>
  <c r="P1332" i="17"/>
  <c r="T1331" i="17"/>
  <c r="P1331" i="17"/>
  <c r="T1330" i="17"/>
  <c r="P1330" i="17"/>
  <c r="T1329" i="17"/>
  <c r="P1329" i="17"/>
  <c r="T1328" i="17"/>
  <c r="P1328" i="17"/>
  <c r="T1327" i="17"/>
  <c r="P1327" i="17"/>
  <c r="T1326" i="17"/>
  <c r="P1326" i="17"/>
  <c r="T1325" i="17"/>
  <c r="P1325" i="17"/>
  <c r="T1324" i="17"/>
  <c r="P1324" i="17"/>
  <c r="T1323" i="17"/>
  <c r="P1323" i="17"/>
  <c r="T1322" i="17"/>
  <c r="P1322" i="17"/>
  <c r="T1321" i="17"/>
  <c r="P1321" i="17"/>
  <c r="T1320" i="17"/>
  <c r="P1320" i="17"/>
  <c r="T1319" i="17"/>
  <c r="P1319" i="17"/>
  <c r="T1318" i="17"/>
  <c r="P1318" i="17"/>
  <c r="T1317" i="17"/>
  <c r="P1317" i="17"/>
  <c r="T1316" i="17"/>
  <c r="P1316" i="17"/>
  <c r="T1315" i="17"/>
  <c r="P1315" i="17"/>
  <c r="T1314" i="17"/>
  <c r="P1314" i="17"/>
  <c r="T1313" i="17"/>
  <c r="P1313" i="17"/>
  <c r="T1312" i="17"/>
  <c r="P1312" i="17"/>
  <c r="T1311" i="17"/>
  <c r="P1311" i="17"/>
  <c r="T1310" i="17"/>
  <c r="P1310" i="17"/>
  <c r="T1309" i="17"/>
  <c r="P1309" i="17"/>
  <c r="T1308" i="17"/>
  <c r="P1308" i="17"/>
  <c r="T1307" i="17"/>
  <c r="P1307" i="17"/>
  <c r="T1306" i="17"/>
  <c r="P1306" i="17"/>
  <c r="T1305" i="17"/>
  <c r="P1305" i="17"/>
  <c r="T1304" i="17"/>
  <c r="P1304" i="17"/>
  <c r="T1303" i="17"/>
  <c r="P1303" i="17"/>
  <c r="T1302" i="17"/>
  <c r="P1302" i="17"/>
  <c r="T1301" i="17"/>
  <c r="P1301" i="17"/>
  <c r="T1300" i="17"/>
  <c r="P1300" i="17"/>
  <c r="T1299" i="17"/>
  <c r="P1299" i="17"/>
  <c r="T1298" i="17"/>
  <c r="P1298" i="17"/>
  <c r="T1297" i="17"/>
  <c r="P1297" i="17"/>
  <c r="T1296" i="17"/>
  <c r="P1296" i="17"/>
  <c r="T1295" i="17"/>
  <c r="P1295" i="17"/>
  <c r="T1294" i="17"/>
  <c r="P1294" i="17"/>
  <c r="T1293" i="17"/>
  <c r="P1293" i="17"/>
  <c r="T1292" i="17"/>
  <c r="P1292" i="17"/>
  <c r="T1291" i="17"/>
  <c r="P1291" i="17"/>
  <c r="T1290" i="17"/>
  <c r="P1290" i="17"/>
  <c r="T1289" i="17"/>
  <c r="P1289" i="17"/>
  <c r="T1288" i="17"/>
  <c r="P1288" i="17"/>
  <c r="T1287" i="17"/>
  <c r="P1287" i="17"/>
  <c r="T1286" i="17"/>
  <c r="P1286" i="17"/>
  <c r="T1285" i="17"/>
  <c r="P1285" i="17"/>
  <c r="T1284" i="17"/>
  <c r="P1284" i="17"/>
  <c r="T1283" i="17"/>
  <c r="P1283" i="17"/>
  <c r="T1282" i="17"/>
  <c r="P1282" i="17"/>
  <c r="T1281" i="17"/>
  <c r="P1281" i="17"/>
  <c r="T1280" i="17"/>
  <c r="P1280" i="17"/>
  <c r="T1279" i="17"/>
  <c r="P1279" i="17"/>
  <c r="T1278" i="17"/>
  <c r="P1278" i="17"/>
  <c r="T1277" i="17"/>
  <c r="P1277" i="17"/>
  <c r="T1276" i="17"/>
  <c r="P1276" i="17"/>
  <c r="T1275" i="17"/>
  <c r="P1275" i="17"/>
  <c r="T1274" i="17"/>
  <c r="P1274" i="17"/>
  <c r="T1273" i="17"/>
  <c r="P1273" i="17"/>
  <c r="T1272" i="17"/>
  <c r="P1272" i="17"/>
  <c r="T1271" i="17"/>
  <c r="P1271" i="17"/>
  <c r="T1270" i="17"/>
  <c r="P1270" i="17"/>
  <c r="T1269" i="17"/>
  <c r="P1269" i="17"/>
  <c r="T1268" i="17"/>
  <c r="P1268" i="17"/>
  <c r="T1267" i="17"/>
  <c r="P1267" i="17"/>
  <c r="T1266" i="17"/>
  <c r="P1266" i="17"/>
  <c r="T1265" i="17"/>
  <c r="P1265" i="17"/>
  <c r="T1264" i="17"/>
  <c r="P1264" i="17"/>
  <c r="T1263" i="17"/>
  <c r="P1263" i="17"/>
  <c r="T1262" i="17"/>
  <c r="P1262" i="17"/>
  <c r="T1261" i="17"/>
  <c r="P1261" i="17"/>
  <c r="T1260" i="17"/>
  <c r="P1260" i="17"/>
  <c r="T1259" i="17"/>
  <c r="P1259" i="17"/>
  <c r="T1258" i="17"/>
  <c r="P1258" i="17"/>
  <c r="T1257" i="17"/>
  <c r="P1257" i="17"/>
  <c r="T1256" i="17"/>
  <c r="P1256" i="17"/>
  <c r="T1255" i="17"/>
  <c r="P1255" i="17"/>
  <c r="T1254" i="17"/>
  <c r="P1254" i="17"/>
  <c r="T1253" i="17"/>
  <c r="P1253" i="17"/>
  <c r="T1252" i="17"/>
  <c r="P1252" i="17"/>
  <c r="T1251" i="17"/>
  <c r="P1251" i="17"/>
  <c r="T1250" i="17"/>
  <c r="P1250" i="17"/>
  <c r="T1249" i="17"/>
  <c r="P1249" i="17"/>
  <c r="T1248" i="17"/>
  <c r="P1248" i="17"/>
  <c r="T1247" i="17"/>
  <c r="P1247" i="17"/>
  <c r="T1246" i="17"/>
  <c r="P1246" i="17"/>
  <c r="T1245" i="17"/>
  <c r="P1245" i="17"/>
  <c r="T1244" i="17"/>
  <c r="P1244" i="17"/>
  <c r="T1243" i="17"/>
  <c r="P1243" i="17"/>
  <c r="T1242" i="17"/>
  <c r="P1242" i="17"/>
  <c r="T1241" i="17"/>
  <c r="P1241" i="17"/>
  <c r="T1240" i="17"/>
  <c r="P1240" i="17"/>
  <c r="T1239" i="17"/>
  <c r="P1239" i="17"/>
  <c r="T1238" i="17"/>
  <c r="P1238" i="17"/>
  <c r="T1237" i="17"/>
  <c r="P1237" i="17"/>
  <c r="T1236" i="17"/>
  <c r="P1236" i="17"/>
  <c r="T1235" i="17"/>
  <c r="P1235" i="17"/>
  <c r="T1234" i="17"/>
  <c r="P1234" i="17"/>
  <c r="T1233" i="17"/>
  <c r="P1233" i="17"/>
  <c r="T1232" i="17"/>
  <c r="P1232" i="17"/>
  <c r="T1231" i="17"/>
  <c r="P1231" i="17"/>
  <c r="T1230" i="17"/>
  <c r="P1230" i="17"/>
  <c r="T1229" i="17"/>
  <c r="P1229" i="17"/>
  <c r="T1228" i="17"/>
  <c r="P1228" i="17"/>
  <c r="T1227" i="17"/>
  <c r="P1227" i="17"/>
  <c r="T1226" i="17"/>
  <c r="P1226" i="17"/>
  <c r="T1225" i="17"/>
  <c r="P1225" i="17"/>
  <c r="T1224" i="17"/>
  <c r="P1224" i="17"/>
  <c r="T1223" i="17"/>
  <c r="P1223" i="17"/>
  <c r="T1222" i="17"/>
  <c r="P1222" i="17"/>
  <c r="T1221" i="17"/>
  <c r="P1221" i="17"/>
  <c r="T1220" i="17"/>
  <c r="P1220" i="17"/>
  <c r="T1219" i="17"/>
  <c r="P1219" i="17"/>
  <c r="T1218" i="17"/>
  <c r="P1218" i="17"/>
  <c r="T1217" i="17"/>
  <c r="P1217" i="17"/>
  <c r="T1216" i="17"/>
  <c r="P1216" i="17"/>
  <c r="T1215" i="17"/>
  <c r="P1215" i="17"/>
  <c r="T1214" i="17"/>
  <c r="P1214" i="17"/>
  <c r="T1213" i="17"/>
  <c r="P1213" i="17"/>
  <c r="T1212" i="17"/>
  <c r="P1212" i="17"/>
  <c r="T1211" i="17"/>
  <c r="P1211" i="17"/>
  <c r="T1210" i="17"/>
  <c r="P1210" i="17"/>
  <c r="T1209" i="17"/>
  <c r="P1209" i="17"/>
  <c r="T1208" i="17"/>
  <c r="P1208" i="17"/>
  <c r="T1207" i="17"/>
  <c r="P1207" i="17"/>
  <c r="T1206" i="17"/>
  <c r="P1206" i="17"/>
  <c r="T1205" i="17"/>
  <c r="P1205" i="17"/>
  <c r="T1204" i="17"/>
  <c r="P1204" i="17"/>
  <c r="T1203" i="17"/>
  <c r="P1203" i="17"/>
  <c r="T1202" i="17"/>
  <c r="P1202" i="17"/>
  <c r="T1201" i="17"/>
  <c r="P1201" i="17"/>
  <c r="T1200" i="17"/>
  <c r="P1200" i="17"/>
  <c r="T1199" i="17"/>
  <c r="P1199" i="17"/>
  <c r="T1198" i="17"/>
  <c r="P1198" i="17"/>
  <c r="T1197" i="17"/>
  <c r="P1197" i="17"/>
  <c r="T1196" i="17"/>
  <c r="P1196" i="17"/>
  <c r="T1195" i="17"/>
  <c r="P1195" i="17"/>
  <c r="T1194" i="17"/>
  <c r="P1194" i="17"/>
  <c r="T1193" i="17"/>
  <c r="P1193" i="17"/>
  <c r="T1192" i="17"/>
  <c r="P1192" i="17"/>
  <c r="T1191" i="17"/>
  <c r="P1191" i="17"/>
  <c r="T1190" i="17"/>
  <c r="P1190" i="17"/>
  <c r="T1189" i="17"/>
  <c r="P1189" i="17"/>
  <c r="T1188" i="17"/>
  <c r="P1188" i="17"/>
  <c r="T1187" i="17"/>
  <c r="P1187" i="17"/>
  <c r="T1186" i="17"/>
  <c r="P1186" i="17"/>
  <c r="T1185" i="17"/>
  <c r="P1185" i="17"/>
  <c r="T1184" i="17"/>
  <c r="P1184" i="17"/>
  <c r="T1183" i="17"/>
  <c r="P1183" i="17"/>
  <c r="T1182" i="17"/>
  <c r="P1182" i="17"/>
  <c r="T1181" i="17"/>
  <c r="P1181" i="17"/>
  <c r="T1180" i="17"/>
  <c r="P1180" i="17"/>
  <c r="T1179" i="17"/>
  <c r="P1179" i="17"/>
  <c r="T1178" i="17"/>
  <c r="P1178" i="17"/>
  <c r="T1177" i="17"/>
  <c r="P1177" i="17"/>
  <c r="T1176" i="17"/>
  <c r="P1176" i="17"/>
  <c r="T1175" i="17"/>
  <c r="P1175" i="17"/>
  <c r="T1174" i="17"/>
  <c r="P1174" i="17"/>
  <c r="T1173" i="17"/>
  <c r="P1173" i="17"/>
  <c r="T1172" i="17"/>
  <c r="P1172" i="17"/>
  <c r="T1171" i="17"/>
  <c r="P1171" i="17"/>
  <c r="T1170" i="17"/>
  <c r="P1170" i="17"/>
  <c r="T1169" i="17"/>
  <c r="P1169" i="17"/>
  <c r="T1168" i="17"/>
  <c r="P1168" i="17"/>
  <c r="T1167" i="17"/>
  <c r="P1167" i="17"/>
  <c r="T1166" i="17"/>
  <c r="P1166" i="17"/>
  <c r="T1165" i="17"/>
  <c r="P1165" i="17"/>
  <c r="T1164" i="17"/>
  <c r="P1164" i="17"/>
  <c r="T1163" i="17"/>
  <c r="P1163" i="17"/>
  <c r="T1162" i="17"/>
  <c r="P1162" i="17"/>
  <c r="T1161" i="17"/>
  <c r="P1161" i="17"/>
  <c r="T1160" i="17"/>
  <c r="P1160" i="17"/>
  <c r="T1159" i="17"/>
  <c r="P1159" i="17"/>
  <c r="T1158" i="17"/>
  <c r="P1158" i="17"/>
  <c r="T1157" i="17"/>
  <c r="P1157" i="17"/>
  <c r="T1156" i="17"/>
  <c r="P1156" i="17"/>
  <c r="T1155" i="17"/>
  <c r="P1155" i="17"/>
  <c r="T1154" i="17"/>
  <c r="P1154" i="17"/>
  <c r="T1153" i="17"/>
  <c r="P1153" i="17"/>
  <c r="T1152" i="17"/>
  <c r="P1152" i="17"/>
  <c r="T1151" i="17"/>
  <c r="P1151" i="17"/>
  <c r="T1150" i="17"/>
  <c r="P1150" i="17"/>
  <c r="T1149" i="17"/>
  <c r="P1149" i="17"/>
  <c r="T1148" i="17"/>
  <c r="P1148" i="17"/>
  <c r="T1147" i="17"/>
  <c r="P1147" i="17"/>
  <c r="T1146" i="17"/>
  <c r="P1146" i="17"/>
  <c r="T1145" i="17"/>
  <c r="P1145" i="17"/>
  <c r="T1144" i="17"/>
  <c r="P1144" i="17"/>
  <c r="T1143" i="17"/>
  <c r="P1143" i="17"/>
  <c r="T1142" i="17"/>
  <c r="P1142" i="17"/>
  <c r="T1141" i="17"/>
  <c r="P1141" i="17"/>
  <c r="T1140" i="17"/>
  <c r="P1140" i="17"/>
  <c r="T1139" i="17"/>
  <c r="P1139" i="17"/>
  <c r="T1138" i="17"/>
  <c r="P1138" i="17"/>
  <c r="T1137" i="17"/>
  <c r="P1137" i="17"/>
  <c r="T1136" i="17"/>
  <c r="P1136" i="17"/>
  <c r="T1135" i="17"/>
  <c r="P1135" i="17"/>
  <c r="T1134" i="17"/>
  <c r="P1134" i="17"/>
  <c r="T1133" i="17"/>
  <c r="P1133" i="17"/>
  <c r="T1132" i="17"/>
  <c r="P1132" i="17"/>
  <c r="T1131" i="17"/>
  <c r="P1131" i="17"/>
  <c r="T1130" i="17"/>
  <c r="P1130" i="17"/>
  <c r="T1129" i="17"/>
  <c r="P1129" i="17"/>
  <c r="T1128" i="17"/>
  <c r="P1128" i="17"/>
  <c r="T1127" i="17"/>
  <c r="P1127" i="17"/>
  <c r="T1126" i="17"/>
  <c r="P1126" i="17"/>
  <c r="T1125" i="17"/>
  <c r="P1125" i="17"/>
  <c r="T1124" i="17"/>
  <c r="P1124" i="17"/>
  <c r="T1123" i="17"/>
  <c r="P1123" i="17"/>
  <c r="T1122" i="17"/>
  <c r="P1122" i="17"/>
  <c r="T1121" i="17"/>
  <c r="P1121" i="17"/>
  <c r="T1120" i="17"/>
  <c r="P1120" i="17"/>
  <c r="T1119" i="17"/>
  <c r="P1119" i="17"/>
  <c r="T1118" i="17"/>
  <c r="P1118" i="17"/>
  <c r="T1117" i="17"/>
  <c r="P1117" i="17"/>
  <c r="T1116" i="17"/>
  <c r="P1116" i="17"/>
  <c r="T1115" i="17"/>
  <c r="P1115" i="17"/>
  <c r="T1114" i="17"/>
  <c r="P1114" i="17"/>
  <c r="T1113" i="17"/>
  <c r="P1113" i="17"/>
  <c r="T1112" i="17"/>
  <c r="P1112" i="17"/>
  <c r="T1111" i="17"/>
  <c r="P1111" i="17"/>
  <c r="T1110" i="17"/>
  <c r="P1110" i="17"/>
  <c r="T1109" i="17"/>
  <c r="P1109" i="17"/>
  <c r="T1108" i="17"/>
  <c r="P1108" i="17"/>
  <c r="T1107" i="17"/>
  <c r="P1107" i="17"/>
  <c r="T1106" i="17"/>
  <c r="P1106" i="17"/>
  <c r="T1105" i="17"/>
  <c r="P1105" i="17"/>
  <c r="T1104" i="17"/>
  <c r="P1104" i="17"/>
  <c r="T1103" i="17"/>
  <c r="P1103" i="17"/>
  <c r="T1102" i="17"/>
  <c r="P1102" i="17"/>
  <c r="T1101" i="17"/>
  <c r="P1101" i="17"/>
  <c r="T1100" i="17"/>
  <c r="P1100" i="17"/>
  <c r="T1099" i="17"/>
  <c r="P1099" i="17"/>
  <c r="T1098" i="17"/>
  <c r="P1098" i="17"/>
  <c r="T1097" i="17"/>
  <c r="P1097" i="17"/>
  <c r="T1096" i="17"/>
  <c r="P1096" i="17"/>
  <c r="T1095" i="17"/>
  <c r="P1095" i="17"/>
  <c r="T1094" i="17"/>
  <c r="P1094" i="17"/>
  <c r="T1093" i="17"/>
  <c r="P1093" i="17"/>
  <c r="T1092" i="17"/>
  <c r="P1092" i="17"/>
  <c r="T1091" i="17"/>
  <c r="P1091" i="17"/>
  <c r="T1090" i="17"/>
  <c r="P1090" i="17"/>
  <c r="T1089" i="17"/>
  <c r="P1089" i="17"/>
  <c r="T1088" i="17"/>
  <c r="P1088" i="17"/>
  <c r="T1087" i="17"/>
  <c r="P1087" i="17"/>
  <c r="T1086" i="17"/>
  <c r="P1086" i="17"/>
  <c r="T1085" i="17"/>
  <c r="P1085" i="17"/>
  <c r="T1084" i="17"/>
  <c r="P1084" i="17"/>
  <c r="T1083" i="17"/>
  <c r="P1083" i="17"/>
  <c r="T1082" i="17"/>
  <c r="P1082" i="17"/>
  <c r="T1081" i="17"/>
  <c r="P1081" i="17"/>
  <c r="T1080" i="17"/>
  <c r="P1080" i="17"/>
  <c r="T1079" i="17"/>
  <c r="P1079" i="17"/>
  <c r="T1078" i="17"/>
  <c r="P1078" i="17"/>
  <c r="T1077" i="17"/>
  <c r="P1077" i="17"/>
  <c r="T1076" i="17"/>
  <c r="P1076" i="17"/>
  <c r="T1075" i="17"/>
  <c r="P1075" i="17"/>
  <c r="T1074" i="17"/>
  <c r="P1074" i="17"/>
  <c r="T1073" i="17"/>
  <c r="P1073" i="17"/>
  <c r="T1072" i="17"/>
  <c r="P1072" i="17"/>
  <c r="T1071" i="17"/>
  <c r="P1071" i="17"/>
  <c r="T1070" i="17"/>
  <c r="P1070" i="17"/>
  <c r="T1069" i="17"/>
  <c r="P1069" i="17"/>
  <c r="T1068" i="17"/>
  <c r="P1068" i="17"/>
  <c r="T1067" i="17"/>
  <c r="P1067" i="17"/>
  <c r="T1066" i="17"/>
  <c r="P1066" i="17"/>
  <c r="T1065" i="17"/>
  <c r="P1065" i="17"/>
  <c r="T1064" i="17"/>
  <c r="P1064" i="17"/>
  <c r="T1063" i="17"/>
  <c r="P1063" i="17"/>
  <c r="T1062" i="17"/>
  <c r="P1062" i="17"/>
  <c r="T1061" i="17"/>
  <c r="P1061" i="17"/>
  <c r="T1060" i="17"/>
  <c r="P1060" i="17"/>
  <c r="T1059" i="17"/>
  <c r="P1059" i="17"/>
  <c r="T1058" i="17"/>
  <c r="P1058" i="17"/>
  <c r="T1057" i="17"/>
  <c r="P1057" i="17"/>
  <c r="T1056" i="17"/>
  <c r="P1056" i="17"/>
  <c r="T1055" i="17"/>
  <c r="P1055" i="17"/>
  <c r="T1054" i="17"/>
  <c r="P1054" i="17"/>
  <c r="T1053" i="17"/>
  <c r="P1053" i="17"/>
  <c r="T1052" i="17"/>
  <c r="P1052" i="17"/>
  <c r="T1051" i="17"/>
  <c r="P1051" i="17"/>
  <c r="T1050" i="17"/>
  <c r="P1050" i="17"/>
  <c r="T1049" i="17"/>
  <c r="P1049" i="17"/>
  <c r="T1048" i="17"/>
  <c r="P1048" i="17"/>
  <c r="T1047" i="17"/>
  <c r="P1047" i="17"/>
  <c r="T1046" i="17"/>
  <c r="P1046" i="17"/>
  <c r="T1045" i="17"/>
  <c r="P1045" i="17"/>
  <c r="T1044" i="17"/>
  <c r="P1044" i="17"/>
  <c r="T1043" i="17"/>
  <c r="P1043" i="17"/>
  <c r="T1042" i="17"/>
  <c r="P1042" i="17"/>
  <c r="T1041" i="17"/>
  <c r="P1041" i="17"/>
  <c r="T1040" i="17"/>
  <c r="P1040" i="17"/>
  <c r="T1039" i="17"/>
  <c r="P1039" i="17"/>
  <c r="T1038" i="17"/>
  <c r="P1038" i="17"/>
  <c r="T1037" i="17"/>
  <c r="P1037" i="17"/>
  <c r="T1036" i="17"/>
  <c r="P1036" i="17"/>
  <c r="T1035" i="17"/>
  <c r="P1035" i="17"/>
  <c r="T1034" i="17"/>
  <c r="P1034" i="17"/>
  <c r="T1033" i="17"/>
  <c r="P1033" i="17"/>
  <c r="T1032" i="17"/>
  <c r="P1032" i="17"/>
  <c r="T1031" i="17"/>
  <c r="P1031" i="17"/>
  <c r="T1030" i="17"/>
  <c r="P1030" i="17"/>
  <c r="T1029" i="17"/>
  <c r="P1029" i="17"/>
  <c r="T1028" i="17"/>
  <c r="P1028" i="17"/>
  <c r="T1027" i="17"/>
  <c r="P1027" i="17"/>
  <c r="T1026" i="17"/>
  <c r="P1026" i="17"/>
  <c r="T1025" i="17"/>
  <c r="P1025" i="17"/>
  <c r="T1024" i="17"/>
  <c r="P1024" i="17"/>
  <c r="T1023" i="17"/>
  <c r="P1023" i="17"/>
  <c r="T1022" i="17"/>
  <c r="P1022" i="17"/>
  <c r="T1021" i="17"/>
  <c r="P1021" i="17"/>
  <c r="T1020" i="17"/>
  <c r="P1020" i="17"/>
  <c r="T1019" i="17"/>
  <c r="P1019" i="17"/>
  <c r="T1018" i="17"/>
  <c r="P1018" i="17"/>
  <c r="T1017" i="17"/>
  <c r="P1017" i="17"/>
  <c r="T1016" i="17"/>
  <c r="P1016" i="17"/>
  <c r="T1015" i="17"/>
  <c r="P1015" i="17"/>
  <c r="T1014" i="17"/>
  <c r="P1014" i="17"/>
  <c r="T1013" i="17"/>
  <c r="P1013" i="17"/>
  <c r="T1012" i="17"/>
  <c r="P1012" i="17"/>
  <c r="T1011" i="17"/>
  <c r="P1011" i="17"/>
  <c r="T1010" i="17"/>
  <c r="P1010" i="17"/>
  <c r="T1009" i="17"/>
  <c r="P1009" i="17"/>
  <c r="T1008" i="17"/>
  <c r="P1008" i="17"/>
  <c r="T1007" i="17"/>
  <c r="P1007" i="17"/>
  <c r="T1006" i="17"/>
  <c r="P1006" i="17"/>
  <c r="T1005" i="17"/>
  <c r="P1005" i="17"/>
  <c r="T1004" i="17"/>
  <c r="P1004" i="17"/>
  <c r="T1003" i="17"/>
  <c r="P1003" i="17"/>
  <c r="T1002" i="17"/>
  <c r="P1002" i="17"/>
  <c r="T1001" i="17"/>
  <c r="P1001" i="17"/>
  <c r="T1000" i="17"/>
  <c r="P1000" i="17"/>
  <c r="T999" i="17"/>
  <c r="P999" i="17"/>
  <c r="T998" i="17"/>
  <c r="P998" i="17"/>
  <c r="T997" i="17"/>
  <c r="P997" i="17"/>
  <c r="T996" i="17"/>
  <c r="P996" i="17"/>
  <c r="T995" i="17"/>
  <c r="P995" i="17"/>
  <c r="T994" i="17"/>
  <c r="P994" i="17"/>
  <c r="T993" i="17"/>
  <c r="P993" i="17"/>
  <c r="T992" i="17"/>
  <c r="P992" i="17"/>
  <c r="T991" i="17"/>
  <c r="P991" i="17"/>
  <c r="T990" i="17"/>
  <c r="P990" i="17"/>
  <c r="T989" i="17"/>
  <c r="P989" i="17"/>
  <c r="T988" i="17"/>
  <c r="P988" i="17"/>
  <c r="T987" i="17"/>
  <c r="P987" i="17"/>
  <c r="T986" i="17"/>
  <c r="P986" i="17"/>
  <c r="T985" i="17"/>
  <c r="P985" i="17"/>
  <c r="T984" i="17"/>
  <c r="P984" i="17"/>
  <c r="T983" i="17"/>
  <c r="P983" i="17"/>
  <c r="T982" i="17"/>
  <c r="P982" i="17"/>
  <c r="T981" i="17"/>
  <c r="P981" i="17"/>
  <c r="T980" i="17"/>
  <c r="P980" i="17"/>
  <c r="T979" i="17"/>
  <c r="P979" i="17"/>
  <c r="T978" i="17"/>
  <c r="P978" i="17"/>
  <c r="T977" i="17"/>
  <c r="P977" i="17"/>
  <c r="T976" i="17"/>
  <c r="P976" i="17"/>
  <c r="T975" i="17"/>
  <c r="P975" i="17"/>
  <c r="T974" i="17"/>
  <c r="P974" i="17"/>
  <c r="T973" i="17"/>
  <c r="P973" i="17"/>
  <c r="T972" i="17"/>
  <c r="P972" i="17"/>
  <c r="T971" i="17"/>
  <c r="P971" i="17"/>
  <c r="T970" i="17"/>
  <c r="P970" i="17"/>
  <c r="T969" i="17"/>
  <c r="P969" i="17"/>
  <c r="T968" i="17"/>
  <c r="P968" i="17"/>
  <c r="T967" i="17"/>
  <c r="P967" i="17"/>
  <c r="T966" i="17"/>
  <c r="P966" i="17"/>
  <c r="T965" i="17"/>
  <c r="P965" i="17"/>
  <c r="T964" i="17"/>
  <c r="P964" i="17"/>
  <c r="T963" i="17"/>
  <c r="P963" i="17"/>
  <c r="T962" i="17"/>
  <c r="P962" i="17"/>
  <c r="T961" i="17"/>
  <c r="P961" i="17"/>
  <c r="T960" i="17"/>
  <c r="P960" i="17"/>
  <c r="T959" i="17"/>
  <c r="P959" i="17"/>
  <c r="T958" i="17"/>
  <c r="P958" i="17"/>
  <c r="T957" i="17"/>
  <c r="P957" i="17"/>
  <c r="T956" i="17"/>
  <c r="P956" i="17"/>
  <c r="T955" i="17"/>
  <c r="P955" i="17"/>
  <c r="T954" i="17"/>
  <c r="P954" i="17"/>
  <c r="T953" i="17"/>
  <c r="P953" i="17"/>
  <c r="T952" i="17"/>
  <c r="P952" i="17"/>
  <c r="T951" i="17"/>
  <c r="P951" i="17"/>
  <c r="T950" i="17"/>
  <c r="P950" i="17"/>
  <c r="T949" i="17"/>
  <c r="P949" i="17"/>
  <c r="T948" i="17"/>
  <c r="P948" i="17"/>
  <c r="T947" i="17"/>
  <c r="P947" i="17"/>
  <c r="T946" i="17"/>
  <c r="P946" i="17"/>
  <c r="T945" i="17"/>
  <c r="P945" i="17"/>
  <c r="T944" i="17"/>
  <c r="P944" i="17"/>
  <c r="T943" i="17"/>
  <c r="P943" i="17"/>
  <c r="T942" i="17"/>
  <c r="P942" i="17"/>
  <c r="T941" i="17"/>
  <c r="P941" i="17"/>
  <c r="T940" i="17"/>
  <c r="P940" i="17"/>
  <c r="T939" i="17"/>
  <c r="P939" i="17"/>
  <c r="T938" i="17"/>
  <c r="P938" i="17"/>
  <c r="T937" i="17"/>
  <c r="P937" i="17"/>
  <c r="T936" i="17"/>
  <c r="P936" i="17"/>
  <c r="T935" i="17"/>
  <c r="P935" i="17"/>
  <c r="T934" i="17"/>
  <c r="P934" i="17"/>
  <c r="T933" i="17"/>
  <c r="P933" i="17"/>
  <c r="T932" i="17"/>
  <c r="P932" i="17"/>
  <c r="T931" i="17"/>
  <c r="P931" i="17"/>
  <c r="T930" i="17"/>
  <c r="P930" i="17"/>
  <c r="T929" i="17"/>
  <c r="P929" i="17"/>
  <c r="T928" i="17"/>
  <c r="P928" i="17"/>
  <c r="T927" i="17"/>
  <c r="P927" i="17"/>
  <c r="T926" i="17"/>
  <c r="P926" i="17"/>
  <c r="T925" i="17"/>
  <c r="P925" i="17"/>
  <c r="T924" i="17"/>
  <c r="P924" i="17"/>
  <c r="T923" i="17"/>
  <c r="P923" i="17"/>
  <c r="T922" i="17"/>
  <c r="P922" i="17"/>
  <c r="T921" i="17"/>
  <c r="P921" i="17"/>
  <c r="T920" i="17"/>
  <c r="P920" i="17"/>
  <c r="T919" i="17"/>
  <c r="P919" i="17"/>
  <c r="T918" i="17"/>
  <c r="P918" i="17"/>
  <c r="T917" i="17"/>
  <c r="P917" i="17"/>
  <c r="T916" i="17"/>
  <c r="P916" i="17"/>
  <c r="T915" i="17"/>
  <c r="P915" i="17"/>
  <c r="T914" i="17"/>
  <c r="P914" i="17"/>
  <c r="T913" i="17"/>
  <c r="P913" i="17"/>
  <c r="T912" i="17"/>
  <c r="P912" i="17"/>
  <c r="T911" i="17"/>
  <c r="P911" i="17"/>
  <c r="T910" i="17"/>
  <c r="P910" i="17"/>
  <c r="T909" i="17"/>
  <c r="P909" i="17"/>
  <c r="T908" i="17"/>
  <c r="P908" i="17"/>
  <c r="T907" i="17"/>
  <c r="P907" i="17"/>
  <c r="T906" i="17"/>
  <c r="P906" i="17"/>
  <c r="T905" i="17"/>
  <c r="P905" i="17"/>
  <c r="T904" i="17"/>
  <c r="P904" i="17"/>
  <c r="T903" i="17"/>
  <c r="P903" i="17"/>
  <c r="T902" i="17"/>
  <c r="P902" i="17"/>
  <c r="T901" i="17"/>
  <c r="P901" i="17"/>
  <c r="T900" i="17"/>
  <c r="P900" i="17"/>
  <c r="T899" i="17"/>
  <c r="P899" i="17"/>
  <c r="T898" i="17"/>
  <c r="P898" i="17"/>
  <c r="T897" i="17"/>
  <c r="P897" i="17"/>
  <c r="T896" i="17"/>
  <c r="P896" i="17"/>
  <c r="T895" i="17"/>
  <c r="P895" i="17"/>
  <c r="T894" i="17"/>
  <c r="P894" i="17"/>
  <c r="T893" i="17"/>
  <c r="P893" i="17"/>
  <c r="T892" i="17"/>
  <c r="P892" i="17"/>
  <c r="T891" i="17"/>
  <c r="P891" i="17"/>
  <c r="T890" i="17"/>
  <c r="P890" i="17"/>
  <c r="T889" i="17"/>
  <c r="P889" i="17"/>
  <c r="T888" i="17"/>
  <c r="P888" i="17"/>
  <c r="T887" i="17"/>
  <c r="P887" i="17"/>
  <c r="T886" i="17"/>
  <c r="P886" i="17"/>
  <c r="T885" i="17"/>
  <c r="P885" i="17"/>
  <c r="T884" i="17"/>
  <c r="P884" i="17"/>
  <c r="T883" i="17"/>
  <c r="P883" i="17"/>
  <c r="T882" i="17"/>
  <c r="P882" i="17"/>
  <c r="T881" i="17"/>
  <c r="P881" i="17"/>
  <c r="T880" i="17"/>
  <c r="P880" i="17"/>
  <c r="T879" i="17"/>
  <c r="P879" i="17"/>
  <c r="T878" i="17"/>
  <c r="P878" i="17"/>
  <c r="T877" i="17"/>
  <c r="P877" i="17"/>
  <c r="T876" i="17"/>
  <c r="P876" i="17"/>
  <c r="T875" i="17"/>
  <c r="P875" i="17"/>
  <c r="T874" i="17"/>
  <c r="P874" i="17"/>
  <c r="T873" i="17"/>
  <c r="P873" i="17"/>
  <c r="T872" i="17"/>
  <c r="P872" i="17"/>
  <c r="T871" i="17"/>
  <c r="P871" i="17"/>
  <c r="T870" i="17"/>
  <c r="P870" i="17"/>
  <c r="T869" i="17"/>
  <c r="P869" i="17"/>
  <c r="T868" i="17"/>
  <c r="P868" i="17"/>
  <c r="T867" i="17"/>
  <c r="P867" i="17"/>
  <c r="T866" i="17"/>
  <c r="P866" i="17"/>
  <c r="T865" i="17"/>
  <c r="P865" i="17"/>
  <c r="T864" i="17"/>
  <c r="P864" i="17"/>
  <c r="T863" i="17"/>
  <c r="P863" i="17"/>
  <c r="T862" i="17"/>
  <c r="P862" i="17"/>
  <c r="T861" i="17"/>
  <c r="P861" i="17"/>
  <c r="T860" i="17"/>
  <c r="P860" i="17"/>
  <c r="T859" i="17"/>
  <c r="P859" i="17"/>
  <c r="T858" i="17"/>
  <c r="P858" i="17"/>
  <c r="T857" i="17"/>
  <c r="P857" i="17"/>
  <c r="T856" i="17"/>
  <c r="P856" i="17"/>
  <c r="T855" i="17"/>
  <c r="P855" i="17"/>
  <c r="T854" i="17"/>
  <c r="P854" i="17"/>
  <c r="T853" i="17"/>
  <c r="P853" i="17"/>
  <c r="T852" i="17"/>
  <c r="P852" i="17"/>
  <c r="T851" i="17"/>
  <c r="P851" i="17"/>
  <c r="T850" i="17"/>
  <c r="P850" i="17"/>
  <c r="T849" i="17"/>
  <c r="P849" i="17"/>
  <c r="T848" i="17"/>
  <c r="P848" i="17"/>
  <c r="T847" i="17"/>
  <c r="P847" i="17"/>
  <c r="T846" i="17"/>
  <c r="P846" i="17"/>
  <c r="T845" i="17"/>
  <c r="P845" i="17"/>
  <c r="T844" i="17"/>
  <c r="P844" i="17"/>
  <c r="T843" i="17"/>
  <c r="P843" i="17"/>
  <c r="T842" i="17"/>
  <c r="P842" i="17"/>
  <c r="T841" i="17"/>
  <c r="P841" i="17"/>
  <c r="T840" i="17"/>
  <c r="P840" i="17"/>
  <c r="T839" i="17"/>
  <c r="P839" i="17"/>
  <c r="T838" i="17"/>
  <c r="P838" i="17"/>
  <c r="T837" i="17"/>
  <c r="P837" i="17"/>
  <c r="T836" i="17"/>
  <c r="P836" i="17"/>
  <c r="T835" i="17"/>
  <c r="P835" i="17"/>
  <c r="T834" i="17"/>
  <c r="P834" i="17"/>
  <c r="T833" i="17"/>
  <c r="P833" i="17"/>
  <c r="T832" i="17"/>
  <c r="P832" i="17"/>
  <c r="T831" i="17"/>
  <c r="P831" i="17"/>
  <c r="T830" i="17"/>
  <c r="P830" i="17"/>
  <c r="T829" i="17"/>
  <c r="P829" i="17"/>
  <c r="T828" i="17"/>
  <c r="P828" i="17"/>
  <c r="T827" i="17"/>
  <c r="P827" i="17"/>
  <c r="T826" i="17"/>
  <c r="P826" i="17"/>
  <c r="T825" i="17"/>
  <c r="P825" i="17"/>
  <c r="T824" i="17"/>
  <c r="P824" i="17"/>
  <c r="T823" i="17"/>
  <c r="P823" i="17"/>
  <c r="T822" i="17"/>
  <c r="P822" i="17"/>
  <c r="T821" i="17"/>
  <c r="P821" i="17"/>
  <c r="T820" i="17"/>
  <c r="P820" i="17"/>
  <c r="T819" i="17"/>
  <c r="P819" i="17"/>
  <c r="T818" i="17"/>
  <c r="P818" i="17"/>
  <c r="T817" i="17"/>
  <c r="P817" i="17"/>
  <c r="T816" i="17"/>
  <c r="P816" i="17"/>
  <c r="T815" i="17"/>
  <c r="P815" i="17"/>
  <c r="T814" i="17"/>
  <c r="P814" i="17"/>
  <c r="T813" i="17"/>
  <c r="P813" i="17"/>
  <c r="T812" i="17"/>
  <c r="P812" i="17"/>
  <c r="T811" i="17"/>
  <c r="P811" i="17"/>
  <c r="T810" i="17"/>
  <c r="P810" i="17"/>
  <c r="T809" i="17"/>
  <c r="P809" i="17"/>
  <c r="T808" i="17"/>
  <c r="P808" i="17"/>
  <c r="T807" i="17"/>
  <c r="P807" i="17"/>
  <c r="T806" i="17"/>
  <c r="P806" i="17"/>
  <c r="T805" i="17"/>
  <c r="P805" i="17"/>
  <c r="T804" i="17"/>
  <c r="P804" i="17"/>
  <c r="T803" i="17"/>
  <c r="P803" i="17"/>
  <c r="T802" i="17"/>
  <c r="P802" i="17"/>
  <c r="T801" i="17"/>
  <c r="P801" i="17"/>
  <c r="T800" i="17"/>
  <c r="P800" i="17"/>
  <c r="T799" i="17"/>
  <c r="P799" i="17"/>
  <c r="T798" i="17"/>
  <c r="P798" i="17"/>
  <c r="T797" i="17"/>
  <c r="P797" i="17"/>
  <c r="T796" i="17"/>
  <c r="P796" i="17"/>
  <c r="T795" i="17"/>
  <c r="P795" i="17"/>
  <c r="T794" i="17"/>
  <c r="P794" i="17"/>
  <c r="T793" i="17"/>
  <c r="P793" i="17"/>
  <c r="T792" i="17"/>
  <c r="P792" i="17"/>
  <c r="T791" i="17"/>
  <c r="P791" i="17"/>
  <c r="T790" i="17"/>
  <c r="P790" i="17"/>
  <c r="T789" i="17"/>
  <c r="P789" i="17"/>
  <c r="T788" i="17"/>
  <c r="P788" i="17"/>
  <c r="T787" i="17"/>
  <c r="P787" i="17"/>
  <c r="T786" i="17"/>
  <c r="P786" i="17"/>
  <c r="T785" i="17"/>
  <c r="P785" i="17"/>
  <c r="T784" i="17"/>
  <c r="P784" i="17"/>
  <c r="T783" i="17"/>
  <c r="P783" i="17"/>
  <c r="T782" i="17"/>
  <c r="P782" i="17"/>
  <c r="T781" i="17"/>
  <c r="P781" i="17"/>
  <c r="T780" i="17"/>
  <c r="P780" i="17"/>
  <c r="T779" i="17"/>
  <c r="P779" i="17"/>
  <c r="T778" i="17"/>
  <c r="P778" i="17"/>
  <c r="T777" i="17"/>
  <c r="P777" i="17"/>
  <c r="T776" i="17"/>
  <c r="P776" i="17"/>
  <c r="T775" i="17"/>
  <c r="P775" i="17"/>
  <c r="T774" i="17"/>
  <c r="P774" i="17"/>
  <c r="T773" i="17"/>
  <c r="P773" i="17"/>
  <c r="T772" i="17"/>
  <c r="P772" i="17"/>
  <c r="T771" i="17"/>
  <c r="P771" i="17"/>
  <c r="T770" i="17"/>
  <c r="P770" i="17"/>
  <c r="T769" i="17"/>
  <c r="P769" i="17"/>
  <c r="T768" i="17"/>
  <c r="P768" i="17"/>
  <c r="T767" i="17"/>
  <c r="P767" i="17"/>
  <c r="T766" i="17"/>
  <c r="P766" i="17"/>
  <c r="T765" i="17"/>
  <c r="P765" i="17"/>
  <c r="T764" i="17"/>
  <c r="P764" i="17"/>
  <c r="T763" i="17"/>
  <c r="P763" i="17"/>
  <c r="T762" i="17"/>
  <c r="P762" i="17"/>
  <c r="T761" i="17"/>
  <c r="P761" i="17"/>
  <c r="T760" i="17"/>
  <c r="P760" i="17"/>
  <c r="T759" i="17"/>
  <c r="P759" i="17"/>
  <c r="T758" i="17"/>
  <c r="P758" i="17"/>
  <c r="T757" i="17"/>
  <c r="P757" i="17"/>
  <c r="T756" i="17"/>
  <c r="P756" i="17"/>
  <c r="T755" i="17"/>
  <c r="P755" i="17"/>
  <c r="T754" i="17"/>
  <c r="P754" i="17"/>
  <c r="T753" i="17"/>
  <c r="P753" i="17"/>
  <c r="T752" i="17"/>
  <c r="P752" i="17"/>
  <c r="T751" i="17"/>
  <c r="P751" i="17"/>
  <c r="T750" i="17"/>
  <c r="P750" i="17"/>
  <c r="T749" i="17"/>
  <c r="P749" i="17"/>
  <c r="T748" i="17"/>
  <c r="P748" i="17"/>
  <c r="T747" i="17"/>
  <c r="P747" i="17"/>
  <c r="T746" i="17"/>
  <c r="P746" i="17"/>
  <c r="T745" i="17"/>
  <c r="P745" i="17"/>
  <c r="T744" i="17"/>
  <c r="P744" i="17"/>
  <c r="T743" i="17"/>
  <c r="P743" i="17"/>
  <c r="T742" i="17"/>
  <c r="P742" i="17"/>
  <c r="T741" i="17"/>
  <c r="P741" i="17"/>
  <c r="T740" i="17"/>
  <c r="P740" i="17"/>
  <c r="T739" i="17"/>
  <c r="P739" i="17"/>
  <c r="T738" i="17"/>
  <c r="P738" i="17"/>
  <c r="T737" i="17"/>
  <c r="P737" i="17"/>
  <c r="T736" i="17"/>
  <c r="P736" i="17"/>
  <c r="T735" i="17"/>
  <c r="P735" i="17"/>
  <c r="T734" i="17"/>
  <c r="P734" i="17"/>
  <c r="T733" i="17"/>
  <c r="P733" i="17"/>
  <c r="T732" i="17"/>
  <c r="P732" i="17"/>
  <c r="T731" i="17"/>
  <c r="P731" i="17"/>
  <c r="T730" i="17"/>
  <c r="P730" i="17"/>
  <c r="T729" i="17"/>
  <c r="P729" i="17"/>
  <c r="T728" i="17"/>
  <c r="P728" i="17"/>
  <c r="T727" i="17"/>
  <c r="P727" i="17"/>
  <c r="T726" i="17"/>
  <c r="P726" i="17"/>
  <c r="T725" i="17"/>
  <c r="P725" i="17"/>
  <c r="T724" i="17"/>
  <c r="P724" i="17"/>
  <c r="T723" i="17"/>
  <c r="P723" i="17"/>
  <c r="T722" i="17"/>
  <c r="P722" i="17"/>
  <c r="T721" i="17"/>
  <c r="P721" i="17"/>
  <c r="T720" i="17"/>
  <c r="P720" i="17"/>
  <c r="T719" i="17"/>
  <c r="P719" i="17"/>
  <c r="T718" i="17"/>
  <c r="P718" i="17"/>
  <c r="T717" i="17"/>
  <c r="P717" i="17"/>
  <c r="T716" i="17"/>
  <c r="P716" i="17"/>
  <c r="T715" i="17"/>
  <c r="P715" i="17"/>
  <c r="T714" i="17"/>
  <c r="P714" i="17"/>
  <c r="T713" i="17"/>
  <c r="P713" i="17"/>
  <c r="T712" i="17"/>
  <c r="P712" i="17"/>
  <c r="T711" i="17"/>
  <c r="P711" i="17"/>
  <c r="T710" i="17"/>
  <c r="P710" i="17"/>
  <c r="T709" i="17"/>
  <c r="P709" i="17"/>
  <c r="T708" i="17"/>
  <c r="P708" i="17"/>
  <c r="T707" i="17"/>
  <c r="P707" i="17"/>
  <c r="T706" i="17"/>
  <c r="P706" i="17"/>
  <c r="T705" i="17"/>
  <c r="P705" i="17"/>
  <c r="T704" i="17"/>
  <c r="P704" i="17"/>
  <c r="T703" i="17"/>
  <c r="P703" i="17"/>
  <c r="T702" i="17"/>
  <c r="P702" i="17"/>
  <c r="T701" i="17"/>
  <c r="P701" i="17"/>
  <c r="T700" i="17"/>
  <c r="P700" i="17"/>
  <c r="T699" i="17"/>
  <c r="P699" i="17"/>
  <c r="T698" i="17"/>
  <c r="P698" i="17"/>
  <c r="T697" i="17"/>
  <c r="P697" i="17"/>
  <c r="T696" i="17"/>
  <c r="P696" i="17"/>
  <c r="T695" i="17"/>
  <c r="P695" i="17"/>
  <c r="T694" i="17"/>
  <c r="P694" i="17"/>
  <c r="T693" i="17"/>
  <c r="P693" i="17"/>
  <c r="T692" i="17"/>
  <c r="P692" i="17"/>
  <c r="T691" i="17"/>
  <c r="P691" i="17"/>
  <c r="T690" i="17"/>
  <c r="P690" i="17"/>
  <c r="T689" i="17"/>
  <c r="P689" i="17"/>
  <c r="T688" i="17"/>
  <c r="P688" i="17"/>
  <c r="T687" i="17"/>
  <c r="P687" i="17"/>
  <c r="T686" i="17"/>
  <c r="P686" i="17"/>
  <c r="T685" i="17"/>
  <c r="P685" i="17"/>
  <c r="T684" i="17"/>
  <c r="P684" i="17"/>
  <c r="T683" i="17"/>
  <c r="P683" i="17"/>
  <c r="T682" i="17"/>
  <c r="P682" i="17"/>
  <c r="T681" i="17"/>
  <c r="P681" i="17"/>
  <c r="T680" i="17"/>
  <c r="P680" i="17"/>
  <c r="T679" i="17"/>
  <c r="P679" i="17"/>
  <c r="T678" i="17"/>
  <c r="P678" i="17"/>
  <c r="T677" i="17"/>
  <c r="P677" i="17"/>
  <c r="T676" i="17"/>
  <c r="P676" i="17"/>
  <c r="T675" i="17"/>
  <c r="P675" i="17"/>
  <c r="T674" i="17"/>
  <c r="P674" i="17"/>
  <c r="T673" i="17"/>
  <c r="P673" i="17"/>
  <c r="T672" i="17"/>
  <c r="P672" i="17"/>
  <c r="T671" i="17"/>
  <c r="P671" i="17"/>
  <c r="T670" i="17"/>
  <c r="P670" i="17"/>
  <c r="T669" i="17"/>
  <c r="P669" i="17"/>
  <c r="T668" i="17"/>
  <c r="P668" i="17"/>
  <c r="T667" i="17"/>
  <c r="P667" i="17"/>
  <c r="T666" i="17"/>
  <c r="P666" i="17"/>
  <c r="T665" i="17"/>
  <c r="P665" i="17"/>
  <c r="T664" i="17"/>
  <c r="P664" i="17"/>
  <c r="T663" i="17"/>
  <c r="P663" i="17"/>
  <c r="T662" i="17"/>
  <c r="P662" i="17"/>
  <c r="T661" i="17"/>
  <c r="P661" i="17"/>
  <c r="T660" i="17"/>
  <c r="P660" i="17"/>
  <c r="T659" i="17"/>
  <c r="P659" i="17"/>
  <c r="T658" i="17"/>
  <c r="P658" i="17"/>
  <c r="T657" i="17"/>
  <c r="P657" i="17"/>
  <c r="T656" i="17"/>
  <c r="P656" i="17"/>
  <c r="T655" i="17"/>
  <c r="P655" i="17"/>
  <c r="T654" i="17"/>
  <c r="P654" i="17"/>
  <c r="T653" i="17"/>
  <c r="P653" i="17"/>
  <c r="T652" i="17"/>
  <c r="P652" i="17"/>
  <c r="T651" i="17"/>
  <c r="P651" i="17"/>
  <c r="T650" i="17"/>
  <c r="P650" i="17"/>
  <c r="T649" i="17"/>
  <c r="P649" i="17"/>
  <c r="T648" i="17"/>
  <c r="P648" i="17"/>
  <c r="T647" i="17"/>
  <c r="P647" i="17"/>
  <c r="T646" i="17"/>
  <c r="P646" i="17"/>
  <c r="T645" i="17"/>
  <c r="P645" i="17"/>
  <c r="T644" i="17"/>
  <c r="P644" i="17"/>
  <c r="T643" i="17"/>
  <c r="P643" i="17"/>
  <c r="T642" i="17"/>
  <c r="P642" i="17"/>
  <c r="T641" i="17"/>
  <c r="P641" i="17"/>
  <c r="T640" i="17"/>
  <c r="P640" i="17"/>
  <c r="T639" i="17"/>
  <c r="P639" i="17"/>
  <c r="T638" i="17"/>
  <c r="P638" i="17"/>
  <c r="T637" i="17"/>
  <c r="P637" i="17"/>
  <c r="T636" i="17"/>
  <c r="P636" i="17"/>
  <c r="T635" i="17"/>
  <c r="P635" i="17"/>
  <c r="T634" i="17"/>
  <c r="P634" i="17"/>
  <c r="T633" i="17"/>
  <c r="P633" i="17"/>
  <c r="T632" i="17"/>
  <c r="P632" i="17"/>
  <c r="T631" i="17"/>
  <c r="P631" i="17"/>
  <c r="T630" i="17"/>
  <c r="P630" i="17"/>
  <c r="T629" i="17"/>
  <c r="P629" i="17"/>
  <c r="T628" i="17"/>
  <c r="P628" i="17"/>
  <c r="T627" i="17"/>
  <c r="P627" i="17"/>
  <c r="T626" i="17"/>
  <c r="P626" i="17"/>
  <c r="T625" i="17"/>
  <c r="P625" i="17"/>
  <c r="T624" i="17"/>
  <c r="P624" i="17"/>
  <c r="T623" i="17"/>
  <c r="P623" i="17"/>
  <c r="T622" i="17"/>
  <c r="P622" i="17"/>
  <c r="T621" i="17"/>
  <c r="P621" i="17"/>
  <c r="T620" i="17"/>
  <c r="P620" i="17"/>
  <c r="T619" i="17"/>
  <c r="P619" i="17"/>
  <c r="T618" i="17"/>
  <c r="P618" i="17"/>
  <c r="T617" i="17"/>
  <c r="P617" i="17"/>
  <c r="T616" i="17"/>
  <c r="P616" i="17"/>
  <c r="T615" i="17"/>
  <c r="P615" i="17"/>
  <c r="T614" i="17"/>
  <c r="P614" i="17"/>
  <c r="T613" i="17"/>
  <c r="P613" i="17"/>
  <c r="T612" i="17"/>
  <c r="P612" i="17"/>
  <c r="T611" i="17"/>
  <c r="P611" i="17"/>
  <c r="T610" i="17"/>
  <c r="P610" i="17"/>
  <c r="T609" i="17"/>
  <c r="P609" i="17"/>
  <c r="T608" i="17"/>
  <c r="P608" i="17"/>
  <c r="T607" i="17"/>
  <c r="P607" i="17"/>
  <c r="T606" i="17"/>
  <c r="P606" i="17"/>
  <c r="T605" i="17"/>
  <c r="P605" i="17"/>
  <c r="T604" i="17"/>
  <c r="P604" i="17"/>
  <c r="T603" i="17"/>
  <c r="P603" i="17"/>
  <c r="T602" i="17"/>
  <c r="P602" i="17"/>
  <c r="T601" i="17"/>
  <c r="P601" i="17"/>
  <c r="T600" i="17"/>
  <c r="P600" i="17"/>
  <c r="T599" i="17"/>
  <c r="P599" i="17"/>
  <c r="T598" i="17"/>
  <c r="P598" i="17"/>
  <c r="T597" i="17"/>
  <c r="P597" i="17"/>
  <c r="T596" i="17"/>
  <c r="P596" i="17"/>
  <c r="T595" i="17"/>
  <c r="P595" i="17"/>
  <c r="T594" i="17"/>
  <c r="P594" i="17"/>
  <c r="T593" i="17"/>
  <c r="P593" i="17"/>
  <c r="T592" i="17"/>
  <c r="P592" i="17"/>
  <c r="T591" i="17"/>
  <c r="P591" i="17"/>
  <c r="T590" i="17"/>
  <c r="P590" i="17"/>
  <c r="T589" i="17"/>
  <c r="P589" i="17"/>
  <c r="T588" i="17"/>
  <c r="P588" i="17"/>
  <c r="T587" i="17"/>
  <c r="P587" i="17"/>
  <c r="T586" i="17"/>
  <c r="P586" i="17"/>
  <c r="T585" i="17"/>
  <c r="P585" i="17"/>
  <c r="T584" i="17"/>
  <c r="P584" i="17"/>
  <c r="T583" i="17"/>
  <c r="P583" i="17"/>
  <c r="T582" i="17"/>
  <c r="P582" i="17"/>
  <c r="T581" i="17"/>
  <c r="P581" i="17"/>
  <c r="T580" i="17"/>
  <c r="P580" i="17"/>
  <c r="T579" i="17"/>
  <c r="P579" i="17"/>
  <c r="T578" i="17"/>
  <c r="P578" i="17"/>
  <c r="T577" i="17"/>
  <c r="P577" i="17"/>
  <c r="T576" i="17"/>
  <c r="P576" i="17"/>
  <c r="T575" i="17"/>
  <c r="P575" i="17"/>
  <c r="T574" i="17"/>
  <c r="P574" i="17"/>
  <c r="T573" i="17"/>
  <c r="P573" i="17"/>
  <c r="T572" i="17"/>
  <c r="P572" i="17"/>
  <c r="T571" i="17"/>
  <c r="P571" i="17"/>
  <c r="T570" i="17"/>
  <c r="P570" i="17"/>
  <c r="T569" i="17"/>
  <c r="P569" i="17"/>
  <c r="T568" i="17"/>
  <c r="P568" i="17"/>
  <c r="T567" i="17"/>
  <c r="P567" i="17"/>
  <c r="T566" i="17"/>
  <c r="P566" i="17"/>
  <c r="T565" i="17"/>
  <c r="P565" i="17"/>
  <c r="T564" i="17"/>
  <c r="P564" i="17"/>
  <c r="T563" i="17"/>
  <c r="P563" i="17"/>
  <c r="T562" i="17"/>
  <c r="P562" i="17"/>
  <c r="T561" i="17"/>
  <c r="P561" i="17"/>
  <c r="T560" i="17"/>
  <c r="P560" i="17"/>
  <c r="T559" i="17"/>
  <c r="P559" i="17"/>
  <c r="T558" i="17"/>
  <c r="P558" i="17"/>
  <c r="T557" i="17"/>
  <c r="P557" i="17"/>
  <c r="T556" i="17"/>
  <c r="P556" i="17"/>
  <c r="T555" i="17"/>
  <c r="P555" i="17"/>
  <c r="T554" i="17"/>
  <c r="P554" i="17"/>
  <c r="T553" i="17"/>
  <c r="P553" i="17"/>
  <c r="T552" i="17"/>
  <c r="P552" i="17"/>
  <c r="T551" i="17"/>
  <c r="P551" i="17"/>
  <c r="T550" i="17"/>
  <c r="P550" i="17"/>
  <c r="T549" i="17"/>
  <c r="P549" i="17"/>
  <c r="T548" i="17"/>
  <c r="P548" i="17"/>
  <c r="T547" i="17"/>
  <c r="P547" i="17"/>
  <c r="T546" i="17"/>
  <c r="P546" i="17"/>
  <c r="T545" i="17"/>
  <c r="P545" i="17"/>
  <c r="T544" i="17"/>
  <c r="P544" i="17"/>
  <c r="T543" i="17"/>
  <c r="P543" i="17"/>
  <c r="T542" i="17"/>
  <c r="P542" i="17"/>
  <c r="T541" i="17"/>
  <c r="P541" i="17"/>
  <c r="T540" i="17"/>
  <c r="P540" i="17"/>
  <c r="T539" i="17"/>
  <c r="P539" i="17"/>
  <c r="T538" i="17"/>
  <c r="P538" i="17"/>
  <c r="T537" i="17"/>
  <c r="P537" i="17"/>
  <c r="T536" i="17"/>
  <c r="P536" i="17"/>
  <c r="T535" i="17"/>
  <c r="P535" i="17"/>
  <c r="T534" i="17"/>
  <c r="P534" i="17"/>
  <c r="T533" i="17"/>
  <c r="P533" i="17"/>
  <c r="T532" i="17"/>
  <c r="P532" i="17"/>
  <c r="T531" i="17"/>
  <c r="P531" i="17"/>
  <c r="T530" i="17"/>
  <c r="P530" i="17"/>
  <c r="T529" i="17"/>
  <c r="P529" i="17"/>
  <c r="T528" i="17"/>
  <c r="P528" i="17"/>
  <c r="T527" i="17"/>
  <c r="P527" i="17"/>
  <c r="T526" i="17"/>
  <c r="P526" i="17"/>
  <c r="T525" i="17"/>
  <c r="P525" i="17"/>
  <c r="T524" i="17"/>
  <c r="P524" i="17"/>
  <c r="T523" i="17"/>
  <c r="P523" i="17"/>
  <c r="T522" i="17"/>
  <c r="P522" i="17"/>
  <c r="T521" i="17"/>
  <c r="P521" i="17"/>
  <c r="T520" i="17"/>
  <c r="P520" i="17"/>
  <c r="T519" i="17"/>
  <c r="P519" i="17"/>
  <c r="T518" i="17"/>
  <c r="P518" i="17"/>
  <c r="T517" i="17"/>
  <c r="P517" i="17"/>
  <c r="T516" i="17"/>
  <c r="P516" i="17"/>
  <c r="T515" i="17"/>
  <c r="P515" i="17"/>
  <c r="T514" i="17"/>
  <c r="P514" i="17"/>
  <c r="T513" i="17"/>
  <c r="P513" i="17"/>
  <c r="T512" i="17"/>
  <c r="P512" i="17"/>
  <c r="T511" i="17"/>
  <c r="P511" i="17"/>
  <c r="T510" i="17"/>
  <c r="P510" i="17"/>
  <c r="T509" i="17"/>
  <c r="P509" i="17"/>
  <c r="T508" i="17"/>
  <c r="P508" i="17"/>
  <c r="T507" i="17"/>
  <c r="P507" i="17"/>
  <c r="T506" i="17"/>
  <c r="P506" i="17"/>
  <c r="T505" i="17"/>
  <c r="P505" i="17"/>
  <c r="T504" i="17"/>
  <c r="P504" i="17"/>
  <c r="T503" i="17"/>
  <c r="P503" i="17"/>
  <c r="T502" i="17"/>
  <c r="P502" i="17"/>
  <c r="T501" i="17"/>
  <c r="P501" i="17"/>
  <c r="T500" i="17"/>
  <c r="P500" i="17"/>
  <c r="T499" i="17"/>
  <c r="P499" i="17"/>
  <c r="T498" i="17"/>
  <c r="P498" i="17"/>
  <c r="T497" i="17"/>
  <c r="P497" i="17"/>
  <c r="T496" i="17"/>
  <c r="P496" i="17"/>
  <c r="T495" i="17"/>
  <c r="P495" i="17"/>
  <c r="T494" i="17"/>
  <c r="P494" i="17"/>
  <c r="T493" i="17"/>
  <c r="P493" i="17"/>
  <c r="T492" i="17"/>
  <c r="P492" i="17"/>
  <c r="T491" i="17"/>
  <c r="P491" i="17"/>
  <c r="T490" i="17"/>
  <c r="P490" i="17"/>
  <c r="T489" i="17"/>
  <c r="P489" i="17"/>
  <c r="T488" i="17"/>
  <c r="P488" i="17"/>
  <c r="T487" i="17"/>
  <c r="P487" i="17"/>
  <c r="T486" i="17"/>
  <c r="P486" i="17"/>
  <c r="T485" i="17"/>
  <c r="P485" i="17"/>
  <c r="T484" i="17"/>
  <c r="P484" i="17"/>
  <c r="T483" i="17"/>
  <c r="P483" i="17"/>
  <c r="T482" i="17"/>
  <c r="P482" i="17"/>
  <c r="T481" i="17"/>
  <c r="P481" i="17"/>
  <c r="T480" i="17"/>
  <c r="P480" i="17"/>
  <c r="T479" i="17"/>
  <c r="P479" i="17"/>
  <c r="T478" i="17"/>
  <c r="P478" i="17"/>
  <c r="T477" i="17"/>
  <c r="P477" i="17"/>
  <c r="T476" i="17"/>
  <c r="P476" i="17"/>
  <c r="T475" i="17"/>
  <c r="P475" i="17"/>
  <c r="T474" i="17"/>
  <c r="P474" i="17"/>
  <c r="T473" i="17"/>
  <c r="P473" i="17"/>
  <c r="T472" i="17"/>
  <c r="P472" i="17"/>
  <c r="T471" i="17"/>
  <c r="P471" i="17"/>
  <c r="T470" i="17"/>
  <c r="P470" i="17"/>
  <c r="T469" i="17"/>
  <c r="P469" i="17"/>
  <c r="T468" i="17"/>
  <c r="P468" i="17"/>
  <c r="T467" i="17"/>
  <c r="P467" i="17"/>
  <c r="T466" i="17"/>
  <c r="P466" i="17"/>
  <c r="T465" i="17"/>
  <c r="P465" i="17"/>
  <c r="T464" i="17"/>
  <c r="P464" i="17"/>
  <c r="T463" i="17"/>
  <c r="P463" i="17"/>
  <c r="T462" i="17"/>
  <c r="P462" i="17"/>
  <c r="T461" i="17"/>
  <c r="P461" i="17"/>
  <c r="T460" i="17"/>
  <c r="P460" i="17"/>
  <c r="T459" i="17"/>
  <c r="P459" i="17"/>
  <c r="T458" i="17"/>
  <c r="P458" i="17"/>
  <c r="T457" i="17"/>
  <c r="P457" i="17"/>
  <c r="T456" i="17"/>
  <c r="P456" i="17"/>
  <c r="T455" i="17"/>
  <c r="P455" i="17"/>
  <c r="T454" i="17"/>
  <c r="P454" i="17"/>
  <c r="T453" i="17"/>
  <c r="P453" i="17"/>
  <c r="T452" i="17"/>
  <c r="P452" i="17"/>
  <c r="T451" i="17"/>
  <c r="P451" i="17"/>
  <c r="T450" i="17"/>
  <c r="P450" i="17"/>
  <c r="T449" i="17"/>
  <c r="P449" i="17"/>
  <c r="T448" i="17"/>
  <c r="P448" i="17"/>
  <c r="T447" i="17"/>
  <c r="P447" i="17"/>
  <c r="T446" i="17"/>
  <c r="P446" i="17"/>
  <c r="T445" i="17"/>
  <c r="P445" i="17"/>
  <c r="T444" i="17"/>
  <c r="P444" i="17"/>
  <c r="T443" i="17"/>
  <c r="P443" i="17"/>
  <c r="T442" i="17"/>
  <c r="P442" i="17"/>
  <c r="T441" i="17"/>
  <c r="P441" i="17"/>
  <c r="T440" i="17"/>
  <c r="P440" i="17"/>
  <c r="T439" i="17"/>
  <c r="P439" i="17"/>
  <c r="T438" i="17"/>
  <c r="P438" i="17"/>
  <c r="T437" i="17"/>
  <c r="P437" i="17"/>
  <c r="T436" i="17"/>
  <c r="P436" i="17"/>
  <c r="T435" i="17"/>
  <c r="P435" i="17"/>
  <c r="T434" i="17"/>
  <c r="P434" i="17"/>
  <c r="T433" i="17"/>
  <c r="P433" i="17"/>
  <c r="T432" i="17"/>
  <c r="P432" i="17"/>
  <c r="T431" i="17"/>
  <c r="P431" i="17"/>
  <c r="T430" i="17"/>
  <c r="P430" i="17"/>
  <c r="T429" i="17"/>
  <c r="P429" i="17"/>
  <c r="T428" i="17"/>
  <c r="P428" i="17"/>
  <c r="T427" i="17"/>
  <c r="P427" i="17"/>
  <c r="T426" i="17"/>
  <c r="P426" i="17"/>
  <c r="T425" i="17"/>
  <c r="P425" i="17"/>
  <c r="T424" i="17"/>
  <c r="P424" i="17"/>
  <c r="T423" i="17"/>
  <c r="P423" i="17"/>
  <c r="T422" i="17"/>
  <c r="P422" i="17"/>
  <c r="T421" i="17"/>
  <c r="P421" i="17"/>
  <c r="T420" i="17"/>
  <c r="P420" i="17"/>
  <c r="T419" i="17"/>
  <c r="P419" i="17"/>
  <c r="T418" i="17"/>
  <c r="P418" i="17"/>
  <c r="T417" i="17"/>
  <c r="P417" i="17"/>
  <c r="T416" i="17"/>
  <c r="P416" i="17"/>
  <c r="T415" i="17"/>
  <c r="P415" i="17"/>
  <c r="T414" i="17"/>
  <c r="P414" i="17"/>
  <c r="T413" i="17"/>
  <c r="P413" i="17"/>
  <c r="T412" i="17"/>
  <c r="P412" i="17"/>
  <c r="T411" i="17"/>
  <c r="P411" i="17"/>
  <c r="T410" i="17"/>
  <c r="P410" i="17"/>
  <c r="T409" i="17"/>
  <c r="P409" i="17"/>
  <c r="T408" i="17"/>
  <c r="P408" i="17"/>
  <c r="T407" i="17"/>
  <c r="P407" i="17"/>
  <c r="T406" i="17"/>
  <c r="P406" i="17"/>
  <c r="T405" i="17"/>
  <c r="P405" i="17"/>
  <c r="T404" i="17"/>
  <c r="P404" i="17"/>
  <c r="T403" i="17"/>
  <c r="P403" i="17"/>
  <c r="T402" i="17"/>
  <c r="P402" i="17"/>
  <c r="T401" i="17"/>
  <c r="P401" i="17"/>
  <c r="T400" i="17"/>
  <c r="P400" i="17"/>
  <c r="T399" i="17"/>
  <c r="P399" i="17"/>
  <c r="T398" i="17"/>
  <c r="P398" i="17"/>
  <c r="T397" i="17"/>
  <c r="P397" i="17"/>
  <c r="T396" i="17"/>
  <c r="P396" i="17"/>
  <c r="T395" i="17"/>
  <c r="P395" i="17"/>
  <c r="T394" i="17"/>
  <c r="P394" i="17"/>
  <c r="T393" i="17"/>
  <c r="P393" i="17"/>
  <c r="T392" i="17"/>
  <c r="P392" i="17"/>
  <c r="T391" i="17"/>
  <c r="P391" i="17"/>
  <c r="T390" i="17"/>
  <c r="P390" i="17"/>
  <c r="T389" i="17"/>
  <c r="P389" i="17"/>
  <c r="T388" i="17"/>
  <c r="P388" i="17"/>
  <c r="T387" i="17"/>
  <c r="P387" i="17"/>
  <c r="T386" i="17"/>
  <c r="P386" i="17"/>
  <c r="T385" i="17"/>
  <c r="P385" i="17"/>
  <c r="T384" i="17"/>
  <c r="P384" i="17"/>
  <c r="T383" i="17"/>
  <c r="P383" i="17"/>
  <c r="T382" i="17"/>
  <c r="P382" i="17"/>
  <c r="T381" i="17"/>
  <c r="P381" i="17"/>
  <c r="T380" i="17"/>
  <c r="P380" i="17"/>
  <c r="T379" i="17"/>
  <c r="P379" i="17"/>
  <c r="T378" i="17"/>
  <c r="P378" i="17"/>
  <c r="T377" i="17"/>
  <c r="P377" i="17"/>
  <c r="T376" i="17"/>
  <c r="P376" i="17"/>
  <c r="T375" i="17"/>
  <c r="P375" i="17"/>
  <c r="T374" i="17"/>
  <c r="P374" i="17"/>
  <c r="T373" i="17"/>
  <c r="P373" i="17"/>
  <c r="T372" i="17"/>
  <c r="P372" i="17"/>
  <c r="T371" i="17"/>
  <c r="P371" i="17"/>
  <c r="T370" i="17"/>
  <c r="P370" i="17"/>
  <c r="T369" i="17"/>
  <c r="P369" i="17"/>
  <c r="T368" i="17"/>
  <c r="P368" i="17"/>
  <c r="T367" i="17"/>
  <c r="P367" i="17"/>
  <c r="T366" i="17"/>
  <c r="P366" i="17"/>
  <c r="T365" i="17"/>
  <c r="P365" i="17"/>
  <c r="T364" i="17"/>
  <c r="P364" i="17"/>
  <c r="T363" i="17"/>
  <c r="P363" i="17"/>
  <c r="T362" i="17"/>
  <c r="P362" i="17"/>
  <c r="T361" i="17"/>
  <c r="P361" i="17"/>
  <c r="T360" i="17"/>
  <c r="P360" i="17"/>
  <c r="T359" i="17"/>
  <c r="P359" i="17"/>
  <c r="T358" i="17"/>
  <c r="P358" i="17"/>
  <c r="T357" i="17"/>
  <c r="P357" i="17"/>
  <c r="T356" i="17"/>
  <c r="P356" i="17"/>
  <c r="T355" i="17"/>
  <c r="P355" i="17"/>
  <c r="T354" i="17"/>
  <c r="P354" i="17"/>
  <c r="T353" i="17"/>
  <c r="P353" i="17"/>
  <c r="T352" i="17"/>
  <c r="P352" i="17"/>
  <c r="T351" i="17"/>
  <c r="P351" i="17"/>
  <c r="T350" i="17"/>
  <c r="P350" i="17"/>
  <c r="T349" i="17"/>
  <c r="P349" i="17"/>
  <c r="T348" i="17"/>
  <c r="P348" i="17"/>
  <c r="T347" i="17"/>
  <c r="P347" i="17"/>
  <c r="T346" i="17"/>
  <c r="P346" i="17"/>
  <c r="T345" i="17"/>
  <c r="P345" i="17"/>
  <c r="T344" i="17"/>
  <c r="P344" i="17"/>
  <c r="T343" i="17"/>
  <c r="P343" i="17"/>
  <c r="T342" i="17"/>
  <c r="P342" i="17"/>
  <c r="T341" i="17"/>
  <c r="P341" i="17"/>
  <c r="T340" i="17"/>
  <c r="P340" i="17"/>
  <c r="T339" i="17"/>
  <c r="P339" i="17"/>
  <c r="T338" i="17"/>
  <c r="P338" i="17"/>
  <c r="T337" i="17"/>
  <c r="P337" i="17"/>
  <c r="T336" i="17"/>
  <c r="P336" i="17"/>
  <c r="T335" i="17"/>
  <c r="P335" i="17"/>
  <c r="T334" i="17"/>
  <c r="P334" i="17"/>
  <c r="T333" i="17"/>
  <c r="P333" i="17"/>
  <c r="T332" i="17"/>
  <c r="P332" i="17"/>
  <c r="T331" i="17"/>
  <c r="P331" i="17"/>
  <c r="T330" i="17"/>
  <c r="P330" i="17"/>
  <c r="T329" i="17"/>
  <c r="P329" i="17"/>
  <c r="T328" i="17"/>
  <c r="P328" i="17"/>
  <c r="T327" i="17"/>
  <c r="P327" i="17"/>
  <c r="T326" i="17"/>
  <c r="P326" i="17"/>
  <c r="T325" i="17"/>
  <c r="P325" i="17"/>
  <c r="T324" i="17"/>
  <c r="P324" i="17"/>
  <c r="T323" i="17"/>
  <c r="P323" i="17"/>
  <c r="T322" i="17"/>
  <c r="P322" i="17"/>
  <c r="T321" i="17"/>
  <c r="P321" i="17"/>
  <c r="T320" i="17"/>
  <c r="P320" i="17"/>
  <c r="T319" i="17"/>
  <c r="P319" i="17"/>
  <c r="T318" i="17"/>
  <c r="P318" i="17"/>
  <c r="T317" i="17"/>
  <c r="P317" i="17"/>
  <c r="T316" i="17"/>
  <c r="P316" i="17"/>
  <c r="T315" i="17"/>
  <c r="P315" i="17"/>
  <c r="T314" i="17"/>
  <c r="P314" i="17"/>
  <c r="T313" i="17"/>
  <c r="P313" i="17"/>
  <c r="T312" i="17"/>
  <c r="P312" i="17"/>
  <c r="T311" i="17"/>
  <c r="P311" i="17"/>
  <c r="T310" i="17"/>
  <c r="P310" i="17"/>
  <c r="T309" i="17"/>
  <c r="P309" i="17"/>
  <c r="T308" i="17"/>
  <c r="P308" i="17"/>
  <c r="T307" i="17"/>
  <c r="P307" i="17"/>
  <c r="T306" i="17"/>
  <c r="P306" i="17"/>
  <c r="T305" i="17"/>
  <c r="P305" i="17"/>
  <c r="T304" i="17"/>
  <c r="P304" i="17"/>
  <c r="T303" i="17"/>
  <c r="P303" i="17"/>
  <c r="T302" i="17"/>
  <c r="P302" i="17"/>
  <c r="T301" i="17"/>
  <c r="P301" i="17"/>
  <c r="T300" i="17"/>
  <c r="P300" i="17"/>
  <c r="T299" i="17"/>
  <c r="P299" i="17"/>
  <c r="T298" i="17"/>
  <c r="P298" i="17"/>
  <c r="T297" i="17"/>
  <c r="P297" i="17"/>
  <c r="T296" i="17"/>
  <c r="P296" i="17"/>
  <c r="T295" i="17"/>
  <c r="P295" i="17"/>
  <c r="T294" i="17"/>
  <c r="P294" i="17"/>
  <c r="T293" i="17"/>
  <c r="P293" i="17"/>
  <c r="T292" i="17"/>
  <c r="P292" i="17"/>
  <c r="T291" i="17"/>
  <c r="P291" i="17"/>
  <c r="T290" i="17"/>
  <c r="P290" i="17"/>
  <c r="T289" i="17"/>
  <c r="P289" i="17"/>
  <c r="T288" i="17"/>
  <c r="P288" i="17"/>
  <c r="T287" i="17"/>
  <c r="P287" i="17"/>
  <c r="T286" i="17"/>
  <c r="P286" i="17"/>
  <c r="T285" i="17"/>
  <c r="P285" i="17"/>
  <c r="T284" i="17"/>
  <c r="P284" i="17"/>
  <c r="T283" i="17"/>
  <c r="P283" i="17"/>
  <c r="T282" i="17"/>
  <c r="P282" i="17"/>
  <c r="T281" i="17"/>
  <c r="P281" i="17"/>
  <c r="T280" i="17"/>
  <c r="P280" i="17"/>
  <c r="T279" i="17"/>
  <c r="P279" i="17"/>
  <c r="T278" i="17"/>
  <c r="P278" i="17"/>
  <c r="T277" i="17"/>
  <c r="P277" i="17"/>
  <c r="T276" i="17"/>
  <c r="P276" i="17"/>
  <c r="T275" i="17"/>
  <c r="P275" i="17"/>
  <c r="T274" i="17"/>
  <c r="P274" i="17"/>
  <c r="T273" i="17"/>
  <c r="P273" i="17"/>
  <c r="T272" i="17"/>
  <c r="P272" i="17"/>
  <c r="T271" i="17"/>
  <c r="P271" i="17"/>
  <c r="T270" i="17"/>
  <c r="P270" i="17"/>
  <c r="T269" i="17"/>
  <c r="P269" i="17"/>
  <c r="T268" i="17"/>
  <c r="P268" i="17"/>
  <c r="T267" i="17"/>
  <c r="P267" i="17"/>
  <c r="T266" i="17"/>
  <c r="P266" i="17"/>
  <c r="T265" i="17"/>
  <c r="P265" i="17"/>
  <c r="T264" i="17"/>
  <c r="P264" i="17"/>
  <c r="T263" i="17"/>
  <c r="P263" i="17"/>
  <c r="T262" i="17"/>
  <c r="P262" i="17"/>
  <c r="T261" i="17"/>
  <c r="P261" i="17"/>
  <c r="T260" i="17"/>
  <c r="P260" i="17"/>
  <c r="T259" i="17"/>
  <c r="P259" i="17"/>
  <c r="T258" i="17"/>
  <c r="P258" i="17"/>
  <c r="T257" i="17"/>
  <c r="P257" i="17"/>
  <c r="T256" i="17"/>
  <c r="P256" i="17"/>
  <c r="T255" i="17"/>
  <c r="P255" i="17"/>
  <c r="T254" i="17"/>
  <c r="P254" i="17"/>
  <c r="T253" i="17"/>
  <c r="P253" i="17"/>
  <c r="T252" i="17"/>
  <c r="P252" i="17"/>
  <c r="T251" i="17"/>
  <c r="P251" i="17"/>
  <c r="T250" i="17"/>
  <c r="P250" i="17"/>
  <c r="T249" i="17"/>
  <c r="P249" i="17"/>
  <c r="T248" i="17"/>
  <c r="P248" i="17"/>
  <c r="T247" i="17"/>
  <c r="P247" i="17"/>
  <c r="T246" i="17"/>
  <c r="P246" i="17"/>
  <c r="T245" i="17"/>
  <c r="P245" i="17"/>
  <c r="T244" i="17"/>
  <c r="P244" i="17"/>
  <c r="T243" i="17"/>
  <c r="P243" i="17"/>
  <c r="T242" i="17"/>
  <c r="P242" i="17"/>
  <c r="T241" i="17"/>
  <c r="P241" i="17"/>
  <c r="T240" i="17"/>
  <c r="P240" i="17"/>
  <c r="T239" i="17"/>
  <c r="P239" i="17"/>
  <c r="T238" i="17"/>
  <c r="P238" i="17"/>
  <c r="T237" i="17"/>
  <c r="P237" i="17"/>
  <c r="T236" i="17"/>
  <c r="P236" i="17"/>
  <c r="T235" i="17"/>
  <c r="P235" i="17"/>
  <c r="T234" i="17"/>
  <c r="P234" i="17"/>
  <c r="T233" i="17"/>
  <c r="P233" i="17"/>
  <c r="T232" i="17"/>
  <c r="P232" i="17"/>
  <c r="T231" i="17"/>
  <c r="P231" i="17"/>
  <c r="T230" i="17"/>
  <c r="P230" i="17"/>
  <c r="T229" i="17"/>
  <c r="P229" i="17"/>
  <c r="T228" i="17"/>
  <c r="P228" i="17"/>
  <c r="T227" i="17"/>
  <c r="P227" i="17"/>
  <c r="T226" i="17"/>
  <c r="P226" i="17"/>
  <c r="T225" i="17"/>
  <c r="P225" i="17"/>
  <c r="T224" i="17"/>
  <c r="P224" i="17"/>
  <c r="T223" i="17"/>
  <c r="P223" i="17"/>
  <c r="T222" i="17"/>
  <c r="P222" i="17"/>
  <c r="T221" i="17"/>
  <c r="P221" i="17"/>
  <c r="T220" i="17"/>
  <c r="P220" i="17"/>
  <c r="T219" i="17"/>
  <c r="P219" i="17"/>
  <c r="T218" i="17"/>
  <c r="P218" i="17"/>
  <c r="T217" i="17"/>
  <c r="P217" i="17"/>
  <c r="T216" i="17"/>
  <c r="P216" i="17"/>
  <c r="T215" i="17"/>
  <c r="P215" i="17"/>
  <c r="T214" i="17"/>
  <c r="P214" i="17"/>
  <c r="T213" i="17"/>
  <c r="P213" i="17"/>
  <c r="T212" i="17"/>
  <c r="P212" i="17"/>
  <c r="T211" i="17"/>
  <c r="P211" i="17"/>
  <c r="T210" i="17"/>
  <c r="P210" i="17"/>
  <c r="T209" i="17"/>
  <c r="P209" i="17"/>
  <c r="T208" i="17"/>
  <c r="P208" i="17"/>
  <c r="T207" i="17"/>
  <c r="P207" i="17"/>
  <c r="T206" i="17"/>
  <c r="P206" i="17"/>
  <c r="T205" i="17"/>
  <c r="P205" i="17"/>
  <c r="T204" i="17"/>
  <c r="P204" i="17"/>
  <c r="T203" i="17"/>
  <c r="P203" i="17"/>
  <c r="T202" i="17"/>
  <c r="P202" i="17"/>
  <c r="T201" i="17"/>
  <c r="P201" i="17"/>
  <c r="T200" i="17"/>
  <c r="P200" i="17"/>
  <c r="T199" i="17"/>
  <c r="P199" i="17"/>
  <c r="T198" i="17"/>
  <c r="P198" i="17"/>
  <c r="T197" i="17"/>
  <c r="P197" i="17"/>
  <c r="T196" i="17"/>
  <c r="P196" i="17"/>
  <c r="T195" i="17"/>
  <c r="P195" i="17"/>
  <c r="T194" i="17"/>
  <c r="P194" i="17"/>
  <c r="T193" i="17"/>
  <c r="P193" i="17"/>
  <c r="T192" i="17"/>
  <c r="P192" i="17"/>
  <c r="T191" i="17"/>
  <c r="P191" i="17"/>
  <c r="T190" i="17"/>
  <c r="P190" i="17"/>
  <c r="T189" i="17"/>
  <c r="P189" i="17"/>
  <c r="T188" i="17"/>
  <c r="P188" i="17"/>
  <c r="T187" i="17"/>
  <c r="P187" i="17"/>
  <c r="T186" i="17"/>
  <c r="P186" i="17"/>
  <c r="T185" i="17"/>
  <c r="P185" i="17"/>
  <c r="T184" i="17"/>
  <c r="P184" i="17"/>
  <c r="T183" i="17"/>
  <c r="P183" i="17"/>
  <c r="T182" i="17"/>
  <c r="P182" i="17"/>
  <c r="T181" i="17"/>
  <c r="P181" i="17"/>
  <c r="T180" i="17"/>
  <c r="P180" i="17"/>
  <c r="T179" i="17"/>
  <c r="P179" i="17"/>
  <c r="T178" i="17"/>
  <c r="P178" i="17"/>
  <c r="T177" i="17"/>
  <c r="P177" i="17"/>
  <c r="T176" i="17"/>
  <c r="P176" i="17"/>
  <c r="T175" i="17"/>
  <c r="P175" i="17"/>
  <c r="T174" i="17"/>
  <c r="P174" i="17"/>
  <c r="T173" i="17"/>
  <c r="P173" i="17"/>
  <c r="T172" i="17"/>
  <c r="P172" i="17"/>
  <c r="T171" i="17"/>
  <c r="P171" i="17"/>
  <c r="T170" i="17"/>
  <c r="P170" i="17"/>
  <c r="T169" i="17"/>
  <c r="P169" i="17"/>
  <c r="T168" i="17"/>
  <c r="P168" i="17"/>
  <c r="T167" i="17"/>
  <c r="P167" i="17"/>
  <c r="T166" i="17"/>
  <c r="P166" i="17"/>
  <c r="T165" i="17"/>
  <c r="P165" i="17"/>
  <c r="T164" i="17"/>
  <c r="P164" i="17"/>
  <c r="T163" i="17"/>
  <c r="P163" i="17"/>
  <c r="T162" i="17"/>
  <c r="P162" i="17"/>
  <c r="T161" i="17"/>
  <c r="P161" i="17"/>
  <c r="T160" i="17"/>
  <c r="P160" i="17"/>
  <c r="T159" i="17"/>
  <c r="P159" i="17"/>
  <c r="T158" i="17"/>
  <c r="P158" i="17"/>
  <c r="T157" i="17"/>
  <c r="P157" i="17"/>
  <c r="T156" i="17"/>
  <c r="P156" i="17"/>
  <c r="T155" i="17"/>
  <c r="P155" i="17"/>
  <c r="T154" i="17"/>
  <c r="P154" i="17"/>
  <c r="T153" i="17"/>
  <c r="P153" i="17"/>
  <c r="T152" i="17"/>
  <c r="P152" i="17"/>
  <c r="T151" i="17"/>
  <c r="P151" i="17"/>
  <c r="T150" i="17"/>
  <c r="P150" i="17"/>
  <c r="T149" i="17"/>
  <c r="P149" i="17"/>
  <c r="T148" i="17"/>
  <c r="P148" i="17"/>
  <c r="T147" i="17"/>
  <c r="P147" i="17"/>
  <c r="T146" i="17"/>
  <c r="P146" i="17"/>
  <c r="T145" i="17"/>
  <c r="P145" i="17"/>
  <c r="T144" i="17"/>
  <c r="P144" i="17"/>
  <c r="T143" i="17"/>
  <c r="P143" i="17"/>
  <c r="T142" i="17"/>
  <c r="P142" i="17"/>
  <c r="T141" i="17"/>
  <c r="P141" i="17"/>
  <c r="T140" i="17"/>
  <c r="P140" i="17"/>
  <c r="T139" i="17"/>
  <c r="P139" i="17"/>
  <c r="T138" i="17"/>
  <c r="P138" i="17"/>
  <c r="T137" i="17"/>
  <c r="P137" i="17"/>
  <c r="T136" i="17"/>
  <c r="P136" i="17"/>
  <c r="T135" i="17"/>
  <c r="P135" i="17"/>
  <c r="T134" i="17"/>
  <c r="P134" i="17"/>
  <c r="T133" i="17"/>
  <c r="P133" i="17"/>
  <c r="T132" i="17"/>
  <c r="P132" i="17"/>
  <c r="T131" i="17"/>
  <c r="P131" i="17"/>
  <c r="T130" i="17"/>
  <c r="P130" i="17"/>
  <c r="T129" i="17"/>
  <c r="P129" i="17"/>
  <c r="T128" i="17"/>
  <c r="P128" i="17"/>
  <c r="T127" i="17"/>
  <c r="P127" i="17"/>
  <c r="T126" i="17"/>
  <c r="P126" i="17"/>
  <c r="T125" i="17"/>
  <c r="P125" i="17"/>
  <c r="T124" i="17"/>
  <c r="P124" i="17"/>
  <c r="T123" i="17"/>
  <c r="P123" i="17"/>
  <c r="T122" i="17"/>
  <c r="P122" i="17"/>
  <c r="T121" i="17"/>
  <c r="P121" i="17"/>
  <c r="T120" i="17"/>
  <c r="P120" i="17"/>
  <c r="T119" i="17"/>
  <c r="P119" i="17"/>
  <c r="T118" i="17"/>
  <c r="P118" i="17"/>
  <c r="T117" i="17"/>
  <c r="P117" i="17"/>
  <c r="T116" i="17"/>
  <c r="P116" i="17"/>
  <c r="T115" i="17"/>
  <c r="P115" i="17"/>
  <c r="T114" i="17"/>
  <c r="P114" i="17"/>
  <c r="T113" i="17"/>
  <c r="P113" i="17"/>
  <c r="T112" i="17"/>
  <c r="P112" i="17"/>
  <c r="T111" i="17"/>
  <c r="P111" i="17"/>
  <c r="T110" i="17"/>
  <c r="P110" i="17"/>
  <c r="T109" i="17"/>
  <c r="P109" i="17"/>
  <c r="T108" i="17"/>
  <c r="P108" i="17"/>
  <c r="T107" i="17"/>
  <c r="P107" i="17"/>
  <c r="T106" i="17"/>
  <c r="P106" i="17"/>
  <c r="T105" i="17"/>
  <c r="P105" i="17"/>
  <c r="T104" i="17"/>
  <c r="P104" i="17"/>
  <c r="T103" i="17"/>
  <c r="P103" i="17"/>
  <c r="T102" i="17"/>
  <c r="P102" i="17"/>
  <c r="T101" i="17"/>
  <c r="P101" i="17"/>
  <c r="T100" i="17"/>
  <c r="P100" i="17"/>
  <c r="T99" i="17"/>
  <c r="P99" i="17"/>
  <c r="T98" i="17"/>
  <c r="P98" i="17"/>
  <c r="T97" i="17"/>
  <c r="P97" i="17"/>
  <c r="T96" i="17"/>
  <c r="P96" i="17"/>
  <c r="T95" i="17"/>
  <c r="P95" i="17"/>
  <c r="T94" i="17"/>
  <c r="P94" i="17"/>
  <c r="T93" i="17"/>
  <c r="P93" i="17"/>
  <c r="T92" i="17"/>
  <c r="P92" i="17"/>
  <c r="T91" i="17"/>
  <c r="P91" i="17"/>
  <c r="T90" i="17"/>
  <c r="P90" i="17"/>
  <c r="T89" i="17"/>
  <c r="P89" i="17"/>
  <c r="T88" i="17"/>
  <c r="P88" i="17"/>
  <c r="T87" i="17"/>
  <c r="P87" i="17"/>
  <c r="T86" i="17"/>
  <c r="P86" i="17"/>
  <c r="T85" i="17"/>
  <c r="P85" i="17"/>
  <c r="T84" i="17"/>
  <c r="P84" i="17"/>
  <c r="T83" i="17"/>
  <c r="P83" i="17"/>
  <c r="T82" i="17"/>
  <c r="P82" i="17"/>
  <c r="T81" i="17"/>
  <c r="P81" i="17"/>
  <c r="T80" i="17"/>
  <c r="P80" i="17"/>
  <c r="T79" i="17"/>
  <c r="P79" i="17"/>
  <c r="T78" i="17"/>
  <c r="P78" i="17"/>
  <c r="T77" i="17"/>
  <c r="P77" i="17"/>
  <c r="T76" i="17"/>
  <c r="P76" i="17"/>
  <c r="T75" i="17"/>
  <c r="P75" i="17"/>
  <c r="T74" i="17"/>
  <c r="P74" i="17"/>
  <c r="T73" i="17"/>
  <c r="P73" i="17"/>
  <c r="T72" i="17"/>
  <c r="P72" i="17"/>
  <c r="T71" i="17"/>
  <c r="P71" i="17"/>
  <c r="T70" i="17"/>
  <c r="P70" i="17"/>
  <c r="T69" i="17"/>
  <c r="P69" i="17"/>
  <c r="T68" i="17"/>
  <c r="P68" i="17"/>
  <c r="T67" i="17"/>
  <c r="P67" i="17"/>
  <c r="T66" i="17"/>
  <c r="P66" i="17"/>
  <c r="T65" i="17"/>
  <c r="P65" i="17"/>
  <c r="T64" i="17"/>
  <c r="P64" i="17"/>
  <c r="T63" i="17"/>
  <c r="P63" i="17"/>
  <c r="T62" i="17"/>
  <c r="P62" i="17"/>
  <c r="T61" i="17"/>
  <c r="P61" i="17"/>
  <c r="T60" i="17"/>
  <c r="P60" i="17"/>
  <c r="T59" i="17"/>
  <c r="P59" i="17"/>
  <c r="T58" i="17"/>
  <c r="P58" i="17"/>
  <c r="T57" i="17"/>
  <c r="P57" i="17"/>
  <c r="T56" i="17"/>
  <c r="P56" i="17"/>
  <c r="T55" i="17"/>
  <c r="P55" i="17"/>
  <c r="T54" i="17"/>
  <c r="P54" i="17"/>
  <c r="T53" i="17"/>
  <c r="P53" i="17"/>
  <c r="T52" i="17"/>
  <c r="P52" i="17"/>
  <c r="T51" i="17"/>
  <c r="P51" i="17"/>
  <c r="T50" i="17"/>
  <c r="P50" i="17"/>
  <c r="T49" i="17"/>
  <c r="P49" i="17"/>
  <c r="T48" i="17"/>
  <c r="P48" i="17"/>
  <c r="T47" i="17"/>
  <c r="P47" i="17"/>
  <c r="T46" i="17"/>
  <c r="P46" i="17"/>
  <c r="T45" i="17"/>
  <c r="P45" i="17"/>
  <c r="T44" i="17"/>
  <c r="P44" i="17"/>
  <c r="T43" i="17"/>
  <c r="P43" i="17"/>
  <c r="T42" i="17"/>
  <c r="P42" i="17"/>
  <c r="T41" i="17"/>
  <c r="P41" i="17"/>
  <c r="T40" i="17"/>
  <c r="P40" i="17"/>
  <c r="T39" i="17"/>
  <c r="P39" i="17"/>
  <c r="T38" i="17"/>
  <c r="P38" i="17"/>
  <c r="T37" i="17"/>
  <c r="P37" i="17"/>
  <c r="T36" i="17"/>
  <c r="P36" i="17"/>
  <c r="T35" i="17"/>
  <c r="P35" i="17"/>
  <c r="T34" i="17"/>
  <c r="P34" i="17"/>
  <c r="T33" i="17"/>
  <c r="P33" i="17"/>
  <c r="T32" i="17"/>
  <c r="P32" i="17"/>
  <c r="T31" i="17"/>
  <c r="P31" i="17"/>
  <c r="T30" i="17"/>
  <c r="P30" i="17"/>
  <c r="T29" i="17"/>
  <c r="P29" i="17"/>
  <c r="T28" i="17"/>
  <c r="P28" i="17"/>
  <c r="T27" i="17"/>
  <c r="P27" i="17"/>
  <c r="T26" i="17"/>
  <c r="P26" i="17"/>
  <c r="T25" i="17"/>
  <c r="P25" i="17"/>
  <c r="T24" i="17"/>
  <c r="P24" i="17"/>
  <c r="T23" i="17"/>
  <c r="P23" i="17"/>
  <c r="T22" i="17"/>
  <c r="P22" i="17"/>
  <c r="T21" i="17"/>
  <c r="P21" i="17"/>
  <c r="T20" i="17"/>
  <c r="P20" i="17"/>
  <c r="T19" i="17"/>
  <c r="P19" i="17"/>
  <c r="T18" i="17"/>
  <c r="P18" i="17"/>
  <c r="T17" i="17"/>
  <c r="P17" i="17"/>
  <c r="T16" i="17"/>
  <c r="P16" i="17"/>
  <c r="T15" i="17"/>
  <c r="P15" i="17"/>
  <c r="T14" i="17"/>
  <c r="P14" i="17"/>
  <c r="T13" i="17"/>
  <c r="P13" i="17"/>
  <c r="T12" i="17"/>
  <c r="P12" i="17"/>
  <c r="T11" i="17"/>
  <c r="P11" i="17"/>
  <c r="T10" i="17"/>
  <c r="P10" i="17"/>
  <c r="T9" i="17"/>
  <c r="P9" i="17"/>
  <c r="T8" i="17"/>
  <c r="P8" i="17"/>
  <c r="T7" i="17"/>
  <c r="P7" i="17"/>
  <c r="T6" i="17"/>
  <c r="P6" i="17"/>
  <c r="T5" i="17"/>
  <c r="P5" i="17"/>
  <c r="T4" i="17"/>
  <c r="P4" i="17"/>
  <c r="T3" i="17"/>
  <c r="P3" i="17"/>
  <c r="T2" i="17"/>
  <c r="P2" i="17"/>
  <c r="F2955" i="17"/>
  <c r="F2954" i="17"/>
  <c r="F2953" i="17"/>
  <c r="F2952" i="17"/>
  <c r="F2951" i="17"/>
  <c r="F2950" i="17"/>
  <c r="F2949" i="17"/>
  <c r="F2948" i="17"/>
  <c r="F2947" i="17"/>
  <c r="F2946" i="17"/>
  <c r="F2945" i="17"/>
  <c r="F2944" i="17"/>
  <c r="F2943" i="17"/>
  <c r="F2942" i="17"/>
  <c r="F2941" i="17"/>
  <c r="F2940" i="17"/>
  <c r="F2939" i="17"/>
  <c r="F2938" i="17"/>
  <c r="F2937" i="17"/>
  <c r="F2936" i="17"/>
  <c r="F2935" i="17"/>
  <c r="F2934" i="17"/>
  <c r="F2933" i="17"/>
  <c r="F2932" i="17"/>
  <c r="F2931" i="17"/>
  <c r="F2930" i="17"/>
  <c r="F2929" i="17"/>
  <c r="F2928" i="17"/>
  <c r="F2927" i="17"/>
  <c r="F2926" i="17"/>
  <c r="F2925" i="17"/>
  <c r="F2924" i="17"/>
  <c r="F2923" i="17"/>
  <c r="F2922" i="17"/>
  <c r="F2921" i="17"/>
  <c r="F2920" i="17"/>
  <c r="F2919" i="17"/>
  <c r="F2918" i="17"/>
  <c r="F2917" i="17"/>
  <c r="F2916" i="17"/>
  <c r="F2915" i="17"/>
  <c r="F2914" i="17"/>
  <c r="F2913" i="17"/>
  <c r="F2912" i="17"/>
  <c r="F2911" i="17"/>
  <c r="F2910" i="17"/>
  <c r="F2909" i="17"/>
  <c r="F2908" i="17"/>
  <c r="F2907" i="17"/>
  <c r="F2906" i="17"/>
  <c r="F2905" i="17"/>
  <c r="F2904" i="17"/>
  <c r="F2903" i="17"/>
  <c r="F2902" i="17"/>
  <c r="F2901" i="17"/>
  <c r="F2900" i="17"/>
  <c r="F2899" i="17"/>
  <c r="F2898" i="17"/>
  <c r="F2897" i="17"/>
  <c r="F2896" i="17"/>
  <c r="F2895" i="17"/>
  <c r="F2894" i="17"/>
  <c r="M2893" i="17"/>
  <c r="F2893" i="17"/>
  <c r="M2892" i="17"/>
  <c r="F2892" i="17"/>
  <c r="M2891" i="17"/>
  <c r="F2891" i="17"/>
  <c r="M2890" i="17"/>
  <c r="F2890" i="17"/>
  <c r="M2889" i="17"/>
  <c r="F2889" i="17"/>
  <c r="M2888" i="17"/>
  <c r="F2888" i="17"/>
  <c r="M2887" i="17"/>
  <c r="F2887" i="17"/>
  <c r="M2886" i="17"/>
  <c r="F2886" i="17"/>
  <c r="M2885" i="17"/>
  <c r="F2885" i="17"/>
  <c r="M2884" i="17"/>
  <c r="F2884" i="17"/>
  <c r="M2883" i="17"/>
  <c r="F2883" i="17"/>
  <c r="M2882" i="17"/>
  <c r="F2882" i="17"/>
  <c r="M2881" i="17"/>
  <c r="F2881" i="17"/>
  <c r="M2880" i="17"/>
  <c r="F2880" i="17"/>
  <c r="M2879" i="17"/>
  <c r="F2879" i="17"/>
  <c r="M2878" i="17"/>
  <c r="F2878" i="17"/>
  <c r="M2877" i="17"/>
  <c r="F2877" i="17"/>
  <c r="M2876" i="17"/>
  <c r="F2876" i="17"/>
  <c r="M2875" i="17"/>
  <c r="F2875" i="17"/>
  <c r="M2874" i="17"/>
  <c r="F2874" i="17"/>
  <c r="M2873" i="17"/>
  <c r="F2873" i="17"/>
  <c r="M2872" i="17"/>
  <c r="F2872" i="17"/>
  <c r="M2871" i="17"/>
  <c r="F2871" i="17"/>
  <c r="M2870" i="17"/>
  <c r="F2870" i="17"/>
  <c r="M2869" i="17"/>
  <c r="F2869" i="17"/>
  <c r="M2868" i="17"/>
  <c r="F2868" i="17"/>
  <c r="M2867" i="17"/>
  <c r="F2867" i="17"/>
  <c r="M2866" i="17"/>
  <c r="F2866" i="17"/>
  <c r="M2865" i="17"/>
  <c r="F2865" i="17"/>
  <c r="M2864" i="17"/>
  <c r="F2864" i="17"/>
  <c r="M2863" i="17"/>
  <c r="F2863" i="17"/>
  <c r="M2862" i="17"/>
  <c r="F2862" i="17"/>
  <c r="M2861" i="17"/>
  <c r="F2861" i="17"/>
  <c r="M2860" i="17"/>
  <c r="F2860" i="17"/>
  <c r="M2859" i="17"/>
  <c r="F2859" i="17"/>
  <c r="M2858" i="17"/>
  <c r="F2858" i="17"/>
  <c r="M2857" i="17"/>
  <c r="F2857" i="17"/>
  <c r="M2856" i="17"/>
  <c r="F2856" i="17"/>
  <c r="M2855" i="17"/>
  <c r="F2855" i="17"/>
  <c r="M2854" i="17"/>
  <c r="F2854" i="17"/>
  <c r="M2853" i="17"/>
  <c r="F2853" i="17"/>
  <c r="M2852" i="17"/>
  <c r="F2852" i="17"/>
  <c r="M2851" i="17"/>
  <c r="F2851" i="17"/>
  <c r="M2850" i="17"/>
  <c r="F2850" i="17"/>
  <c r="M2849" i="17"/>
  <c r="F2849" i="17"/>
  <c r="M2848" i="17"/>
  <c r="F2848" i="17"/>
  <c r="M2847" i="17"/>
  <c r="F2847" i="17"/>
  <c r="M2846" i="17"/>
  <c r="F2846" i="17"/>
  <c r="M2845" i="17"/>
  <c r="F2845" i="17"/>
  <c r="M2844" i="17"/>
  <c r="F2844" i="17"/>
  <c r="M2843" i="17"/>
  <c r="F2843" i="17"/>
  <c r="M2842" i="17"/>
  <c r="F2842" i="17"/>
  <c r="M2841" i="17"/>
  <c r="F2841" i="17"/>
  <c r="M2840" i="17"/>
  <c r="F2840" i="17"/>
  <c r="M2839" i="17"/>
  <c r="F2839" i="17"/>
  <c r="M2838" i="17"/>
  <c r="F2838" i="17"/>
  <c r="M2837" i="17"/>
  <c r="F2837" i="17"/>
  <c r="M2836" i="17"/>
  <c r="F2836" i="17"/>
  <c r="M2835" i="17"/>
  <c r="F2835" i="17"/>
  <c r="M2834" i="17"/>
  <c r="F2834" i="17"/>
  <c r="M2833" i="17"/>
  <c r="F2833" i="17"/>
  <c r="M2832" i="17"/>
  <c r="F2832" i="17"/>
  <c r="M2831" i="17"/>
  <c r="F2831" i="17"/>
  <c r="M2830" i="17"/>
  <c r="F2830" i="17"/>
  <c r="M2829" i="17"/>
  <c r="F2829" i="17"/>
  <c r="M2828" i="17"/>
  <c r="F2828" i="17"/>
  <c r="M2827" i="17"/>
  <c r="F2827" i="17"/>
  <c r="M2826" i="17"/>
  <c r="F2826" i="17"/>
  <c r="M2825" i="17"/>
  <c r="F2825" i="17"/>
  <c r="M2824" i="17"/>
  <c r="F2824" i="17"/>
  <c r="M2823" i="17"/>
  <c r="F2823" i="17"/>
  <c r="M2822" i="17"/>
  <c r="F2822" i="17"/>
  <c r="M2821" i="17"/>
  <c r="F2821" i="17"/>
  <c r="M2820" i="17"/>
  <c r="F2820" i="17"/>
  <c r="M2819" i="17"/>
  <c r="F2819" i="17"/>
  <c r="M2818" i="17"/>
  <c r="F2818" i="17"/>
  <c r="M2817" i="17"/>
  <c r="F2817" i="17"/>
  <c r="M2816" i="17"/>
  <c r="F2816" i="17"/>
  <c r="M2815" i="17"/>
  <c r="F2815" i="17"/>
  <c r="M2814" i="17"/>
  <c r="F2814" i="17"/>
  <c r="M2813" i="17"/>
  <c r="F2813" i="17"/>
  <c r="M2812" i="17"/>
  <c r="F2812" i="17"/>
  <c r="M2811" i="17"/>
  <c r="F2811" i="17"/>
  <c r="M2810" i="17"/>
  <c r="F2810" i="17"/>
  <c r="M2809" i="17"/>
  <c r="F2809" i="17"/>
  <c r="M2808" i="17"/>
  <c r="F2808" i="17"/>
  <c r="M2807" i="17"/>
  <c r="F2807" i="17"/>
  <c r="M2806" i="17"/>
  <c r="F2806" i="17"/>
  <c r="M2805" i="17"/>
  <c r="F2805" i="17"/>
  <c r="M2804" i="17"/>
  <c r="F2804" i="17"/>
  <c r="M2803" i="17"/>
  <c r="F2803" i="17"/>
  <c r="M2802" i="17"/>
  <c r="F2802" i="17"/>
  <c r="M2801" i="17"/>
  <c r="F2801" i="17"/>
  <c r="M2800" i="17"/>
  <c r="F2800" i="17"/>
  <c r="M2799" i="17"/>
  <c r="F2799" i="17"/>
  <c r="M2798" i="17"/>
  <c r="F2798" i="17"/>
  <c r="M2797" i="17"/>
  <c r="F2797" i="17"/>
  <c r="M2796" i="17"/>
  <c r="F2796" i="17"/>
  <c r="M2795" i="17"/>
  <c r="F2795" i="17"/>
  <c r="M2794" i="17"/>
  <c r="F2794" i="17"/>
  <c r="M2793" i="17"/>
  <c r="F2793" i="17"/>
  <c r="M2792" i="17"/>
  <c r="F2792" i="17"/>
  <c r="M2791" i="17"/>
  <c r="F2791" i="17"/>
  <c r="M2790" i="17"/>
  <c r="F2790" i="17"/>
  <c r="M2789" i="17"/>
  <c r="F2789" i="17"/>
  <c r="M2788" i="17"/>
  <c r="F2788" i="17"/>
  <c r="M2787" i="17"/>
  <c r="F2787" i="17"/>
  <c r="M2786" i="17"/>
  <c r="F2786" i="17"/>
  <c r="M2785" i="17"/>
  <c r="F2785" i="17"/>
  <c r="M2784" i="17"/>
  <c r="F2784" i="17"/>
  <c r="M2783" i="17"/>
  <c r="F2783" i="17"/>
  <c r="M2782" i="17"/>
  <c r="F2782" i="17"/>
  <c r="M2781" i="17"/>
  <c r="F2781" i="17"/>
  <c r="M2780" i="17"/>
  <c r="F2780" i="17"/>
  <c r="M2779" i="17"/>
  <c r="F2779" i="17"/>
  <c r="M2778" i="17"/>
  <c r="F2778" i="17"/>
  <c r="M2777" i="17"/>
  <c r="F2777" i="17"/>
  <c r="M2776" i="17"/>
  <c r="F2776" i="17"/>
  <c r="M2775" i="17"/>
  <c r="F2775" i="17"/>
  <c r="M2774" i="17"/>
  <c r="F2774" i="17"/>
  <c r="M2773" i="17"/>
  <c r="F2773" i="17"/>
  <c r="M2772" i="17"/>
  <c r="F2772" i="17"/>
  <c r="M2771" i="17"/>
  <c r="F2771" i="17"/>
  <c r="M2770" i="17"/>
  <c r="F2770" i="17"/>
  <c r="M2769" i="17"/>
  <c r="F2769" i="17"/>
  <c r="M2768" i="17"/>
  <c r="F2768" i="17"/>
  <c r="M2767" i="17"/>
  <c r="F2767" i="17"/>
  <c r="M2766" i="17"/>
  <c r="F2766" i="17"/>
  <c r="M2765" i="17"/>
  <c r="F2765" i="17"/>
  <c r="M2764" i="17"/>
  <c r="F2764" i="17"/>
  <c r="M2763" i="17"/>
  <c r="F2763" i="17"/>
  <c r="M2762" i="17"/>
  <c r="F2762" i="17"/>
  <c r="M2761" i="17"/>
  <c r="F2761" i="17"/>
  <c r="M2760" i="17"/>
  <c r="F2760" i="17"/>
  <c r="M2759" i="17"/>
  <c r="F2759" i="17"/>
  <c r="M2758" i="17"/>
  <c r="F2758" i="17"/>
  <c r="M2757" i="17"/>
  <c r="F2757" i="17"/>
  <c r="M2756" i="17"/>
  <c r="F2756" i="17"/>
  <c r="M2755" i="17"/>
  <c r="F2755" i="17"/>
  <c r="M2754" i="17"/>
  <c r="F2754" i="17"/>
  <c r="M2753" i="17"/>
  <c r="F2753" i="17"/>
  <c r="M2752" i="17"/>
  <c r="F2752" i="17"/>
  <c r="M2751" i="17"/>
  <c r="F2751" i="17"/>
  <c r="M2750" i="17"/>
  <c r="F2750" i="17"/>
  <c r="M2749" i="17"/>
  <c r="F2749" i="17"/>
  <c r="M2748" i="17"/>
  <c r="F2748" i="17"/>
  <c r="M2747" i="17"/>
  <c r="F2747" i="17"/>
  <c r="M2746" i="17"/>
  <c r="F2746" i="17"/>
  <c r="M2745" i="17"/>
  <c r="F2745" i="17"/>
  <c r="M2744" i="17"/>
  <c r="F2744" i="17"/>
  <c r="M2743" i="17"/>
  <c r="F2743" i="17"/>
  <c r="M2742" i="17"/>
  <c r="F2742" i="17"/>
  <c r="M2741" i="17"/>
  <c r="F2741" i="17"/>
  <c r="M2740" i="17"/>
  <c r="F2740" i="17"/>
  <c r="M2739" i="17"/>
  <c r="F2739" i="17"/>
  <c r="M2738" i="17"/>
  <c r="F2738" i="17"/>
  <c r="M2737" i="17"/>
  <c r="F2737" i="17"/>
  <c r="M2736" i="17"/>
  <c r="F2736" i="17"/>
  <c r="M2735" i="17"/>
  <c r="F2735" i="17"/>
  <c r="M2734" i="17"/>
  <c r="F2734" i="17"/>
  <c r="M2733" i="17"/>
  <c r="F2733" i="17"/>
  <c r="M2732" i="17"/>
  <c r="F2732" i="17"/>
  <c r="M2731" i="17"/>
  <c r="F2731" i="17"/>
  <c r="M2730" i="17"/>
  <c r="F2730" i="17"/>
  <c r="M2729" i="17"/>
  <c r="F2729" i="17"/>
  <c r="M2728" i="17"/>
  <c r="F2728" i="17"/>
  <c r="M2727" i="17"/>
  <c r="F2727" i="17"/>
  <c r="M2726" i="17"/>
  <c r="F2726" i="17"/>
  <c r="M2725" i="17"/>
  <c r="F2725" i="17"/>
  <c r="M2724" i="17"/>
  <c r="F2724" i="17"/>
  <c r="M2723" i="17"/>
  <c r="F2723" i="17"/>
  <c r="M2722" i="17"/>
  <c r="F2722" i="17"/>
  <c r="M2721" i="17"/>
  <c r="F2721" i="17"/>
  <c r="M2720" i="17"/>
  <c r="F2720" i="17"/>
  <c r="M2719" i="17"/>
  <c r="F2719" i="17"/>
  <c r="M2718" i="17"/>
  <c r="F2718" i="17"/>
  <c r="M2717" i="17"/>
  <c r="F2717" i="17"/>
  <c r="M2716" i="17"/>
  <c r="F2716" i="17"/>
  <c r="M2715" i="17"/>
  <c r="F2715" i="17"/>
  <c r="M2714" i="17"/>
  <c r="F2714" i="17"/>
  <c r="M2713" i="17"/>
  <c r="F2713" i="17"/>
  <c r="M2712" i="17"/>
  <c r="F2712" i="17"/>
  <c r="M2711" i="17"/>
  <c r="F2711" i="17"/>
  <c r="M2710" i="17"/>
  <c r="F2710" i="17"/>
  <c r="M2709" i="17"/>
  <c r="F2709" i="17"/>
  <c r="M2708" i="17"/>
  <c r="F2708" i="17"/>
  <c r="M2707" i="17"/>
  <c r="F2707" i="17"/>
  <c r="M2706" i="17"/>
  <c r="F2706" i="17"/>
  <c r="M2705" i="17"/>
  <c r="F2705" i="17"/>
  <c r="M2704" i="17"/>
  <c r="F2704" i="17"/>
  <c r="M2703" i="17"/>
  <c r="F2703" i="17"/>
  <c r="M2702" i="17"/>
  <c r="F2702" i="17"/>
  <c r="M2701" i="17"/>
  <c r="F2701" i="17"/>
  <c r="M2700" i="17"/>
  <c r="F2700" i="17"/>
  <c r="M2699" i="17"/>
  <c r="F2699" i="17"/>
  <c r="M2698" i="17"/>
  <c r="F2698" i="17"/>
  <c r="M2697" i="17"/>
  <c r="F2697" i="17"/>
  <c r="M2696" i="17"/>
  <c r="F2696" i="17"/>
  <c r="M2695" i="17"/>
  <c r="F2695" i="17"/>
  <c r="M2694" i="17"/>
  <c r="F2694" i="17"/>
  <c r="M2693" i="17"/>
  <c r="F2693" i="17"/>
  <c r="M2692" i="17"/>
  <c r="F2692" i="17"/>
  <c r="M2691" i="17"/>
  <c r="F2691" i="17"/>
  <c r="M2690" i="17"/>
  <c r="F2690" i="17"/>
  <c r="M2689" i="17"/>
  <c r="F2689" i="17"/>
  <c r="M2688" i="17"/>
  <c r="F2688" i="17"/>
  <c r="M2687" i="17"/>
  <c r="F2687" i="17"/>
  <c r="M2686" i="17"/>
  <c r="F2686" i="17"/>
  <c r="M2685" i="17"/>
  <c r="F2685" i="17"/>
  <c r="M2684" i="17"/>
  <c r="F2684" i="17"/>
  <c r="M2683" i="17"/>
  <c r="F2683" i="17"/>
  <c r="M2682" i="17"/>
  <c r="F2682" i="17"/>
  <c r="M2681" i="17"/>
  <c r="F2681" i="17"/>
  <c r="M2680" i="17"/>
  <c r="F2680" i="17"/>
  <c r="M2679" i="17"/>
  <c r="F2679" i="17"/>
  <c r="M2678" i="17"/>
  <c r="F2678" i="17"/>
  <c r="M2677" i="17"/>
  <c r="F2677" i="17"/>
  <c r="M2676" i="17"/>
  <c r="F2676" i="17"/>
  <c r="M2675" i="17"/>
  <c r="F2675" i="17"/>
  <c r="M2674" i="17"/>
  <c r="F2674" i="17"/>
  <c r="M2673" i="17"/>
  <c r="F2673" i="17"/>
  <c r="M2672" i="17"/>
  <c r="F2672" i="17"/>
  <c r="M2671" i="17"/>
  <c r="F2671" i="17"/>
  <c r="M2670" i="17"/>
  <c r="F2670" i="17"/>
  <c r="M2669" i="17"/>
  <c r="F2669" i="17"/>
  <c r="M2668" i="17"/>
  <c r="F2668" i="17"/>
  <c r="M2667" i="17"/>
  <c r="F2667" i="17"/>
  <c r="M2666" i="17"/>
  <c r="F2666" i="17"/>
  <c r="M2665" i="17"/>
  <c r="F2665" i="17"/>
  <c r="M2664" i="17"/>
  <c r="F2664" i="17"/>
  <c r="M2663" i="17"/>
  <c r="F2663" i="17"/>
  <c r="M2662" i="17"/>
  <c r="F2662" i="17"/>
  <c r="M2661" i="17"/>
  <c r="F2661" i="17"/>
  <c r="M2660" i="17"/>
  <c r="F2660" i="17"/>
  <c r="M2659" i="17"/>
  <c r="F2659" i="17"/>
  <c r="M2658" i="17"/>
  <c r="F2658" i="17"/>
  <c r="M2657" i="17"/>
  <c r="F2657" i="17"/>
  <c r="M2656" i="17"/>
  <c r="F2656" i="17"/>
  <c r="M2655" i="17"/>
  <c r="F2655" i="17"/>
  <c r="M2654" i="17"/>
  <c r="F2654" i="17"/>
  <c r="M2653" i="17"/>
  <c r="F2653" i="17"/>
  <c r="M2652" i="17"/>
  <c r="F2652" i="17"/>
  <c r="M2651" i="17"/>
  <c r="F2651" i="17"/>
  <c r="M2650" i="17"/>
  <c r="F2650" i="17"/>
  <c r="M2649" i="17"/>
  <c r="F2649" i="17"/>
  <c r="M2648" i="17"/>
  <c r="F2648" i="17"/>
  <c r="M2647" i="17"/>
  <c r="F2647" i="17"/>
  <c r="M2646" i="17"/>
  <c r="F2646" i="17"/>
  <c r="M2645" i="17"/>
  <c r="F2645" i="17"/>
  <c r="M2644" i="17"/>
  <c r="F2644" i="17"/>
  <c r="M2643" i="17"/>
  <c r="F2643" i="17"/>
  <c r="M2642" i="17"/>
  <c r="F2642" i="17"/>
  <c r="M2641" i="17"/>
  <c r="F2641" i="17"/>
  <c r="M2640" i="17"/>
  <c r="F2640" i="17"/>
  <c r="M2639" i="17"/>
  <c r="F2639" i="17"/>
  <c r="M2638" i="17"/>
  <c r="F2638" i="17"/>
  <c r="M2637" i="17"/>
  <c r="F2637" i="17"/>
  <c r="M2636" i="17"/>
  <c r="F2636" i="17"/>
  <c r="M2635" i="17"/>
  <c r="F2635" i="17"/>
  <c r="M2634" i="17"/>
  <c r="F2634" i="17"/>
  <c r="M2633" i="17"/>
  <c r="F2633" i="17"/>
  <c r="M2632" i="17"/>
  <c r="F2632" i="17"/>
  <c r="M2631" i="17"/>
  <c r="F2631" i="17"/>
  <c r="M2630" i="17"/>
  <c r="F2630" i="17"/>
  <c r="M2629" i="17"/>
  <c r="F2629" i="17"/>
  <c r="M2628" i="17"/>
  <c r="F2628" i="17"/>
  <c r="M2627" i="17"/>
  <c r="F2627" i="17"/>
  <c r="M2626" i="17"/>
  <c r="F2626" i="17"/>
  <c r="M2625" i="17"/>
  <c r="F2625" i="17"/>
  <c r="M2624" i="17"/>
  <c r="F2624" i="17"/>
  <c r="M2623" i="17"/>
  <c r="F2623" i="17"/>
  <c r="M2622" i="17"/>
  <c r="F2622" i="17"/>
  <c r="M2621" i="17"/>
  <c r="F2621" i="17"/>
  <c r="M2620" i="17"/>
  <c r="F2620" i="17"/>
  <c r="M2619" i="17"/>
  <c r="F2619" i="17"/>
  <c r="M2618" i="17"/>
  <c r="F2618" i="17"/>
  <c r="M2617" i="17"/>
  <c r="F2617" i="17"/>
  <c r="M2616" i="17"/>
  <c r="F2616" i="17"/>
  <c r="M2615" i="17"/>
  <c r="F2615" i="17"/>
  <c r="M2614" i="17"/>
  <c r="F2614" i="17"/>
  <c r="M2613" i="17"/>
  <c r="F2613" i="17"/>
  <c r="M2612" i="17"/>
  <c r="F2612" i="17"/>
  <c r="M2611" i="17"/>
  <c r="F2611" i="17"/>
  <c r="M2610" i="17"/>
  <c r="F2610" i="17"/>
  <c r="M2609" i="17"/>
  <c r="F2609" i="17"/>
  <c r="M2608" i="17"/>
  <c r="F2608" i="17"/>
  <c r="M2607" i="17"/>
  <c r="F2607" i="17"/>
  <c r="M2606" i="17"/>
  <c r="F2606" i="17"/>
  <c r="M2605" i="17"/>
  <c r="F2605" i="17"/>
  <c r="M2604" i="17"/>
  <c r="F2604" i="17"/>
  <c r="M2603" i="17"/>
  <c r="F2603" i="17"/>
  <c r="M2602" i="17"/>
  <c r="F2602" i="17"/>
  <c r="M2601" i="17"/>
  <c r="F2601" i="17"/>
  <c r="M2600" i="17"/>
  <c r="F2600" i="17"/>
  <c r="M2599" i="17"/>
  <c r="F2599" i="17"/>
  <c r="M2598" i="17"/>
  <c r="F2598" i="17"/>
  <c r="M2597" i="17"/>
  <c r="F2597" i="17"/>
  <c r="M2596" i="17"/>
  <c r="F2596" i="17"/>
  <c r="M2595" i="17"/>
  <c r="F2595" i="17"/>
  <c r="M2594" i="17"/>
  <c r="F2594" i="17"/>
  <c r="M2593" i="17"/>
  <c r="F2593" i="17"/>
  <c r="M2592" i="17"/>
  <c r="F2592" i="17"/>
  <c r="M2591" i="17"/>
  <c r="F2591" i="17"/>
  <c r="M2590" i="17"/>
  <c r="F2590" i="17"/>
  <c r="M2589" i="17"/>
  <c r="F2589" i="17"/>
  <c r="M2588" i="17"/>
  <c r="F2588" i="17"/>
  <c r="M2587" i="17"/>
  <c r="F2587" i="17"/>
  <c r="M2586" i="17"/>
  <c r="F2586" i="17"/>
  <c r="M2585" i="17"/>
  <c r="F2585" i="17"/>
  <c r="M2584" i="17"/>
  <c r="F2584" i="17"/>
  <c r="M2583" i="17"/>
  <c r="F2583" i="17"/>
  <c r="M2582" i="17"/>
  <c r="F2582" i="17"/>
  <c r="M2581" i="17"/>
  <c r="F2581" i="17"/>
  <c r="M2580" i="17"/>
  <c r="F2580" i="17"/>
  <c r="M2579" i="17"/>
  <c r="F2579" i="17"/>
  <c r="M2578" i="17"/>
  <c r="F2578" i="17"/>
  <c r="M2577" i="17"/>
  <c r="F2577" i="17"/>
  <c r="M2576" i="17"/>
  <c r="F2576" i="17"/>
  <c r="M2575" i="17"/>
  <c r="F2575" i="17"/>
  <c r="M2574" i="17"/>
  <c r="F2574" i="17"/>
  <c r="M2573" i="17"/>
  <c r="F2573" i="17"/>
  <c r="M2572" i="17"/>
  <c r="F2572" i="17"/>
  <c r="M2571" i="17"/>
  <c r="F2571" i="17"/>
  <c r="M2570" i="17"/>
  <c r="F2570" i="17"/>
  <c r="M2569" i="17"/>
  <c r="F2569" i="17"/>
  <c r="M2568" i="17"/>
  <c r="F2568" i="17"/>
  <c r="M2567" i="17"/>
  <c r="F2567" i="17"/>
  <c r="M2566" i="17"/>
  <c r="F2566" i="17"/>
  <c r="M2565" i="17"/>
  <c r="F2565" i="17"/>
  <c r="M2564" i="17"/>
  <c r="F2564" i="17"/>
  <c r="M2563" i="17"/>
  <c r="F2563" i="17"/>
  <c r="M2562" i="17"/>
  <c r="F2562" i="17"/>
  <c r="M2561" i="17"/>
  <c r="F2561" i="17"/>
  <c r="M2560" i="17"/>
  <c r="F2560" i="17"/>
  <c r="M2559" i="17"/>
  <c r="F2559" i="17"/>
  <c r="M2558" i="17"/>
  <c r="F2558" i="17"/>
  <c r="M2557" i="17"/>
  <c r="F2557" i="17"/>
  <c r="M2556" i="17"/>
  <c r="F2556" i="17"/>
  <c r="M2555" i="17"/>
  <c r="F2555" i="17"/>
  <c r="M2554" i="17"/>
  <c r="F2554" i="17"/>
  <c r="M2553" i="17"/>
  <c r="F2553" i="17"/>
  <c r="M2552" i="17"/>
  <c r="F2552" i="17"/>
  <c r="M2551" i="17"/>
  <c r="F2551" i="17"/>
  <c r="M2550" i="17"/>
  <c r="F2550" i="17"/>
  <c r="M2549" i="17"/>
  <c r="F2549" i="17"/>
  <c r="M2548" i="17"/>
  <c r="F2548" i="17"/>
  <c r="M2547" i="17"/>
  <c r="F2547" i="17"/>
  <c r="M2546" i="17"/>
  <c r="F2546" i="17"/>
  <c r="M2545" i="17"/>
  <c r="F2545" i="17"/>
  <c r="M2544" i="17"/>
  <c r="F2544" i="17"/>
  <c r="M2543" i="17"/>
  <c r="F2543" i="17"/>
  <c r="M2542" i="17"/>
  <c r="F2542" i="17"/>
  <c r="M2541" i="17"/>
  <c r="F2541" i="17"/>
  <c r="M2540" i="17"/>
  <c r="F2540" i="17"/>
  <c r="M2539" i="17"/>
  <c r="F2539" i="17"/>
  <c r="M2538" i="17"/>
  <c r="F2538" i="17"/>
  <c r="M2537" i="17"/>
  <c r="F2537" i="17"/>
  <c r="M2536" i="17"/>
  <c r="F2536" i="17"/>
  <c r="M2535" i="17"/>
  <c r="F2535" i="17"/>
  <c r="M2534" i="17"/>
  <c r="F2534" i="17"/>
  <c r="M2533" i="17"/>
  <c r="F2533" i="17"/>
  <c r="M2532" i="17"/>
  <c r="F2532" i="17"/>
  <c r="M2531" i="17"/>
  <c r="F2531" i="17"/>
  <c r="M2530" i="17"/>
  <c r="F2530" i="17"/>
  <c r="M2529" i="17"/>
  <c r="F2529" i="17"/>
  <c r="M2528" i="17"/>
  <c r="F2528" i="17"/>
  <c r="M2527" i="17"/>
  <c r="F2527" i="17"/>
  <c r="M2526" i="17"/>
  <c r="F2526" i="17"/>
  <c r="M2525" i="17"/>
  <c r="F2525" i="17"/>
  <c r="M2524" i="17"/>
  <c r="F2524" i="17"/>
  <c r="M2523" i="17"/>
  <c r="F2523" i="17"/>
  <c r="M2522" i="17"/>
  <c r="F2522" i="17"/>
  <c r="M2521" i="17"/>
  <c r="F2521" i="17"/>
  <c r="M2520" i="17"/>
  <c r="F2520" i="17"/>
  <c r="M2519" i="17"/>
  <c r="F2519" i="17"/>
  <c r="M2518" i="17"/>
  <c r="F2518" i="17"/>
  <c r="M2517" i="17"/>
  <c r="F2517" i="17"/>
  <c r="M2516" i="17"/>
  <c r="F2516" i="17"/>
  <c r="M2515" i="17"/>
  <c r="F2515" i="17"/>
  <c r="M2514" i="17"/>
  <c r="F2514" i="17"/>
  <c r="M2513" i="17"/>
  <c r="F2513" i="17"/>
  <c r="M2512" i="17"/>
  <c r="F2512" i="17"/>
  <c r="M2511" i="17"/>
  <c r="F2511" i="17"/>
  <c r="M2510" i="17"/>
  <c r="F2510" i="17"/>
  <c r="M2509" i="17"/>
  <c r="F2509" i="17"/>
  <c r="M2508" i="17"/>
  <c r="F2508" i="17"/>
  <c r="M2507" i="17"/>
  <c r="F2507" i="17"/>
  <c r="M2506" i="17"/>
  <c r="F2506" i="17"/>
  <c r="M2505" i="17"/>
  <c r="F2505" i="17"/>
  <c r="M2504" i="17"/>
  <c r="F2504" i="17"/>
  <c r="M2503" i="17"/>
  <c r="F2503" i="17"/>
  <c r="M2502" i="17"/>
  <c r="F2502" i="17"/>
  <c r="M2501" i="17"/>
  <c r="F2501" i="17"/>
  <c r="M2500" i="17"/>
  <c r="F2500" i="17"/>
  <c r="M2499" i="17"/>
  <c r="F2499" i="17"/>
  <c r="M2498" i="17"/>
  <c r="F2498" i="17"/>
  <c r="M2497" i="17"/>
  <c r="F2497" i="17"/>
  <c r="M2496" i="17"/>
  <c r="F2496" i="17"/>
  <c r="M2495" i="17"/>
  <c r="F2495" i="17"/>
  <c r="M2494" i="17"/>
  <c r="F2494" i="17"/>
  <c r="M2493" i="17"/>
  <c r="F2493" i="17"/>
  <c r="M2492" i="17"/>
  <c r="F2492" i="17"/>
  <c r="M2491" i="17"/>
  <c r="F2491" i="17"/>
  <c r="M2490" i="17"/>
  <c r="F2490" i="17"/>
  <c r="M2489" i="17"/>
  <c r="F2489" i="17"/>
  <c r="M2488" i="17"/>
  <c r="F2488" i="17"/>
  <c r="M2487" i="17"/>
  <c r="F2487" i="17"/>
  <c r="M2486" i="17"/>
  <c r="F2486" i="17"/>
  <c r="M2485" i="17"/>
  <c r="F2485" i="17"/>
  <c r="M2484" i="17"/>
  <c r="F2484" i="17"/>
  <c r="M2483" i="17"/>
  <c r="F2483" i="17"/>
  <c r="M2482" i="17"/>
  <c r="F2482" i="17"/>
  <c r="M2481" i="17"/>
  <c r="F2481" i="17"/>
  <c r="M2480" i="17"/>
  <c r="F2480" i="17"/>
  <c r="M2479" i="17"/>
  <c r="F2479" i="17"/>
  <c r="M2478" i="17"/>
  <c r="F2478" i="17"/>
  <c r="M2477" i="17"/>
  <c r="F2477" i="17"/>
  <c r="M2476" i="17"/>
  <c r="F2476" i="17"/>
  <c r="M2475" i="17"/>
  <c r="F2475" i="17"/>
  <c r="M2474" i="17"/>
  <c r="F2474" i="17"/>
  <c r="M2473" i="17"/>
  <c r="F2473" i="17"/>
  <c r="M2472" i="17"/>
  <c r="F2472" i="17"/>
  <c r="M2471" i="17"/>
  <c r="F2471" i="17"/>
  <c r="M2470" i="17"/>
  <c r="F2470" i="17"/>
  <c r="M2469" i="17"/>
  <c r="F2469" i="17"/>
  <c r="M2468" i="17"/>
  <c r="F2468" i="17"/>
  <c r="M2467" i="17"/>
  <c r="F2467" i="17"/>
  <c r="M2466" i="17"/>
  <c r="F2466" i="17"/>
  <c r="M2465" i="17"/>
  <c r="F2465" i="17"/>
  <c r="M2464" i="17"/>
  <c r="F2464" i="17"/>
  <c r="M2463" i="17"/>
  <c r="F2463" i="17"/>
  <c r="M2462" i="17"/>
  <c r="F2462" i="17"/>
  <c r="M2461" i="17"/>
  <c r="F2461" i="17"/>
  <c r="M2460" i="17"/>
  <c r="F2460" i="17"/>
  <c r="M2459" i="17"/>
  <c r="F2459" i="17"/>
  <c r="M2458" i="17"/>
  <c r="F2458" i="17"/>
  <c r="M2457" i="17"/>
  <c r="F2457" i="17"/>
  <c r="M2456" i="17"/>
  <c r="F2456" i="17"/>
  <c r="M2455" i="17"/>
  <c r="F2455" i="17"/>
  <c r="M2454" i="17"/>
  <c r="F2454" i="17"/>
  <c r="M2453" i="17"/>
  <c r="F2453" i="17"/>
  <c r="M2452" i="17"/>
  <c r="F2452" i="17"/>
  <c r="M2451" i="17"/>
  <c r="F2451" i="17"/>
  <c r="M2450" i="17"/>
  <c r="F2450" i="17"/>
  <c r="M2449" i="17"/>
  <c r="F2449" i="17"/>
  <c r="M2448" i="17"/>
  <c r="F2448" i="17"/>
  <c r="M2447" i="17"/>
  <c r="F2447" i="17"/>
  <c r="M2446" i="17"/>
  <c r="F2446" i="17"/>
  <c r="M2445" i="17"/>
  <c r="F2445" i="17"/>
  <c r="M2444" i="17"/>
  <c r="F2444" i="17"/>
  <c r="M2443" i="17"/>
  <c r="F2443" i="17"/>
  <c r="M2442" i="17"/>
  <c r="F2442" i="17"/>
  <c r="M2441" i="17"/>
  <c r="F2441" i="17"/>
  <c r="M2440" i="17"/>
  <c r="F2440" i="17"/>
  <c r="M2439" i="17"/>
  <c r="F2439" i="17"/>
  <c r="M2438" i="17"/>
  <c r="F2438" i="17"/>
  <c r="M2437" i="17"/>
  <c r="F2437" i="17"/>
  <c r="M2436" i="17"/>
  <c r="F2436" i="17"/>
  <c r="M2435" i="17"/>
  <c r="F2435" i="17"/>
  <c r="M2434" i="17"/>
  <c r="F2434" i="17"/>
  <c r="M2433" i="17"/>
  <c r="F2433" i="17"/>
  <c r="M2432" i="17"/>
  <c r="F2432" i="17"/>
  <c r="M2431" i="17"/>
  <c r="F2431" i="17"/>
  <c r="M2430" i="17"/>
  <c r="F2430" i="17"/>
  <c r="M2429" i="17"/>
  <c r="F2429" i="17"/>
  <c r="M2428" i="17"/>
  <c r="F2428" i="17"/>
  <c r="M2427" i="17"/>
  <c r="F2427" i="17"/>
  <c r="M2426" i="17"/>
  <c r="F2426" i="17"/>
  <c r="M2425" i="17"/>
  <c r="F2425" i="17"/>
  <c r="M2424" i="17"/>
  <c r="F2424" i="17"/>
  <c r="M2423" i="17"/>
  <c r="F2423" i="17"/>
  <c r="M2422" i="17"/>
  <c r="F2422" i="17"/>
  <c r="M2421" i="17"/>
  <c r="F2421" i="17"/>
  <c r="M2420" i="17"/>
  <c r="F2420" i="17"/>
  <c r="M2419" i="17"/>
  <c r="F2419" i="17"/>
  <c r="M2418" i="17"/>
  <c r="F2418" i="17"/>
  <c r="M2417" i="17"/>
  <c r="F2417" i="17"/>
  <c r="M2416" i="17"/>
  <c r="F2416" i="17"/>
  <c r="M2415" i="17"/>
  <c r="F2415" i="17"/>
  <c r="M2414" i="17"/>
  <c r="F2414" i="17"/>
  <c r="M2413" i="17"/>
  <c r="F2413" i="17"/>
  <c r="M2412" i="17"/>
  <c r="F2412" i="17"/>
  <c r="M2411" i="17"/>
  <c r="F2411" i="17"/>
  <c r="M2410" i="17"/>
  <c r="F2410" i="17"/>
  <c r="M2409" i="17"/>
  <c r="F2409" i="17"/>
  <c r="M2408" i="17"/>
  <c r="F2408" i="17"/>
  <c r="M2407" i="17"/>
  <c r="F2407" i="17"/>
  <c r="M2406" i="17"/>
  <c r="F2406" i="17"/>
  <c r="M2405" i="17"/>
  <c r="F2405" i="17"/>
  <c r="M2404" i="17"/>
  <c r="F2404" i="17"/>
  <c r="M2403" i="17"/>
  <c r="F2403" i="17"/>
  <c r="M2402" i="17"/>
  <c r="F2402" i="17"/>
  <c r="M2401" i="17"/>
  <c r="F2401" i="17"/>
  <c r="M2400" i="17"/>
  <c r="F2400" i="17"/>
  <c r="M2399" i="17"/>
  <c r="F2399" i="17"/>
  <c r="M2398" i="17"/>
  <c r="F2398" i="17"/>
  <c r="M2397" i="17"/>
  <c r="F2397" i="17"/>
  <c r="M2396" i="17"/>
  <c r="F2396" i="17"/>
  <c r="M2395" i="17"/>
  <c r="F2395" i="17"/>
  <c r="M2394" i="17"/>
  <c r="F2394" i="17"/>
  <c r="M2393" i="17"/>
  <c r="F2393" i="17"/>
  <c r="M2392" i="17"/>
  <c r="F2392" i="17"/>
  <c r="M2391" i="17"/>
  <c r="F2391" i="17"/>
  <c r="M2390" i="17"/>
  <c r="F2390" i="17"/>
  <c r="M2389" i="17"/>
  <c r="F2389" i="17"/>
  <c r="M2388" i="17"/>
  <c r="F2388" i="17"/>
  <c r="M2387" i="17"/>
  <c r="F2387" i="17"/>
  <c r="M2386" i="17"/>
  <c r="F2386" i="17"/>
  <c r="M2385" i="17"/>
  <c r="F2385" i="17"/>
  <c r="M2384" i="17"/>
  <c r="F2384" i="17"/>
  <c r="M2383" i="17"/>
  <c r="F2383" i="17"/>
  <c r="M2382" i="17"/>
  <c r="F2382" i="17"/>
  <c r="M2381" i="17"/>
  <c r="F2381" i="17"/>
  <c r="M2380" i="17"/>
  <c r="F2380" i="17"/>
  <c r="M2379" i="17"/>
  <c r="F2379" i="17"/>
  <c r="M2378" i="17"/>
  <c r="F2378" i="17"/>
  <c r="M2377" i="17"/>
  <c r="F2377" i="17"/>
  <c r="M2376" i="17"/>
  <c r="F2376" i="17"/>
  <c r="M2375" i="17"/>
  <c r="F2375" i="17"/>
  <c r="M2374" i="17"/>
  <c r="F2374" i="17"/>
  <c r="M2373" i="17"/>
  <c r="F2373" i="17"/>
  <c r="M2372" i="17"/>
  <c r="F2372" i="17"/>
  <c r="M2371" i="17"/>
  <c r="F2371" i="17"/>
  <c r="M2370" i="17"/>
  <c r="F2370" i="17"/>
  <c r="M2369" i="17"/>
  <c r="F2369" i="17"/>
  <c r="M2368" i="17"/>
  <c r="F2368" i="17"/>
  <c r="M2367" i="17"/>
  <c r="F2367" i="17"/>
  <c r="M2366" i="17"/>
  <c r="F2366" i="17"/>
  <c r="M2365" i="17"/>
  <c r="F2365" i="17"/>
  <c r="M2364" i="17"/>
  <c r="F2364" i="17"/>
  <c r="M2363" i="17"/>
  <c r="F2363" i="17"/>
  <c r="M2362" i="17"/>
  <c r="F2362" i="17"/>
  <c r="M2361" i="17"/>
  <c r="F2361" i="17"/>
  <c r="M2360" i="17"/>
  <c r="F2360" i="17"/>
  <c r="M2359" i="17"/>
  <c r="F2359" i="17"/>
  <c r="M2358" i="17"/>
  <c r="F2358" i="17"/>
  <c r="M2357" i="17"/>
  <c r="F2357" i="17"/>
  <c r="M2356" i="17"/>
  <c r="F2356" i="17"/>
  <c r="M2355" i="17"/>
  <c r="F2355" i="17"/>
  <c r="M2354" i="17"/>
  <c r="F2354" i="17"/>
  <c r="M2353" i="17"/>
  <c r="F2353" i="17"/>
  <c r="M2352" i="17"/>
  <c r="F2352" i="17"/>
  <c r="M2351" i="17"/>
  <c r="F2351" i="17"/>
  <c r="M2350" i="17"/>
  <c r="F2350" i="17"/>
  <c r="M2349" i="17"/>
  <c r="F2349" i="17"/>
  <c r="M2348" i="17"/>
  <c r="F2348" i="17"/>
  <c r="M2347" i="17"/>
  <c r="F2347" i="17"/>
  <c r="M2346" i="17"/>
  <c r="F2346" i="17"/>
  <c r="M2345" i="17"/>
  <c r="F2345" i="17"/>
  <c r="M2344" i="17"/>
  <c r="F2344" i="17"/>
  <c r="M2343" i="17"/>
  <c r="F2343" i="17"/>
  <c r="M2342" i="17"/>
  <c r="F2342" i="17"/>
  <c r="M2341" i="17"/>
  <c r="F2341" i="17"/>
  <c r="M2340" i="17"/>
  <c r="F2340" i="17"/>
  <c r="M2339" i="17"/>
  <c r="F2339" i="17"/>
  <c r="M2338" i="17"/>
  <c r="F2338" i="17"/>
  <c r="M2337" i="17"/>
  <c r="F2337" i="17"/>
  <c r="M2336" i="17"/>
  <c r="F2336" i="17"/>
  <c r="M2335" i="17"/>
  <c r="F2335" i="17"/>
  <c r="M2334" i="17"/>
  <c r="F2334" i="17"/>
  <c r="M2333" i="17"/>
  <c r="F2333" i="17"/>
  <c r="M2332" i="17"/>
  <c r="F2332" i="17"/>
  <c r="M2331" i="17"/>
  <c r="F2331" i="17"/>
  <c r="M2330" i="17"/>
  <c r="F2330" i="17"/>
  <c r="M2329" i="17"/>
  <c r="F2329" i="17"/>
  <c r="M2328" i="17"/>
  <c r="F2328" i="17"/>
  <c r="M2327" i="17"/>
  <c r="F2327" i="17"/>
  <c r="M2326" i="17"/>
  <c r="F2326" i="17"/>
  <c r="M2325" i="17"/>
  <c r="F2325" i="17"/>
  <c r="M2324" i="17"/>
  <c r="F2324" i="17"/>
  <c r="M2323" i="17"/>
  <c r="F2323" i="17"/>
  <c r="M2322" i="17"/>
  <c r="F2322" i="17"/>
  <c r="M2321" i="17"/>
  <c r="F2321" i="17"/>
  <c r="M2320" i="17"/>
  <c r="F2320" i="17"/>
  <c r="M2319" i="17"/>
  <c r="F2319" i="17"/>
  <c r="M2318" i="17"/>
  <c r="F2318" i="17"/>
  <c r="M2317" i="17"/>
  <c r="F2317" i="17"/>
  <c r="M2316" i="17"/>
  <c r="F2316" i="17"/>
  <c r="M2315" i="17"/>
  <c r="F2315" i="17"/>
  <c r="M2314" i="17"/>
  <c r="F2314" i="17"/>
  <c r="M2313" i="17"/>
  <c r="F2313" i="17"/>
  <c r="M2312" i="17"/>
  <c r="F2312" i="17"/>
  <c r="M2311" i="17"/>
  <c r="F2311" i="17"/>
  <c r="M2310" i="17"/>
  <c r="F2310" i="17"/>
  <c r="M2309" i="17"/>
  <c r="F2309" i="17"/>
  <c r="M2308" i="17"/>
  <c r="F2308" i="17"/>
  <c r="M2307" i="17"/>
  <c r="F2307" i="17"/>
  <c r="M2306" i="17"/>
  <c r="F2306" i="17"/>
  <c r="M2305" i="17"/>
  <c r="F2305" i="17"/>
  <c r="M2304" i="17"/>
  <c r="F2304" i="17"/>
  <c r="M2303" i="17"/>
  <c r="F2303" i="17"/>
  <c r="M2302" i="17"/>
  <c r="F2302" i="17"/>
  <c r="M2301" i="17"/>
  <c r="F2301" i="17"/>
  <c r="M2300" i="17"/>
  <c r="F2300" i="17"/>
  <c r="M2299" i="17"/>
  <c r="F2299" i="17"/>
  <c r="M2298" i="17"/>
  <c r="F2298" i="17"/>
  <c r="M2297" i="17"/>
  <c r="F2297" i="17"/>
  <c r="M2296" i="17"/>
  <c r="F2296" i="17"/>
  <c r="M2295" i="17"/>
  <c r="F2295" i="17"/>
  <c r="M2294" i="17"/>
  <c r="F2294" i="17"/>
  <c r="M2293" i="17"/>
  <c r="F2293" i="17"/>
  <c r="M2292" i="17"/>
  <c r="F2292" i="17"/>
  <c r="M2291" i="17"/>
  <c r="F2291" i="17"/>
  <c r="M2290" i="17"/>
  <c r="F2290" i="17"/>
  <c r="M2289" i="17"/>
  <c r="F2289" i="17"/>
  <c r="M2288" i="17"/>
  <c r="F2288" i="17"/>
  <c r="M2287" i="17"/>
  <c r="F2287" i="17"/>
  <c r="M2286" i="17"/>
  <c r="F2286" i="17"/>
  <c r="M2285" i="17"/>
  <c r="F2285" i="17"/>
  <c r="M2284" i="17"/>
  <c r="F2284" i="17"/>
  <c r="M2283" i="17"/>
  <c r="F2283" i="17"/>
  <c r="M2282" i="17"/>
  <c r="F2282" i="17"/>
  <c r="M2281" i="17"/>
  <c r="F2281" i="17"/>
  <c r="M2280" i="17"/>
  <c r="F2280" i="17"/>
  <c r="M2279" i="17"/>
  <c r="F2279" i="17"/>
  <c r="M2278" i="17"/>
  <c r="F2278" i="17"/>
  <c r="M2277" i="17"/>
  <c r="F2277" i="17"/>
  <c r="M2276" i="17"/>
  <c r="F2276" i="17"/>
  <c r="M2275" i="17"/>
  <c r="F2275" i="17"/>
  <c r="M2274" i="17"/>
  <c r="F2274" i="17"/>
  <c r="M2273" i="17"/>
  <c r="F2273" i="17"/>
  <c r="M2272" i="17"/>
  <c r="F2272" i="17"/>
  <c r="M2271" i="17"/>
  <c r="F2271" i="17"/>
  <c r="M2270" i="17"/>
  <c r="F2270" i="17"/>
  <c r="M2269" i="17"/>
  <c r="F2269" i="17"/>
  <c r="M2268" i="17"/>
  <c r="F2268" i="17"/>
  <c r="M2267" i="17"/>
  <c r="F2267" i="17"/>
  <c r="M2266" i="17"/>
  <c r="F2266" i="17"/>
  <c r="M2265" i="17"/>
  <c r="F2265" i="17"/>
  <c r="M2264" i="17"/>
  <c r="F2264" i="17"/>
  <c r="M2263" i="17"/>
  <c r="F2263" i="17"/>
  <c r="M2262" i="17"/>
  <c r="F2262" i="17"/>
  <c r="M2261" i="17"/>
  <c r="F2261" i="17"/>
  <c r="M2260" i="17"/>
  <c r="F2260" i="17"/>
  <c r="M2259" i="17"/>
  <c r="F2259" i="17"/>
  <c r="M2258" i="17"/>
  <c r="F2258" i="17"/>
  <c r="M2257" i="17"/>
  <c r="F2257" i="17"/>
  <c r="M2256" i="17"/>
  <c r="F2256" i="17"/>
  <c r="M2255" i="17"/>
  <c r="F2255" i="17"/>
  <c r="M2254" i="17"/>
  <c r="F2254" i="17"/>
  <c r="M2253" i="17"/>
  <c r="F2253" i="17"/>
  <c r="M2252" i="17"/>
  <c r="F2252" i="17"/>
  <c r="M2251" i="17"/>
  <c r="F2251" i="17"/>
  <c r="M2250" i="17"/>
  <c r="F2250" i="17"/>
  <c r="M2249" i="17"/>
  <c r="F2249" i="17"/>
  <c r="M2248" i="17"/>
  <c r="F2248" i="17"/>
  <c r="M2247" i="17"/>
  <c r="F2247" i="17"/>
  <c r="M2246" i="17"/>
  <c r="F2246" i="17"/>
  <c r="M2245" i="17"/>
  <c r="F2245" i="17"/>
  <c r="M2244" i="17"/>
  <c r="F2244" i="17"/>
  <c r="M2243" i="17"/>
  <c r="F2243" i="17"/>
  <c r="M2242" i="17"/>
  <c r="F2242" i="17"/>
  <c r="M2241" i="17"/>
  <c r="F2241" i="17"/>
  <c r="M2240" i="17"/>
  <c r="F2240" i="17"/>
  <c r="M2239" i="17"/>
  <c r="F2239" i="17"/>
  <c r="M2238" i="17"/>
  <c r="F2238" i="17"/>
  <c r="M2237" i="17"/>
  <c r="F2237" i="17"/>
  <c r="M2236" i="17"/>
  <c r="F2236" i="17"/>
  <c r="M2235" i="17"/>
  <c r="F2235" i="17"/>
  <c r="M2234" i="17"/>
  <c r="F2234" i="17"/>
  <c r="M2233" i="17"/>
  <c r="F2233" i="17"/>
  <c r="M2232" i="17"/>
  <c r="F2232" i="17"/>
  <c r="M2231" i="17"/>
  <c r="F2231" i="17"/>
  <c r="M2230" i="17"/>
  <c r="F2230" i="17"/>
  <c r="M2229" i="17"/>
  <c r="F2229" i="17"/>
  <c r="M2228" i="17"/>
  <c r="F2228" i="17"/>
  <c r="M2227" i="17"/>
  <c r="F2227" i="17"/>
  <c r="M2226" i="17"/>
  <c r="F2226" i="17"/>
  <c r="M2225" i="17"/>
  <c r="F2225" i="17"/>
  <c r="M2224" i="17"/>
  <c r="F2224" i="17"/>
  <c r="M2223" i="17"/>
  <c r="F2223" i="17"/>
  <c r="M2222" i="17"/>
  <c r="F2222" i="17"/>
  <c r="M2221" i="17"/>
  <c r="F2221" i="17"/>
  <c r="M2220" i="17"/>
  <c r="F2220" i="17"/>
  <c r="M2219" i="17"/>
  <c r="F2219" i="17"/>
  <c r="M2218" i="17"/>
  <c r="F2218" i="17"/>
  <c r="M2217" i="17"/>
  <c r="F2217" i="17"/>
  <c r="M2216" i="17"/>
  <c r="F2216" i="17"/>
  <c r="M2215" i="17"/>
  <c r="F2215" i="17"/>
  <c r="M2214" i="17"/>
  <c r="F2214" i="17"/>
  <c r="M2213" i="17"/>
  <c r="F2213" i="17"/>
  <c r="M2212" i="17"/>
  <c r="F2212" i="17"/>
  <c r="M2211" i="17"/>
  <c r="F2211" i="17"/>
  <c r="M2210" i="17"/>
  <c r="F2210" i="17"/>
  <c r="M2209" i="17"/>
  <c r="F2209" i="17"/>
  <c r="M2208" i="17"/>
  <c r="F2208" i="17"/>
  <c r="M2207" i="17"/>
  <c r="F2207" i="17"/>
  <c r="M2206" i="17"/>
  <c r="F2206" i="17"/>
  <c r="M2205" i="17"/>
  <c r="F2205" i="17"/>
  <c r="M2204" i="17"/>
  <c r="F2204" i="17"/>
  <c r="M2203" i="17"/>
  <c r="F2203" i="17"/>
  <c r="M2202" i="17"/>
  <c r="F2202" i="17"/>
  <c r="M2201" i="17"/>
  <c r="F2201" i="17"/>
  <c r="M2200" i="17"/>
  <c r="F2200" i="17"/>
  <c r="M2199" i="17"/>
  <c r="F2199" i="17"/>
  <c r="M2198" i="17"/>
  <c r="F2198" i="17"/>
  <c r="M2197" i="17"/>
  <c r="F2197" i="17"/>
  <c r="M2196" i="17"/>
  <c r="F2196" i="17"/>
  <c r="M2195" i="17"/>
  <c r="F2195" i="17"/>
  <c r="M2194" i="17"/>
  <c r="F2194" i="17"/>
  <c r="M2193" i="17"/>
  <c r="F2193" i="17"/>
  <c r="M2192" i="17"/>
  <c r="F2192" i="17"/>
  <c r="M2191" i="17"/>
  <c r="F2191" i="17"/>
  <c r="M2190" i="17"/>
  <c r="F2190" i="17"/>
  <c r="M2189" i="17"/>
  <c r="F2189" i="17"/>
  <c r="M2188" i="17"/>
  <c r="F2188" i="17"/>
  <c r="M2187" i="17"/>
  <c r="F2187" i="17"/>
  <c r="M2186" i="17"/>
  <c r="F2186" i="17"/>
  <c r="M2185" i="17"/>
  <c r="F2185" i="17"/>
  <c r="M2184" i="17"/>
  <c r="F2184" i="17"/>
  <c r="M2183" i="17"/>
  <c r="F2183" i="17"/>
  <c r="M2182" i="17"/>
  <c r="F2182" i="17"/>
  <c r="M2181" i="17"/>
  <c r="F2181" i="17"/>
  <c r="M2180" i="17"/>
  <c r="F2180" i="17"/>
  <c r="M2179" i="17"/>
  <c r="F2179" i="17"/>
  <c r="M2178" i="17"/>
  <c r="F2178" i="17"/>
  <c r="M2177" i="17"/>
  <c r="F2177" i="17"/>
  <c r="M2176" i="17"/>
  <c r="F2176" i="17"/>
  <c r="M2175" i="17"/>
  <c r="F2175" i="17"/>
  <c r="M2174" i="17"/>
  <c r="F2174" i="17"/>
  <c r="M2173" i="17"/>
  <c r="F2173" i="17"/>
  <c r="M2172" i="17"/>
  <c r="F2172" i="17"/>
  <c r="M2171" i="17"/>
  <c r="F2171" i="17"/>
  <c r="M2170" i="17"/>
  <c r="F2170" i="17"/>
  <c r="M2169" i="17"/>
  <c r="F2169" i="17"/>
  <c r="M2168" i="17"/>
  <c r="F2168" i="17"/>
  <c r="M2167" i="17"/>
  <c r="F2167" i="17"/>
  <c r="M2166" i="17"/>
  <c r="F2166" i="17"/>
  <c r="M2165" i="17"/>
  <c r="F2165" i="17"/>
  <c r="M2164" i="17"/>
  <c r="F2164" i="17"/>
  <c r="M2163" i="17"/>
  <c r="F2163" i="17"/>
  <c r="M2162" i="17"/>
  <c r="F2162" i="17"/>
  <c r="M2161" i="17"/>
  <c r="F2161" i="17"/>
  <c r="M2160" i="17"/>
  <c r="F2160" i="17"/>
  <c r="M2159" i="17"/>
  <c r="F2159" i="17"/>
  <c r="M2158" i="17"/>
  <c r="F2158" i="17"/>
  <c r="M2157" i="17"/>
  <c r="F2157" i="17"/>
  <c r="M2156" i="17"/>
  <c r="F2156" i="17"/>
  <c r="M2155" i="17"/>
  <c r="F2155" i="17"/>
  <c r="M2154" i="17"/>
  <c r="F2154" i="17"/>
  <c r="M2153" i="17"/>
  <c r="F2153" i="17"/>
  <c r="M2152" i="17"/>
  <c r="F2152" i="17"/>
  <c r="M2151" i="17"/>
  <c r="F2151" i="17"/>
  <c r="M2150" i="17"/>
  <c r="F2150" i="17"/>
  <c r="M2149" i="17"/>
  <c r="F2149" i="17"/>
  <c r="M2148" i="17"/>
  <c r="F2148" i="17"/>
  <c r="M2147" i="17"/>
  <c r="F2147" i="17"/>
  <c r="M2146" i="17"/>
  <c r="F2146" i="17"/>
  <c r="M2145" i="17"/>
  <c r="F2145" i="17"/>
  <c r="M2144" i="17"/>
  <c r="F2144" i="17"/>
  <c r="M2143" i="17"/>
  <c r="F2143" i="17"/>
  <c r="M2142" i="17"/>
  <c r="F2142" i="17"/>
  <c r="M2141" i="17"/>
  <c r="F2141" i="17"/>
  <c r="M2140" i="17"/>
  <c r="F2140" i="17"/>
  <c r="M2139" i="17"/>
  <c r="F2139" i="17"/>
  <c r="M2138" i="17"/>
  <c r="F2138" i="17"/>
  <c r="M2137" i="17"/>
  <c r="F2137" i="17"/>
  <c r="M2136" i="17"/>
  <c r="F2136" i="17"/>
  <c r="M2135" i="17"/>
  <c r="F2135" i="17"/>
  <c r="M2134" i="17"/>
  <c r="F2134" i="17"/>
  <c r="M2133" i="17"/>
  <c r="F2133" i="17"/>
  <c r="M2132" i="17"/>
  <c r="F2132" i="17"/>
  <c r="M2131" i="17"/>
  <c r="F2131" i="17"/>
  <c r="M2130" i="17"/>
  <c r="F2130" i="17"/>
  <c r="M2129" i="17"/>
  <c r="F2129" i="17"/>
  <c r="M2128" i="17"/>
  <c r="F2128" i="17"/>
  <c r="M2127" i="17"/>
  <c r="F2127" i="17"/>
  <c r="M2126" i="17"/>
  <c r="F2126" i="17"/>
  <c r="M2125" i="17"/>
  <c r="F2125" i="17"/>
  <c r="M2124" i="17"/>
  <c r="F2124" i="17"/>
  <c r="M2123" i="17"/>
  <c r="F2123" i="17"/>
  <c r="M2122" i="17"/>
  <c r="F2122" i="17"/>
  <c r="M2121" i="17"/>
  <c r="F2121" i="17"/>
  <c r="M2120" i="17"/>
  <c r="F2120" i="17"/>
  <c r="M2119" i="17"/>
  <c r="F2119" i="17"/>
  <c r="M2118" i="17"/>
  <c r="F2118" i="17"/>
  <c r="M2117" i="17"/>
  <c r="F2117" i="17"/>
  <c r="M2116" i="17"/>
  <c r="F2116" i="17"/>
  <c r="M2115" i="17"/>
  <c r="F2115" i="17"/>
  <c r="M2114" i="17"/>
  <c r="F2114" i="17"/>
  <c r="M2113" i="17"/>
  <c r="F2113" i="17"/>
  <c r="M2112" i="17"/>
  <c r="F2112" i="17"/>
  <c r="M2111" i="17"/>
  <c r="F2111" i="17"/>
  <c r="M2110" i="17"/>
  <c r="F2110" i="17"/>
  <c r="M2109" i="17"/>
  <c r="F2109" i="17"/>
  <c r="M2108" i="17"/>
  <c r="F2108" i="17"/>
  <c r="M2107" i="17"/>
  <c r="F2107" i="17"/>
  <c r="M2106" i="17"/>
  <c r="F2106" i="17"/>
  <c r="M2105" i="17"/>
  <c r="F2105" i="17"/>
  <c r="M2104" i="17"/>
  <c r="F2104" i="17"/>
  <c r="M2103" i="17"/>
  <c r="F2103" i="17"/>
  <c r="M2102" i="17"/>
  <c r="F2102" i="17"/>
  <c r="M2101" i="17"/>
  <c r="F2101" i="17"/>
  <c r="M2100" i="17"/>
  <c r="F2100" i="17"/>
  <c r="M2099" i="17"/>
  <c r="F2099" i="17"/>
  <c r="M2098" i="17"/>
  <c r="F2098" i="17"/>
  <c r="M2097" i="17"/>
  <c r="F2097" i="17"/>
  <c r="M2096" i="17"/>
  <c r="F2096" i="17"/>
  <c r="M2095" i="17"/>
  <c r="F2095" i="17"/>
  <c r="M2094" i="17"/>
  <c r="F2094" i="17"/>
  <c r="M2093" i="17"/>
  <c r="F2093" i="17"/>
  <c r="M2092" i="17"/>
  <c r="F2092" i="17"/>
  <c r="M2091" i="17"/>
  <c r="F2091" i="17"/>
  <c r="M2090" i="17"/>
  <c r="F2090" i="17"/>
  <c r="M2089" i="17"/>
  <c r="F2089" i="17"/>
  <c r="M2088" i="17"/>
  <c r="F2088" i="17"/>
  <c r="M2087" i="17"/>
  <c r="F2087" i="17"/>
  <c r="M2086" i="17"/>
  <c r="F2086" i="17"/>
  <c r="M2085" i="17"/>
  <c r="F2085" i="17"/>
  <c r="M2084" i="17"/>
  <c r="F2084" i="17"/>
  <c r="M2083" i="17"/>
  <c r="F2083" i="17"/>
  <c r="M2082" i="17"/>
  <c r="F2082" i="17"/>
  <c r="M2081" i="17"/>
  <c r="F2081" i="17"/>
  <c r="M2080" i="17"/>
  <c r="F2080" i="17"/>
  <c r="M2079" i="17"/>
  <c r="F2079" i="17"/>
  <c r="M2078" i="17"/>
  <c r="F2078" i="17"/>
  <c r="M2077" i="17"/>
  <c r="F2077" i="17"/>
  <c r="M2076" i="17"/>
  <c r="F2076" i="17"/>
  <c r="M2075" i="17"/>
  <c r="F2075" i="17"/>
  <c r="M2074" i="17"/>
  <c r="F2074" i="17"/>
  <c r="M2073" i="17"/>
  <c r="F2073" i="17"/>
  <c r="M2072" i="17"/>
  <c r="F2072" i="17"/>
  <c r="M2071" i="17"/>
  <c r="F2071" i="17"/>
  <c r="M2070" i="17"/>
  <c r="F2070" i="17"/>
  <c r="M2069" i="17"/>
  <c r="F2069" i="17"/>
  <c r="M2068" i="17"/>
  <c r="F2068" i="17"/>
  <c r="M2067" i="17"/>
  <c r="F2067" i="17"/>
  <c r="M2066" i="17"/>
  <c r="F2066" i="17"/>
  <c r="M2065" i="17"/>
  <c r="F2065" i="17"/>
  <c r="M2064" i="17"/>
  <c r="F2064" i="17"/>
  <c r="M2063" i="17"/>
  <c r="F2063" i="17"/>
  <c r="M2062" i="17"/>
  <c r="F2062" i="17"/>
  <c r="M2061" i="17"/>
  <c r="F2061" i="17"/>
  <c r="M2060" i="17"/>
  <c r="F2060" i="17"/>
  <c r="M2059" i="17"/>
  <c r="F2059" i="17"/>
  <c r="M2058" i="17"/>
  <c r="F2058" i="17"/>
  <c r="M2057" i="17"/>
  <c r="F2057" i="17"/>
  <c r="M2056" i="17"/>
  <c r="F2056" i="17"/>
  <c r="M2055" i="17"/>
  <c r="F2055" i="17"/>
  <c r="M2054" i="17"/>
  <c r="F2054" i="17"/>
  <c r="M2053" i="17"/>
  <c r="F2053" i="17"/>
  <c r="M2052" i="17"/>
  <c r="F2052" i="17"/>
  <c r="M2051" i="17"/>
  <c r="F2051" i="17"/>
  <c r="M2050" i="17"/>
  <c r="F2050" i="17"/>
  <c r="M2049" i="17"/>
  <c r="F2049" i="17"/>
  <c r="M2048" i="17"/>
  <c r="F2048" i="17"/>
  <c r="M2047" i="17"/>
  <c r="F2047" i="17"/>
  <c r="M2046" i="17"/>
  <c r="F2046" i="17"/>
  <c r="M2045" i="17"/>
  <c r="F2045" i="17"/>
  <c r="M2044" i="17"/>
  <c r="F2044" i="17"/>
  <c r="M2043" i="17"/>
  <c r="F2043" i="17"/>
  <c r="M2042" i="17"/>
  <c r="F2042" i="17"/>
  <c r="M2041" i="17"/>
  <c r="F2041" i="17"/>
  <c r="M2040" i="17"/>
  <c r="F2040" i="17"/>
  <c r="M2039" i="17"/>
  <c r="F2039" i="17"/>
  <c r="M2038" i="17"/>
  <c r="F2038" i="17"/>
  <c r="M2037" i="17"/>
  <c r="F2037" i="17"/>
  <c r="M2036" i="17"/>
  <c r="F2036" i="17"/>
  <c r="M2035" i="17"/>
  <c r="F2035" i="17"/>
  <c r="M2034" i="17"/>
  <c r="F2034" i="17"/>
  <c r="M2033" i="17"/>
  <c r="F2033" i="17"/>
  <c r="M2032" i="17"/>
  <c r="F2032" i="17"/>
  <c r="M2031" i="17"/>
  <c r="F2031" i="17"/>
  <c r="M2030" i="17"/>
  <c r="F2030" i="17"/>
  <c r="M2029" i="17"/>
  <c r="F2029" i="17"/>
  <c r="M2028" i="17"/>
  <c r="F2028" i="17"/>
  <c r="M2027" i="17"/>
  <c r="F2027" i="17"/>
  <c r="M2026" i="17"/>
  <c r="F2026" i="17"/>
  <c r="M2025" i="17"/>
  <c r="F2025" i="17"/>
  <c r="M2024" i="17"/>
  <c r="F2024" i="17"/>
  <c r="M2023" i="17"/>
  <c r="F2023" i="17"/>
  <c r="M2022" i="17"/>
  <c r="F2022" i="17"/>
  <c r="M2021" i="17"/>
  <c r="F2021" i="17"/>
  <c r="M2020" i="17"/>
  <c r="F2020" i="17"/>
  <c r="M2019" i="17"/>
  <c r="F2019" i="17"/>
  <c r="M2018" i="17"/>
  <c r="F2018" i="17"/>
  <c r="M2017" i="17"/>
  <c r="F2017" i="17"/>
  <c r="M2016" i="17"/>
  <c r="F2016" i="17"/>
  <c r="M2015" i="17"/>
  <c r="F2015" i="17"/>
  <c r="M2014" i="17"/>
  <c r="F2014" i="17"/>
  <c r="M2013" i="17"/>
  <c r="F2013" i="17"/>
  <c r="M2012" i="17"/>
  <c r="F2012" i="17"/>
  <c r="M2011" i="17"/>
  <c r="F2011" i="17"/>
  <c r="M2010" i="17"/>
  <c r="F2010" i="17"/>
  <c r="M2009" i="17"/>
  <c r="F2009" i="17"/>
  <c r="M2008" i="17"/>
  <c r="F2008" i="17"/>
  <c r="M2007" i="17"/>
  <c r="F2007" i="17"/>
  <c r="M2006" i="17"/>
  <c r="F2006" i="17"/>
  <c r="M2005" i="17"/>
  <c r="F2005" i="17"/>
  <c r="M2004" i="17"/>
  <c r="F2004" i="17"/>
  <c r="M2003" i="17"/>
  <c r="F2003" i="17"/>
  <c r="M2002" i="17"/>
  <c r="F2002" i="17"/>
  <c r="M2001" i="17"/>
  <c r="F2001" i="17"/>
  <c r="M2000" i="17"/>
  <c r="F2000" i="17"/>
  <c r="M1999" i="17"/>
  <c r="F1999" i="17"/>
  <c r="M1998" i="17"/>
  <c r="F1998" i="17"/>
  <c r="M1997" i="17"/>
  <c r="F1997" i="17"/>
  <c r="M1996" i="17"/>
  <c r="F1996" i="17"/>
  <c r="M1995" i="17"/>
  <c r="F1995" i="17"/>
  <c r="M1994" i="17"/>
  <c r="F1994" i="17"/>
  <c r="M1993" i="17"/>
  <c r="F1993" i="17"/>
  <c r="M1992" i="17"/>
  <c r="F1992" i="17"/>
  <c r="M1991" i="17"/>
  <c r="F1991" i="17"/>
  <c r="M1990" i="17"/>
  <c r="F1990" i="17"/>
  <c r="M1989" i="17"/>
  <c r="F1989" i="17"/>
  <c r="M1988" i="17"/>
  <c r="F1988" i="17"/>
  <c r="M1987" i="17"/>
  <c r="F1987" i="17"/>
  <c r="M1986" i="17"/>
  <c r="F1986" i="17"/>
  <c r="M1985" i="17"/>
  <c r="F1985" i="17"/>
  <c r="M1984" i="17"/>
  <c r="F1984" i="17"/>
  <c r="M1983" i="17"/>
  <c r="F1983" i="17"/>
  <c r="M1982" i="17"/>
  <c r="F1982" i="17"/>
  <c r="M1981" i="17"/>
  <c r="F1981" i="17"/>
  <c r="M1980" i="17"/>
  <c r="F1980" i="17"/>
  <c r="M1979" i="17"/>
  <c r="F1979" i="17"/>
  <c r="M1978" i="17"/>
  <c r="F1978" i="17"/>
  <c r="M1977" i="17"/>
  <c r="F1977" i="17"/>
  <c r="M1976" i="17"/>
  <c r="F1976" i="17"/>
  <c r="M1975" i="17"/>
  <c r="F1975" i="17"/>
  <c r="M1974" i="17"/>
  <c r="F1974" i="17"/>
  <c r="M1973" i="17"/>
  <c r="F1973" i="17"/>
  <c r="M1972" i="17"/>
  <c r="F1972" i="17"/>
  <c r="M1971" i="17"/>
  <c r="F1971" i="17"/>
  <c r="M1970" i="17"/>
  <c r="F1970" i="17"/>
  <c r="M1969" i="17"/>
  <c r="F1969" i="17"/>
  <c r="M1968" i="17"/>
  <c r="F1968" i="17"/>
  <c r="M1967" i="17"/>
  <c r="F1967" i="17"/>
  <c r="M1966" i="17"/>
  <c r="F1966" i="17"/>
  <c r="M1965" i="17"/>
  <c r="F1965" i="17"/>
  <c r="M1964" i="17"/>
  <c r="F1964" i="17"/>
  <c r="M1963" i="17"/>
  <c r="F1963" i="17"/>
  <c r="M1962" i="17"/>
  <c r="F1962" i="17"/>
  <c r="M1961" i="17"/>
  <c r="F1961" i="17"/>
  <c r="M1960" i="17"/>
  <c r="F1960" i="17"/>
  <c r="M1959" i="17"/>
  <c r="F1959" i="17"/>
  <c r="M1958" i="17"/>
  <c r="F1958" i="17"/>
  <c r="M1957" i="17"/>
  <c r="F1957" i="17"/>
  <c r="M1956" i="17"/>
  <c r="F1956" i="17"/>
  <c r="M1955" i="17"/>
  <c r="F1955" i="17"/>
  <c r="M1954" i="17"/>
  <c r="F1954" i="17"/>
  <c r="M1953" i="17"/>
  <c r="F1953" i="17"/>
  <c r="M1952" i="17"/>
  <c r="F1952" i="17"/>
  <c r="M1951" i="17"/>
  <c r="F1951" i="17"/>
  <c r="M1950" i="17"/>
  <c r="F1950" i="17"/>
  <c r="M1949" i="17"/>
  <c r="F1949" i="17"/>
  <c r="M1948" i="17"/>
  <c r="F1948" i="17"/>
  <c r="M1947" i="17"/>
  <c r="F1947" i="17"/>
  <c r="M1946" i="17"/>
  <c r="F1946" i="17"/>
  <c r="M1945" i="17"/>
  <c r="F1945" i="17"/>
  <c r="M1944" i="17"/>
  <c r="F1944" i="17"/>
  <c r="M1943" i="17"/>
  <c r="F1943" i="17"/>
  <c r="M1942" i="17"/>
  <c r="F1942" i="17"/>
  <c r="M1941" i="17"/>
  <c r="F1941" i="17"/>
  <c r="M1940" i="17"/>
  <c r="F1940" i="17"/>
  <c r="M1939" i="17"/>
  <c r="F1939" i="17"/>
  <c r="M1938" i="17"/>
  <c r="F1938" i="17"/>
  <c r="M1937" i="17"/>
  <c r="F1937" i="17"/>
  <c r="M1936" i="17"/>
  <c r="F1936" i="17"/>
  <c r="M1935" i="17"/>
  <c r="F1935" i="17"/>
  <c r="M1934" i="17"/>
  <c r="F1934" i="17"/>
  <c r="M1933" i="17"/>
  <c r="F1933" i="17"/>
  <c r="M1932" i="17"/>
  <c r="F1932" i="17"/>
  <c r="M1931" i="17"/>
  <c r="F1931" i="17"/>
  <c r="M1930" i="17"/>
  <c r="F1930" i="17"/>
  <c r="M1929" i="17"/>
  <c r="F1929" i="17"/>
  <c r="M1928" i="17"/>
  <c r="F1928" i="17"/>
  <c r="M1927" i="17"/>
  <c r="F1927" i="17"/>
  <c r="M1926" i="17"/>
  <c r="F1926" i="17"/>
  <c r="M1925" i="17"/>
  <c r="F1925" i="17"/>
  <c r="M1924" i="17"/>
  <c r="F1924" i="17"/>
  <c r="M1923" i="17"/>
  <c r="F1923" i="17"/>
  <c r="M1922" i="17"/>
  <c r="F1922" i="17"/>
  <c r="M1921" i="17"/>
  <c r="F1921" i="17"/>
  <c r="M1920" i="17"/>
  <c r="F1920" i="17"/>
  <c r="M1919" i="17"/>
  <c r="F1919" i="17"/>
  <c r="M1918" i="17"/>
  <c r="F1918" i="17"/>
  <c r="M1917" i="17"/>
  <c r="F1917" i="17"/>
  <c r="M1916" i="17"/>
  <c r="F1916" i="17"/>
  <c r="M1915" i="17"/>
  <c r="F1915" i="17"/>
  <c r="M1914" i="17"/>
  <c r="F1914" i="17"/>
  <c r="M1913" i="17"/>
  <c r="F1913" i="17"/>
  <c r="M1912" i="17"/>
  <c r="F1912" i="17"/>
  <c r="M1911" i="17"/>
  <c r="F1911" i="17"/>
  <c r="M1910" i="17"/>
  <c r="F1910" i="17"/>
  <c r="M1909" i="17"/>
  <c r="F1909" i="17"/>
  <c r="M1908" i="17"/>
  <c r="F1908" i="17"/>
  <c r="M1907" i="17"/>
  <c r="F1907" i="17"/>
  <c r="M1906" i="17"/>
  <c r="F1906" i="17"/>
  <c r="M1905" i="17"/>
  <c r="F1905" i="17"/>
  <c r="M1904" i="17"/>
  <c r="F1904" i="17"/>
  <c r="M1903" i="17"/>
  <c r="F1903" i="17"/>
  <c r="M1902" i="17"/>
  <c r="F1902" i="17"/>
  <c r="M1901" i="17"/>
  <c r="F1901" i="17"/>
  <c r="M1900" i="17"/>
  <c r="F1900" i="17"/>
  <c r="M1899" i="17"/>
  <c r="F1899" i="17"/>
  <c r="M1898" i="17"/>
  <c r="F1898" i="17"/>
  <c r="M1897" i="17"/>
  <c r="F1897" i="17"/>
  <c r="M1896" i="17"/>
  <c r="F1896" i="17"/>
  <c r="M1895" i="17"/>
  <c r="F1895" i="17"/>
  <c r="M1894" i="17"/>
  <c r="F1894" i="17"/>
  <c r="M1893" i="17"/>
  <c r="F1893" i="17"/>
  <c r="M1892" i="17"/>
  <c r="F1892" i="17"/>
  <c r="M1891" i="17"/>
  <c r="F1891" i="17"/>
  <c r="M1890" i="17"/>
  <c r="F1890" i="17"/>
  <c r="M1889" i="17"/>
  <c r="F1889" i="17"/>
  <c r="M1888" i="17"/>
  <c r="F1888" i="17"/>
  <c r="M1887" i="17"/>
  <c r="F1887" i="17"/>
  <c r="M1886" i="17"/>
  <c r="F1886" i="17"/>
  <c r="M1885" i="17"/>
  <c r="F1885" i="17"/>
  <c r="M1884" i="17"/>
  <c r="F1884" i="17"/>
  <c r="M1883" i="17"/>
  <c r="F1883" i="17"/>
  <c r="M1882" i="17"/>
  <c r="F1882" i="17"/>
  <c r="M1881" i="17"/>
  <c r="F1881" i="17"/>
  <c r="M1880" i="17"/>
  <c r="F1880" i="17"/>
  <c r="M1879" i="17"/>
  <c r="F1879" i="17"/>
  <c r="M1878" i="17"/>
  <c r="F1878" i="17"/>
  <c r="M1877" i="17"/>
  <c r="F1877" i="17"/>
  <c r="M1876" i="17"/>
  <c r="F1876" i="17"/>
  <c r="M1875" i="17"/>
  <c r="F1875" i="17"/>
  <c r="M1874" i="17"/>
  <c r="F1874" i="17"/>
  <c r="M1873" i="17"/>
  <c r="F1873" i="17"/>
  <c r="M1872" i="17"/>
  <c r="F1872" i="17"/>
  <c r="M1871" i="17"/>
  <c r="F1871" i="17"/>
  <c r="M1870" i="17"/>
  <c r="F1870" i="17"/>
  <c r="M1869" i="17"/>
  <c r="F1869" i="17"/>
  <c r="M1868" i="17"/>
  <c r="F1868" i="17"/>
  <c r="M1867" i="17"/>
  <c r="F1867" i="17"/>
  <c r="M1866" i="17"/>
  <c r="F1866" i="17"/>
  <c r="M1865" i="17"/>
  <c r="F1865" i="17"/>
  <c r="M1864" i="17"/>
  <c r="F1864" i="17"/>
  <c r="M1863" i="17"/>
  <c r="F1863" i="17"/>
  <c r="M1862" i="17"/>
  <c r="F1862" i="17"/>
  <c r="M1861" i="17"/>
  <c r="F1861" i="17"/>
  <c r="M1860" i="17"/>
  <c r="F1860" i="17"/>
  <c r="M1859" i="17"/>
  <c r="F1859" i="17"/>
  <c r="M1858" i="17"/>
  <c r="F1858" i="17"/>
  <c r="M1857" i="17"/>
  <c r="F1857" i="17"/>
  <c r="M1856" i="17"/>
  <c r="F1856" i="17"/>
  <c r="M1855" i="17"/>
  <c r="F1855" i="17"/>
  <c r="M1854" i="17"/>
  <c r="F1854" i="17"/>
  <c r="M1853" i="17"/>
  <c r="F1853" i="17"/>
  <c r="M1852" i="17"/>
  <c r="F1852" i="17"/>
  <c r="M1851" i="17"/>
  <c r="F1851" i="17"/>
  <c r="M1850" i="17"/>
  <c r="F1850" i="17"/>
  <c r="M1849" i="17"/>
  <c r="F1849" i="17"/>
  <c r="M1848" i="17"/>
  <c r="F1848" i="17"/>
  <c r="M1847" i="17"/>
  <c r="F1847" i="17"/>
  <c r="M1846" i="17"/>
  <c r="F1846" i="17"/>
  <c r="M1845" i="17"/>
  <c r="F1845" i="17"/>
  <c r="M1844" i="17"/>
  <c r="F1844" i="17"/>
  <c r="M1843" i="17"/>
  <c r="F1843" i="17"/>
  <c r="M1842" i="17"/>
  <c r="F1842" i="17"/>
  <c r="M1841" i="17"/>
  <c r="F1841" i="17"/>
  <c r="M1840" i="17"/>
  <c r="F1840" i="17"/>
  <c r="M1839" i="17"/>
  <c r="F1839" i="17"/>
  <c r="M1838" i="17"/>
  <c r="F1838" i="17"/>
  <c r="M1837" i="17"/>
  <c r="F1837" i="17"/>
  <c r="M1836" i="17"/>
  <c r="F1836" i="17"/>
  <c r="M1835" i="17"/>
  <c r="F1835" i="17"/>
  <c r="M1834" i="17"/>
  <c r="F1834" i="17"/>
  <c r="M1833" i="17"/>
  <c r="F1833" i="17"/>
  <c r="M1832" i="17"/>
  <c r="F1832" i="17"/>
  <c r="M1831" i="17"/>
  <c r="F1831" i="17"/>
  <c r="M1830" i="17"/>
  <c r="F1830" i="17"/>
  <c r="M1829" i="17"/>
  <c r="F1829" i="17"/>
  <c r="M1828" i="17"/>
  <c r="F1828" i="17"/>
  <c r="M1827" i="17"/>
  <c r="F1827" i="17"/>
  <c r="M1826" i="17"/>
  <c r="F1826" i="17"/>
  <c r="M1825" i="17"/>
  <c r="F1825" i="17"/>
  <c r="M1824" i="17"/>
  <c r="F1824" i="17"/>
  <c r="M1823" i="17"/>
  <c r="F1823" i="17"/>
  <c r="M1822" i="17"/>
  <c r="F1822" i="17"/>
  <c r="M1821" i="17"/>
  <c r="F1821" i="17"/>
  <c r="M1820" i="17"/>
  <c r="F1820" i="17"/>
  <c r="M1819" i="17"/>
  <c r="F1819" i="17"/>
  <c r="M1818" i="17"/>
  <c r="F1818" i="17"/>
  <c r="M1817" i="17"/>
  <c r="F1817" i="17"/>
  <c r="M1816" i="17"/>
  <c r="F1816" i="17"/>
  <c r="M1815" i="17"/>
  <c r="F1815" i="17"/>
  <c r="M1814" i="17"/>
  <c r="F1814" i="17"/>
  <c r="M1813" i="17"/>
  <c r="F1813" i="17"/>
  <c r="M1812" i="17"/>
  <c r="F1812" i="17"/>
  <c r="M1811" i="17"/>
  <c r="F1811" i="17"/>
  <c r="M1810" i="17"/>
  <c r="F1810" i="17"/>
  <c r="M1809" i="17"/>
  <c r="F1809" i="17"/>
  <c r="M1808" i="17"/>
  <c r="F1808" i="17"/>
  <c r="M1807" i="17"/>
  <c r="F1807" i="17"/>
  <c r="M1806" i="17"/>
  <c r="F1806" i="17"/>
  <c r="M1805" i="17"/>
  <c r="F1805" i="17"/>
  <c r="M1804" i="17"/>
  <c r="F1804" i="17"/>
  <c r="M1803" i="17"/>
  <c r="F1803" i="17"/>
  <c r="M1802" i="17"/>
  <c r="F1802" i="17"/>
  <c r="M1801" i="17"/>
  <c r="F1801" i="17"/>
  <c r="M1800" i="17"/>
  <c r="F1800" i="17"/>
  <c r="M1799" i="17"/>
  <c r="F1799" i="17"/>
  <c r="M1798" i="17"/>
  <c r="F1798" i="17"/>
  <c r="M1797" i="17"/>
  <c r="F1797" i="17"/>
  <c r="M1796" i="17"/>
  <c r="F1796" i="17"/>
  <c r="M1795" i="17"/>
  <c r="F1795" i="17"/>
  <c r="M1794" i="17"/>
  <c r="F1794" i="17"/>
  <c r="M1793" i="17"/>
  <c r="F1793" i="17"/>
  <c r="M1792" i="17"/>
  <c r="F1792" i="17"/>
  <c r="M1791" i="17"/>
  <c r="F1791" i="17"/>
  <c r="M1790" i="17"/>
  <c r="F1790" i="17"/>
  <c r="M1789" i="17"/>
  <c r="F1789" i="17"/>
  <c r="M1788" i="17"/>
  <c r="F1788" i="17"/>
  <c r="M1787" i="17"/>
  <c r="F1787" i="17"/>
  <c r="M1786" i="17"/>
  <c r="F1786" i="17"/>
  <c r="M1785" i="17"/>
  <c r="F1785" i="17"/>
  <c r="M1784" i="17"/>
  <c r="F1784" i="17"/>
  <c r="M1783" i="17"/>
  <c r="F1783" i="17"/>
  <c r="M1782" i="17"/>
  <c r="F1782" i="17"/>
  <c r="M1781" i="17"/>
  <c r="F1781" i="17"/>
  <c r="M1780" i="17"/>
  <c r="F1780" i="17"/>
  <c r="M1779" i="17"/>
  <c r="F1779" i="17"/>
  <c r="M1778" i="17"/>
  <c r="F1778" i="17"/>
  <c r="M1777" i="17"/>
  <c r="F1777" i="17"/>
  <c r="M1776" i="17"/>
  <c r="F1776" i="17"/>
  <c r="M1775" i="17"/>
  <c r="F1775" i="17"/>
  <c r="M1774" i="17"/>
  <c r="F1774" i="17"/>
  <c r="M1773" i="17"/>
  <c r="F1773" i="17"/>
  <c r="M1772" i="17"/>
  <c r="F1772" i="17"/>
  <c r="M1771" i="17"/>
  <c r="F1771" i="17"/>
  <c r="M1770" i="17"/>
  <c r="F1770" i="17"/>
  <c r="M1769" i="17"/>
  <c r="F1769" i="17"/>
  <c r="M1768" i="17"/>
  <c r="F1768" i="17"/>
  <c r="M1767" i="17"/>
  <c r="F1767" i="17"/>
  <c r="M1766" i="17"/>
  <c r="F1766" i="17"/>
  <c r="M1765" i="17"/>
  <c r="F1765" i="17"/>
  <c r="M1764" i="17"/>
  <c r="F1764" i="17"/>
  <c r="M1763" i="17"/>
  <c r="F1763" i="17"/>
  <c r="M1762" i="17"/>
  <c r="F1762" i="17"/>
  <c r="M1761" i="17"/>
  <c r="F1761" i="17"/>
  <c r="M1760" i="17"/>
  <c r="F1760" i="17"/>
  <c r="M1759" i="17"/>
  <c r="F1759" i="17"/>
  <c r="M1758" i="17"/>
  <c r="F1758" i="17"/>
  <c r="M1757" i="17"/>
  <c r="F1757" i="17"/>
  <c r="M1756" i="17"/>
  <c r="F1756" i="17"/>
  <c r="M1755" i="17"/>
  <c r="F1755" i="17"/>
  <c r="M1754" i="17"/>
  <c r="F1754" i="17"/>
  <c r="M1753" i="17"/>
  <c r="F1753" i="17"/>
  <c r="M1752" i="17"/>
  <c r="F1752" i="17"/>
  <c r="M1751" i="17"/>
  <c r="F1751" i="17"/>
  <c r="M1750" i="17"/>
  <c r="F1750" i="17"/>
  <c r="M1749" i="17"/>
  <c r="F1749" i="17"/>
  <c r="M1748" i="17"/>
  <c r="F1748" i="17"/>
  <c r="M1747" i="17"/>
  <c r="F1747" i="17"/>
  <c r="M1746" i="17"/>
  <c r="F1746" i="17"/>
  <c r="M1745" i="17"/>
  <c r="F1745" i="17"/>
  <c r="M1744" i="17"/>
  <c r="F1744" i="17"/>
  <c r="M1743" i="17"/>
  <c r="F1743" i="17"/>
  <c r="M1742" i="17"/>
  <c r="F1742" i="17"/>
  <c r="M1741" i="17"/>
  <c r="F1741" i="17"/>
  <c r="M1740" i="17"/>
  <c r="F1740" i="17"/>
  <c r="M1739" i="17"/>
  <c r="F1739" i="17"/>
  <c r="M1738" i="17"/>
  <c r="F1738" i="17"/>
  <c r="M1737" i="17"/>
  <c r="F1737" i="17"/>
  <c r="M1736" i="17"/>
  <c r="F1736" i="17"/>
  <c r="M1735" i="17"/>
  <c r="F1735" i="17"/>
  <c r="M1734" i="17"/>
  <c r="F1734" i="17"/>
  <c r="M1733" i="17"/>
  <c r="F1733" i="17"/>
  <c r="M1732" i="17"/>
  <c r="F1732" i="17"/>
  <c r="M1731" i="17"/>
  <c r="F1731" i="17"/>
  <c r="M1730" i="17"/>
  <c r="F1730" i="17"/>
  <c r="M1729" i="17"/>
  <c r="F1729" i="17"/>
  <c r="M1728" i="17"/>
  <c r="F1728" i="17"/>
  <c r="M1727" i="17"/>
  <c r="F1727" i="17"/>
  <c r="M1726" i="17"/>
  <c r="F1726" i="17"/>
  <c r="M1725" i="17"/>
  <c r="F1725" i="17"/>
  <c r="M1724" i="17"/>
  <c r="F1724" i="17"/>
  <c r="M1723" i="17"/>
  <c r="F1723" i="17"/>
  <c r="M1722" i="17"/>
  <c r="F1722" i="17"/>
  <c r="M1721" i="17"/>
  <c r="F1721" i="17"/>
  <c r="M1720" i="17"/>
  <c r="F1720" i="17"/>
  <c r="M1719" i="17"/>
  <c r="F1719" i="17"/>
  <c r="M1718" i="17"/>
  <c r="F1718" i="17"/>
  <c r="M1717" i="17"/>
  <c r="F1717" i="17"/>
  <c r="M1716" i="17"/>
  <c r="F1716" i="17"/>
  <c r="M1715" i="17"/>
  <c r="F1715" i="17"/>
  <c r="M1714" i="17"/>
  <c r="F1714" i="17"/>
  <c r="M1713" i="17"/>
  <c r="F1713" i="17"/>
  <c r="M1712" i="17"/>
  <c r="F1712" i="17"/>
  <c r="M1711" i="17"/>
  <c r="F1711" i="17"/>
  <c r="M1710" i="17"/>
  <c r="F1710" i="17"/>
  <c r="M1709" i="17"/>
  <c r="F1709" i="17"/>
  <c r="M1708" i="17"/>
  <c r="F1708" i="17"/>
  <c r="M1707" i="17"/>
  <c r="F1707" i="17"/>
  <c r="M1706" i="17"/>
  <c r="F1706" i="17"/>
  <c r="M1705" i="17"/>
  <c r="F1705" i="17"/>
  <c r="M1704" i="17"/>
  <c r="F1704" i="17"/>
  <c r="M1703" i="17"/>
  <c r="F1703" i="17"/>
  <c r="M1702" i="17"/>
  <c r="F1702" i="17"/>
  <c r="M1701" i="17"/>
  <c r="F1701" i="17"/>
  <c r="M1700" i="17"/>
  <c r="F1700" i="17"/>
  <c r="M1699" i="17"/>
  <c r="F1699" i="17"/>
  <c r="M1698" i="17"/>
  <c r="F1698" i="17"/>
  <c r="M1697" i="17"/>
  <c r="F1697" i="17"/>
  <c r="M1696" i="17"/>
  <c r="F1696" i="17"/>
  <c r="M1695" i="17"/>
  <c r="F1695" i="17"/>
  <c r="M1694" i="17"/>
  <c r="F1694" i="17"/>
  <c r="M1693" i="17"/>
  <c r="F1693" i="17"/>
  <c r="M1692" i="17"/>
  <c r="F1692" i="17"/>
  <c r="M1691" i="17"/>
  <c r="F1691" i="17"/>
  <c r="M1690" i="17"/>
  <c r="F1690" i="17"/>
  <c r="M1689" i="17"/>
  <c r="F1689" i="17"/>
  <c r="M1688" i="17"/>
  <c r="F1688" i="17"/>
  <c r="M1687" i="17"/>
  <c r="F1687" i="17"/>
  <c r="M1686" i="17"/>
  <c r="F1686" i="17"/>
  <c r="M1685" i="17"/>
  <c r="F1685" i="17"/>
  <c r="M1684" i="17"/>
  <c r="F1684" i="17"/>
  <c r="M1683" i="17"/>
  <c r="F1683" i="17"/>
  <c r="M1682" i="17"/>
  <c r="F1682" i="17"/>
  <c r="M1681" i="17"/>
  <c r="F1681" i="17"/>
  <c r="M1680" i="17"/>
  <c r="F1680" i="17"/>
  <c r="M1679" i="17"/>
  <c r="F1679" i="17"/>
  <c r="M1678" i="17"/>
  <c r="F1678" i="17"/>
  <c r="M1677" i="17"/>
  <c r="F1677" i="17"/>
  <c r="M1676" i="17"/>
  <c r="F1676" i="17"/>
  <c r="M1675" i="17"/>
  <c r="F1675" i="17"/>
  <c r="M1674" i="17"/>
  <c r="F1674" i="17"/>
  <c r="M1673" i="17"/>
  <c r="F1673" i="17"/>
  <c r="M1672" i="17"/>
  <c r="F1672" i="17"/>
  <c r="M1671" i="17"/>
  <c r="F1671" i="17"/>
  <c r="M1670" i="17"/>
  <c r="F1670" i="17"/>
  <c r="M1669" i="17"/>
  <c r="F1669" i="17"/>
  <c r="M1668" i="17"/>
  <c r="F1668" i="17"/>
  <c r="M1667" i="17"/>
  <c r="F1667" i="17"/>
  <c r="M1666" i="17"/>
  <c r="F1666" i="17"/>
  <c r="M1665" i="17"/>
  <c r="F1665" i="17"/>
  <c r="M1664" i="17"/>
  <c r="F1664" i="17"/>
  <c r="M1663" i="17"/>
  <c r="F1663" i="17"/>
  <c r="M1662" i="17"/>
  <c r="F1662" i="17"/>
  <c r="M1661" i="17"/>
  <c r="F1661" i="17"/>
  <c r="M1660" i="17"/>
  <c r="F1660" i="17"/>
  <c r="M1659" i="17"/>
  <c r="F1659" i="17"/>
  <c r="M1658" i="17"/>
  <c r="F1658" i="17"/>
  <c r="M1657" i="17"/>
  <c r="F1657" i="17"/>
  <c r="M1656" i="17"/>
  <c r="F1656" i="17"/>
  <c r="M1655" i="17"/>
  <c r="F1655" i="17"/>
  <c r="M1654" i="17"/>
  <c r="F1654" i="17"/>
  <c r="M1653" i="17"/>
  <c r="F1653" i="17"/>
  <c r="M1652" i="17"/>
  <c r="F1652" i="17"/>
  <c r="M1651" i="17"/>
  <c r="F1651" i="17"/>
  <c r="M1650" i="17"/>
  <c r="F1650" i="17"/>
  <c r="M1649" i="17"/>
  <c r="F1649" i="17"/>
  <c r="M1648" i="17"/>
  <c r="F1648" i="17"/>
  <c r="M1647" i="17"/>
  <c r="F1647" i="17"/>
  <c r="M1646" i="17"/>
  <c r="F1646" i="17"/>
  <c r="M1645" i="17"/>
  <c r="F1645" i="17"/>
  <c r="M1644" i="17"/>
  <c r="F1644" i="17"/>
  <c r="M1643" i="17"/>
  <c r="F1643" i="17"/>
  <c r="M1642" i="17"/>
  <c r="F1642" i="17"/>
  <c r="M1641" i="17"/>
  <c r="F1641" i="17"/>
  <c r="M1640" i="17"/>
  <c r="F1640" i="17"/>
  <c r="M1639" i="17"/>
  <c r="F1639" i="17"/>
  <c r="M1638" i="17"/>
  <c r="F1638" i="17"/>
  <c r="M1637" i="17"/>
  <c r="F1637" i="17"/>
  <c r="M1636" i="17"/>
  <c r="F1636" i="17"/>
  <c r="M1635" i="17"/>
  <c r="F1635" i="17"/>
  <c r="M1634" i="17"/>
  <c r="F1634" i="17"/>
  <c r="M1633" i="17"/>
  <c r="F1633" i="17"/>
  <c r="M1632" i="17"/>
  <c r="F1632" i="17"/>
  <c r="M1631" i="17"/>
  <c r="F1631" i="17"/>
  <c r="M1630" i="17"/>
  <c r="F1630" i="17"/>
  <c r="M1629" i="17"/>
  <c r="F1629" i="17"/>
  <c r="M1628" i="17"/>
  <c r="F1628" i="17"/>
  <c r="M1627" i="17"/>
  <c r="F1627" i="17"/>
  <c r="M1626" i="17"/>
  <c r="F1626" i="17"/>
  <c r="M1625" i="17"/>
  <c r="F1625" i="17"/>
  <c r="M1624" i="17"/>
  <c r="F1624" i="17"/>
  <c r="M1623" i="17"/>
  <c r="F1623" i="17"/>
  <c r="M1622" i="17"/>
  <c r="F1622" i="17"/>
  <c r="M1621" i="17"/>
  <c r="F1621" i="17"/>
  <c r="M1620" i="17"/>
  <c r="F1620" i="17"/>
  <c r="M1619" i="17"/>
  <c r="F1619" i="17"/>
  <c r="M1618" i="17"/>
  <c r="F1618" i="17"/>
  <c r="M1617" i="17"/>
  <c r="F1617" i="17"/>
  <c r="M1616" i="17"/>
  <c r="F1616" i="17"/>
  <c r="M1615" i="17"/>
  <c r="F1615" i="17"/>
  <c r="M1614" i="17"/>
  <c r="F1614" i="17"/>
  <c r="M1613" i="17"/>
  <c r="F1613" i="17"/>
  <c r="M1612" i="17"/>
  <c r="F1612" i="17"/>
  <c r="M1611" i="17"/>
  <c r="F1611" i="17"/>
  <c r="M1610" i="17"/>
  <c r="F1610" i="17"/>
  <c r="M1609" i="17"/>
  <c r="F1609" i="17"/>
  <c r="M1608" i="17"/>
  <c r="F1608" i="17"/>
  <c r="M1607" i="17"/>
  <c r="F1607" i="17"/>
  <c r="M1606" i="17"/>
  <c r="F1606" i="17"/>
  <c r="M1605" i="17"/>
  <c r="F1605" i="17"/>
  <c r="M1604" i="17"/>
  <c r="F1604" i="17"/>
  <c r="M1603" i="17"/>
  <c r="F1603" i="17"/>
  <c r="M1602" i="17"/>
  <c r="F1602" i="17"/>
  <c r="M1601" i="17"/>
  <c r="F1601" i="17"/>
  <c r="M1600" i="17"/>
  <c r="F1600" i="17"/>
  <c r="M1599" i="17"/>
  <c r="F1599" i="17"/>
  <c r="M1598" i="17"/>
  <c r="F1598" i="17"/>
  <c r="M1597" i="17"/>
  <c r="F1597" i="17"/>
  <c r="M1596" i="17"/>
  <c r="F1596" i="17"/>
  <c r="M1595" i="17"/>
  <c r="F1595" i="17"/>
  <c r="M1594" i="17"/>
  <c r="F1594" i="17"/>
  <c r="M1593" i="17"/>
  <c r="F1593" i="17"/>
  <c r="M1592" i="17"/>
  <c r="F1592" i="17"/>
  <c r="M1591" i="17"/>
  <c r="F1591" i="17"/>
  <c r="M1590" i="17"/>
  <c r="F1590" i="17"/>
  <c r="M1589" i="17"/>
  <c r="F1589" i="17"/>
  <c r="M1588" i="17"/>
  <c r="F1588" i="17"/>
  <c r="M1587" i="17"/>
  <c r="F1587" i="17"/>
  <c r="M1586" i="17"/>
  <c r="F1586" i="17"/>
  <c r="M1585" i="17"/>
  <c r="F1585" i="17"/>
  <c r="M1584" i="17"/>
  <c r="F1584" i="17"/>
  <c r="M1583" i="17"/>
  <c r="F1583" i="17"/>
  <c r="M1582" i="17"/>
  <c r="F1582" i="17"/>
  <c r="M1581" i="17"/>
  <c r="F1581" i="17"/>
  <c r="M1580" i="17"/>
  <c r="F1580" i="17"/>
  <c r="M1579" i="17"/>
  <c r="F1579" i="17"/>
  <c r="M1578" i="17"/>
  <c r="F1578" i="17"/>
  <c r="M1577" i="17"/>
  <c r="F1577" i="17"/>
  <c r="M1576" i="17"/>
  <c r="F1576" i="17"/>
  <c r="M1575" i="17"/>
  <c r="F1575" i="17"/>
  <c r="M1574" i="17"/>
  <c r="F1574" i="17"/>
  <c r="M1573" i="17"/>
  <c r="F1573" i="17"/>
  <c r="M1572" i="17"/>
  <c r="F1572" i="17"/>
  <c r="M1571" i="17"/>
  <c r="F1571" i="17"/>
  <c r="M1570" i="17"/>
  <c r="F1570" i="17"/>
  <c r="M1569" i="17"/>
  <c r="F1569" i="17"/>
  <c r="M1568" i="17"/>
  <c r="F1568" i="17"/>
  <c r="M1567" i="17"/>
  <c r="F1567" i="17"/>
  <c r="M1566" i="17"/>
  <c r="F1566" i="17"/>
  <c r="M1565" i="17"/>
  <c r="F1565" i="17"/>
  <c r="M1564" i="17"/>
  <c r="F1564" i="17"/>
  <c r="M1563" i="17"/>
  <c r="F1563" i="17"/>
  <c r="M1562" i="17"/>
  <c r="F1562" i="17"/>
  <c r="M1561" i="17"/>
  <c r="F1561" i="17"/>
  <c r="M1560" i="17"/>
  <c r="F1560" i="17"/>
  <c r="M1559" i="17"/>
  <c r="F1559" i="17"/>
  <c r="M1558" i="17"/>
  <c r="F1558" i="17"/>
  <c r="M1557" i="17"/>
  <c r="F1557" i="17"/>
  <c r="M1556" i="17"/>
  <c r="F1556" i="17"/>
  <c r="M1555" i="17"/>
  <c r="F1555" i="17"/>
  <c r="M1554" i="17"/>
  <c r="F1554" i="17"/>
  <c r="M1553" i="17"/>
  <c r="F1553" i="17"/>
  <c r="M1552" i="17"/>
  <c r="F1552" i="17"/>
  <c r="M1551" i="17"/>
  <c r="F1551" i="17"/>
  <c r="M1550" i="17"/>
  <c r="F1550" i="17"/>
  <c r="M1549" i="17"/>
  <c r="F1549" i="17"/>
  <c r="M1548" i="17"/>
  <c r="F1548" i="17"/>
  <c r="M1547" i="17"/>
  <c r="F1547" i="17"/>
  <c r="M1546" i="17"/>
  <c r="F1546" i="17"/>
  <c r="M1545" i="17"/>
  <c r="F1545" i="17"/>
  <c r="M1544" i="17"/>
  <c r="F1544" i="17"/>
  <c r="M1543" i="17"/>
  <c r="F1543" i="17"/>
  <c r="M1542" i="17"/>
  <c r="F1542" i="17"/>
  <c r="M1541" i="17"/>
  <c r="F1541" i="17"/>
  <c r="M1540" i="17"/>
  <c r="F1540" i="17"/>
  <c r="M1539" i="17"/>
  <c r="F1539" i="17"/>
  <c r="M1538" i="17"/>
  <c r="F1538" i="17"/>
  <c r="M1537" i="17"/>
  <c r="F1537" i="17"/>
  <c r="M1536" i="17"/>
  <c r="F1536" i="17"/>
  <c r="M1535" i="17"/>
  <c r="F1535" i="17"/>
  <c r="M1534" i="17"/>
  <c r="F1534" i="17"/>
  <c r="M1533" i="17"/>
  <c r="F1533" i="17"/>
  <c r="M1532" i="17"/>
  <c r="F1532" i="17"/>
  <c r="M1531" i="17"/>
  <c r="F1531" i="17"/>
  <c r="M1530" i="17"/>
  <c r="F1530" i="17"/>
  <c r="M1529" i="17"/>
  <c r="F1529" i="17"/>
  <c r="M1528" i="17"/>
  <c r="F1528" i="17"/>
  <c r="M1527" i="17"/>
  <c r="F1527" i="17"/>
  <c r="M1526" i="17"/>
  <c r="F1526" i="17"/>
  <c r="M1525" i="17"/>
  <c r="F1525" i="17"/>
  <c r="M1524" i="17"/>
  <c r="F1524" i="17"/>
  <c r="M1523" i="17"/>
  <c r="F1523" i="17"/>
  <c r="M1522" i="17"/>
  <c r="F1522" i="17"/>
  <c r="M1521" i="17"/>
  <c r="F1521" i="17"/>
  <c r="M1520" i="17"/>
  <c r="F1520" i="17"/>
  <c r="M1519" i="17"/>
  <c r="F1519" i="17"/>
  <c r="M1518" i="17"/>
  <c r="F1518" i="17"/>
  <c r="M1517" i="17"/>
  <c r="F1517" i="17"/>
  <c r="M1516" i="17"/>
  <c r="F1516" i="17"/>
  <c r="M1515" i="17"/>
  <c r="F1515" i="17"/>
  <c r="M1514" i="17"/>
  <c r="F1514" i="17"/>
  <c r="M1513" i="17"/>
  <c r="F1513" i="17"/>
  <c r="M1512" i="17"/>
  <c r="F1512" i="17"/>
  <c r="M1511" i="17"/>
  <c r="F1511" i="17"/>
  <c r="M1510" i="17"/>
  <c r="F1510" i="17"/>
  <c r="M1509" i="17"/>
  <c r="F1509" i="17"/>
  <c r="M1508" i="17"/>
  <c r="F1508" i="17"/>
  <c r="M1507" i="17"/>
  <c r="F1507" i="17"/>
  <c r="M1506" i="17"/>
  <c r="F1506" i="17"/>
  <c r="M1505" i="17"/>
  <c r="F1505" i="17"/>
  <c r="M1504" i="17"/>
  <c r="F1504" i="17"/>
  <c r="M1503" i="17"/>
  <c r="F1503" i="17"/>
  <c r="M1502" i="17"/>
  <c r="F1502" i="17"/>
  <c r="M1501" i="17"/>
  <c r="F1501" i="17"/>
  <c r="M1500" i="17"/>
  <c r="F1500" i="17"/>
  <c r="M1499" i="17"/>
  <c r="F1499" i="17"/>
  <c r="M1498" i="17"/>
  <c r="F1498" i="17"/>
  <c r="M1497" i="17"/>
  <c r="F1497" i="17"/>
  <c r="M1496" i="17"/>
  <c r="F1496" i="17"/>
  <c r="M1495" i="17"/>
  <c r="F1495" i="17"/>
  <c r="M1494" i="17"/>
  <c r="F1494" i="17"/>
  <c r="M1493" i="17"/>
  <c r="F1493" i="17"/>
  <c r="M1492" i="17"/>
  <c r="F1492" i="17"/>
  <c r="M1491" i="17"/>
  <c r="F1491" i="17"/>
  <c r="M1490" i="17"/>
  <c r="F1490" i="17"/>
  <c r="M1489" i="17"/>
  <c r="F1489" i="17"/>
  <c r="M1488" i="17"/>
  <c r="F1488" i="17"/>
  <c r="M1487" i="17"/>
  <c r="F1487" i="17"/>
  <c r="M1486" i="17"/>
  <c r="F1486" i="17"/>
  <c r="M1485" i="17"/>
  <c r="F1485" i="17"/>
  <c r="M1484" i="17"/>
  <c r="F1484" i="17"/>
  <c r="M1483" i="17"/>
  <c r="F1483" i="17"/>
  <c r="M1482" i="17"/>
  <c r="F1482" i="17"/>
  <c r="M1481" i="17"/>
  <c r="F1481" i="17"/>
  <c r="M1480" i="17"/>
  <c r="F1480" i="17"/>
  <c r="M1479" i="17"/>
  <c r="F1479" i="17"/>
  <c r="M1478" i="17"/>
  <c r="F1478" i="17"/>
  <c r="M1477" i="17"/>
  <c r="F1477" i="17"/>
  <c r="M1476" i="17"/>
  <c r="F1476" i="17"/>
  <c r="M1475" i="17"/>
  <c r="F1475" i="17"/>
  <c r="M1474" i="17"/>
  <c r="F1474" i="17"/>
  <c r="M1473" i="17"/>
  <c r="F1473" i="17"/>
  <c r="M1472" i="17"/>
  <c r="F1472" i="17"/>
  <c r="M1471" i="17"/>
  <c r="F1471" i="17"/>
  <c r="M1470" i="17"/>
  <c r="F1470" i="17"/>
  <c r="M1469" i="17"/>
  <c r="F1469" i="17"/>
  <c r="M1468" i="17"/>
  <c r="F1468" i="17"/>
  <c r="M1467" i="17"/>
  <c r="F1467" i="17"/>
  <c r="M1466" i="17"/>
  <c r="F1466" i="17"/>
  <c r="M1465" i="17"/>
  <c r="F1465" i="17"/>
  <c r="M1464" i="17"/>
  <c r="F1464" i="17"/>
  <c r="M1463" i="17"/>
  <c r="F1463" i="17"/>
  <c r="M1462" i="17"/>
  <c r="F1462" i="17"/>
  <c r="M1461" i="17"/>
  <c r="F1461" i="17"/>
  <c r="M1460" i="17"/>
  <c r="F1460" i="17"/>
  <c r="M1459" i="17"/>
  <c r="F1459" i="17"/>
  <c r="M1458" i="17"/>
  <c r="F1458" i="17"/>
  <c r="M1457" i="17"/>
  <c r="F1457" i="17"/>
  <c r="M1456" i="17"/>
  <c r="F1456" i="17"/>
  <c r="M1455" i="17"/>
  <c r="F1455" i="17"/>
  <c r="M1454" i="17"/>
  <c r="F1454" i="17"/>
  <c r="M1453" i="17"/>
  <c r="F1453" i="17"/>
  <c r="M1452" i="17"/>
  <c r="F1452" i="17"/>
  <c r="M1451" i="17"/>
  <c r="F1451" i="17"/>
  <c r="M1450" i="17"/>
  <c r="F1450" i="17"/>
  <c r="M1449" i="17"/>
  <c r="F1449" i="17"/>
  <c r="M1448" i="17"/>
  <c r="F1448" i="17"/>
  <c r="M1447" i="17"/>
  <c r="F1447" i="17"/>
  <c r="M1446" i="17"/>
  <c r="F1446" i="17"/>
  <c r="M1445" i="17"/>
  <c r="F1445" i="17"/>
  <c r="M1444" i="17"/>
  <c r="F1444" i="17"/>
  <c r="M1443" i="17"/>
  <c r="F1443" i="17"/>
  <c r="M1442" i="17"/>
  <c r="F1442" i="17"/>
  <c r="M1441" i="17"/>
  <c r="F1441" i="17"/>
  <c r="M1440" i="17"/>
  <c r="F1440" i="17"/>
  <c r="M1439" i="17"/>
  <c r="F1439" i="17"/>
  <c r="M1438" i="17"/>
  <c r="F1438" i="17"/>
  <c r="M1437" i="17"/>
  <c r="F1437" i="17"/>
  <c r="M1436" i="17"/>
  <c r="F1436" i="17"/>
  <c r="M1435" i="17"/>
  <c r="F1435" i="17"/>
  <c r="M1434" i="17"/>
  <c r="F1434" i="17"/>
  <c r="M1433" i="17"/>
  <c r="F1433" i="17"/>
  <c r="M1432" i="17"/>
  <c r="F1432" i="17"/>
  <c r="M1431" i="17"/>
  <c r="F1431" i="17"/>
  <c r="M1430" i="17"/>
  <c r="F1430" i="17"/>
  <c r="M1429" i="17"/>
  <c r="F1429" i="17"/>
  <c r="M1428" i="17"/>
  <c r="F1428" i="17"/>
  <c r="M1427" i="17"/>
  <c r="F1427" i="17"/>
  <c r="M1426" i="17"/>
  <c r="F1426" i="17"/>
  <c r="M1425" i="17"/>
  <c r="F1425" i="17"/>
  <c r="M1424" i="17"/>
  <c r="F1424" i="17"/>
  <c r="M1423" i="17"/>
  <c r="F1423" i="17"/>
  <c r="M1422" i="17"/>
  <c r="F1422" i="17"/>
  <c r="M1421" i="17"/>
  <c r="F1421" i="17"/>
  <c r="M1420" i="17"/>
  <c r="F1420" i="17"/>
  <c r="M1419" i="17"/>
  <c r="F1419" i="17"/>
  <c r="M1418" i="17"/>
  <c r="F1418" i="17"/>
  <c r="M1417" i="17"/>
  <c r="F1417" i="17"/>
  <c r="M1416" i="17"/>
  <c r="F1416" i="17"/>
  <c r="M1415" i="17"/>
  <c r="F1415" i="17"/>
  <c r="M1414" i="17"/>
  <c r="F1414" i="17"/>
  <c r="M1413" i="17"/>
  <c r="F1413" i="17"/>
  <c r="M1412" i="17"/>
  <c r="F1412" i="17"/>
  <c r="M1411" i="17"/>
  <c r="F1411" i="17"/>
  <c r="M1410" i="17"/>
  <c r="F1410" i="17"/>
  <c r="M1409" i="17"/>
  <c r="F1409" i="17"/>
  <c r="M1408" i="17"/>
  <c r="F1408" i="17"/>
  <c r="M1407" i="17"/>
  <c r="F1407" i="17"/>
  <c r="M1406" i="17"/>
  <c r="F1406" i="17"/>
  <c r="M1405" i="17"/>
  <c r="F1405" i="17"/>
  <c r="M1404" i="17"/>
  <c r="F1404" i="17"/>
  <c r="M1403" i="17"/>
  <c r="F1403" i="17"/>
  <c r="M1402" i="17"/>
  <c r="F1402" i="17"/>
  <c r="M1401" i="17"/>
  <c r="F1401" i="17"/>
  <c r="M1400" i="17"/>
  <c r="F1400" i="17"/>
  <c r="M1399" i="17"/>
  <c r="F1399" i="17"/>
  <c r="M1398" i="17"/>
  <c r="F1398" i="17"/>
  <c r="M1397" i="17"/>
  <c r="F1397" i="17"/>
  <c r="M1396" i="17"/>
  <c r="F1396" i="17"/>
  <c r="M1395" i="17"/>
  <c r="F1395" i="17"/>
  <c r="M1394" i="17"/>
  <c r="F1394" i="17"/>
  <c r="M1393" i="17"/>
  <c r="F1393" i="17"/>
  <c r="M1392" i="17"/>
  <c r="F1392" i="17"/>
  <c r="M1391" i="17"/>
  <c r="F1391" i="17"/>
  <c r="M1390" i="17"/>
  <c r="F1390" i="17"/>
  <c r="M1389" i="17"/>
  <c r="F1389" i="17"/>
  <c r="M1388" i="17"/>
  <c r="F1388" i="17"/>
  <c r="M1387" i="17"/>
  <c r="F1387" i="17"/>
  <c r="M1386" i="17"/>
  <c r="F1386" i="17"/>
  <c r="M1385" i="17"/>
  <c r="F1385" i="17"/>
  <c r="M1384" i="17"/>
  <c r="F1384" i="17"/>
  <c r="M1383" i="17"/>
  <c r="F1383" i="17"/>
  <c r="M1382" i="17"/>
  <c r="F1382" i="17"/>
  <c r="M1381" i="17"/>
  <c r="F1381" i="17"/>
  <c r="M1380" i="17"/>
  <c r="F1380" i="17"/>
  <c r="M1379" i="17"/>
  <c r="F1379" i="17"/>
  <c r="M1378" i="17"/>
  <c r="F1378" i="17"/>
  <c r="M1377" i="17"/>
  <c r="F1377" i="17"/>
  <c r="M1376" i="17"/>
  <c r="F1376" i="17"/>
  <c r="M1375" i="17"/>
  <c r="F1375" i="17"/>
  <c r="M1374" i="17"/>
  <c r="F1374" i="17"/>
  <c r="M1373" i="17"/>
  <c r="F1373" i="17"/>
  <c r="M1372" i="17"/>
  <c r="F1372" i="17"/>
  <c r="M1371" i="17"/>
  <c r="F1371" i="17"/>
  <c r="M1370" i="17"/>
  <c r="F1370" i="17"/>
  <c r="M1369" i="17"/>
  <c r="F1369" i="17"/>
  <c r="M1368" i="17"/>
  <c r="F1368" i="17"/>
  <c r="M1367" i="17"/>
  <c r="F1367" i="17"/>
  <c r="M1366" i="17"/>
  <c r="F1366" i="17"/>
  <c r="M1365" i="17"/>
  <c r="F1365" i="17"/>
  <c r="M1364" i="17"/>
  <c r="F1364" i="17"/>
  <c r="M1363" i="17"/>
  <c r="F1363" i="17"/>
  <c r="M1362" i="17"/>
  <c r="F1362" i="17"/>
  <c r="M1361" i="17"/>
  <c r="F1361" i="17"/>
  <c r="M1360" i="17"/>
  <c r="F1360" i="17"/>
  <c r="M1359" i="17"/>
  <c r="F1359" i="17"/>
  <c r="M1358" i="17"/>
  <c r="F1358" i="17"/>
  <c r="M1357" i="17"/>
  <c r="F1357" i="17"/>
  <c r="M1356" i="17"/>
  <c r="F1356" i="17"/>
  <c r="M1355" i="17"/>
  <c r="F1355" i="17"/>
  <c r="M1354" i="17"/>
  <c r="F1354" i="17"/>
  <c r="M1353" i="17"/>
  <c r="F1353" i="17"/>
  <c r="M1352" i="17"/>
  <c r="F1352" i="17"/>
  <c r="M1351" i="17"/>
  <c r="F1351" i="17"/>
  <c r="M1350" i="17"/>
  <c r="F1350" i="17"/>
  <c r="M1349" i="17"/>
  <c r="F1349" i="17"/>
  <c r="M1348" i="17"/>
  <c r="F1348" i="17"/>
  <c r="M1347" i="17"/>
  <c r="F1347" i="17"/>
  <c r="M1346" i="17"/>
  <c r="F1346" i="17"/>
  <c r="M1345" i="17"/>
  <c r="F1345" i="17"/>
  <c r="M1344" i="17"/>
  <c r="F1344" i="17"/>
  <c r="M1343" i="17"/>
  <c r="F1343" i="17"/>
  <c r="M1342" i="17"/>
  <c r="F1342" i="17"/>
  <c r="M1341" i="17"/>
  <c r="F1341" i="17"/>
  <c r="M1340" i="17"/>
  <c r="F1340" i="17"/>
  <c r="M1339" i="17"/>
  <c r="F1339" i="17"/>
  <c r="M1338" i="17"/>
  <c r="F1338" i="17"/>
  <c r="M1337" i="17"/>
  <c r="F1337" i="17"/>
  <c r="M1336" i="17"/>
  <c r="F1336" i="17"/>
  <c r="M1335" i="17"/>
  <c r="F1335" i="17"/>
  <c r="M1334" i="17"/>
  <c r="F1334" i="17"/>
  <c r="M1333" i="17"/>
  <c r="F1333" i="17"/>
  <c r="M1332" i="17"/>
  <c r="F1332" i="17"/>
  <c r="M1331" i="17"/>
  <c r="F1331" i="17"/>
  <c r="M1330" i="17"/>
  <c r="F1330" i="17"/>
  <c r="M1329" i="17"/>
  <c r="F1329" i="17"/>
  <c r="M1328" i="17"/>
  <c r="F1328" i="17"/>
  <c r="M1327" i="17"/>
  <c r="F1327" i="17"/>
  <c r="M1326" i="17"/>
  <c r="F1326" i="17"/>
  <c r="M1325" i="17"/>
  <c r="F1325" i="17"/>
  <c r="M1324" i="17"/>
  <c r="F1324" i="17"/>
  <c r="M1323" i="17"/>
  <c r="F1323" i="17"/>
  <c r="M1322" i="17"/>
  <c r="F1322" i="17"/>
  <c r="M1321" i="17"/>
  <c r="F1321" i="17"/>
  <c r="M1320" i="17"/>
  <c r="F1320" i="17"/>
  <c r="M1319" i="17"/>
  <c r="F1319" i="17"/>
  <c r="M1318" i="17"/>
  <c r="F1318" i="17"/>
  <c r="M1317" i="17"/>
  <c r="F1317" i="17"/>
  <c r="M1316" i="17"/>
  <c r="F1316" i="17"/>
  <c r="M1315" i="17"/>
  <c r="F1315" i="17"/>
  <c r="M1314" i="17"/>
  <c r="F1314" i="17"/>
  <c r="M1313" i="17"/>
  <c r="F1313" i="17"/>
  <c r="M1312" i="17"/>
  <c r="F1312" i="17"/>
  <c r="M1311" i="17"/>
  <c r="F1311" i="17"/>
  <c r="M1310" i="17"/>
  <c r="F1310" i="17"/>
  <c r="M1309" i="17"/>
  <c r="F1309" i="17"/>
  <c r="M1308" i="17"/>
  <c r="F1308" i="17"/>
  <c r="M1307" i="17"/>
  <c r="F1307" i="17"/>
  <c r="M1306" i="17"/>
  <c r="F1306" i="17"/>
  <c r="M1305" i="17"/>
  <c r="F1305" i="17"/>
  <c r="M1304" i="17"/>
  <c r="F1304" i="17"/>
  <c r="M1303" i="17"/>
  <c r="F1303" i="17"/>
  <c r="M1302" i="17"/>
  <c r="F1302" i="17"/>
  <c r="M1301" i="17"/>
  <c r="F1301" i="17"/>
  <c r="M1300" i="17"/>
  <c r="F1300" i="17"/>
  <c r="M1299" i="17"/>
  <c r="F1299" i="17"/>
  <c r="M1298" i="17"/>
  <c r="F1298" i="17"/>
  <c r="M1297" i="17"/>
  <c r="F1297" i="17"/>
  <c r="M1296" i="17"/>
  <c r="F1296" i="17"/>
  <c r="M1295" i="17"/>
  <c r="F1295" i="17"/>
  <c r="M1294" i="17"/>
  <c r="F1294" i="17"/>
  <c r="M1293" i="17"/>
  <c r="F1293" i="17"/>
  <c r="M1292" i="17"/>
  <c r="F1292" i="17"/>
  <c r="M1291" i="17"/>
  <c r="F1291" i="17"/>
  <c r="M1290" i="17"/>
  <c r="F1290" i="17"/>
  <c r="M1289" i="17"/>
  <c r="F1289" i="17"/>
  <c r="M1288" i="17"/>
  <c r="F1288" i="17"/>
  <c r="M1287" i="17"/>
  <c r="F1287" i="17"/>
  <c r="M1286" i="17"/>
  <c r="F1286" i="17"/>
  <c r="M1285" i="17"/>
  <c r="F1285" i="17"/>
  <c r="M1284" i="17"/>
  <c r="F1284" i="17"/>
  <c r="M1283" i="17"/>
  <c r="F1283" i="17"/>
  <c r="M1282" i="17"/>
  <c r="F1282" i="17"/>
  <c r="M1281" i="17"/>
  <c r="F1281" i="17"/>
  <c r="M1280" i="17"/>
  <c r="F1280" i="17"/>
  <c r="M1279" i="17"/>
  <c r="F1279" i="17"/>
  <c r="M1278" i="17"/>
  <c r="F1278" i="17"/>
  <c r="M1277" i="17"/>
  <c r="F1277" i="17"/>
  <c r="M1276" i="17"/>
  <c r="F1276" i="17"/>
  <c r="M1275" i="17"/>
  <c r="F1275" i="17"/>
  <c r="M1274" i="17"/>
  <c r="F1274" i="17"/>
  <c r="M1273" i="17"/>
  <c r="F1273" i="17"/>
  <c r="M1272" i="17"/>
  <c r="F1272" i="17"/>
  <c r="M1271" i="17"/>
  <c r="F1271" i="17"/>
  <c r="M1270" i="17"/>
  <c r="F1270" i="17"/>
  <c r="M1269" i="17"/>
  <c r="F1269" i="17"/>
  <c r="M1268" i="17"/>
  <c r="F1268" i="17"/>
  <c r="M1267" i="17"/>
  <c r="F1267" i="17"/>
  <c r="M1266" i="17"/>
  <c r="F1266" i="17"/>
  <c r="M1265" i="17"/>
  <c r="F1265" i="17"/>
  <c r="M1264" i="17"/>
  <c r="F1264" i="17"/>
  <c r="M1263" i="17"/>
  <c r="F1263" i="17"/>
  <c r="M1262" i="17"/>
  <c r="F1262" i="17"/>
  <c r="M1261" i="17"/>
  <c r="F1261" i="17"/>
  <c r="M1260" i="17"/>
  <c r="F1260" i="17"/>
  <c r="M1259" i="17"/>
  <c r="F1259" i="17"/>
  <c r="M1258" i="17"/>
  <c r="F1258" i="17"/>
  <c r="M1257" i="17"/>
  <c r="F1257" i="17"/>
  <c r="M1256" i="17"/>
  <c r="F1256" i="17"/>
  <c r="M1255" i="17"/>
  <c r="F1255" i="17"/>
  <c r="M1254" i="17"/>
  <c r="F1254" i="17"/>
  <c r="M1253" i="17"/>
  <c r="F1253" i="17"/>
  <c r="M1252" i="17"/>
  <c r="F1252" i="17"/>
  <c r="M1251" i="17"/>
  <c r="F1251" i="17"/>
  <c r="M1250" i="17"/>
  <c r="F1250" i="17"/>
  <c r="M1249" i="17"/>
  <c r="F1249" i="17"/>
  <c r="M1248" i="17"/>
  <c r="F1248" i="17"/>
  <c r="M1247" i="17"/>
  <c r="F1247" i="17"/>
  <c r="M1246" i="17"/>
  <c r="F1246" i="17"/>
  <c r="M1245" i="17"/>
  <c r="F1245" i="17"/>
  <c r="M1244" i="17"/>
  <c r="F1244" i="17"/>
  <c r="M1243" i="17"/>
  <c r="F1243" i="17"/>
  <c r="M1242" i="17"/>
  <c r="F1242" i="17"/>
  <c r="M1241" i="17"/>
  <c r="F1241" i="17"/>
  <c r="M1240" i="17"/>
  <c r="F1240" i="17"/>
  <c r="M1239" i="17"/>
  <c r="F1239" i="17"/>
  <c r="M1238" i="17"/>
  <c r="F1238" i="17"/>
  <c r="M1237" i="17"/>
  <c r="F1237" i="17"/>
  <c r="M1236" i="17"/>
  <c r="F1236" i="17"/>
  <c r="M1235" i="17"/>
  <c r="F1235" i="17"/>
  <c r="M1234" i="17"/>
  <c r="F1234" i="17"/>
  <c r="M1233" i="17"/>
  <c r="F1233" i="17"/>
  <c r="M1232" i="17"/>
  <c r="F1232" i="17"/>
  <c r="M1231" i="17"/>
  <c r="F1231" i="17"/>
  <c r="M1230" i="17"/>
  <c r="F1230" i="17"/>
  <c r="M1229" i="17"/>
  <c r="F1229" i="17"/>
  <c r="M1228" i="17"/>
  <c r="F1228" i="17"/>
  <c r="M1227" i="17"/>
  <c r="F1227" i="17"/>
  <c r="M1226" i="17"/>
  <c r="F1226" i="17"/>
  <c r="M1225" i="17"/>
  <c r="F1225" i="17"/>
  <c r="M1224" i="17"/>
  <c r="F1224" i="17"/>
  <c r="M1223" i="17"/>
  <c r="F1223" i="17"/>
  <c r="M1222" i="17"/>
  <c r="F1222" i="17"/>
  <c r="M1221" i="17"/>
  <c r="F1221" i="17"/>
  <c r="M1220" i="17"/>
  <c r="F1220" i="17"/>
  <c r="M1219" i="17"/>
  <c r="F1219" i="17"/>
  <c r="M1218" i="17"/>
  <c r="F1218" i="17"/>
  <c r="M1217" i="17"/>
  <c r="F1217" i="17"/>
  <c r="M1216" i="17"/>
  <c r="F1216" i="17"/>
  <c r="M1215" i="17"/>
  <c r="F1215" i="17"/>
  <c r="M1214" i="17"/>
  <c r="F1214" i="17"/>
  <c r="M1213" i="17"/>
  <c r="F1213" i="17"/>
  <c r="M1212" i="17"/>
  <c r="F1212" i="17"/>
  <c r="M1211" i="17"/>
  <c r="F1211" i="17"/>
  <c r="M1210" i="17"/>
  <c r="F1210" i="17"/>
  <c r="M1209" i="17"/>
  <c r="F1209" i="17"/>
  <c r="M1208" i="17"/>
  <c r="F1208" i="17"/>
  <c r="M1207" i="17"/>
  <c r="F1207" i="17"/>
  <c r="M1206" i="17"/>
  <c r="F1206" i="17"/>
  <c r="M1205" i="17"/>
  <c r="F1205" i="17"/>
  <c r="M1204" i="17"/>
  <c r="F1204" i="17"/>
  <c r="M1203" i="17"/>
  <c r="F1203" i="17"/>
  <c r="M1202" i="17"/>
  <c r="F1202" i="17"/>
  <c r="M1201" i="17"/>
  <c r="F1201" i="17"/>
  <c r="M1200" i="17"/>
  <c r="F1200" i="17"/>
  <c r="M1199" i="17"/>
  <c r="F1199" i="17"/>
  <c r="M1198" i="17"/>
  <c r="F1198" i="17"/>
  <c r="M1197" i="17"/>
  <c r="F1197" i="17"/>
  <c r="M1196" i="17"/>
  <c r="F1196" i="17"/>
  <c r="M1195" i="17"/>
  <c r="F1195" i="17"/>
  <c r="M1194" i="17"/>
  <c r="F1194" i="17"/>
  <c r="M1193" i="17"/>
  <c r="F1193" i="17"/>
  <c r="M1192" i="17"/>
  <c r="F1192" i="17"/>
  <c r="M1191" i="17"/>
  <c r="F1191" i="17"/>
  <c r="M1190" i="17"/>
  <c r="F1190" i="17"/>
  <c r="M1189" i="17"/>
  <c r="F1189" i="17"/>
  <c r="M1188" i="17"/>
  <c r="F1188" i="17"/>
  <c r="M1187" i="17"/>
  <c r="F1187" i="17"/>
  <c r="M1186" i="17"/>
  <c r="F1186" i="17"/>
  <c r="M1185" i="17"/>
  <c r="F1185" i="17"/>
  <c r="M1184" i="17"/>
  <c r="F1184" i="17"/>
  <c r="M1183" i="17"/>
  <c r="F1183" i="17"/>
  <c r="M1182" i="17"/>
  <c r="F1182" i="17"/>
  <c r="M1181" i="17"/>
  <c r="F1181" i="17"/>
  <c r="M1180" i="17"/>
  <c r="F1180" i="17"/>
  <c r="M1179" i="17"/>
  <c r="F1179" i="17"/>
  <c r="M1178" i="17"/>
  <c r="F1178" i="17"/>
  <c r="M1177" i="17"/>
  <c r="F1177" i="17"/>
  <c r="M1176" i="17"/>
  <c r="F1176" i="17"/>
  <c r="M1175" i="17"/>
  <c r="F1175" i="17"/>
  <c r="M1174" i="17"/>
  <c r="F1174" i="17"/>
  <c r="M1173" i="17"/>
  <c r="F1173" i="17"/>
  <c r="M1172" i="17"/>
  <c r="F1172" i="17"/>
  <c r="M1171" i="17"/>
  <c r="F1171" i="17"/>
  <c r="M1170" i="17"/>
  <c r="F1170" i="17"/>
  <c r="M1169" i="17"/>
  <c r="F1169" i="17"/>
  <c r="M1168" i="17"/>
  <c r="F1168" i="17"/>
  <c r="M1167" i="17"/>
  <c r="F1167" i="17"/>
  <c r="M1166" i="17"/>
  <c r="F1166" i="17"/>
  <c r="M1165" i="17"/>
  <c r="F1165" i="17"/>
  <c r="M1164" i="17"/>
  <c r="F1164" i="17"/>
  <c r="M1163" i="17"/>
  <c r="F1163" i="17"/>
  <c r="M1162" i="17"/>
  <c r="F1162" i="17"/>
  <c r="M1161" i="17"/>
  <c r="F1161" i="17"/>
  <c r="M1160" i="17"/>
  <c r="F1160" i="17"/>
  <c r="M1159" i="17"/>
  <c r="F1159" i="17"/>
  <c r="M1158" i="17"/>
  <c r="F1158" i="17"/>
  <c r="M1157" i="17"/>
  <c r="F1157" i="17"/>
  <c r="M1156" i="17"/>
  <c r="F1156" i="17"/>
  <c r="M1155" i="17"/>
  <c r="F1155" i="17"/>
  <c r="M1154" i="17"/>
  <c r="F1154" i="17"/>
  <c r="M1153" i="17"/>
  <c r="F1153" i="17"/>
  <c r="M1152" i="17"/>
  <c r="F1152" i="17"/>
  <c r="M1151" i="17"/>
  <c r="F1151" i="17"/>
  <c r="M1150" i="17"/>
  <c r="F1150" i="17"/>
  <c r="M1149" i="17"/>
  <c r="F1149" i="17"/>
  <c r="M1148" i="17"/>
  <c r="F1148" i="17"/>
  <c r="M1147" i="17"/>
  <c r="F1147" i="17"/>
  <c r="M1146" i="17"/>
  <c r="F1146" i="17"/>
  <c r="M1145" i="17"/>
  <c r="F1145" i="17"/>
  <c r="M1144" i="17"/>
  <c r="F1144" i="17"/>
  <c r="M1143" i="17"/>
  <c r="F1143" i="17"/>
  <c r="M1142" i="17"/>
  <c r="F1142" i="17"/>
  <c r="M1141" i="17"/>
  <c r="F1141" i="17"/>
  <c r="M1140" i="17"/>
  <c r="F1140" i="17"/>
  <c r="M1139" i="17"/>
  <c r="F1139" i="17"/>
  <c r="M1138" i="17"/>
  <c r="F1138" i="17"/>
  <c r="M1137" i="17"/>
  <c r="F1137" i="17"/>
  <c r="M1136" i="17"/>
  <c r="F1136" i="17"/>
  <c r="M1135" i="17"/>
  <c r="F1135" i="17"/>
  <c r="M1134" i="17"/>
  <c r="F1134" i="17"/>
  <c r="M1133" i="17"/>
  <c r="F1133" i="17"/>
  <c r="M1132" i="17"/>
  <c r="F1132" i="17"/>
  <c r="M1131" i="17"/>
  <c r="F1131" i="17"/>
  <c r="M1130" i="17"/>
  <c r="F1130" i="17"/>
  <c r="M1129" i="17"/>
  <c r="F1129" i="17"/>
  <c r="M1128" i="17"/>
  <c r="F1128" i="17"/>
  <c r="M1127" i="17"/>
  <c r="F1127" i="17"/>
  <c r="M1126" i="17"/>
  <c r="F1126" i="17"/>
  <c r="M1125" i="17"/>
  <c r="F1125" i="17"/>
  <c r="M1124" i="17"/>
  <c r="F1124" i="17"/>
  <c r="M1123" i="17"/>
  <c r="F1123" i="17"/>
  <c r="M1122" i="17"/>
  <c r="F1122" i="17"/>
  <c r="M1121" i="17"/>
  <c r="F1121" i="17"/>
  <c r="M1120" i="17"/>
  <c r="F1120" i="17"/>
  <c r="M1119" i="17"/>
  <c r="F1119" i="17"/>
  <c r="M1118" i="17"/>
  <c r="F1118" i="17"/>
  <c r="M1117" i="17"/>
  <c r="F1117" i="17"/>
  <c r="M1116" i="17"/>
  <c r="F1116" i="17"/>
  <c r="M1115" i="17"/>
  <c r="F1115" i="17"/>
  <c r="M1114" i="17"/>
  <c r="F1114" i="17"/>
  <c r="M1113" i="17"/>
  <c r="F1113" i="17"/>
  <c r="M1112" i="17"/>
  <c r="F1112" i="17"/>
  <c r="M1111" i="17"/>
  <c r="F1111" i="17"/>
  <c r="M1110" i="17"/>
  <c r="F1110" i="17"/>
  <c r="M1109" i="17"/>
  <c r="F1109" i="17"/>
  <c r="M1108" i="17"/>
  <c r="F1108" i="17"/>
  <c r="M1107" i="17"/>
  <c r="F1107" i="17"/>
  <c r="M1106" i="17"/>
  <c r="F1106" i="17"/>
  <c r="M1105" i="17"/>
  <c r="F1105" i="17"/>
  <c r="M1104" i="17"/>
  <c r="F1104" i="17"/>
  <c r="M1103" i="17"/>
  <c r="F1103" i="17"/>
  <c r="M1102" i="17"/>
  <c r="F1102" i="17"/>
  <c r="M1101" i="17"/>
  <c r="F1101" i="17"/>
  <c r="M1100" i="17"/>
  <c r="F1100" i="17"/>
  <c r="M1099" i="17"/>
  <c r="F1099" i="17"/>
  <c r="M1098" i="17"/>
  <c r="F1098" i="17"/>
  <c r="M1097" i="17"/>
  <c r="F1097" i="17"/>
  <c r="M1096" i="17"/>
  <c r="F1096" i="17"/>
  <c r="M1095" i="17"/>
  <c r="F1095" i="17"/>
  <c r="M1094" i="17"/>
  <c r="F1094" i="17"/>
  <c r="M1093" i="17"/>
  <c r="F1093" i="17"/>
  <c r="M1092" i="17"/>
  <c r="F1092" i="17"/>
  <c r="M1091" i="17"/>
  <c r="F1091" i="17"/>
  <c r="M1090" i="17"/>
  <c r="F1090" i="17"/>
  <c r="M1089" i="17"/>
  <c r="F1089" i="17"/>
  <c r="M1088" i="17"/>
  <c r="F1088" i="17"/>
  <c r="M1087" i="17"/>
  <c r="F1087" i="17"/>
  <c r="M1086" i="17"/>
  <c r="F1086" i="17"/>
  <c r="M1085" i="17"/>
  <c r="F1085" i="17"/>
  <c r="M1084" i="17"/>
  <c r="F1084" i="17"/>
  <c r="M1083" i="17"/>
  <c r="F1083" i="17"/>
  <c r="M1082" i="17"/>
  <c r="F1082" i="17"/>
  <c r="M1081" i="17"/>
  <c r="F1081" i="17"/>
  <c r="M1080" i="17"/>
  <c r="F1080" i="17"/>
  <c r="M1079" i="17"/>
  <c r="F1079" i="17"/>
  <c r="M1078" i="17"/>
  <c r="F1078" i="17"/>
  <c r="M1077" i="17"/>
  <c r="F1077" i="17"/>
  <c r="M1076" i="17"/>
  <c r="F1076" i="17"/>
  <c r="M1075" i="17"/>
  <c r="F1075" i="17"/>
  <c r="M1074" i="17"/>
  <c r="F1074" i="17"/>
  <c r="M1073" i="17"/>
  <c r="F1073" i="17"/>
  <c r="M1072" i="17"/>
  <c r="F1072" i="17"/>
  <c r="M1071" i="17"/>
  <c r="F1071" i="17"/>
  <c r="M1070" i="17"/>
  <c r="F1070" i="17"/>
  <c r="M1069" i="17"/>
  <c r="F1069" i="17"/>
  <c r="M1068" i="17"/>
  <c r="F1068" i="17"/>
  <c r="M1067" i="17"/>
  <c r="F1067" i="17"/>
  <c r="M1066" i="17"/>
  <c r="F1066" i="17"/>
  <c r="M1065" i="17"/>
  <c r="F1065" i="17"/>
  <c r="M1064" i="17"/>
  <c r="F1064" i="17"/>
  <c r="M1063" i="17"/>
  <c r="F1063" i="17"/>
  <c r="M1062" i="17"/>
  <c r="F1062" i="17"/>
  <c r="M1061" i="17"/>
  <c r="F1061" i="17"/>
  <c r="M1060" i="17"/>
  <c r="F1060" i="17"/>
  <c r="M1059" i="17"/>
  <c r="F1059" i="17"/>
  <c r="M1058" i="17"/>
  <c r="F1058" i="17"/>
  <c r="M1057" i="17"/>
  <c r="F1057" i="17"/>
  <c r="M1056" i="17"/>
  <c r="F1056" i="17"/>
  <c r="M1055" i="17"/>
  <c r="F1055" i="17"/>
  <c r="M1054" i="17"/>
  <c r="F1054" i="17"/>
  <c r="M1053" i="17"/>
  <c r="F1053" i="17"/>
  <c r="M1052" i="17"/>
  <c r="F1052" i="17"/>
  <c r="M1051" i="17"/>
  <c r="F1051" i="17"/>
  <c r="M1050" i="17"/>
  <c r="F1050" i="17"/>
  <c r="M1049" i="17"/>
  <c r="F1049" i="17"/>
  <c r="M1048" i="17"/>
  <c r="F1048" i="17"/>
  <c r="M1047" i="17"/>
  <c r="F1047" i="17"/>
  <c r="M1046" i="17"/>
  <c r="F1046" i="17"/>
  <c r="M1045" i="17"/>
  <c r="F1045" i="17"/>
  <c r="M1044" i="17"/>
  <c r="F1044" i="17"/>
  <c r="M1043" i="17"/>
  <c r="F1043" i="17"/>
  <c r="M1042" i="17"/>
  <c r="F1042" i="17"/>
  <c r="M1041" i="17"/>
  <c r="F1041" i="17"/>
  <c r="M1040" i="17"/>
  <c r="F1040" i="17"/>
  <c r="M1039" i="17"/>
  <c r="F1039" i="17"/>
  <c r="M1038" i="17"/>
  <c r="F1038" i="17"/>
  <c r="M1037" i="17"/>
  <c r="F1037" i="17"/>
  <c r="M1036" i="17"/>
  <c r="F1036" i="17"/>
  <c r="M1035" i="17"/>
  <c r="F1035" i="17"/>
  <c r="M1034" i="17"/>
  <c r="F1034" i="17"/>
  <c r="M1033" i="17"/>
  <c r="F1033" i="17"/>
  <c r="M1032" i="17"/>
  <c r="F1032" i="17"/>
  <c r="M1031" i="17"/>
  <c r="F1031" i="17"/>
  <c r="M1030" i="17"/>
  <c r="F1030" i="17"/>
  <c r="M1029" i="17"/>
  <c r="F1029" i="17"/>
  <c r="M1028" i="17"/>
  <c r="F1028" i="17"/>
  <c r="M1027" i="17"/>
  <c r="F1027" i="17"/>
  <c r="M1026" i="17"/>
  <c r="F1026" i="17"/>
  <c r="M1025" i="17"/>
  <c r="F1025" i="17"/>
  <c r="M1024" i="17"/>
  <c r="F1024" i="17"/>
  <c r="M1023" i="17"/>
  <c r="F1023" i="17"/>
  <c r="M1022" i="17"/>
  <c r="F1022" i="17"/>
  <c r="M1021" i="17"/>
  <c r="F1021" i="17"/>
  <c r="M1020" i="17"/>
  <c r="F1020" i="17"/>
  <c r="M1019" i="17"/>
  <c r="F1019" i="17"/>
  <c r="M1018" i="17"/>
  <c r="F1018" i="17"/>
  <c r="M1017" i="17"/>
  <c r="F1017" i="17"/>
  <c r="M1016" i="17"/>
  <c r="F1016" i="17"/>
  <c r="M1015" i="17"/>
  <c r="F1015" i="17"/>
  <c r="M1014" i="17"/>
  <c r="F1014" i="17"/>
  <c r="M1013" i="17"/>
  <c r="F1013" i="17"/>
  <c r="M1012" i="17"/>
  <c r="F1012" i="17"/>
  <c r="M1011" i="17"/>
  <c r="F1011" i="17"/>
  <c r="M1010" i="17"/>
  <c r="F1010" i="17"/>
  <c r="M1009" i="17"/>
  <c r="F1009" i="17"/>
  <c r="M1008" i="17"/>
  <c r="F1008" i="17"/>
  <c r="M1007" i="17"/>
  <c r="F1007" i="17"/>
  <c r="M1006" i="17"/>
  <c r="F1006" i="17"/>
  <c r="M1005" i="17"/>
  <c r="F1005" i="17"/>
  <c r="M1004" i="17"/>
  <c r="F1004" i="17"/>
  <c r="M1003" i="17"/>
  <c r="F1003" i="17"/>
  <c r="M1002" i="17"/>
  <c r="F1002" i="17"/>
  <c r="M1001" i="17"/>
  <c r="F1001" i="17"/>
  <c r="M1000" i="17"/>
  <c r="F1000" i="17"/>
  <c r="M999" i="17"/>
  <c r="F999" i="17"/>
  <c r="M998" i="17"/>
  <c r="F998" i="17"/>
  <c r="M997" i="17"/>
  <c r="F997" i="17"/>
  <c r="M996" i="17"/>
  <c r="F996" i="17"/>
  <c r="M995" i="17"/>
  <c r="F995" i="17"/>
  <c r="M994" i="17"/>
  <c r="F994" i="17"/>
  <c r="M993" i="17"/>
  <c r="F993" i="17"/>
  <c r="M992" i="17"/>
  <c r="F992" i="17"/>
  <c r="M991" i="17"/>
  <c r="F991" i="17"/>
  <c r="M990" i="17"/>
  <c r="F990" i="17"/>
  <c r="M989" i="17"/>
  <c r="F989" i="17"/>
  <c r="M988" i="17"/>
  <c r="F988" i="17"/>
  <c r="M987" i="17"/>
  <c r="F987" i="17"/>
  <c r="M986" i="17"/>
  <c r="F986" i="17"/>
  <c r="M985" i="17"/>
  <c r="F985" i="17"/>
  <c r="M984" i="17"/>
  <c r="F984" i="17"/>
  <c r="M983" i="17"/>
  <c r="F983" i="17"/>
  <c r="M982" i="17"/>
  <c r="F982" i="17"/>
  <c r="M981" i="17"/>
  <c r="F981" i="17"/>
  <c r="M980" i="17"/>
  <c r="F980" i="17"/>
  <c r="M979" i="17"/>
  <c r="F979" i="17"/>
  <c r="M978" i="17"/>
  <c r="F978" i="17"/>
  <c r="M977" i="17"/>
  <c r="F977" i="17"/>
  <c r="M976" i="17"/>
  <c r="F976" i="17"/>
  <c r="M975" i="17"/>
  <c r="F975" i="17"/>
  <c r="M974" i="17"/>
  <c r="F974" i="17"/>
  <c r="M973" i="17"/>
  <c r="F973" i="17"/>
  <c r="M972" i="17"/>
  <c r="F972" i="17"/>
  <c r="M971" i="17"/>
  <c r="F971" i="17"/>
  <c r="M970" i="17"/>
  <c r="F970" i="17"/>
  <c r="M969" i="17"/>
  <c r="F969" i="17"/>
  <c r="M968" i="17"/>
  <c r="F968" i="17"/>
  <c r="M967" i="17"/>
  <c r="F967" i="17"/>
  <c r="M966" i="17"/>
  <c r="F966" i="17"/>
  <c r="M965" i="17"/>
  <c r="F965" i="17"/>
  <c r="M964" i="17"/>
  <c r="F964" i="17"/>
  <c r="M963" i="17"/>
  <c r="F963" i="17"/>
  <c r="M962" i="17"/>
  <c r="F962" i="17"/>
  <c r="M961" i="17"/>
  <c r="F961" i="17"/>
  <c r="M960" i="17"/>
  <c r="F960" i="17"/>
  <c r="M959" i="17"/>
  <c r="F959" i="17"/>
  <c r="M958" i="17"/>
  <c r="F958" i="17"/>
  <c r="M957" i="17"/>
  <c r="F957" i="17"/>
  <c r="M956" i="17"/>
  <c r="F956" i="17"/>
  <c r="M955" i="17"/>
  <c r="F955" i="17"/>
  <c r="M954" i="17"/>
  <c r="F954" i="17"/>
  <c r="M953" i="17"/>
  <c r="F953" i="17"/>
  <c r="M952" i="17"/>
  <c r="F952" i="17"/>
  <c r="M951" i="17"/>
  <c r="F951" i="17"/>
  <c r="M950" i="17"/>
  <c r="F950" i="17"/>
  <c r="M949" i="17"/>
  <c r="F949" i="17"/>
  <c r="M948" i="17"/>
  <c r="F948" i="17"/>
  <c r="M947" i="17"/>
  <c r="F947" i="17"/>
  <c r="M946" i="17"/>
  <c r="F946" i="17"/>
  <c r="M945" i="17"/>
  <c r="F945" i="17"/>
  <c r="M944" i="17"/>
  <c r="F944" i="17"/>
  <c r="M943" i="17"/>
  <c r="F943" i="17"/>
  <c r="M942" i="17"/>
  <c r="F942" i="17"/>
  <c r="M941" i="17"/>
  <c r="F941" i="17"/>
  <c r="M940" i="17"/>
  <c r="F940" i="17"/>
  <c r="M939" i="17"/>
  <c r="F939" i="17"/>
  <c r="M938" i="17"/>
  <c r="F938" i="17"/>
  <c r="M937" i="17"/>
  <c r="F937" i="17"/>
  <c r="M936" i="17"/>
  <c r="F936" i="17"/>
  <c r="M935" i="17"/>
  <c r="F935" i="17"/>
  <c r="M934" i="17"/>
  <c r="F934" i="17"/>
  <c r="M933" i="17"/>
  <c r="F933" i="17"/>
  <c r="M932" i="17"/>
  <c r="F932" i="17"/>
  <c r="M931" i="17"/>
  <c r="F931" i="17"/>
  <c r="M930" i="17"/>
  <c r="F930" i="17"/>
  <c r="M929" i="17"/>
  <c r="F929" i="17"/>
  <c r="M928" i="17"/>
  <c r="F928" i="17"/>
  <c r="M927" i="17"/>
  <c r="F927" i="17"/>
  <c r="M926" i="17"/>
  <c r="F926" i="17"/>
  <c r="M925" i="17"/>
  <c r="F925" i="17"/>
  <c r="M924" i="17"/>
  <c r="F924" i="17"/>
  <c r="M923" i="17"/>
  <c r="F923" i="17"/>
  <c r="M922" i="17"/>
  <c r="F922" i="17"/>
  <c r="M921" i="17"/>
  <c r="F921" i="17"/>
  <c r="M920" i="17"/>
  <c r="F920" i="17"/>
  <c r="M919" i="17"/>
  <c r="F919" i="17"/>
  <c r="M918" i="17"/>
  <c r="F918" i="17"/>
  <c r="M917" i="17"/>
  <c r="F917" i="17"/>
  <c r="M916" i="17"/>
  <c r="F916" i="17"/>
  <c r="M915" i="17"/>
  <c r="F915" i="17"/>
  <c r="M914" i="17"/>
  <c r="F914" i="17"/>
  <c r="M913" i="17"/>
  <c r="F913" i="17"/>
  <c r="M912" i="17"/>
  <c r="F912" i="17"/>
  <c r="M911" i="17"/>
  <c r="F911" i="17"/>
  <c r="M910" i="17"/>
  <c r="F910" i="17"/>
  <c r="M909" i="17"/>
  <c r="F909" i="17"/>
  <c r="M908" i="17"/>
  <c r="F908" i="17"/>
  <c r="M907" i="17"/>
  <c r="F907" i="17"/>
  <c r="M906" i="17"/>
  <c r="F906" i="17"/>
  <c r="M905" i="17"/>
  <c r="F905" i="17"/>
  <c r="M904" i="17"/>
  <c r="F904" i="17"/>
  <c r="M903" i="17"/>
  <c r="F903" i="17"/>
  <c r="M902" i="17"/>
  <c r="F902" i="17"/>
  <c r="M901" i="17"/>
  <c r="F901" i="17"/>
  <c r="M900" i="17"/>
  <c r="F900" i="17"/>
  <c r="M899" i="17"/>
  <c r="F899" i="17"/>
  <c r="M898" i="17"/>
  <c r="F898" i="17"/>
  <c r="M897" i="17"/>
  <c r="F897" i="17"/>
  <c r="M896" i="17"/>
  <c r="F896" i="17"/>
  <c r="M895" i="17"/>
  <c r="F895" i="17"/>
  <c r="M894" i="17"/>
  <c r="F894" i="17"/>
  <c r="M893" i="17"/>
  <c r="F893" i="17"/>
  <c r="M892" i="17"/>
  <c r="F892" i="17"/>
  <c r="M891" i="17"/>
  <c r="F891" i="17"/>
  <c r="M890" i="17"/>
  <c r="F890" i="17"/>
  <c r="M889" i="17"/>
  <c r="F889" i="17"/>
  <c r="M888" i="17"/>
  <c r="F888" i="17"/>
  <c r="M887" i="17"/>
  <c r="F887" i="17"/>
  <c r="M886" i="17"/>
  <c r="F886" i="17"/>
  <c r="M885" i="17"/>
  <c r="F885" i="17"/>
  <c r="M884" i="17"/>
  <c r="F884" i="17"/>
  <c r="M883" i="17"/>
  <c r="F883" i="17"/>
  <c r="M882" i="17"/>
  <c r="F882" i="17"/>
  <c r="M881" i="17"/>
  <c r="F881" i="17"/>
  <c r="M880" i="17"/>
  <c r="F880" i="17"/>
  <c r="M879" i="17"/>
  <c r="F879" i="17"/>
  <c r="M878" i="17"/>
  <c r="F878" i="17"/>
  <c r="M877" i="17"/>
  <c r="F877" i="17"/>
  <c r="M876" i="17"/>
  <c r="F876" i="17"/>
  <c r="M875" i="17"/>
  <c r="F875" i="17"/>
  <c r="M874" i="17"/>
  <c r="F874" i="17"/>
  <c r="M873" i="17"/>
  <c r="F873" i="17"/>
  <c r="M872" i="17"/>
  <c r="F872" i="17"/>
  <c r="M871" i="17"/>
  <c r="F871" i="17"/>
  <c r="M870" i="17"/>
  <c r="F870" i="17"/>
  <c r="M869" i="17"/>
  <c r="F869" i="17"/>
  <c r="M868" i="17"/>
  <c r="F868" i="17"/>
  <c r="M867" i="17"/>
  <c r="F867" i="17"/>
  <c r="M866" i="17"/>
  <c r="F866" i="17"/>
  <c r="M865" i="17"/>
  <c r="F865" i="17"/>
  <c r="M864" i="17"/>
  <c r="F864" i="17"/>
  <c r="M863" i="17"/>
  <c r="F863" i="17"/>
  <c r="M862" i="17"/>
  <c r="F862" i="17"/>
  <c r="M861" i="17"/>
  <c r="F861" i="17"/>
  <c r="M860" i="17"/>
  <c r="F860" i="17"/>
  <c r="M859" i="17"/>
  <c r="F859" i="17"/>
  <c r="M858" i="17"/>
  <c r="F858" i="17"/>
  <c r="M857" i="17"/>
  <c r="F857" i="17"/>
  <c r="M856" i="17"/>
  <c r="F856" i="17"/>
  <c r="M855" i="17"/>
  <c r="F855" i="17"/>
  <c r="M854" i="17"/>
  <c r="F854" i="17"/>
  <c r="M853" i="17"/>
  <c r="F853" i="17"/>
  <c r="M852" i="17"/>
  <c r="F852" i="17"/>
  <c r="M851" i="17"/>
  <c r="F851" i="17"/>
  <c r="M850" i="17"/>
  <c r="F850" i="17"/>
  <c r="M849" i="17"/>
  <c r="F849" i="17"/>
  <c r="M848" i="17"/>
  <c r="F848" i="17"/>
  <c r="M847" i="17"/>
  <c r="F847" i="17"/>
  <c r="M846" i="17"/>
  <c r="F846" i="17"/>
  <c r="M845" i="17"/>
  <c r="F845" i="17"/>
  <c r="M844" i="17"/>
  <c r="F844" i="17"/>
  <c r="M843" i="17"/>
  <c r="F843" i="17"/>
  <c r="M842" i="17"/>
  <c r="F842" i="17"/>
  <c r="M841" i="17"/>
  <c r="F841" i="17"/>
  <c r="M840" i="17"/>
  <c r="F840" i="17"/>
  <c r="M839" i="17"/>
  <c r="F839" i="17"/>
  <c r="M838" i="17"/>
  <c r="F838" i="17"/>
  <c r="M837" i="17"/>
  <c r="F837" i="17"/>
  <c r="M836" i="17"/>
  <c r="F836" i="17"/>
  <c r="M835" i="17"/>
  <c r="F835" i="17"/>
  <c r="M834" i="17"/>
  <c r="F834" i="17"/>
  <c r="M833" i="17"/>
  <c r="F833" i="17"/>
  <c r="M832" i="17"/>
  <c r="F832" i="17"/>
  <c r="M831" i="17"/>
  <c r="F831" i="17"/>
  <c r="M830" i="17"/>
  <c r="F830" i="17"/>
  <c r="M829" i="17"/>
  <c r="F829" i="17"/>
  <c r="M828" i="17"/>
  <c r="F828" i="17"/>
  <c r="M827" i="17"/>
  <c r="F827" i="17"/>
  <c r="M826" i="17"/>
  <c r="F826" i="17"/>
  <c r="M825" i="17"/>
  <c r="F825" i="17"/>
  <c r="M824" i="17"/>
  <c r="F824" i="17"/>
  <c r="M823" i="17"/>
  <c r="F823" i="17"/>
  <c r="M822" i="17"/>
  <c r="F822" i="17"/>
  <c r="M821" i="17"/>
  <c r="F821" i="17"/>
  <c r="M820" i="17"/>
  <c r="F820" i="17"/>
  <c r="M819" i="17"/>
  <c r="F819" i="17"/>
  <c r="M818" i="17"/>
  <c r="F818" i="17"/>
  <c r="M817" i="17"/>
  <c r="F817" i="17"/>
  <c r="M816" i="17"/>
  <c r="F816" i="17"/>
  <c r="M815" i="17"/>
  <c r="F815" i="17"/>
  <c r="M814" i="17"/>
  <c r="F814" i="17"/>
  <c r="M813" i="17"/>
  <c r="F813" i="17"/>
  <c r="M812" i="17"/>
  <c r="F812" i="17"/>
  <c r="M811" i="17"/>
  <c r="F811" i="17"/>
  <c r="M810" i="17"/>
  <c r="F810" i="17"/>
  <c r="M809" i="17"/>
  <c r="F809" i="17"/>
  <c r="M808" i="17"/>
  <c r="F808" i="17"/>
  <c r="M807" i="17"/>
  <c r="F807" i="17"/>
  <c r="M806" i="17"/>
  <c r="F806" i="17"/>
  <c r="M805" i="17"/>
  <c r="F805" i="17"/>
  <c r="M804" i="17"/>
  <c r="F804" i="17"/>
  <c r="M803" i="17"/>
  <c r="F803" i="17"/>
  <c r="M802" i="17"/>
  <c r="F802" i="17"/>
  <c r="M801" i="17"/>
  <c r="F801" i="17"/>
  <c r="M800" i="17"/>
  <c r="F800" i="17"/>
  <c r="M799" i="17"/>
  <c r="F799" i="17"/>
  <c r="M798" i="17"/>
  <c r="F798" i="17"/>
  <c r="M797" i="17"/>
  <c r="F797" i="17"/>
  <c r="M796" i="17"/>
  <c r="F796" i="17"/>
  <c r="M795" i="17"/>
  <c r="F795" i="17"/>
  <c r="M794" i="17"/>
  <c r="F794" i="17"/>
  <c r="M793" i="17"/>
  <c r="F793" i="17"/>
  <c r="M792" i="17"/>
  <c r="F792" i="17"/>
  <c r="M791" i="17"/>
  <c r="F791" i="17"/>
  <c r="M790" i="17"/>
  <c r="F790" i="17"/>
  <c r="M789" i="17"/>
  <c r="F789" i="17"/>
  <c r="M788" i="17"/>
  <c r="F788" i="17"/>
  <c r="M787" i="17"/>
  <c r="F787" i="17"/>
  <c r="M786" i="17"/>
  <c r="F786" i="17"/>
  <c r="M785" i="17"/>
  <c r="F785" i="17"/>
  <c r="M784" i="17"/>
  <c r="F784" i="17"/>
  <c r="M783" i="17"/>
  <c r="F783" i="17"/>
  <c r="M782" i="17"/>
  <c r="F782" i="17"/>
  <c r="M781" i="17"/>
  <c r="F781" i="17"/>
  <c r="M780" i="17"/>
  <c r="F780" i="17"/>
  <c r="M779" i="17"/>
  <c r="F779" i="17"/>
  <c r="M778" i="17"/>
  <c r="F778" i="17"/>
  <c r="M777" i="17"/>
  <c r="F777" i="17"/>
  <c r="M776" i="17"/>
  <c r="F776" i="17"/>
  <c r="M775" i="17"/>
  <c r="F775" i="17"/>
  <c r="M774" i="17"/>
  <c r="F774" i="17"/>
  <c r="M773" i="17"/>
  <c r="F773" i="17"/>
  <c r="M772" i="17"/>
  <c r="F772" i="17"/>
  <c r="M771" i="17"/>
  <c r="F771" i="17"/>
  <c r="M770" i="17"/>
  <c r="F770" i="17"/>
  <c r="M769" i="17"/>
  <c r="F769" i="17"/>
  <c r="M768" i="17"/>
  <c r="F768" i="17"/>
  <c r="M767" i="17"/>
  <c r="F767" i="17"/>
  <c r="M766" i="17"/>
  <c r="F766" i="17"/>
  <c r="M765" i="17"/>
  <c r="F765" i="17"/>
  <c r="M764" i="17"/>
  <c r="F764" i="17"/>
  <c r="M763" i="17"/>
  <c r="F763" i="17"/>
  <c r="M762" i="17"/>
  <c r="F762" i="17"/>
  <c r="M761" i="17"/>
  <c r="F761" i="17"/>
  <c r="M760" i="17"/>
  <c r="F760" i="17"/>
  <c r="M759" i="17"/>
  <c r="F759" i="17"/>
  <c r="M758" i="17"/>
  <c r="F758" i="17"/>
  <c r="M757" i="17"/>
  <c r="F757" i="17"/>
  <c r="M756" i="17"/>
  <c r="F756" i="17"/>
  <c r="M755" i="17"/>
  <c r="F755" i="17"/>
  <c r="M754" i="17"/>
  <c r="F754" i="17"/>
  <c r="M753" i="17"/>
  <c r="F753" i="17"/>
  <c r="M752" i="17"/>
  <c r="F752" i="17"/>
  <c r="M751" i="17"/>
  <c r="F751" i="17"/>
  <c r="M750" i="17"/>
  <c r="F750" i="17"/>
  <c r="M749" i="17"/>
  <c r="F749" i="17"/>
  <c r="M748" i="17"/>
  <c r="F748" i="17"/>
  <c r="M747" i="17"/>
  <c r="F747" i="17"/>
  <c r="M746" i="17"/>
  <c r="F746" i="17"/>
  <c r="M745" i="17"/>
  <c r="F745" i="17"/>
  <c r="M744" i="17"/>
  <c r="F744" i="17"/>
  <c r="M743" i="17"/>
  <c r="F743" i="17"/>
  <c r="M742" i="17"/>
  <c r="F742" i="17"/>
  <c r="M741" i="17"/>
  <c r="F741" i="17"/>
  <c r="M740" i="17"/>
  <c r="F740" i="17"/>
  <c r="M739" i="17"/>
  <c r="F739" i="17"/>
  <c r="M738" i="17"/>
  <c r="F738" i="17"/>
  <c r="M737" i="17"/>
  <c r="F737" i="17"/>
  <c r="M736" i="17"/>
  <c r="F736" i="17"/>
  <c r="M735" i="17"/>
  <c r="F735" i="17"/>
  <c r="M734" i="17"/>
  <c r="F734" i="17"/>
  <c r="M733" i="17"/>
  <c r="F733" i="17"/>
  <c r="M732" i="17"/>
  <c r="F732" i="17"/>
  <c r="M731" i="17"/>
  <c r="F731" i="17"/>
  <c r="M730" i="17"/>
  <c r="F730" i="17"/>
  <c r="M729" i="17"/>
  <c r="F729" i="17"/>
  <c r="M728" i="17"/>
  <c r="F728" i="17"/>
  <c r="M727" i="17"/>
  <c r="F727" i="17"/>
  <c r="M726" i="17"/>
  <c r="F726" i="17"/>
  <c r="M725" i="17"/>
  <c r="F725" i="17"/>
  <c r="M724" i="17"/>
  <c r="F724" i="17"/>
  <c r="M723" i="17"/>
  <c r="F723" i="17"/>
  <c r="M722" i="17"/>
  <c r="F722" i="17"/>
  <c r="M721" i="17"/>
  <c r="F721" i="17"/>
  <c r="M720" i="17"/>
  <c r="F720" i="17"/>
  <c r="M719" i="17"/>
  <c r="F719" i="17"/>
  <c r="M718" i="17"/>
  <c r="F718" i="17"/>
  <c r="M717" i="17"/>
  <c r="F717" i="17"/>
  <c r="M716" i="17"/>
  <c r="F716" i="17"/>
  <c r="M715" i="17"/>
  <c r="F715" i="17"/>
  <c r="M714" i="17"/>
  <c r="F714" i="17"/>
  <c r="M713" i="17"/>
  <c r="F713" i="17"/>
  <c r="M712" i="17"/>
  <c r="F712" i="17"/>
  <c r="M711" i="17"/>
  <c r="F711" i="17"/>
  <c r="M710" i="17"/>
  <c r="F710" i="17"/>
  <c r="M709" i="17"/>
  <c r="F709" i="17"/>
  <c r="M708" i="17"/>
  <c r="F708" i="17"/>
  <c r="M707" i="17"/>
  <c r="F707" i="17"/>
  <c r="M706" i="17"/>
  <c r="F706" i="17"/>
  <c r="M705" i="17"/>
  <c r="F705" i="17"/>
  <c r="M704" i="17"/>
  <c r="F704" i="17"/>
  <c r="M703" i="17"/>
  <c r="F703" i="17"/>
  <c r="M702" i="17"/>
  <c r="F702" i="17"/>
  <c r="M701" i="17"/>
  <c r="F701" i="17"/>
  <c r="M700" i="17"/>
  <c r="F700" i="17"/>
  <c r="M699" i="17"/>
  <c r="F699" i="17"/>
  <c r="M698" i="17"/>
  <c r="F698" i="17"/>
  <c r="M697" i="17"/>
  <c r="F697" i="17"/>
  <c r="M696" i="17"/>
  <c r="F696" i="17"/>
  <c r="M695" i="17"/>
  <c r="F695" i="17"/>
  <c r="M694" i="17"/>
  <c r="F694" i="17"/>
  <c r="M693" i="17"/>
  <c r="F693" i="17"/>
  <c r="M692" i="17"/>
  <c r="F692" i="17"/>
  <c r="M691" i="17"/>
  <c r="F691" i="17"/>
  <c r="M690" i="17"/>
  <c r="F690" i="17"/>
  <c r="M689" i="17"/>
  <c r="F689" i="17"/>
  <c r="M688" i="17"/>
  <c r="F688" i="17"/>
  <c r="M687" i="17"/>
  <c r="F687" i="17"/>
  <c r="M686" i="17"/>
  <c r="F686" i="17"/>
  <c r="M685" i="17"/>
  <c r="F685" i="17"/>
  <c r="M684" i="17"/>
  <c r="F684" i="17"/>
  <c r="M683" i="17"/>
  <c r="F683" i="17"/>
  <c r="M682" i="17"/>
  <c r="F682" i="17"/>
  <c r="M681" i="17"/>
  <c r="F681" i="17"/>
  <c r="M680" i="17"/>
  <c r="F680" i="17"/>
  <c r="M679" i="17"/>
  <c r="F679" i="17"/>
  <c r="M678" i="17"/>
  <c r="F678" i="17"/>
  <c r="M677" i="17"/>
  <c r="F677" i="17"/>
  <c r="M676" i="17"/>
  <c r="F676" i="17"/>
  <c r="M675" i="17"/>
  <c r="F675" i="17"/>
  <c r="M674" i="17"/>
  <c r="F674" i="17"/>
  <c r="M673" i="17"/>
  <c r="F673" i="17"/>
  <c r="M672" i="17"/>
  <c r="F672" i="17"/>
  <c r="M671" i="17"/>
  <c r="F671" i="17"/>
  <c r="M670" i="17"/>
  <c r="F670" i="17"/>
  <c r="M669" i="17"/>
  <c r="F669" i="17"/>
  <c r="M668" i="17"/>
  <c r="F668" i="17"/>
  <c r="M667" i="17"/>
  <c r="F667" i="17"/>
  <c r="M666" i="17"/>
  <c r="F666" i="17"/>
  <c r="M665" i="17"/>
  <c r="F665" i="17"/>
  <c r="M664" i="17"/>
  <c r="F664" i="17"/>
  <c r="M663" i="17"/>
  <c r="F663" i="17"/>
  <c r="M662" i="17"/>
  <c r="F662" i="17"/>
  <c r="M661" i="17"/>
  <c r="F661" i="17"/>
  <c r="M660" i="17"/>
  <c r="F660" i="17"/>
  <c r="M659" i="17"/>
  <c r="F659" i="17"/>
  <c r="M658" i="17"/>
  <c r="F658" i="17"/>
  <c r="M657" i="17"/>
  <c r="F657" i="17"/>
  <c r="M656" i="17"/>
  <c r="F656" i="17"/>
  <c r="M655" i="17"/>
  <c r="F655" i="17"/>
  <c r="M654" i="17"/>
  <c r="F654" i="17"/>
  <c r="M653" i="17"/>
  <c r="F653" i="17"/>
  <c r="M652" i="17"/>
  <c r="F652" i="17"/>
  <c r="M651" i="17"/>
  <c r="F651" i="17"/>
  <c r="M650" i="17"/>
  <c r="F650" i="17"/>
  <c r="M649" i="17"/>
  <c r="F649" i="17"/>
  <c r="M648" i="17"/>
  <c r="F648" i="17"/>
  <c r="M647" i="17"/>
  <c r="F647" i="17"/>
  <c r="M646" i="17"/>
  <c r="F646" i="17"/>
  <c r="M645" i="17"/>
  <c r="F645" i="17"/>
  <c r="M644" i="17"/>
  <c r="F644" i="17"/>
  <c r="M643" i="17"/>
  <c r="F643" i="17"/>
  <c r="M642" i="17"/>
  <c r="F642" i="17"/>
  <c r="M641" i="17"/>
  <c r="F641" i="17"/>
  <c r="M640" i="17"/>
  <c r="F640" i="17"/>
  <c r="M639" i="17"/>
  <c r="F639" i="17"/>
  <c r="M638" i="17"/>
  <c r="F638" i="17"/>
  <c r="M637" i="17"/>
  <c r="F637" i="17"/>
  <c r="M636" i="17"/>
  <c r="F636" i="17"/>
  <c r="M635" i="17"/>
  <c r="F635" i="17"/>
  <c r="M634" i="17"/>
  <c r="F634" i="17"/>
  <c r="M633" i="17"/>
  <c r="F633" i="17"/>
  <c r="M632" i="17"/>
  <c r="F632" i="17"/>
  <c r="M631" i="17"/>
  <c r="F631" i="17"/>
  <c r="M630" i="17"/>
  <c r="F630" i="17"/>
  <c r="M629" i="17"/>
  <c r="F629" i="17"/>
  <c r="M628" i="17"/>
  <c r="F628" i="17"/>
  <c r="M627" i="17"/>
  <c r="F627" i="17"/>
  <c r="M626" i="17"/>
  <c r="F626" i="17"/>
  <c r="M625" i="17"/>
  <c r="F625" i="17"/>
  <c r="M624" i="17"/>
  <c r="F624" i="17"/>
  <c r="M623" i="17"/>
  <c r="F623" i="17"/>
  <c r="M622" i="17"/>
  <c r="F622" i="17"/>
  <c r="M621" i="17"/>
  <c r="F621" i="17"/>
  <c r="M620" i="17"/>
  <c r="F620" i="17"/>
  <c r="M619" i="17"/>
  <c r="F619" i="17"/>
  <c r="M618" i="17"/>
  <c r="F618" i="17"/>
  <c r="M617" i="17"/>
  <c r="F617" i="17"/>
  <c r="M616" i="17"/>
  <c r="F616" i="17"/>
  <c r="M615" i="17"/>
  <c r="F615" i="17"/>
  <c r="M614" i="17"/>
  <c r="F614" i="17"/>
  <c r="M613" i="17"/>
  <c r="F613" i="17"/>
  <c r="M612" i="17"/>
  <c r="F612" i="17"/>
  <c r="M611" i="17"/>
  <c r="F611" i="17"/>
  <c r="M610" i="17"/>
  <c r="F610" i="17"/>
  <c r="M609" i="17"/>
  <c r="F609" i="17"/>
  <c r="M608" i="17"/>
  <c r="F608" i="17"/>
  <c r="M607" i="17"/>
  <c r="F607" i="17"/>
  <c r="M606" i="17"/>
  <c r="F606" i="17"/>
  <c r="M605" i="17"/>
  <c r="F605" i="17"/>
  <c r="M604" i="17"/>
  <c r="F604" i="17"/>
  <c r="M603" i="17"/>
  <c r="F603" i="17"/>
  <c r="M602" i="17"/>
  <c r="F602" i="17"/>
  <c r="M601" i="17"/>
  <c r="F601" i="17"/>
  <c r="M600" i="17"/>
  <c r="F600" i="17"/>
  <c r="M599" i="17"/>
  <c r="F599" i="17"/>
  <c r="M598" i="17"/>
  <c r="F598" i="17"/>
  <c r="M597" i="17"/>
  <c r="F597" i="17"/>
  <c r="M596" i="17"/>
  <c r="F596" i="17"/>
  <c r="M595" i="17"/>
  <c r="F595" i="17"/>
  <c r="M594" i="17"/>
  <c r="F594" i="17"/>
  <c r="M593" i="17"/>
  <c r="F593" i="17"/>
  <c r="M592" i="17"/>
  <c r="F592" i="17"/>
  <c r="M591" i="17"/>
  <c r="F591" i="17"/>
  <c r="M590" i="17"/>
  <c r="F590" i="17"/>
  <c r="M589" i="17"/>
  <c r="F589" i="17"/>
  <c r="M588" i="17"/>
  <c r="F588" i="17"/>
  <c r="M587" i="17"/>
  <c r="F587" i="17"/>
  <c r="M586" i="17"/>
  <c r="F586" i="17"/>
  <c r="M585" i="17"/>
  <c r="F585" i="17"/>
  <c r="M584" i="17"/>
  <c r="F584" i="17"/>
  <c r="M583" i="17"/>
  <c r="F583" i="17"/>
  <c r="M582" i="17"/>
  <c r="F582" i="17"/>
  <c r="M581" i="17"/>
  <c r="F581" i="17"/>
  <c r="M580" i="17"/>
  <c r="F580" i="17"/>
  <c r="M579" i="17"/>
  <c r="F579" i="17"/>
  <c r="M578" i="17"/>
  <c r="F578" i="17"/>
  <c r="M577" i="17"/>
  <c r="F577" i="17"/>
  <c r="M576" i="17"/>
  <c r="F576" i="17"/>
  <c r="M575" i="17"/>
  <c r="F575" i="17"/>
  <c r="M574" i="17"/>
  <c r="F574" i="17"/>
  <c r="M573" i="17"/>
  <c r="F573" i="17"/>
  <c r="M572" i="17"/>
  <c r="F572" i="17"/>
  <c r="M571" i="17"/>
  <c r="F571" i="17"/>
  <c r="M570" i="17"/>
  <c r="F570" i="17"/>
  <c r="M569" i="17"/>
  <c r="F569" i="17"/>
  <c r="M568" i="17"/>
  <c r="F568" i="17"/>
  <c r="M567" i="17"/>
  <c r="F567" i="17"/>
  <c r="M566" i="17"/>
  <c r="F566" i="17"/>
  <c r="M565" i="17"/>
  <c r="F565" i="17"/>
  <c r="M564" i="17"/>
  <c r="F564" i="17"/>
  <c r="M563" i="17"/>
  <c r="F563" i="17"/>
  <c r="M562" i="17"/>
  <c r="F562" i="17"/>
  <c r="M561" i="17"/>
  <c r="F561" i="17"/>
  <c r="M560" i="17"/>
  <c r="F560" i="17"/>
  <c r="M559" i="17"/>
  <c r="F559" i="17"/>
  <c r="M558" i="17"/>
  <c r="F558" i="17"/>
  <c r="M557" i="17"/>
  <c r="F557" i="17"/>
  <c r="M556" i="17"/>
  <c r="F556" i="17"/>
  <c r="M555" i="17"/>
  <c r="F555" i="17"/>
  <c r="M554" i="17"/>
  <c r="F554" i="17"/>
  <c r="M553" i="17"/>
  <c r="F553" i="17"/>
  <c r="M552" i="17"/>
  <c r="F552" i="17"/>
  <c r="M551" i="17"/>
  <c r="F551" i="17"/>
  <c r="M550" i="17"/>
  <c r="F550" i="17"/>
  <c r="M549" i="17"/>
  <c r="F549" i="17"/>
  <c r="M548" i="17"/>
  <c r="F548" i="17"/>
  <c r="M547" i="17"/>
  <c r="F547" i="17"/>
  <c r="M546" i="17"/>
  <c r="F546" i="17"/>
  <c r="M545" i="17"/>
  <c r="F545" i="17"/>
  <c r="M544" i="17"/>
  <c r="F544" i="17"/>
  <c r="M543" i="17"/>
  <c r="F543" i="17"/>
  <c r="M542" i="17"/>
  <c r="F542" i="17"/>
  <c r="M541" i="17"/>
  <c r="F541" i="17"/>
  <c r="M540" i="17"/>
  <c r="F540" i="17"/>
  <c r="M539" i="17"/>
  <c r="F539" i="17"/>
  <c r="M538" i="17"/>
  <c r="F538" i="17"/>
  <c r="M537" i="17"/>
  <c r="F537" i="17"/>
  <c r="M536" i="17"/>
  <c r="F536" i="17"/>
  <c r="M535" i="17"/>
  <c r="F535" i="17"/>
  <c r="M534" i="17"/>
  <c r="F534" i="17"/>
  <c r="M533" i="17"/>
  <c r="F533" i="17"/>
  <c r="M532" i="17"/>
  <c r="F532" i="17"/>
  <c r="M531" i="17"/>
  <c r="F531" i="17"/>
  <c r="M530" i="17"/>
  <c r="F530" i="17"/>
  <c r="M529" i="17"/>
  <c r="F529" i="17"/>
  <c r="M528" i="17"/>
  <c r="F528" i="17"/>
  <c r="M527" i="17"/>
  <c r="F527" i="17"/>
  <c r="M526" i="17"/>
  <c r="F526" i="17"/>
  <c r="M525" i="17"/>
  <c r="F525" i="17"/>
  <c r="M524" i="17"/>
  <c r="F524" i="17"/>
  <c r="M523" i="17"/>
  <c r="F523" i="17"/>
  <c r="M522" i="17"/>
  <c r="F522" i="17"/>
  <c r="M521" i="17"/>
  <c r="F521" i="17"/>
  <c r="M520" i="17"/>
  <c r="F520" i="17"/>
  <c r="M519" i="17"/>
  <c r="F519" i="17"/>
  <c r="M518" i="17"/>
  <c r="F518" i="17"/>
  <c r="M517" i="17"/>
  <c r="F517" i="17"/>
  <c r="M516" i="17"/>
  <c r="F516" i="17"/>
  <c r="M515" i="17"/>
  <c r="F515" i="17"/>
  <c r="M514" i="17"/>
  <c r="F514" i="17"/>
  <c r="M513" i="17"/>
  <c r="F513" i="17"/>
  <c r="M512" i="17"/>
  <c r="F512" i="17"/>
  <c r="M511" i="17"/>
  <c r="F511" i="17"/>
  <c r="M510" i="17"/>
  <c r="F510" i="17"/>
  <c r="M509" i="17"/>
  <c r="F509" i="17"/>
  <c r="M508" i="17"/>
  <c r="F508" i="17"/>
  <c r="M507" i="17"/>
  <c r="F507" i="17"/>
  <c r="M506" i="17"/>
  <c r="F506" i="17"/>
  <c r="M505" i="17"/>
  <c r="F505" i="17"/>
  <c r="M504" i="17"/>
  <c r="F504" i="17"/>
  <c r="M503" i="17"/>
  <c r="F503" i="17"/>
  <c r="M502" i="17"/>
  <c r="F502" i="17"/>
  <c r="M501" i="17"/>
  <c r="F501" i="17"/>
  <c r="M500" i="17"/>
  <c r="F500" i="17"/>
  <c r="M499" i="17"/>
  <c r="F499" i="17"/>
  <c r="M498" i="17"/>
  <c r="F498" i="17"/>
  <c r="M497" i="17"/>
  <c r="F497" i="17"/>
  <c r="M496" i="17"/>
  <c r="F496" i="17"/>
  <c r="M495" i="17"/>
  <c r="F495" i="17"/>
  <c r="M494" i="17"/>
  <c r="F494" i="17"/>
  <c r="M493" i="17"/>
  <c r="F493" i="17"/>
  <c r="M492" i="17"/>
  <c r="F492" i="17"/>
  <c r="M491" i="17"/>
  <c r="F491" i="17"/>
  <c r="M490" i="17"/>
  <c r="F490" i="17"/>
  <c r="M489" i="17"/>
  <c r="F489" i="17"/>
  <c r="M488" i="17"/>
  <c r="F488" i="17"/>
  <c r="M487" i="17"/>
  <c r="F487" i="17"/>
  <c r="M486" i="17"/>
  <c r="F486" i="17"/>
  <c r="M485" i="17"/>
  <c r="F485" i="17"/>
  <c r="M484" i="17"/>
  <c r="F484" i="17"/>
  <c r="M483" i="17"/>
  <c r="F483" i="17"/>
  <c r="M482" i="17"/>
  <c r="F482" i="17"/>
  <c r="M481" i="17"/>
  <c r="F481" i="17"/>
  <c r="M480" i="17"/>
  <c r="F480" i="17"/>
  <c r="M479" i="17"/>
  <c r="F479" i="17"/>
  <c r="M478" i="17"/>
  <c r="F478" i="17"/>
  <c r="M477" i="17"/>
  <c r="F477" i="17"/>
  <c r="M476" i="17"/>
  <c r="F476" i="17"/>
  <c r="M475" i="17"/>
  <c r="F475" i="17"/>
  <c r="M474" i="17"/>
  <c r="F474" i="17"/>
  <c r="M473" i="17"/>
  <c r="F473" i="17"/>
  <c r="M472" i="17"/>
  <c r="F472" i="17"/>
  <c r="M471" i="17"/>
  <c r="F471" i="17"/>
  <c r="M470" i="17"/>
  <c r="F470" i="17"/>
  <c r="M469" i="17"/>
  <c r="F469" i="17"/>
  <c r="M468" i="17"/>
  <c r="F468" i="17"/>
  <c r="M467" i="17"/>
  <c r="F467" i="17"/>
  <c r="M466" i="17"/>
  <c r="F466" i="17"/>
  <c r="M465" i="17"/>
  <c r="F465" i="17"/>
  <c r="M464" i="17"/>
  <c r="F464" i="17"/>
  <c r="M463" i="17"/>
  <c r="F463" i="17"/>
  <c r="M462" i="17"/>
  <c r="F462" i="17"/>
  <c r="M461" i="17"/>
  <c r="F461" i="17"/>
  <c r="M460" i="17"/>
  <c r="F460" i="17"/>
  <c r="M459" i="17"/>
  <c r="F459" i="17"/>
  <c r="M458" i="17"/>
  <c r="F458" i="17"/>
  <c r="M457" i="17"/>
  <c r="F457" i="17"/>
  <c r="M456" i="17"/>
  <c r="F456" i="17"/>
  <c r="M455" i="17"/>
  <c r="F455" i="17"/>
  <c r="M454" i="17"/>
  <c r="F454" i="17"/>
  <c r="M453" i="17"/>
  <c r="F453" i="17"/>
  <c r="M452" i="17"/>
  <c r="F452" i="17"/>
  <c r="M451" i="17"/>
  <c r="F451" i="17"/>
  <c r="M450" i="17"/>
  <c r="F450" i="17"/>
  <c r="M449" i="17"/>
  <c r="F449" i="17"/>
  <c r="M448" i="17"/>
  <c r="F448" i="17"/>
  <c r="M447" i="17"/>
  <c r="F447" i="17"/>
  <c r="M446" i="17"/>
  <c r="F446" i="17"/>
  <c r="M445" i="17"/>
  <c r="F445" i="17"/>
  <c r="M444" i="17"/>
  <c r="F444" i="17"/>
  <c r="M443" i="17"/>
  <c r="F443" i="17"/>
  <c r="M442" i="17"/>
  <c r="F442" i="17"/>
  <c r="M441" i="17"/>
  <c r="F441" i="17"/>
  <c r="M440" i="17"/>
  <c r="F440" i="17"/>
  <c r="M439" i="17"/>
  <c r="F439" i="17"/>
  <c r="M438" i="17"/>
  <c r="F438" i="17"/>
  <c r="M437" i="17"/>
  <c r="F437" i="17"/>
  <c r="M436" i="17"/>
  <c r="F436" i="17"/>
  <c r="M435" i="17"/>
  <c r="F435" i="17"/>
  <c r="M434" i="17"/>
  <c r="F434" i="17"/>
  <c r="M433" i="17"/>
  <c r="F433" i="17"/>
  <c r="M432" i="17"/>
  <c r="F432" i="17"/>
  <c r="M431" i="17"/>
  <c r="F431" i="17"/>
  <c r="M430" i="17"/>
  <c r="F430" i="17"/>
  <c r="M429" i="17"/>
  <c r="F429" i="17"/>
  <c r="M428" i="17"/>
  <c r="F428" i="17"/>
  <c r="M427" i="17"/>
  <c r="F427" i="17"/>
  <c r="M426" i="17"/>
  <c r="F426" i="17"/>
  <c r="M425" i="17"/>
  <c r="F425" i="17"/>
  <c r="M424" i="17"/>
  <c r="F424" i="17"/>
  <c r="M423" i="17"/>
  <c r="F423" i="17"/>
  <c r="M422" i="17"/>
  <c r="F422" i="17"/>
  <c r="M421" i="17"/>
  <c r="F421" i="17"/>
  <c r="M420" i="17"/>
  <c r="F420" i="17"/>
  <c r="M419" i="17"/>
  <c r="F419" i="17"/>
  <c r="M418" i="17"/>
  <c r="F418" i="17"/>
  <c r="M417" i="17"/>
  <c r="F417" i="17"/>
  <c r="M416" i="17"/>
  <c r="F416" i="17"/>
  <c r="M415" i="17"/>
  <c r="F415" i="17"/>
  <c r="M414" i="17"/>
  <c r="F414" i="17"/>
  <c r="M413" i="17"/>
  <c r="F413" i="17"/>
  <c r="M412" i="17"/>
  <c r="F412" i="17"/>
  <c r="M411" i="17"/>
  <c r="F411" i="17"/>
  <c r="M410" i="17"/>
  <c r="F410" i="17"/>
  <c r="M409" i="17"/>
  <c r="F409" i="17"/>
  <c r="M408" i="17"/>
  <c r="F408" i="17"/>
  <c r="M407" i="17"/>
  <c r="F407" i="17"/>
  <c r="M406" i="17"/>
  <c r="F406" i="17"/>
  <c r="M405" i="17"/>
  <c r="F405" i="17"/>
  <c r="M404" i="17"/>
  <c r="F404" i="17"/>
  <c r="M403" i="17"/>
  <c r="F403" i="17"/>
  <c r="M402" i="17"/>
  <c r="F402" i="17"/>
  <c r="M401" i="17"/>
  <c r="F401" i="17"/>
  <c r="M400" i="17"/>
  <c r="F400" i="17"/>
  <c r="M399" i="17"/>
  <c r="F399" i="17"/>
  <c r="M398" i="17"/>
  <c r="F398" i="17"/>
  <c r="M397" i="17"/>
  <c r="F397" i="17"/>
  <c r="M396" i="17"/>
  <c r="F396" i="17"/>
  <c r="M395" i="17"/>
  <c r="F395" i="17"/>
  <c r="M394" i="17"/>
  <c r="F394" i="17"/>
  <c r="M393" i="17"/>
  <c r="F393" i="17"/>
  <c r="M392" i="17"/>
  <c r="F392" i="17"/>
  <c r="M391" i="17"/>
  <c r="F391" i="17"/>
  <c r="M390" i="17"/>
  <c r="F390" i="17"/>
  <c r="M389" i="17"/>
  <c r="F389" i="17"/>
  <c r="M388" i="17"/>
  <c r="F388" i="17"/>
  <c r="M387" i="17"/>
  <c r="F387" i="17"/>
  <c r="M386" i="17"/>
  <c r="F386" i="17"/>
  <c r="M385" i="17"/>
  <c r="F385" i="17"/>
  <c r="M384" i="17"/>
  <c r="F384" i="17"/>
  <c r="M383" i="17"/>
  <c r="F383" i="17"/>
  <c r="M382" i="17"/>
  <c r="F382" i="17"/>
  <c r="M381" i="17"/>
  <c r="F381" i="17"/>
  <c r="M380" i="17"/>
  <c r="F380" i="17"/>
  <c r="M379" i="17"/>
  <c r="F379" i="17"/>
  <c r="M378" i="17"/>
  <c r="F378" i="17"/>
  <c r="M377" i="17"/>
  <c r="F377" i="17"/>
  <c r="M376" i="17"/>
  <c r="F376" i="17"/>
  <c r="M375" i="17"/>
  <c r="F375" i="17"/>
  <c r="M374" i="17"/>
  <c r="F374" i="17"/>
  <c r="M373" i="17"/>
  <c r="F373" i="17"/>
  <c r="M372" i="17"/>
  <c r="F372" i="17"/>
  <c r="M371" i="17"/>
  <c r="F371" i="17"/>
  <c r="M370" i="17"/>
  <c r="F370" i="17"/>
  <c r="M369" i="17"/>
  <c r="F369" i="17"/>
  <c r="M368" i="17"/>
  <c r="F368" i="17"/>
  <c r="M367" i="17"/>
  <c r="F367" i="17"/>
  <c r="M366" i="17"/>
  <c r="F366" i="17"/>
  <c r="M365" i="17"/>
  <c r="F365" i="17"/>
  <c r="M364" i="17"/>
  <c r="F364" i="17"/>
  <c r="M363" i="17"/>
  <c r="F363" i="17"/>
  <c r="M362" i="17"/>
  <c r="F362" i="17"/>
  <c r="M361" i="17"/>
  <c r="F361" i="17"/>
  <c r="M360" i="17"/>
  <c r="F360" i="17"/>
  <c r="M359" i="17"/>
  <c r="F359" i="17"/>
  <c r="M358" i="17"/>
  <c r="F358" i="17"/>
  <c r="M357" i="17"/>
  <c r="F357" i="17"/>
  <c r="M356" i="17"/>
  <c r="F356" i="17"/>
  <c r="M355" i="17"/>
  <c r="F355" i="17"/>
  <c r="M354" i="17"/>
  <c r="F354" i="17"/>
  <c r="M353" i="17"/>
  <c r="F353" i="17"/>
  <c r="M352" i="17"/>
  <c r="F352" i="17"/>
  <c r="M351" i="17"/>
  <c r="F351" i="17"/>
  <c r="M350" i="17"/>
  <c r="F350" i="17"/>
  <c r="M349" i="17"/>
  <c r="F349" i="17"/>
  <c r="M348" i="17"/>
  <c r="F348" i="17"/>
  <c r="M347" i="17"/>
  <c r="F347" i="17"/>
  <c r="M346" i="17"/>
  <c r="F346" i="17"/>
  <c r="M345" i="17"/>
  <c r="F345" i="17"/>
  <c r="M344" i="17"/>
  <c r="F344" i="17"/>
  <c r="M343" i="17"/>
  <c r="F343" i="17"/>
  <c r="M342" i="17"/>
  <c r="F342" i="17"/>
  <c r="M341" i="17"/>
  <c r="F341" i="17"/>
  <c r="M340" i="17"/>
  <c r="F340" i="17"/>
  <c r="M339" i="17"/>
  <c r="F339" i="17"/>
  <c r="M338" i="17"/>
  <c r="F338" i="17"/>
  <c r="M337" i="17"/>
  <c r="F337" i="17"/>
  <c r="M336" i="17"/>
  <c r="F336" i="17"/>
  <c r="M335" i="17"/>
  <c r="F335" i="17"/>
  <c r="M334" i="17"/>
  <c r="F334" i="17"/>
  <c r="M333" i="17"/>
  <c r="F333" i="17"/>
  <c r="M332" i="17"/>
  <c r="F332" i="17"/>
  <c r="M331" i="17"/>
  <c r="F331" i="17"/>
  <c r="M330" i="17"/>
  <c r="F330" i="17"/>
  <c r="M329" i="17"/>
  <c r="F329" i="17"/>
  <c r="M328" i="17"/>
  <c r="F328" i="17"/>
  <c r="M327" i="17"/>
  <c r="F327" i="17"/>
  <c r="M326" i="17"/>
  <c r="F326" i="17"/>
  <c r="M325" i="17"/>
  <c r="F325" i="17"/>
  <c r="M324" i="17"/>
  <c r="F324" i="17"/>
  <c r="M323" i="17"/>
  <c r="F323" i="17"/>
  <c r="M322" i="17"/>
  <c r="F322" i="17"/>
  <c r="M321" i="17"/>
  <c r="F321" i="17"/>
  <c r="M320" i="17"/>
  <c r="F320" i="17"/>
  <c r="M319" i="17"/>
  <c r="F319" i="17"/>
  <c r="M318" i="17"/>
  <c r="F318" i="17"/>
  <c r="M317" i="17"/>
  <c r="F317" i="17"/>
  <c r="M316" i="17"/>
  <c r="F316" i="17"/>
  <c r="M315" i="17"/>
  <c r="F315" i="17"/>
  <c r="M314" i="17"/>
  <c r="F314" i="17"/>
  <c r="M313" i="17"/>
  <c r="F313" i="17"/>
  <c r="M312" i="17"/>
  <c r="F312" i="17"/>
  <c r="M311" i="17"/>
  <c r="F311" i="17"/>
  <c r="M310" i="17"/>
  <c r="F310" i="17"/>
  <c r="M309" i="17"/>
  <c r="F309" i="17"/>
  <c r="M308" i="17"/>
  <c r="F308" i="17"/>
  <c r="M307" i="17"/>
  <c r="F307" i="17"/>
  <c r="M306" i="17"/>
  <c r="F306" i="17"/>
  <c r="M305" i="17"/>
  <c r="F305" i="17"/>
  <c r="M304" i="17"/>
  <c r="F304" i="17"/>
  <c r="M303" i="17"/>
  <c r="F303" i="17"/>
  <c r="M302" i="17"/>
  <c r="F302" i="17"/>
  <c r="M301" i="17"/>
  <c r="F301" i="17"/>
  <c r="M300" i="17"/>
  <c r="F300" i="17"/>
  <c r="M299" i="17"/>
  <c r="F299" i="17"/>
  <c r="M298" i="17"/>
  <c r="F298" i="17"/>
  <c r="M297" i="17"/>
  <c r="F297" i="17"/>
  <c r="M296" i="17"/>
  <c r="F296" i="17"/>
  <c r="M295" i="17"/>
  <c r="F295" i="17"/>
  <c r="M294" i="17"/>
  <c r="F294" i="17"/>
  <c r="M293" i="17"/>
  <c r="F293" i="17"/>
  <c r="M292" i="17"/>
  <c r="F292" i="17"/>
  <c r="M291" i="17"/>
  <c r="F291" i="17"/>
  <c r="M290" i="17"/>
  <c r="F290" i="17"/>
  <c r="M289" i="17"/>
  <c r="F289" i="17"/>
  <c r="M288" i="17"/>
  <c r="F288" i="17"/>
  <c r="M287" i="17"/>
  <c r="F287" i="17"/>
  <c r="M286" i="17"/>
  <c r="F286" i="17"/>
  <c r="M285" i="17"/>
  <c r="F285" i="17"/>
  <c r="M284" i="17"/>
  <c r="F284" i="17"/>
  <c r="M283" i="17"/>
  <c r="F283" i="17"/>
  <c r="M282" i="17"/>
  <c r="F282" i="17"/>
  <c r="M281" i="17"/>
  <c r="F281" i="17"/>
  <c r="M280" i="17"/>
  <c r="F280" i="17"/>
  <c r="M279" i="17"/>
  <c r="F279" i="17"/>
  <c r="M278" i="17"/>
  <c r="F278" i="17"/>
  <c r="M277" i="17"/>
  <c r="F277" i="17"/>
  <c r="M276" i="17"/>
  <c r="F276" i="17"/>
  <c r="M275" i="17"/>
  <c r="F275" i="17"/>
  <c r="M274" i="17"/>
  <c r="F274" i="17"/>
  <c r="M273" i="17"/>
  <c r="F273" i="17"/>
  <c r="M272" i="17"/>
  <c r="F272" i="17"/>
  <c r="M271" i="17"/>
  <c r="F271" i="17"/>
  <c r="M270" i="17"/>
  <c r="F270" i="17"/>
  <c r="M269" i="17"/>
  <c r="F269" i="17"/>
  <c r="M268" i="17"/>
  <c r="F268" i="17"/>
  <c r="M267" i="17"/>
  <c r="F267" i="17"/>
  <c r="M266" i="17"/>
  <c r="F266" i="17"/>
  <c r="M265" i="17"/>
  <c r="F265" i="17"/>
  <c r="M264" i="17"/>
  <c r="F264" i="17"/>
  <c r="M263" i="17"/>
  <c r="F263" i="17"/>
  <c r="M262" i="17"/>
  <c r="F262" i="17"/>
  <c r="M261" i="17"/>
  <c r="F261" i="17"/>
  <c r="M260" i="17"/>
  <c r="F260" i="17"/>
  <c r="M259" i="17"/>
  <c r="F259" i="17"/>
  <c r="M258" i="17"/>
  <c r="F258" i="17"/>
  <c r="M257" i="17"/>
  <c r="F257" i="17"/>
  <c r="M256" i="17"/>
  <c r="F256" i="17"/>
  <c r="M255" i="17"/>
  <c r="F255" i="17"/>
  <c r="M254" i="17"/>
  <c r="F254" i="17"/>
  <c r="M253" i="17"/>
  <c r="F253" i="17"/>
  <c r="M252" i="17"/>
  <c r="F252" i="17"/>
  <c r="M251" i="17"/>
  <c r="F251" i="17"/>
  <c r="M250" i="17"/>
  <c r="F250" i="17"/>
  <c r="M249" i="17"/>
  <c r="F249" i="17"/>
  <c r="M248" i="17"/>
  <c r="F248" i="17"/>
  <c r="M247" i="17"/>
  <c r="F247" i="17"/>
  <c r="M246" i="17"/>
  <c r="F246" i="17"/>
  <c r="M245" i="17"/>
  <c r="F245" i="17"/>
  <c r="M244" i="17"/>
  <c r="F244" i="17"/>
  <c r="M243" i="17"/>
  <c r="F243" i="17"/>
  <c r="M242" i="17"/>
  <c r="F242" i="17"/>
  <c r="M241" i="17"/>
  <c r="F241" i="17"/>
  <c r="M240" i="17"/>
  <c r="F240" i="17"/>
  <c r="M239" i="17"/>
  <c r="F239" i="17"/>
  <c r="M238" i="17"/>
  <c r="F238" i="17"/>
  <c r="M237" i="17"/>
  <c r="F237" i="17"/>
  <c r="M236" i="17"/>
  <c r="F236" i="17"/>
  <c r="M235" i="17"/>
  <c r="F235" i="17"/>
  <c r="M234" i="17"/>
  <c r="F234" i="17"/>
  <c r="M233" i="17"/>
  <c r="F233" i="17"/>
  <c r="M232" i="17"/>
  <c r="F232" i="17"/>
  <c r="M231" i="17"/>
  <c r="F231" i="17"/>
  <c r="M230" i="17"/>
  <c r="F230" i="17"/>
  <c r="M229" i="17"/>
  <c r="F229" i="17"/>
  <c r="M228" i="17"/>
  <c r="F228" i="17"/>
  <c r="M227" i="17"/>
  <c r="F227" i="17"/>
  <c r="M226" i="17"/>
  <c r="F226" i="17"/>
  <c r="M225" i="17"/>
  <c r="F225" i="17"/>
  <c r="M224" i="17"/>
  <c r="F224" i="17"/>
  <c r="M223" i="17"/>
  <c r="F223" i="17"/>
  <c r="M222" i="17"/>
  <c r="F222" i="17"/>
  <c r="M221" i="17"/>
  <c r="F221" i="17"/>
  <c r="M220" i="17"/>
  <c r="F220" i="17"/>
  <c r="M219" i="17"/>
  <c r="F219" i="17"/>
  <c r="M218" i="17"/>
  <c r="F218" i="17"/>
  <c r="M217" i="17"/>
  <c r="F217" i="17"/>
  <c r="M216" i="17"/>
  <c r="F216" i="17"/>
  <c r="M215" i="17"/>
  <c r="F215" i="17"/>
  <c r="M214" i="17"/>
  <c r="F214" i="17"/>
  <c r="M213" i="17"/>
  <c r="F213" i="17"/>
  <c r="M212" i="17"/>
  <c r="F212" i="17"/>
  <c r="M211" i="17"/>
  <c r="F211" i="17"/>
  <c r="M210" i="17"/>
  <c r="F210" i="17"/>
  <c r="M209" i="17"/>
  <c r="F209" i="17"/>
  <c r="M208" i="17"/>
  <c r="F208" i="17"/>
  <c r="M207" i="17"/>
  <c r="F207" i="17"/>
  <c r="M206" i="17"/>
  <c r="F206" i="17"/>
  <c r="M205" i="17"/>
  <c r="F205" i="17"/>
  <c r="M204" i="17"/>
  <c r="F204" i="17"/>
  <c r="M203" i="17"/>
  <c r="F203" i="17"/>
  <c r="M202" i="17"/>
  <c r="F202" i="17"/>
  <c r="M201" i="17"/>
  <c r="F201" i="17"/>
  <c r="M200" i="17"/>
  <c r="F200" i="17"/>
  <c r="M199" i="17"/>
  <c r="F199" i="17"/>
  <c r="M198" i="17"/>
  <c r="F198" i="17"/>
  <c r="M197" i="17"/>
  <c r="F197" i="17"/>
  <c r="M196" i="17"/>
  <c r="F196" i="17"/>
  <c r="M195" i="17"/>
  <c r="F195" i="17"/>
  <c r="M194" i="17"/>
  <c r="F194" i="17"/>
  <c r="M193" i="17"/>
  <c r="F193" i="17"/>
  <c r="M192" i="17"/>
  <c r="F192" i="17"/>
  <c r="M191" i="17"/>
  <c r="F191" i="17"/>
  <c r="M190" i="17"/>
  <c r="F190" i="17"/>
  <c r="M189" i="17"/>
  <c r="F189" i="17"/>
  <c r="M188" i="17"/>
  <c r="F188" i="17"/>
  <c r="M187" i="17"/>
  <c r="F187" i="17"/>
  <c r="M186" i="17"/>
  <c r="F186" i="17"/>
  <c r="M185" i="17"/>
  <c r="F185" i="17"/>
  <c r="M184" i="17"/>
  <c r="F184" i="17"/>
  <c r="M183" i="17"/>
  <c r="F183" i="17"/>
  <c r="M182" i="17"/>
  <c r="F182" i="17"/>
  <c r="M181" i="17"/>
  <c r="F181" i="17"/>
  <c r="M180" i="17"/>
  <c r="F180" i="17"/>
  <c r="M179" i="17"/>
  <c r="F179" i="17"/>
  <c r="M178" i="17"/>
  <c r="F178" i="17"/>
  <c r="M177" i="17"/>
  <c r="F177" i="17"/>
  <c r="M176" i="17"/>
  <c r="F176" i="17"/>
  <c r="M175" i="17"/>
  <c r="F175" i="17"/>
  <c r="M174" i="17"/>
  <c r="F174" i="17"/>
  <c r="M173" i="17"/>
  <c r="F173" i="17"/>
  <c r="M172" i="17"/>
  <c r="F172" i="17"/>
  <c r="M171" i="17"/>
  <c r="F171" i="17"/>
  <c r="M170" i="17"/>
  <c r="F170" i="17"/>
  <c r="M169" i="17"/>
  <c r="F169" i="17"/>
  <c r="M168" i="17"/>
  <c r="F168" i="17"/>
  <c r="M167" i="17"/>
  <c r="F167" i="17"/>
  <c r="M166" i="17"/>
  <c r="F166" i="17"/>
  <c r="M165" i="17"/>
  <c r="F165" i="17"/>
  <c r="M164" i="17"/>
  <c r="F164" i="17"/>
  <c r="M163" i="17"/>
  <c r="F163" i="17"/>
  <c r="M162" i="17"/>
  <c r="F162" i="17"/>
  <c r="M161" i="17"/>
  <c r="F161" i="17"/>
  <c r="M160" i="17"/>
  <c r="F160" i="17"/>
  <c r="M159" i="17"/>
  <c r="F159" i="17"/>
  <c r="M158" i="17"/>
  <c r="F158" i="17"/>
  <c r="M157" i="17"/>
  <c r="F157" i="17"/>
  <c r="M156" i="17"/>
  <c r="F156" i="17"/>
  <c r="M155" i="17"/>
  <c r="F155" i="17"/>
  <c r="M154" i="17"/>
  <c r="F154" i="17"/>
  <c r="M153" i="17"/>
  <c r="F153" i="17"/>
  <c r="M152" i="17"/>
  <c r="F152" i="17"/>
  <c r="M151" i="17"/>
  <c r="F151" i="17"/>
  <c r="M150" i="17"/>
  <c r="F150" i="17"/>
  <c r="M149" i="17"/>
  <c r="F149" i="17"/>
  <c r="M148" i="17"/>
  <c r="F148" i="17"/>
  <c r="M147" i="17"/>
  <c r="F147" i="17"/>
  <c r="M146" i="17"/>
  <c r="F146" i="17"/>
  <c r="M145" i="17"/>
  <c r="F145" i="17"/>
  <c r="M144" i="17"/>
  <c r="F144" i="17"/>
  <c r="M143" i="17"/>
  <c r="F143" i="17"/>
  <c r="M142" i="17"/>
  <c r="F142" i="17"/>
  <c r="M141" i="17"/>
  <c r="F141" i="17"/>
  <c r="M140" i="17"/>
  <c r="F140" i="17"/>
  <c r="M139" i="17"/>
  <c r="F139" i="17"/>
  <c r="M138" i="17"/>
  <c r="F138" i="17"/>
  <c r="M137" i="17"/>
  <c r="F137" i="17"/>
  <c r="M136" i="17"/>
  <c r="F136" i="17"/>
  <c r="M135" i="17"/>
  <c r="F135" i="17"/>
  <c r="M134" i="17"/>
  <c r="F134" i="17"/>
  <c r="M133" i="17"/>
  <c r="F133" i="17"/>
  <c r="M132" i="17"/>
  <c r="F132" i="17"/>
  <c r="M131" i="17"/>
  <c r="F131" i="17"/>
  <c r="M130" i="17"/>
  <c r="F130" i="17"/>
  <c r="M129" i="17"/>
  <c r="F129" i="17"/>
  <c r="M128" i="17"/>
  <c r="F128" i="17"/>
  <c r="M127" i="17"/>
  <c r="F127" i="17"/>
  <c r="M126" i="17"/>
  <c r="F126" i="17"/>
  <c r="M125" i="17"/>
  <c r="F125" i="17"/>
  <c r="M124" i="17"/>
  <c r="F124" i="17"/>
  <c r="M123" i="17"/>
  <c r="F123" i="17"/>
  <c r="M122" i="17"/>
  <c r="F122" i="17"/>
  <c r="M121" i="17"/>
  <c r="F121" i="17"/>
  <c r="M120" i="17"/>
  <c r="F120" i="17"/>
  <c r="M119" i="17"/>
  <c r="F119" i="17"/>
  <c r="M118" i="17"/>
  <c r="F118" i="17"/>
  <c r="M117" i="17"/>
  <c r="F117" i="17"/>
  <c r="M116" i="17"/>
  <c r="F116" i="17"/>
  <c r="M115" i="17"/>
  <c r="F115" i="17"/>
  <c r="M114" i="17"/>
  <c r="F114" i="17"/>
  <c r="M113" i="17"/>
  <c r="F113" i="17"/>
  <c r="M112" i="17"/>
  <c r="F112" i="17"/>
  <c r="M111" i="17"/>
  <c r="F111" i="17"/>
  <c r="M110" i="17"/>
  <c r="F110" i="17"/>
  <c r="M109" i="17"/>
  <c r="F109" i="17"/>
  <c r="M108" i="17"/>
  <c r="F108" i="17"/>
  <c r="M107" i="17"/>
  <c r="F107" i="17"/>
  <c r="M106" i="17"/>
  <c r="F106" i="17"/>
  <c r="M105" i="17"/>
  <c r="F105" i="17"/>
  <c r="M104" i="17"/>
  <c r="F104" i="17"/>
  <c r="M103" i="17"/>
  <c r="F103" i="17"/>
  <c r="M102" i="17"/>
  <c r="F102" i="17"/>
  <c r="M101" i="17"/>
  <c r="F101" i="17"/>
  <c r="M100" i="17"/>
  <c r="F100" i="17"/>
  <c r="M99" i="17"/>
  <c r="F99" i="17"/>
  <c r="M98" i="17"/>
  <c r="F98" i="17"/>
  <c r="M97" i="17"/>
  <c r="F97" i="17"/>
  <c r="M96" i="17"/>
  <c r="F96" i="17"/>
  <c r="M95" i="17"/>
  <c r="F95" i="17"/>
  <c r="M94" i="17"/>
  <c r="F94" i="17"/>
  <c r="M93" i="17"/>
  <c r="F93" i="17"/>
  <c r="M92" i="17"/>
  <c r="F92" i="17"/>
  <c r="M91" i="17"/>
  <c r="F91" i="17"/>
  <c r="M90" i="17"/>
  <c r="F90" i="17"/>
  <c r="M89" i="17"/>
  <c r="F89" i="17"/>
  <c r="M88" i="17"/>
  <c r="F88" i="17"/>
  <c r="M87" i="17"/>
  <c r="F87" i="17"/>
  <c r="M86" i="17"/>
  <c r="F86" i="17"/>
  <c r="M85" i="17"/>
  <c r="F85" i="17"/>
  <c r="M84" i="17"/>
  <c r="F84" i="17"/>
  <c r="M83" i="17"/>
  <c r="F83" i="17"/>
  <c r="M82" i="17"/>
  <c r="F82" i="17"/>
  <c r="M81" i="17"/>
  <c r="F81" i="17"/>
  <c r="M80" i="17"/>
  <c r="F80" i="17"/>
  <c r="M79" i="17"/>
  <c r="F79" i="17"/>
  <c r="M78" i="17"/>
  <c r="F78" i="17"/>
  <c r="M77" i="17"/>
  <c r="F77" i="17"/>
  <c r="M76" i="17"/>
  <c r="F76" i="17"/>
  <c r="M75" i="17"/>
  <c r="F75" i="17"/>
  <c r="M74" i="17"/>
  <c r="F74" i="17"/>
  <c r="M73" i="17"/>
  <c r="F73" i="17"/>
  <c r="M72" i="17"/>
  <c r="F72" i="17"/>
  <c r="M71" i="17"/>
  <c r="F71" i="17"/>
  <c r="M70" i="17"/>
  <c r="F70" i="17"/>
  <c r="M69" i="17"/>
  <c r="F69" i="17"/>
  <c r="M68" i="17"/>
  <c r="F68" i="17"/>
  <c r="M67" i="17"/>
  <c r="F67" i="17"/>
  <c r="M66" i="17"/>
  <c r="F66" i="17"/>
  <c r="M65" i="17"/>
  <c r="F65" i="17"/>
  <c r="M64" i="17"/>
  <c r="F64" i="17"/>
  <c r="M63" i="17"/>
  <c r="F63" i="17"/>
  <c r="M62" i="17"/>
  <c r="F62" i="17"/>
  <c r="M61" i="17"/>
  <c r="F61" i="17"/>
  <c r="M60" i="17"/>
  <c r="F60" i="17"/>
  <c r="M59" i="17"/>
  <c r="F59" i="17"/>
  <c r="M58" i="17"/>
  <c r="F58" i="17"/>
  <c r="M57" i="17"/>
  <c r="F57" i="17"/>
  <c r="M56" i="17"/>
  <c r="F56" i="17"/>
  <c r="M55" i="17"/>
  <c r="F55" i="17"/>
  <c r="M54" i="17"/>
  <c r="F54" i="17"/>
  <c r="M53" i="17"/>
  <c r="F53" i="17"/>
  <c r="M52" i="17"/>
  <c r="F52" i="17"/>
  <c r="M51" i="17"/>
  <c r="F51" i="17"/>
  <c r="M50" i="17"/>
  <c r="F50" i="17"/>
  <c r="M49" i="17"/>
  <c r="F49" i="17"/>
  <c r="M48" i="17"/>
  <c r="F48" i="17"/>
  <c r="M47" i="17"/>
  <c r="F47" i="17"/>
  <c r="M46" i="17"/>
  <c r="F46" i="17"/>
  <c r="M45" i="17"/>
  <c r="F45" i="17"/>
  <c r="M44" i="17"/>
  <c r="F44" i="17"/>
  <c r="M43" i="17"/>
  <c r="F43" i="17"/>
  <c r="M42" i="17"/>
  <c r="F42" i="17"/>
  <c r="M41" i="17"/>
  <c r="F41" i="17"/>
  <c r="M40" i="17"/>
  <c r="F40" i="17"/>
  <c r="M39" i="17"/>
  <c r="F39" i="17"/>
  <c r="M38" i="17"/>
  <c r="F38" i="17"/>
  <c r="M37" i="17"/>
  <c r="F37" i="17"/>
  <c r="M36" i="17"/>
  <c r="F36" i="17"/>
  <c r="M35" i="17"/>
  <c r="F35" i="17"/>
  <c r="M34" i="17"/>
  <c r="F34" i="17"/>
  <c r="M33" i="17"/>
  <c r="F33" i="17"/>
  <c r="M32" i="17"/>
  <c r="F32" i="17"/>
  <c r="M31" i="17"/>
  <c r="F31" i="17"/>
  <c r="M30" i="17"/>
  <c r="F30" i="17"/>
  <c r="M29" i="17"/>
  <c r="F29" i="17"/>
  <c r="M28" i="17"/>
  <c r="F28" i="17"/>
  <c r="M27" i="17"/>
  <c r="F27" i="17"/>
  <c r="M26" i="17"/>
  <c r="F26" i="17"/>
  <c r="M25" i="17"/>
  <c r="F25" i="17"/>
  <c r="M24" i="17"/>
  <c r="F24" i="17"/>
  <c r="M23" i="17"/>
  <c r="F23" i="17"/>
  <c r="M22" i="17"/>
  <c r="F22" i="17"/>
  <c r="M21" i="17"/>
  <c r="F21" i="17"/>
  <c r="M20" i="17"/>
  <c r="F20" i="17"/>
  <c r="M19" i="17"/>
  <c r="F19" i="17"/>
  <c r="M18" i="17"/>
  <c r="F18" i="17"/>
  <c r="M17" i="17"/>
  <c r="F17" i="17"/>
  <c r="M16" i="17"/>
  <c r="F16" i="17"/>
  <c r="M15" i="17"/>
  <c r="F15" i="17"/>
  <c r="M14" i="17"/>
  <c r="F14" i="17"/>
  <c r="M13" i="17"/>
  <c r="F13" i="17"/>
  <c r="M12" i="17"/>
  <c r="F12" i="17"/>
  <c r="M11" i="17"/>
  <c r="F11" i="17"/>
  <c r="M10" i="17"/>
  <c r="F10" i="17"/>
  <c r="M9" i="17"/>
  <c r="F9" i="17"/>
  <c r="M8" i="17"/>
  <c r="F8" i="17"/>
  <c r="M7" i="17"/>
  <c r="F7" i="17"/>
  <c r="M6" i="17"/>
  <c r="F6" i="17"/>
  <c r="M5" i="17"/>
  <c r="F5" i="17"/>
  <c r="M4" i="17"/>
  <c r="F4" i="17"/>
  <c r="M3" i="17"/>
  <c r="F3" i="17"/>
  <c r="M2" i="17"/>
  <c r="F2" i="17"/>
  <c r="AB1844" i="16"/>
  <c r="AB1198" i="16"/>
  <c r="AB3404" i="16"/>
  <c r="AB2162" i="16"/>
  <c r="AB1041" i="16"/>
  <c r="AB2848" i="16"/>
  <c r="AB1360" i="16"/>
  <c r="AB799" i="16"/>
  <c r="AB2856" i="16"/>
  <c r="AB2728" i="16"/>
  <c r="AB338" i="16"/>
  <c r="AB2763" i="16"/>
  <c r="AB3012" i="16"/>
  <c r="AB3390" i="16"/>
  <c r="AB274" i="16"/>
  <c r="AB3255" i="16"/>
  <c r="AB1743" i="16"/>
  <c r="AB1586" i="16"/>
  <c r="AB2581" i="16"/>
  <c r="AB886" i="16"/>
  <c r="AB1754" i="16"/>
  <c r="AB2778" i="16"/>
  <c r="AB2427" i="16"/>
  <c r="AB546" i="16"/>
  <c r="AB1995" i="16"/>
  <c r="AB2280" i="16"/>
  <c r="AB1726" i="16"/>
  <c r="AB2239" i="16"/>
  <c r="AB833" i="16"/>
  <c r="AB2073" i="16"/>
  <c r="AB2838" i="16"/>
  <c r="AB2189" i="16"/>
  <c r="AB800" i="16"/>
  <c r="AB1030" i="16"/>
  <c r="AB2455" i="16"/>
  <c r="AB595" i="16"/>
  <c r="AB3398" i="16"/>
  <c r="AB3183" i="16"/>
  <c r="AB1216" i="16"/>
  <c r="AB2879" i="16"/>
  <c r="AB496" i="16"/>
  <c r="AB919" i="16"/>
  <c r="AB396" i="16"/>
  <c r="AB2538" i="16"/>
  <c r="AB3033" i="16"/>
  <c r="AB3104" i="16"/>
  <c r="AB1984" i="16"/>
  <c r="AB1819" i="16"/>
  <c r="AB1609" i="16"/>
  <c r="AB3087" i="16"/>
  <c r="AB2903" i="16"/>
  <c r="AB545" i="16"/>
  <c r="AB868" i="16"/>
  <c r="AB1515" i="16"/>
  <c r="AB3073" i="16"/>
  <c r="AB155" i="16"/>
  <c r="AB2551" i="16"/>
  <c r="AB1624" i="16"/>
  <c r="AB2901" i="16"/>
  <c r="AB2952" i="16"/>
  <c r="AB719" i="16"/>
  <c r="AB1217" i="16"/>
  <c r="AB2472" i="16"/>
  <c r="AB958" i="16"/>
  <c r="AB3106" i="16"/>
  <c r="AB658" i="16"/>
  <c r="AB1335" i="16"/>
  <c r="AB2826" i="16"/>
  <c r="AB1921" i="16"/>
  <c r="AB3163" i="16"/>
  <c r="AB1704" i="16"/>
  <c r="AB1238" i="16"/>
  <c r="AB3240" i="16"/>
  <c r="AB446" i="16"/>
  <c r="AB2322" i="16"/>
  <c r="AB3474" i="16"/>
  <c r="AB3374" i="16"/>
  <c r="AB1351" i="16"/>
  <c r="AB1332" i="16"/>
  <c r="AB2009" i="16"/>
  <c r="AB952" i="16"/>
  <c r="AB2036" i="16"/>
  <c r="AB1501" i="16"/>
  <c r="AB1180" i="16"/>
  <c r="AB339" i="16"/>
  <c r="AB1137" i="16"/>
  <c r="AB2930" i="16"/>
  <c r="AB1117" i="16"/>
  <c r="AB1720" i="16"/>
  <c r="AB589" i="16"/>
  <c r="AB637" i="16"/>
  <c r="AB1577" i="16"/>
  <c r="AB255" i="16"/>
  <c r="AB3400" i="16"/>
  <c r="AB2437" i="16"/>
  <c r="AB726" i="16"/>
  <c r="AB2268" i="16"/>
  <c r="AB1330" i="16"/>
  <c r="AB985" i="16"/>
  <c r="AB1250" i="16"/>
  <c r="AB2587" i="16"/>
  <c r="AB3331" i="16"/>
  <c r="AB1907" i="16"/>
  <c r="AB1358" i="16"/>
  <c r="AB114" i="16"/>
  <c r="AB401" i="16"/>
  <c r="AB1503" i="16"/>
  <c r="AB2524" i="16"/>
  <c r="AB2338" i="16"/>
  <c r="AB1605" i="16"/>
  <c r="AB292" i="16"/>
  <c r="AB2173" i="16"/>
  <c r="AB1006" i="16"/>
  <c r="AB1506" i="16"/>
  <c r="AB373" i="16"/>
  <c r="AB3042" i="16"/>
  <c r="AB3430" i="16"/>
  <c r="AB725" i="16"/>
  <c r="AB2185" i="16"/>
  <c r="AB2621" i="16"/>
  <c r="AB2131" i="16"/>
  <c r="AB1438" i="16"/>
  <c r="AB1724" i="16"/>
  <c r="AB1827" i="16"/>
  <c r="AB775" i="16"/>
  <c r="AB2704" i="16"/>
  <c r="AB2444" i="16"/>
  <c r="AB3046" i="16"/>
  <c r="AB948" i="16"/>
  <c r="AB2576" i="16"/>
  <c r="AB695" i="16"/>
  <c r="AB2807" i="16"/>
  <c r="AB1604" i="16"/>
  <c r="AB1125" i="16"/>
  <c r="AB2720" i="16"/>
  <c r="AB3323" i="16"/>
  <c r="AB1186" i="16"/>
  <c r="AB1163" i="16"/>
  <c r="AB2360" i="16"/>
  <c r="AB1464" i="16"/>
  <c r="AB1054" i="16"/>
  <c r="AB1385" i="16"/>
  <c r="AB417" i="16"/>
  <c r="AB2833" i="16"/>
  <c r="AB153" i="16"/>
  <c r="AB830" i="16"/>
  <c r="AB2042" i="16"/>
  <c r="AB493" i="16"/>
  <c r="AB3367" i="16"/>
  <c r="AB3282" i="16"/>
  <c r="AB1187" i="16"/>
  <c r="AB388" i="16"/>
  <c r="AB1587" i="16"/>
  <c r="AB1765" i="16"/>
  <c r="AB680" i="16"/>
  <c r="AB1055" i="16"/>
  <c r="AB3280" i="16"/>
  <c r="AB3211" i="16"/>
  <c r="AB1631" i="16"/>
  <c r="AB2918" i="16"/>
  <c r="AB2038" i="16"/>
  <c r="AB3247" i="16"/>
  <c r="AB2735" i="16"/>
  <c r="AB2305" i="16"/>
  <c r="AB481" i="16"/>
  <c r="AB3311" i="16"/>
  <c r="AB462" i="16"/>
  <c r="AB517" i="16"/>
  <c r="AB2943" i="16"/>
  <c r="AB2368" i="16"/>
  <c r="AB1633" i="16"/>
  <c r="AB3062" i="16"/>
  <c r="AB2852" i="16"/>
  <c r="AB1670" i="16"/>
  <c r="AB2709" i="16"/>
  <c r="AB2374" i="16"/>
  <c r="AB2286" i="16"/>
  <c r="AB674" i="16"/>
  <c r="AB1108" i="16"/>
  <c r="AB1433" i="16"/>
  <c r="AB793" i="16"/>
  <c r="AB3440" i="16"/>
  <c r="AB1971" i="16"/>
  <c r="AB3361" i="16"/>
  <c r="AB3454" i="16"/>
  <c r="AB1434" i="16"/>
  <c r="AB2665" i="16"/>
  <c r="AB1781" i="16"/>
  <c r="AB2635" i="16"/>
  <c r="AB2527" i="16"/>
  <c r="AB2545" i="16"/>
  <c r="AB2121" i="16"/>
  <c r="AB1235" i="16"/>
  <c r="AB1788" i="16"/>
  <c r="AB811" i="16"/>
  <c r="AB1707" i="16"/>
  <c r="AB282" i="16"/>
  <c r="AB1049" i="16"/>
  <c r="AB3188" i="16"/>
  <c r="AB3079" i="16"/>
  <c r="AB2143" i="16"/>
  <c r="AB1309" i="16"/>
  <c r="AB2108" i="16"/>
  <c r="AB1435" i="16"/>
  <c r="AB2199" i="16"/>
  <c r="AB3315" i="16"/>
  <c r="AB2219" i="16"/>
  <c r="AB1805" i="16"/>
  <c r="AB1448" i="16"/>
  <c r="AB1951" i="16"/>
  <c r="AB1073" i="16"/>
  <c r="AB1171" i="16"/>
  <c r="AB2592" i="16"/>
  <c r="AB142" i="16"/>
  <c r="AB2675" i="16"/>
  <c r="AB1277" i="16"/>
  <c r="AB2014" i="16"/>
  <c r="AB1960" i="16"/>
  <c r="AB1480" i="16"/>
  <c r="AB145" i="16"/>
  <c r="AB1793" i="16"/>
  <c r="AB2793" i="16"/>
  <c r="AB394" i="16"/>
  <c r="AB1667" i="16"/>
  <c r="AB693" i="16"/>
  <c r="AB1590" i="16"/>
  <c r="AB3304" i="16"/>
  <c r="AB3266" i="16"/>
  <c r="AB2950" i="16"/>
  <c r="AB3369" i="16"/>
  <c r="AB689" i="16"/>
  <c r="AB1553" i="16"/>
  <c r="AB1279" i="16"/>
  <c r="AB910" i="16"/>
  <c r="AB2659" i="16"/>
  <c r="AB1470" i="16"/>
  <c r="AB752" i="16"/>
  <c r="AB1206" i="16"/>
  <c r="AB2953" i="16"/>
  <c r="AB676" i="16"/>
  <c r="AB2184" i="16"/>
  <c r="AB1540" i="16"/>
  <c r="AB2555" i="16"/>
  <c r="AB1276" i="16"/>
  <c r="AB2764" i="16"/>
  <c r="AB379" i="16"/>
  <c r="AB2183" i="16"/>
  <c r="AB1522" i="16"/>
  <c r="AB69" i="16"/>
  <c r="AB2941" i="16"/>
  <c r="AB1466" i="16"/>
  <c r="AB3479" i="16"/>
  <c r="AB3488" i="16"/>
  <c r="AB2006" i="16"/>
  <c r="AB1399" i="16"/>
  <c r="AB1017" i="16"/>
  <c r="AB1791" i="16"/>
  <c r="AB1471" i="16"/>
  <c r="AB1449" i="16"/>
  <c r="AB1645" i="16"/>
  <c r="AB1440" i="16"/>
  <c r="AB2876" i="16"/>
  <c r="AB2457" i="16"/>
  <c r="AB2046" i="16"/>
  <c r="AB629" i="16"/>
  <c r="AB1807" i="16"/>
  <c r="AB1627" i="16"/>
  <c r="AB1484" i="16"/>
  <c r="AB21" i="16"/>
  <c r="AB1111" i="16"/>
  <c r="AB1899" i="16"/>
  <c r="AB2072" i="16"/>
  <c r="AB3214" i="16"/>
  <c r="AB2401" i="16"/>
  <c r="AB3186" i="16"/>
  <c r="AB1226" i="16"/>
  <c r="AB673" i="16"/>
  <c r="AB45" i="16"/>
  <c r="AB277" i="16"/>
  <c r="AB3393" i="16"/>
  <c r="AB1068" i="16"/>
  <c r="AB2907" i="16"/>
  <c r="AB2225" i="16"/>
  <c r="AB2156" i="16"/>
  <c r="AB1801" i="16"/>
  <c r="AB2899" i="16"/>
  <c r="AB826" i="16"/>
  <c r="AB3083" i="16"/>
  <c r="AB1392" i="16"/>
  <c r="AB2883" i="16"/>
  <c r="AB503" i="16"/>
  <c r="AB1851" i="16"/>
  <c r="AB2928" i="16"/>
  <c r="AB733" i="16"/>
  <c r="AB402" i="16"/>
  <c r="AB2982" i="16"/>
  <c r="AB79" i="16"/>
  <c r="AB1718" i="16"/>
  <c r="AB2898" i="16"/>
  <c r="AB2978" i="16"/>
  <c r="AB2939" i="16"/>
  <c r="AB306" i="16"/>
  <c r="AB3162" i="16"/>
  <c r="AB2634" i="16"/>
  <c r="AB1002" i="16"/>
  <c r="AB513" i="16"/>
  <c r="AB2712" i="16"/>
  <c r="AB2378" i="16"/>
  <c r="AB2855" i="16"/>
  <c r="AB516" i="16"/>
  <c r="AB327" i="16"/>
  <c r="AB215" i="16"/>
  <c r="AB3391" i="16"/>
  <c r="AB2808" i="16"/>
  <c r="AB249" i="16"/>
  <c r="AB1573" i="16"/>
  <c r="AB977" i="16"/>
  <c r="AB1825" i="16"/>
  <c r="AB1832" i="16"/>
  <c r="AB2940" i="16"/>
  <c r="AB1390" i="16"/>
  <c r="AB1267" i="16"/>
  <c r="AB494" i="16"/>
  <c r="AB2934" i="16"/>
  <c r="AB2098" i="16"/>
  <c r="AB1478" i="16"/>
  <c r="AB1260" i="16"/>
  <c r="AB2521" i="16"/>
  <c r="AB1106" i="16"/>
  <c r="AB2188" i="16"/>
  <c r="AB2749" i="16"/>
  <c r="AB3485" i="16"/>
  <c r="AB891" i="16"/>
  <c r="AB1079" i="16"/>
  <c r="AB1655" i="16"/>
  <c r="AB1940" i="16"/>
  <c r="AB1589" i="16"/>
  <c r="AB3409" i="16"/>
  <c r="AB1557" i="16"/>
  <c r="AB2415" i="16"/>
  <c r="AB2598" i="16"/>
  <c r="AB2835" i="16"/>
  <c r="AB2648" i="16"/>
  <c r="AB3339" i="16"/>
  <c r="AB205" i="16"/>
  <c r="AB879" i="16"/>
  <c r="AB2238" i="16"/>
  <c r="AB3405" i="16"/>
  <c r="AB356" i="16"/>
  <c r="AB420" i="16"/>
  <c r="AB766" i="16"/>
  <c r="AB2926" i="16"/>
  <c r="AB272" i="16"/>
  <c r="AB3217" i="16"/>
  <c r="AB2784" i="16"/>
  <c r="AB2390" i="16"/>
  <c r="AB3340" i="16"/>
  <c r="AB634" i="16"/>
  <c r="AB1353" i="16"/>
  <c r="AB3059" i="16"/>
  <c r="AB1040" i="16"/>
  <c r="AB1905" i="16"/>
  <c r="AB538" i="16"/>
  <c r="AB2053" i="16"/>
  <c r="AB512" i="16"/>
  <c r="AB587" i="16"/>
  <c r="AB3029" i="16"/>
  <c r="AB3269" i="16"/>
  <c r="AB362" i="16"/>
  <c r="AB1247" i="16"/>
  <c r="AB1064" i="16"/>
  <c r="AB148" i="16"/>
  <c r="AB941" i="16"/>
  <c r="AB992" i="16"/>
  <c r="AB2601" i="16"/>
  <c r="AB1099" i="16"/>
  <c r="AB2623" i="16"/>
  <c r="AB86" i="16"/>
  <c r="AB3072" i="16"/>
  <c r="AB3052" i="16"/>
  <c r="AB3109" i="16"/>
  <c r="AB579" i="16"/>
  <c r="AB842" i="16"/>
  <c r="AB1493" i="16"/>
  <c r="AB2247" i="16"/>
  <c r="AB1491" i="16"/>
  <c r="AB3202" i="16"/>
  <c r="AB653" i="16"/>
  <c r="AB943" i="16"/>
  <c r="AB3301" i="16"/>
  <c r="AB691" i="16"/>
  <c r="AB2566" i="16"/>
  <c r="AB423" i="16"/>
  <c r="AB1251" i="16"/>
  <c r="AB1880" i="16"/>
  <c r="AB1326" i="16"/>
  <c r="AB697" i="16"/>
  <c r="AB2519" i="16"/>
  <c r="AB2391" i="16"/>
  <c r="AB2813" i="16"/>
  <c r="AB3300" i="16"/>
  <c r="AB2755" i="16"/>
  <c r="AB2977" i="16"/>
  <c r="AB2096" i="16"/>
  <c r="AB2176" i="16"/>
  <c r="AB2326" i="16"/>
  <c r="AB81" i="16"/>
  <c r="AB1420" i="16"/>
  <c r="AB1663" i="16"/>
  <c r="AB2463" i="16"/>
  <c r="AB3387" i="16"/>
  <c r="AB2913" i="16"/>
  <c r="AB954" i="16"/>
  <c r="AB924" i="16"/>
  <c r="AB704" i="16"/>
  <c r="AB628" i="16"/>
  <c r="AB3425" i="16"/>
  <c r="AB1541" i="16"/>
  <c r="AB2613" i="16"/>
  <c r="AB3216" i="16"/>
  <c r="AB2066" i="16"/>
  <c r="AB978" i="16"/>
  <c r="AB1835" i="16"/>
  <c r="AB189" i="16"/>
  <c r="AB678" i="16"/>
  <c r="AB789" i="16"/>
  <c r="AB3019" i="16"/>
  <c r="AB2106" i="16"/>
  <c r="AB1391" i="16"/>
  <c r="AB206" i="16"/>
  <c r="AB3008" i="16"/>
  <c r="AB90" i="16"/>
  <c r="AB2441" i="16"/>
  <c r="AB765" i="16"/>
  <c r="AB2402" i="16"/>
  <c r="AB3402" i="16"/>
  <c r="AB2130" i="16"/>
  <c r="AB681" i="16"/>
  <c r="AB1739" i="16"/>
  <c r="AB539" i="16"/>
  <c r="AB2863" i="16"/>
  <c r="AB684" i="16"/>
  <c r="AB2869" i="16"/>
  <c r="AB11" i="16"/>
  <c r="AB2291" i="16"/>
  <c r="AB2700" i="16"/>
  <c r="AB1608" i="16"/>
  <c r="AB2530" i="16"/>
  <c r="AB907" i="16"/>
  <c r="AB2766" i="16"/>
  <c r="AB1209" i="16"/>
  <c r="AB1514" i="16"/>
  <c r="AB2871" i="16"/>
  <c r="AB3259" i="16"/>
  <c r="AB3438" i="16"/>
  <c r="AB2644" i="16"/>
  <c r="AB522" i="16"/>
  <c r="AB3429" i="16"/>
  <c r="AB3209" i="16"/>
  <c r="AB2372" i="16"/>
  <c r="AB648" i="16"/>
  <c r="AB2261" i="16"/>
  <c r="AB851" i="16"/>
  <c r="AB2012" i="16"/>
  <c r="AB549" i="16"/>
  <c r="AB1469" i="16"/>
  <c r="AB1168" i="16"/>
  <c r="AB2717" i="16"/>
  <c r="AB3074" i="16"/>
  <c r="AB2975" i="16"/>
  <c r="AB2297" i="16"/>
  <c r="AB1789" i="16"/>
  <c r="AB1679" i="16"/>
  <c r="AB447" i="16"/>
  <c r="AB3325" i="16"/>
  <c r="AB3222" i="16"/>
  <c r="AB2993" i="16"/>
  <c r="AB2279" i="16"/>
  <c r="AB3092" i="16"/>
  <c r="AB404" i="16"/>
  <c r="AB1374" i="16"/>
  <c r="AB3375" i="16"/>
  <c r="AB3314" i="16"/>
  <c r="AB2593" i="16"/>
  <c r="AB2690" i="16"/>
  <c r="AB575" i="16"/>
  <c r="AB233" i="16"/>
  <c r="AB530" i="16"/>
  <c r="AB3305" i="16"/>
  <c r="AB2283" i="16"/>
  <c r="AB1102" i="16"/>
  <c r="AB1808" i="16"/>
  <c r="AB1651" i="16"/>
  <c r="AB796" i="16"/>
  <c r="AB3336" i="16"/>
  <c r="AB1841" i="16"/>
  <c r="AB322" i="16"/>
  <c r="AB871" i="16"/>
  <c r="AB3118" i="16"/>
  <c r="AB3237" i="16"/>
  <c r="AB3295" i="16"/>
  <c r="AB1219" i="16"/>
  <c r="AB380" i="16"/>
  <c r="AB2399" i="16"/>
  <c r="AB1683" i="16"/>
  <c r="AB2088" i="16"/>
  <c r="AB1376" i="16"/>
  <c r="AB990" i="16"/>
  <c r="AB3133" i="16"/>
  <c r="AB671" i="16"/>
  <c r="AB3379" i="16"/>
  <c r="AB1774" i="16"/>
  <c r="AB1405" i="16"/>
  <c r="AB3134" i="16"/>
  <c r="AB2662" i="16"/>
  <c r="AB2779" i="16"/>
  <c r="AB2923" i="16"/>
  <c r="AB3452" i="16"/>
  <c r="AB1130" i="16"/>
  <c r="AB2910" i="16"/>
  <c r="AB3472" i="16"/>
  <c r="AB866" i="16"/>
  <c r="AB3157" i="16"/>
  <c r="AB413" i="16"/>
  <c r="AB3153" i="16"/>
  <c r="AB816" i="16"/>
  <c r="AB1184" i="16"/>
  <c r="AB1045" i="16"/>
  <c r="AB2442" i="16"/>
  <c r="AB2655" i="16"/>
  <c r="AB2357" i="16"/>
  <c r="AB2753" i="16"/>
  <c r="AB2248" i="16"/>
  <c r="AB2827" i="16"/>
  <c r="AB3038" i="16"/>
  <c r="AB1188" i="16"/>
  <c r="AB1650" i="16"/>
  <c r="AB748" i="16"/>
  <c r="AB1124" i="16"/>
  <c r="AB2830" i="16"/>
  <c r="AB1782" i="16"/>
  <c r="AB2068" i="16"/>
  <c r="AB2615" i="16"/>
  <c r="AB2595" i="16"/>
  <c r="AB3319" i="16"/>
  <c r="AB1619" i="16"/>
  <c r="AB1240" i="16"/>
  <c r="AB478" i="16"/>
  <c r="AB3035" i="16"/>
  <c r="AB95" i="16"/>
  <c r="AB640" i="16"/>
  <c r="AB2829" i="16"/>
  <c r="AB3171" i="16"/>
  <c r="AB3334" i="16"/>
  <c r="AB1809" i="16"/>
  <c r="AB2381" i="16"/>
  <c r="AB2726" i="16"/>
  <c r="AB2577" i="16"/>
  <c r="AB1569" i="16"/>
  <c r="AB1001" i="16"/>
  <c r="AB2301" i="16"/>
  <c r="AB170" i="16"/>
  <c r="AB2023" i="16"/>
  <c r="AB311" i="16"/>
  <c r="AB2128" i="16"/>
  <c r="AB3287" i="16"/>
  <c r="AB1758" i="16"/>
  <c r="AB2353" i="16"/>
  <c r="AB2233" i="16"/>
  <c r="AB1382" i="16"/>
  <c r="AB875" i="16"/>
  <c r="AB2175" i="16"/>
  <c r="AB3080" i="16"/>
  <c r="AB482" i="16"/>
  <c r="AB1101" i="16"/>
  <c r="AB129" i="16"/>
  <c r="AB1424" i="16"/>
  <c r="AB1922" i="16"/>
  <c r="AB1468" i="16"/>
  <c r="AB1903" i="16"/>
  <c r="AB2493" i="16"/>
  <c r="AB1548" i="16"/>
  <c r="AB1397" i="16"/>
  <c r="AB3078" i="16"/>
  <c r="AB1661" i="16"/>
  <c r="AB2419" i="16"/>
  <c r="AB655" i="16"/>
  <c r="AB2350" i="16"/>
  <c r="AB2174" i="16"/>
  <c r="AB2760" i="16"/>
  <c r="AB144" i="16"/>
  <c r="AB348" i="16"/>
  <c r="AB3141" i="16"/>
  <c r="AB964" i="16"/>
  <c r="AB1866" i="16"/>
  <c r="AB3122" i="16"/>
  <c r="AB7" i="16"/>
  <c r="AB2232" i="16"/>
  <c r="AB1878" i="16"/>
  <c r="AB1416" i="16"/>
  <c r="AB457" i="16"/>
  <c r="AB1183" i="16"/>
  <c r="AB2259" i="16"/>
  <c r="AB2084" i="16"/>
  <c r="AB2264" i="16"/>
  <c r="AB3180" i="16"/>
  <c r="AB2367" i="16"/>
  <c r="AB135" i="16"/>
  <c r="AB747" i="16"/>
  <c r="AB1895" i="16"/>
  <c r="AB3461" i="16"/>
  <c r="AB508" i="16"/>
  <c r="AB606" i="16"/>
  <c r="AB976" i="16"/>
  <c r="AB2927" i="16"/>
  <c r="AB2620" i="16"/>
  <c r="AB716" i="16"/>
  <c r="AB893" i="16"/>
  <c r="AB2897" i="16"/>
  <c r="AB1218" i="16"/>
  <c r="AB1894" i="16"/>
  <c r="AB2607" i="16"/>
  <c r="AB2296" i="16"/>
  <c r="AB995" i="16"/>
  <c r="AB1450" i="16"/>
  <c r="AB571" i="16"/>
  <c r="AB2563" i="16"/>
  <c r="AB3054" i="16"/>
  <c r="AB2677" i="16"/>
  <c r="AB2250" i="16"/>
  <c r="AB2891" i="16"/>
  <c r="AB2948" i="16"/>
  <c r="AB1490" i="16"/>
  <c r="AB2349" i="16"/>
  <c r="AB2235" i="16"/>
  <c r="AB3254" i="16"/>
  <c r="AB1795" i="16"/>
  <c r="AB2791" i="16"/>
  <c r="AB344" i="16"/>
  <c r="AB199" i="16"/>
  <c r="AB2676" i="16"/>
  <c r="AB892" i="16"/>
  <c r="AB2886" i="16"/>
  <c r="AB171" i="16"/>
  <c r="AB1033" i="16"/>
  <c r="AB1283" i="16"/>
  <c r="AB1089" i="16"/>
  <c r="AB3165" i="16"/>
  <c r="AB2366" i="16"/>
  <c r="AB1158" i="16"/>
  <c r="AB1439" i="16"/>
  <c r="AB813" i="16"/>
  <c r="AB3248" i="16"/>
  <c r="AB1955" i="16"/>
  <c r="AB1452" i="16"/>
  <c r="AB1458" i="16"/>
  <c r="AB1179" i="16"/>
  <c r="AB1467" i="16"/>
  <c r="AB2596" i="16"/>
  <c r="AB696" i="16"/>
  <c r="AB2167" i="16"/>
  <c r="AB1061" i="16"/>
  <c r="AB982" i="16"/>
  <c r="AB819" i="16"/>
  <c r="AB3478" i="16"/>
  <c r="AB1745" i="16"/>
  <c r="AB807" i="16"/>
  <c r="AB37" i="16"/>
  <c r="AB974" i="16"/>
  <c r="AB3111" i="16"/>
  <c r="AB2847" i="16"/>
  <c r="AB1354" i="16"/>
  <c r="AB2966" i="16"/>
  <c r="AB2364" i="16"/>
  <c r="AB2277" i="16"/>
  <c r="AB2332" i="16"/>
  <c r="AB3350" i="16"/>
  <c r="AB2692" i="16"/>
  <c r="AB1232" i="16"/>
  <c r="AB2602" i="16"/>
  <c r="AB58" i="16"/>
  <c r="AB1003" i="16"/>
  <c r="AB3356" i="16"/>
  <c r="AB1066" i="16"/>
  <c r="AB1119" i="16"/>
  <c r="AB1769" i="16"/>
  <c r="AB828" i="16"/>
  <c r="AB3284" i="16"/>
  <c r="AB2281" i="16"/>
  <c r="AB1423" i="16"/>
  <c r="AB1952" i="16"/>
  <c r="AB3015" i="16"/>
  <c r="AB33" i="16"/>
  <c r="AB1345" i="16"/>
  <c r="AB2333" i="16"/>
  <c r="AB2971" i="16"/>
  <c r="AB2483" i="16"/>
  <c r="AB2352" i="16"/>
  <c r="AB2139" i="16"/>
  <c r="AB1634" i="16"/>
  <c r="AB803" i="16"/>
  <c r="AB1982" i="16"/>
  <c r="AB1204" i="16"/>
  <c r="AB610" i="16"/>
  <c r="AB619" i="16"/>
  <c r="AB3395" i="16"/>
  <c r="AB2079" i="16"/>
  <c r="AB3168" i="16"/>
  <c r="AB2819" i="16"/>
  <c r="AB2315" i="16"/>
  <c r="AB2629" i="16"/>
  <c r="AB1725" i="16"/>
  <c r="AB483" i="16"/>
  <c r="AB2430" i="16"/>
  <c r="AB2803" i="16"/>
  <c r="AB116" i="16"/>
  <c r="AB1528" i="16"/>
  <c r="AB217" i="16"/>
  <c r="AB3370" i="16"/>
  <c r="AB2005" i="16"/>
  <c r="AB1074" i="16"/>
  <c r="AB109" i="16"/>
  <c r="AB1052" i="16"/>
  <c r="AB1772" i="16"/>
  <c r="AB2998" i="16"/>
  <c r="AB1925" i="16"/>
  <c r="AB85" i="16"/>
  <c r="AB178" i="16"/>
  <c r="AB846" i="16"/>
  <c r="AB2064" i="16"/>
  <c r="AB1097" i="16"/>
  <c r="AB1904" i="16"/>
  <c r="AB1643" i="16"/>
  <c r="AB1873" i="16"/>
  <c r="AB1813" i="16"/>
  <c r="AB1714" i="16"/>
  <c r="AB1145" i="16"/>
  <c r="AB1700" i="16"/>
  <c r="AB328" i="16"/>
  <c r="AB294" i="16"/>
  <c r="AB2081" i="16"/>
  <c r="AB2055" i="16"/>
  <c r="AB3154" i="16"/>
  <c r="AB1150" i="16"/>
  <c r="AB2423" i="16"/>
  <c r="AB1755" i="16"/>
  <c r="AB151" i="16"/>
  <c r="AB1976" i="16"/>
  <c r="AB872" i="16"/>
  <c r="AB1784" i="16"/>
  <c r="AB1593" i="16"/>
  <c r="AB763" i="16"/>
  <c r="AB2562" i="16"/>
  <c r="AB2203" i="16"/>
  <c r="AB230" i="16"/>
  <c r="AB607" i="16"/>
  <c r="AB3077" i="16"/>
  <c r="AB2394" i="16"/>
  <c r="AB3342" i="16"/>
  <c r="AB544" i="16"/>
  <c r="AB1149" i="16"/>
  <c r="AB520" i="16"/>
  <c r="AB1592" i="16"/>
  <c r="AB818" i="16"/>
  <c r="AB3421" i="16"/>
  <c r="AB3470" i="16"/>
  <c r="AB1442" i="16"/>
  <c r="AB1237" i="16"/>
  <c r="AB1920" i="16"/>
  <c r="AB1861" i="16"/>
  <c r="AB2260" i="16"/>
  <c r="AB1579" i="16"/>
  <c r="AB1034" i="16"/>
  <c r="AB2198" i="16"/>
  <c r="AB1268" i="16"/>
  <c r="AB405" i="16"/>
  <c r="AB3408" i="16"/>
  <c r="AB284" i="16"/>
  <c r="AB1035" i="16"/>
  <c r="AB2537" i="16"/>
  <c r="AB528" i="16"/>
  <c r="AB3066" i="16"/>
  <c r="AB3013" i="16"/>
  <c r="AB3200" i="16"/>
  <c r="AB710" i="16"/>
  <c r="AB511" i="16"/>
  <c r="AB2622" i="16"/>
  <c r="AB1129" i="16"/>
  <c r="AB1444" i="16"/>
  <c r="AB2864" i="16"/>
  <c r="AB374" i="16"/>
  <c r="AB2018" i="16"/>
  <c r="AB1918" i="16"/>
  <c r="AB1146" i="16"/>
  <c r="AB3230" i="16"/>
  <c r="AB1618" i="16"/>
  <c r="AB2171" i="16"/>
  <c r="AB2640" i="16"/>
  <c r="AB2509" i="16"/>
  <c r="AB993" i="16"/>
  <c r="AB2674" i="16"/>
  <c r="AB2043" i="16"/>
  <c r="AB1292" i="16"/>
  <c r="AB2375" i="16"/>
  <c r="AB2795" i="16"/>
  <c r="AB2546" i="16"/>
  <c r="AB1768" i="16"/>
  <c r="AB2651" i="16"/>
  <c r="AB349" i="16"/>
  <c r="AB382" i="16"/>
  <c r="AB3071" i="16"/>
  <c r="AB832" i="16"/>
  <c r="AB953" i="16"/>
  <c r="AB2040" i="16"/>
  <c r="AB2026" i="16"/>
  <c r="AB950" i="16"/>
  <c r="AB2633" i="16"/>
  <c r="AB166" i="16"/>
  <c r="AB2716" i="16"/>
  <c r="AB626" i="16"/>
  <c r="AB729" i="16"/>
  <c r="AB2986" i="16"/>
  <c r="AB2434" i="16"/>
  <c r="AB4" i="16"/>
  <c r="AB1153" i="16"/>
  <c r="AB1294" i="16"/>
  <c r="AB3294" i="16"/>
  <c r="AB519" i="16"/>
  <c r="AB1794" i="16"/>
  <c r="AB1845" i="16"/>
  <c r="AB2161" i="16"/>
  <c r="AB2517" i="16"/>
  <c r="AB3055" i="16"/>
  <c r="AB3091" i="16"/>
  <c r="AB3267" i="16"/>
  <c r="AB3177" i="16"/>
  <c r="AB448" i="16"/>
  <c r="AB604" i="16"/>
  <c r="AB1027" i="16"/>
  <c r="AB2798" i="16"/>
  <c r="AB47" i="16"/>
  <c r="AB3219" i="16"/>
  <c r="AB61" i="16"/>
  <c r="AB1182" i="16"/>
  <c r="AB89" i="16"/>
  <c r="AB352" i="16"/>
  <c r="AB1662" i="16"/>
  <c r="AB1275" i="16"/>
  <c r="AB2113" i="16"/>
  <c r="AB335" i="16"/>
  <c r="AB1790" i="16"/>
  <c r="AB2107" i="16"/>
  <c r="AB573" i="16"/>
  <c r="AB2559" i="16"/>
  <c r="AB2168" i="16"/>
  <c r="AB2549" i="16"/>
  <c r="AB1810" i="16"/>
  <c r="AB2885" i="16"/>
  <c r="AB1000" i="16"/>
  <c r="AB989" i="16"/>
  <c r="AB3412" i="16"/>
  <c r="AB1756" i="16"/>
  <c r="AB2031" i="16"/>
  <c r="AB1020" i="16"/>
  <c r="AB2694" i="16"/>
  <c r="AB122" i="16"/>
  <c r="AB71" i="16"/>
  <c r="AB1648" i="16"/>
  <c r="AB616" i="16"/>
  <c r="AB419" i="16"/>
  <c r="AB2476" i="16"/>
  <c r="AB2208" i="16"/>
  <c r="AB1273" i="16"/>
  <c r="AB2756" i="16"/>
  <c r="AB2331" i="16"/>
  <c r="AB3011" i="16"/>
  <c r="AB2449" i="16"/>
  <c r="AB641" i="16"/>
  <c r="AB2253" i="16"/>
  <c r="AB2028" i="16"/>
  <c r="AB2774" i="16"/>
  <c r="AB1426" i="16"/>
  <c r="AB2619" i="16"/>
  <c r="AB613" i="16"/>
  <c r="AB524" i="16"/>
  <c r="AB301" i="16"/>
  <c r="AB1647" i="16"/>
  <c r="AB1013" i="16"/>
  <c r="AB3049" i="16"/>
  <c r="AB121" i="16"/>
  <c r="AB50" i="16"/>
  <c r="AB3431" i="16"/>
  <c r="AB3309" i="16"/>
  <c r="AB894" i="16"/>
  <c r="AB3242" i="16"/>
  <c r="AB821" i="16"/>
  <c r="AB1691" i="16"/>
  <c r="AB1152" i="16"/>
  <c r="AB212" i="16"/>
  <c r="AB2786" i="16"/>
  <c r="AB1549" i="16"/>
  <c r="AB1305" i="16"/>
  <c r="AB3002" i="16"/>
  <c r="AB1348" i="16"/>
  <c r="AB1978" i="16"/>
  <c r="AB1476" i="16"/>
  <c r="AB1463" i="16"/>
  <c r="AB1748" i="16"/>
  <c r="AB363" i="16"/>
  <c r="AB3396" i="16"/>
  <c r="AB390" i="16"/>
  <c r="AB972" i="16"/>
  <c r="AB3250" i="16"/>
  <c r="AB981" i="16"/>
  <c r="AB559" i="16"/>
  <c r="AB409" i="16"/>
  <c r="AB406" i="16"/>
  <c r="AB2718" i="16"/>
  <c r="AB908" i="16"/>
  <c r="AB2307" i="16"/>
  <c r="AB1288" i="16"/>
  <c r="AB1551" i="16"/>
  <c r="AB2387" i="16"/>
  <c r="AB2643" i="16"/>
  <c r="AB411" i="16"/>
  <c r="AB149" i="16"/>
  <c r="AB1537" i="16"/>
  <c r="AB2124" i="16"/>
  <c r="AB625" i="16"/>
  <c r="AB2212" i="16"/>
  <c r="AB317" i="16"/>
  <c r="AB3085" i="16"/>
  <c r="AB736" i="16"/>
  <c r="AB1012" i="16"/>
  <c r="AB1574" i="16"/>
  <c r="AB1626" i="16"/>
  <c r="AB267" i="16"/>
  <c r="AB584" i="16"/>
  <c r="AB1692" i="16"/>
  <c r="AB1092" i="16"/>
  <c r="AB1723" i="16"/>
  <c r="AB350" i="16"/>
  <c r="AB1862" i="16"/>
  <c r="AB2541" i="16"/>
  <c r="AB3491" i="16"/>
  <c r="AB2719" i="16"/>
  <c r="AB2540" i="16"/>
  <c r="AB491" i="16"/>
  <c r="AB540" i="16"/>
  <c r="AB2076" i="16"/>
  <c r="AB1854" i="16"/>
  <c r="AB2218" i="16"/>
  <c r="AB414" i="16"/>
  <c r="AB9" i="16"/>
  <c r="AB3447" i="16"/>
  <c r="AB1737" i="16"/>
  <c r="AB1477" i="16"/>
  <c r="AB1804" i="16"/>
  <c r="AB2652" i="16"/>
  <c r="AB443" i="16"/>
  <c r="AB774" i="16"/>
  <c r="AB1721" i="16"/>
  <c r="AB801" i="16"/>
  <c r="AB1053" i="16"/>
  <c r="AB1664" i="16"/>
  <c r="AB986" i="16"/>
  <c r="AB174" i="16"/>
  <c r="AB2464" i="16"/>
  <c r="AB1620" i="16"/>
  <c r="AB2204" i="16"/>
  <c r="AB2585" i="16"/>
  <c r="AB2809" i="16"/>
  <c r="AB2647" i="16"/>
  <c r="AB1677" i="16"/>
  <c r="AB1731" i="16"/>
  <c r="AB1843" i="16"/>
  <c r="AB1530" i="16"/>
  <c r="AB141" i="16"/>
  <c r="AB2632" i="16"/>
  <c r="AB2845" i="16"/>
  <c r="AB2894" i="16"/>
  <c r="AB53" i="16"/>
  <c r="AB2984" i="16"/>
  <c r="AB6" i="16"/>
  <c r="AB2531" i="16"/>
  <c r="AB971" i="16"/>
  <c r="AB187" i="16"/>
  <c r="AB975" i="16"/>
  <c r="AB371" i="16"/>
  <c r="AB1542" i="16"/>
  <c r="AB2354" i="16"/>
  <c r="AB1482" i="16"/>
  <c r="AB1304" i="16"/>
  <c r="AB98" i="16"/>
  <c r="AB1287" i="16"/>
  <c r="AB2969" i="16"/>
  <c r="AB2552" i="16"/>
  <c r="AB966" i="16"/>
  <c r="AB659" i="16"/>
  <c r="AB2480" i="16"/>
  <c r="AB1614" i="16"/>
  <c r="AB2041" i="16"/>
  <c r="AB2616" i="16"/>
  <c r="AB2314" i="16"/>
  <c r="AB750" i="16"/>
  <c r="AB2323" i="16"/>
  <c r="AB1767" i="16"/>
  <c r="AB1322" i="16"/>
  <c r="AB2878" i="16"/>
  <c r="AB2431" i="16"/>
  <c r="AB2542" i="16"/>
  <c r="AB3441" i="16"/>
  <c r="AB979" i="16"/>
  <c r="AB1852" i="16"/>
  <c r="AB1821" i="16"/>
  <c r="AB1043" i="16"/>
  <c r="AB2116" i="16"/>
  <c r="AB2777" i="16"/>
  <c r="AB3201" i="16"/>
  <c r="AB1928" i="16"/>
  <c r="AB2484" i="16"/>
  <c r="AB1233" i="16"/>
  <c r="AB2708" i="16"/>
  <c r="AB1103" i="16"/>
  <c r="AB1980" i="16"/>
  <c r="AB1487" i="16"/>
  <c r="AB2462" i="16"/>
  <c r="AB2995" i="16"/>
  <c r="AB1127" i="16"/>
  <c r="AB3450" i="16"/>
  <c r="AB1011" i="16"/>
  <c r="AB1859" i="16"/>
  <c r="AB1713" i="16"/>
  <c r="AB1443" i="16"/>
  <c r="AB26" i="16"/>
  <c r="AB1682" i="16"/>
  <c r="AB2646" i="16"/>
  <c r="AB1708" i="16"/>
  <c r="AB486" i="16"/>
  <c r="AB3195" i="16"/>
  <c r="AB1497" i="16"/>
  <c r="AB2706" i="16"/>
  <c r="AB2408" i="16"/>
  <c r="AB2705" i="16"/>
  <c r="AB2782" i="16"/>
  <c r="AB2818" i="16"/>
  <c r="AB3279" i="16"/>
  <c r="AB2319" i="16"/>
  <c r="AB3291" i="16"/>
  <c r="AB1625" i="16"/>
  <c r="AB2962" i="16"/>
  <c r="AB2981" i="16"/>
  <c r="AB2163" i="16"/>
  <c r="AB1408" i="16"/>
  <c r="AB2460" i="16"/>
  <c r="AB299" i="16"/>
  <c r="AB3328" i="16"/>
  <c r="AB2919" i="16"/>
  <c r="AB2242" i="16"/>
  <c r="AB2935" i="16"/>
  <c r="AB1507" i="16"/>
  <c r="AB805" i="16"/>
  <c r="AB2177" i="16"/>
  <c r="AB2867" i="16"/>
  <c r="AB3000" i="16"/>
  <c r="AB588" i="16"/>
  <c r="AB3094" i="16"/>
  <c r="AB2240" i="16"/>
  <c r="AB2560" i="16"/>
  <c r="AB3463" i="16"/>
  <c r="AB3270" i="16"/>
  <c r="AB706" i="16"/>
  <c r="AB3371" i="16"/>
  <c r="AB1174" i="16"/>
  <c r="AB1460" i="16"/>
  <c r="AB1038" i="16"/>
  <c r="AB2440" i="16"/>
  <c r="AB1417" i="16"/>
  <c r="AB597" i="16"/>
  <c r="AB3120" i="16"/>
  <c r="AB3119" i="16"/>
  <c r="AB429" i="16"/>
  <c r="AB1730" i="16"/>
  <c r="AB2840" i="16"/>
  <c r="AB1472" i="16"/>
  <c r="AB3484" i="16"/>
  <c r="AB558" i="16"/>
  <c r="AB1175" i="16"/>
  <c r="AB1849" i="16"/>
  <c r="AB2029" i="16"/>
  <c r="AB1070" i="16"/>
  <c r="AB1126" i="16"/>
  <c r="AB88" i="16"/>
  <c r="AB1371" i="16"/>
  <c r="AB849" i="16"/>
  <c r="AB152" i="16"/>
  <c r="AB2569" i="16"/>
  <c r="AB3349" i="16"/>
  <c r="AB1167" i="16"/>
  <c r="AB2439" i="16"/>
  <c r="AB2403" i="16"/>
  <c r="AB2639" i="16"/>
  <c r="AB2783" i="16"/>
  <c r="AB1170" i="16"/>
  <c r="AB2825" i="16"/>
  <c r="AB245" i="16"/>
  <c r="AB3399" i="16"/>
  <c r="AB2731" i="16"/>
  <c r="AB1550" i="16"/>
  <c r="AB2328" i="16"/>
  <c r="AB2946" i="16"/>
  <c r="AB1266" i="16"/>
  <c r="AB1015" i="16"/>
  <c r="AB3144" i="16"/>
  <c r="AB3394" i="16"/>
  <c r="AB1280" i="16"/>
  <c r="AB82" i="16"/>
  <c r="AB578" i="16"/>
  <c r="AB735" i="16"/>
  <c r="AB1465" i="16"/>
  <c r="AB17" i="16"/>
  <c r="AB14" i="16"/>
  <c r="AB1083" i="16"/>
  <c r="AB57" i="16"/>
  <c r="AB542" i="16"/>
  <c r="AB353" i="16"/>
  <c r="AB52" i="16"/>
  <c r="AB3169" i="16"/>
  <c r="AB882" i="16"/>
  <c r="AB1085" i="16"/>
  <c r="AB2109" i="16"/>
  <c r="AB172" i="16"/>
  <c r="AB430" i="16"/>
  <c r="AB848" i="16"/>
  <c r="AB601" i="16"/>
  <c r="AB2380" i="16"/>
  <c r="AB386" i="16"/>
  <c r="AB476" i="16"/>
  <c r="AB783" i="16"/>
  <c r="AB319" i="16"/>
  <c r="AB74" i="16"/>
  <c r="AB3064" i="16"/>
  <c r="AB3403" i="16"/>
  <c r="AB829" i="16"/>
  <c r="AB43" i="16"/>
  <c r="AB20" i="16"/>
  <c r="AB330" i="16"/>
  <c r="AB1876" i="16"/>
  <c r="AB2799" i="16"/>
  <c r="AB219" i="16"/>
  <c r="AB3228" i="16"/>
  <c r="AB853" i="16"/>
  <c r="AB1709" i="16"/>
  <c r="AB1303" i="16"/>
  <c r="AB3453" i="16"/>
  <c r="AB1523" i="16"/>
  <c r="AB1912" i="16"/>
  <c r="AB2505" i="16"/>
  <c r="AB2075" i="16"/>
  <c r="AB532" i="16"/>
  <c r="AB2680" i="16"/>
  <c r="AB2295" i="16"/>
  <c r="AB247" i="16"/>
  <c r="AB16" i="16"/>
  <c r="AB39" i="16"/>
  <c r="AB3086" i="16"/>
  <c r="AB3229" i="16"/>
  <c r="AB72" i="16"/>
  <c r="AB234" i="16"/>
  <c r="AB2194" i="16"/>
  <c r="AB2657" i="16"/>
  <c r="AB3407" i="16"/>
  <c r="AB1666" i="16"/>
  <c r="AB1887" i="16"/>
  <c r="AB2539" i="16"/>
  <c r="AB2343" i="16"/>
  <c r="AB1245" i="16"/>
  <c r="AB458" i="16"/>
  <c r="AB2133" i="16"/>
  <c r="AB36" i="16"/>
  <c r="AB3057" i="16"/>
  <c r="AB2420" i="16"/>
  <c r="AB3020" i="16"/>
  <c r="AB2628" i="16"/>
  <c r="AB998" i="16"/>
  <c r="AB1953" i="16"/>
  <c r="AB2933" i="16"/>
  <c r="AB1786" i="16"/>
  <c r="AB3233" i="16"/>
  <c r="AB2379" i="16"/>
  <c r="AB1056" i="16"/>
  <c r="AB701" i="16"/>
  <c r="AB2872" i="16"/>
  <c r="AB1069" i="16"/>
  <c r="AB3330" i="16"/>
  <c r="AB776" i="16"/>
  <c r="AB837" i="16"/>
  <c r="AB91" i="16"/>
  <c r="AB1926" i="16"/>
  <c r="AB214" i="16"/>
  <c r="AB2699" i="16"/>
  <c r="AB1005" i="16"/>
  <c r="AB785" i="16"/>
  <c r="AB3129" i="16"/>
  <c r="AB2612" i="16"/>
  <c r="AB1164" i="16"/>
  <c r="AB2734" i="16"/>
  <c r="AB3439" i="16"/>
  <c r="AB438" i="16"/>
  <c r="AB2384" i="16"/>
  <c r="AB1565" i="16"/>
  <c r="AB2588" i="16"/>
  <c r="AB2641" i="16"/>
  <c r="AB817" i="16"/>
  <c r="AB188" i="16"/>
  <c r="AB1680" i="16"/>
  <c r="AB2450" i="16"/>
  <c r="AB3385" i="16"/>
  <c r="AB555" i="16"/>
  <c r="AB3435" i="16"/>
  <c r="AB1914" i="16"/>
  <c r="AB3226" i="16"/>
  <c r="AB1567" i="16"/>
  <c r="AB2099" i="16"/>
  <c r="AB1863" i="16"/>
  <c r="AB3113" i="16"/>
  <c r="AB2932" i="16"/>
  <c r="AB1295" i="16"/>
  <c r="AB1734" i="16"/>
  <c r="AB2888" i="16"/>
  <c r="AB3483" i="16"/>
  <c r="AB119" i="16"/>
  <c r="AB869" i="16"/>
  <c r="AB291" i="16"/>
  <c r="AB2425" i="16"/>
  <c r="AB786" i="16"/>
  <c r="AB3132" i="16"/>
  <c r="AB1860" i="16"/>
  <c r="AB1535" i="16"/>
  <c r="AB1421" i="16"/>
  <c r="AB1898" i="16"/>
  <c r="AB2479" i="16"/>
  <c r="AB93" i="16"/>
  <c r="AB83" i="16"/>
  <c r="AB1389" i="16"/>
  <c r="AB2497" i="16"/>
  <c r="AB2775" i="16"/>
  <c r="AB794" i="16"/>
  <c r="AB603" i="16"/>
  <c r="AB455" i="16"/>
  <c r="AB253" i="16"/>
  <c r="AB2722" i="16"/>
  <c r="AB2004" i="16"/>
  <c r="AB934" i="16"/>
  <c r="AB721" i="16"/>
  <c r="AB755" i="16"/>
  <c r="AB2548" i="16"/>
  <c r="AB138" i="16"/>
  <c r="AB65" i="16"/>
  <c r="AB435" i="16"/>
  <c r="AB2846" i="16"/>
  <c r="AB1985" i="16"/>
  <c r="AB1668" i="16"/>
  <c r="AB2874" i="16"/>
  <c r="AB1847" i="16"/>
  <c r="AB787" i="16"/>
  <c r="AB2861" i="16"/>
  <c r="AB2987" i="16"/>
  <c r="AB791" i="16"/>
  <c r="AB2841" i="16"/>
  <c r="AB2689" i="16"/>
  <c r="AB3364" i="16"/>
  <c r="AB1078" i="16"/>
  <c r="AB1923" i="16"/>
  <c r="AB2866" i="16"/>
  <c r="AB505" i="16"/>
  <c r="AB2664" i="16"/>
  <c r="AB1990" i="16"/>
  <c r="AB196" i="16"/>
  <c r="AB1848" i="16"/>
  <c r="AB1151" i="16"/>
  <c r="AB2267" i="16"/>
  <c r="AB2142" i="16"/>
  <c r="AB2256" i="16"/>
  <c r="AB2013" i="16"/>
  <c r="AB1948" i="16"/>
  <c r="AB2858" i="16"/>
  <c r="AB96" i="16"/>
  <c r="AB156" i="16"/>
  <c r="AB2126" i="16"/>
  <c r="AB527" i="16"/>
  <c r="AB980" i="16"/>
  <c r="AB3252" i="16"/>
  <c r="AB2654" i="16"/>
  <c r="AB3462" i="16"/>
  <c r="AB2758" i="16"/>
  <c r="AB2805" i="16"/>
  <c r="AB1361" i="16"/>
  <c r="AB307" i="16"/>
  <c r="AB1341" i="16"/>
  <c r="AB1531" i="16"/>
  <c r="AB502" i="16"/>
  <c r="AB474" i="16"/>
  <c r="AB2713" i="16"/>
  <c r="AB244" i="16"/>
  <c r="AB585" i="16"/>
  <c r="AB238" i="16"/>
  <c r="AB3187" i="16"/>
  <c r="AB10" i="16"/>
  <c r="AB1775" i="16"/>
  <c r="AB3251" i="16"/>
  <c r="AB329" i="16"/>
  <c r="AB2397" i="16"/>
  <c r="AB906" i="16"/>
  <c r="AB997" i="16"/>
  <c r="AB104" i="16"/>
  <c r="AB2526" i="16"/>
  <c r="AB2868" i="16"/>
  <c r="AB1428" i="16"/>
  <c r="AB92" i="16"/>
  <c r="AB2906" i="16"/>
  <c r="AB1596" i="16"/>
  <c r="AB2050" i="16"/>
  <c r="AB222" i="16"/>
  <c r="AB3384" i="16"/>
  <c r="AB2980" i="16"/>
  <c r="AB1532" i="16"/>
  <c r="AB3076" i="16"/>
  <c r="AB1950" i="16"/>
  <c r="AB806" i="16"/>
  <c r="AB3426" i="16"/>
  <c r="AB124" i="16"/>
  <c r="AB812" i="16"/>
  <c r="AB197" i="16"/>
  <c r="AB1992" i="16"/>
  <c r="AB1025" i="16"/>
  <c r="AB2302" i="16"/>
  <c r="AB1062" i="16"/>
  <c r="AB12" i="16"/>
  <c r="AB1372" i="16"/>
  <c r="AB128" i="16"/>
  <c r="AB1290" i="16"/>
  <c r="AB730" i="16"/>
  <c r="AB1646" i="16"/>
  <c r="AB66" i="16"/>
  <c r="AB770" i="16"/>
  <c r="AB341" i="16"/>
  <c r="AB221" i="16"/>
  <c r="AB251" i="16"/>
  <c r="AB436" i="16"/>
  <c r="AB25" i="16"/>
  <c r="AB2837" i="16"/>
  <c r="AB23" i="16"/>
  <c r="AB32" i="16"/>
  <c r="AB24" i="16"/>
  <c r="AB42" i="16"/>
  <c r="AB28" i="16"/>
  <c r="AB1687" i="16"/>
  <c r="AB143" i="16"/>
  <c r="AB1967" i="16"/>
  <c r="AB2132" i="16"/>
  <c r="AB2599" i="16"/>
  <c r="AB2515" i="16"/>
  <c r="AB167" i="16"/>
  <c r="AB852" i="16"/>
  <c r="AB203" i="16"/>
  <c r="AB1453" i="16"/>
  <c r="AB461" i="16"/>
  <c r="AB451" i="16"/>
  <c r="AB2533" i="16"/>
  <c r="AB428" i="16"/>
  <c r="AB38" i="16"/>
  <c r="AB2909" i="16"/>
  <c r="AB797" i="16"/>
  <c r="AB2976" i="16"/>
  <c r="AB180" i="16"/>
  <c r="AB1234" i="16"/>
  <c r="AB210" i="16"/>
  <c r="AB2481" i="16"/>
  <c r="AB1676" i="16"/>
  <c r="AB1963" i="16"/>
  <c r="AB2454" i="16"/>
  <c r="AB3466" i="16"/>
  <c r="AB75" i="16"/>
  <c r="AB27" i="16"/>
  <c r="AB758" i="16"/>
  <c r="AB365" i="16"/>
  <c r="AB2193" i="16"/>
  <c r="AB1749" i="16"/>
  <c r="AB1916" i="16"/>
  <c r="AB2754" i="16"/>
  <c r="AB897" i="16"/>
  <c r="AB2772" i="16"/>
  <c r="AB18" i="16"/>
  <c r="AB1215" i="16"/>
  <c r="AB442" i="16"/>
  <c r="AB252" i="16"/>
  <c r="AB310" i="16"/>
  <c r="AB208" i="16"/>
  <c r="AB19" i="16"/>
  <c r="AB192" i="16"/>
  <c r="AB596" i="16"/>
  <c r="AB2325" i="16"/>
  <c r="AB201" i="16"/>
  <c r="AB3" i="16"/>
  <c r="AB567" i="16"/>
  <c r="AB2080" i="16"/>
  <c r="AB1029" i="16"/>
  <c r="AB962" i="16"/>
  <c r="AB13" i="16"/>
  <c r="AB820" i="16"/>
  <c r="AB608" i="16"/>
  <c r="AB2334" i="16"/>
  <c r="AB760" i="16"/>
  <c r="AB1919" i="16"/>
  <c r="AB303" i="16"/>
  <c r="AB664" i="16"/>
  <c r="AB387" i="16"/>
  <c r="AB51" i="16"/>
  <c r="AB2917" i="16"/>
  <c r="AB2158" i="16"/>
  <c r="AB1603" i="16"/>
  <c r="AB3360" i="16"/>
  <c r="AB106" i="16"/>
  <c r="AB182" i="16"/>
  <c r="AB1411" i="16"/>
  <c r="AB703" i="16"/>
  <c r="AB2127" i="16"/>
  <c r="AB1132" i="16"/>
  <c r="AB2844" i="16"/>
  <c r="AB477" i="16"/>
  <c r="AB376" i="16"/>
  <c r="AB177" i="16"/>
  <c r="AB2231" i="16"/>
  <c r="AB1939" i="16"/>
  <c r="AB1740" i="16"/>
  <c r="AB792" i="16"/>
  <c r="AB70" i="16"/>
  <c r="AB2606" i="16"/>
  <c r="AB1263" i="16"/>
  <c r="AB3316" i="16"/>
  <c r="AB2120" i="16"/>
  <c r="AB1906" i="16"/>
  <c r="AB110" i="16"/>
  <c r="AB2486" i="16"/>
  <c r="AB1091" i="16"/>
  <c r="AB666" i="16"/>
  <c r="AB1868" i="16"/>
  <c r="AB3182" i="16"/>
  <c r="AB1139" i="16"/>
  <c r="AB3010" i="16"/>
  <c r="AB1261" i="16"/>
  <c r="AB293" i="16"/>
  <c r="AB1338" i="16"/>
  <c r="AB638" i="16"/>
  <c r="AB1122" i="16"/>
  <c r="AB1370" i="16"/>
  <c r="AB2534" i="16"/>
  <c r="AB2884" i="16"/>
  <c r="AB1824" i="16"/>
  <c r="AB2715" i="16"/>
  <c r="AB2768" i="16"/>
  <c r="AB1213" i="16"/>
  <c r="AB888" i="16"/>
  <c r="AB2741" i="16"/>
  <c r="AB2495" i="16"/>
  <c r="AB2710" i="16"/>
  <c r="AB2048" i="16"/>
  <c r="AB1750" i="16"/>
  <c r="AB2145" i="16"/>
  <c r="AB1313" i="16"/>
  <c r="AB105" i="16"/>
  <c r="AB1143" i="16"/>
  <c r="AB2999" i="16"/>
  <c r="AB877" i="16"/>
  <c r="AB1342" i="16"/>
  <c r="AB3487" i="16"/>
  <c r="AB2195" i="16"/>
  <c r="AB2285" i="16"/>
  <c r="AB3235" i="16"/>
  <c r="AB453" i="16"/>
  <c r="AB3003" i="16"/>
  <c r="AB276" i="16"/>
  <c r="AB3278" i="16"/>
  <c r="AB3207" i="16"/>
  <c r="AB2663" i="16"/>
  <c r="AB3023" i="16"/>
  <c r="AB1223" i="16"/>
  <c r="AB1252" i="16"/>
  <c r="AB914" i="16"/>
  <c r="AB2611" i="16"/>
  <c r="AB756" i="16"/>
  <c r="AB326" i="16"/>
  <c r="AB1970" i="16"/>
  <c r="AB3190" i="16"/>
  <c r="AB2914" i="16"/>
  <c r="AB2355" i="16"/>
  <c r="AB3348" i="16"/>
  <c r="AB1133" i="16"/>
  <c r="AB723" i="16"/>
  <c r="AB2047" i="16"/>
  <c r="AB1909" i="16"/>
  <c r="AB2936" i="16"/>
  <c r="AB3143" i="16"/>
  <c r="AB1057" i="16"/>
  <c r="AB1797" i="16"/>
  <c r="AB863" i="16"/>
  <c r="AB3065" i="16"/>
  <c r="AB3108" i="16"/>
  <c r="AB2535" i="16"/>
  <c r="AB3415" i="16"/>
  <c r="AB2523" i="16"/>
  <c r="AB63" i="16"/>
  <c r="AB669" i="16"/>
  <c r="AB2492" i="16"/>
  <c r="AB2636" i="16"/>
  <c r="AB3110" i="16"/>
  <c r="AB3075" i="16"/>
  <c r="AB2586" i="16"/>
  <c r="AB1981" i="16"/>
  <c r="AB1933" i="16"/>
  <c r="AB1090" i="16"/>
  <c r="AB1381" i="16"/>
  <c r="AB2790" i="16"/>
  <c r="AB1307" i="16"/>
  <c r="AB2059" i="16"/>
  <c r="AB2960" i="16"/>
  <c r="AB1388" i="16"/>
  <c r="AB1289" i="16"/>
  <c r="AB2069" i="16"/>
  <c r="AB1649" i="16"/>
  <c r="AB2965" i="16"/>
  <c r="AB439" i="16"/>
  <c r="AB427" i="16"/>
  <c r="AB80" i="16"/>
  <c r="AB2789" i="16"/>
  <c r="AB336" i="16"/>
  <c r="AB1095" i="16"/>
  <c r="AB137" i="16"/>
  <c r="AB115" i="16"/>
  <c r="AB1271" i="16"/>
  <c r="AB1759" i="16"/>
  <c r="AB1877" i="16"/>
  <c r="AB1004" i="16"/>
  <c r="AB2732" i="16"/>
  <c r="AB1239" i="16"/>
  <c r="AB3481" i="16"/>
  <c r="AB159" i="16"/>
  <c r="AB2558" i="16"/>
  <c r="AB880" i="16"/>
  <c r="AB3449" i="16"/>
  <c r="AB949" i="16"/>
  <c r="AB407" i="16"/>
  <c r="AB479" i="16"/>
  <c r="AB460" i="16"/>
  <c r="AB901" i="16"/>
  <c r="AB2714" i="16"/>
  <c r="AB1315" i="16"/>
  <c r="AB2525" i="16"/>
  <c r="AB2347" i="16"/>
  <c r="AB1243" i="16"/>
  <c r="AB44" i="16"/>
  <c r="AB1445" i="16"/>
  <c r="AB2252" i="16"/>
  <c r="AB345" i="16"/>
  <c r="AB2290" i="16"/>
  <c r="AB2649" i="16"/>
  <c r="AB2451" i="16"/>
  <c r="AB147" i="16"/>
  <c r="AB1096" i="16"/>
  <c r="AB715" i="16"/>
  <c r="AB173" i="16"/>
  <c r="AB2395" i="16"/>
  <c r="AB1632" i="16"/>
  <c r="AB268" i="16"/>
  <c r="AB1673" i="16"/>
  <c r="AB1930" i="16"/>
  <c r="AB2614" i="16"/>
  <c r="AB265" i="16"/>
  <c r="AB3045" i="16"/>
  <c r="AB2153" i="16"/>
  <c r="AB1112" i="16"/>
  <c r="AB2234" i="16"/>
  <c r="AB2653" i="16"/>
  <c r="AB2110" i="16"/>
  <c r="AB2327" i="16"/>
  <c r="AB1367" i="16"/>
  <c r="AB2336" i="16"/>
  <c r="AB2024" i="16"/>
  <c r="AB1072" i="16"/>
  <c r="AB1317" i="16"/>
  <c r="AB1494" i="16"/>
  <c r="AB2725" i="16"/>
  <c r="AB1744" i="16"/>
  <c r="AB2851" i="16"/>
  <c r="AB1459" i="16"/>
  <c r="AB1256" i="16"/>
  <c r="AB3419" i="16"/>
  <c r="AB790" i="16"/>
  <c r="AB850" i="16"/>
  <c r="AB1441" i="16"/>
  <c r="AB2724" i="16"/>
  <c r="AB810" i="16"/>
  <c r="AB2316" i="16"/>
  <c r="AB1836" i="16"/>
  <c r="AB3005" i="16"/>
  <c r="AB1166" i="16"/>
  <c r="AB2151" i="16"/>
  <c r="AB1118" i="16"/>
  <c r="AB2752" i="16"/>
  <c r="AB896" i="16"/>
  <c r="AB1964" i="16"/>
  <c r="AB190" i="16"/>
  <c r="AB3030" i="16"/>
  <c r="AB802" i="16"/>
  <c r="AB160" i="16"/>
  <c r="AB847" i="16"/>
  <c r="AB1644" i="16"/>
  <c r="AB1753" i="16"/>
  <c r="AB586" i="16"/>
  <c r="AB841" i="16"/>
  <c r="AB1656" i="16"/>
  <c r="AB632" i="16"/>
  <c r="AB308" i="16"/>
  <c r="AB2051" i="16"/>
  <c r="AB957" i="16"/>
  <c r="AB3135" i="16"/>
  <c r="AB2008" i="16"/>
  <c r="AB2448" i="16"/>
  <c r="AB29" i="16"/>
  <c r="AB1246" i="16"/>
  <c r="AB2269" i="16"/>
  <c r="AB2520" i="16"/>
  <c r="AB333" i="16"/>
  <c r="AB583" i="16"/>
  <c r="AB732" i="16"/>
  <c r="AB1871" i="16"/>
  <c r="AB991" i="16"/>
  <c r="AB2757" i="16"/>
  <c r="AB1717" i="16"/>
  <c r="AB909" i="16"/>
  <c r="AB1968" i="16"/>
  <c r="AB2308" i="16"/>
  <c r="AB1134" i="16"/>
  <c r="AB3290" i="16"/>
  <c r="AB2501" i="16"/>
  <c r="AB1629" i="16"/>
  <c r="AB1544" i="16"/>
  <c r="AB1299" i="16"/>
  <c r="AB690" i="16"/>
  <c r="AB3191" i="16"/>
  <c r="AB1087" i="16"/>
  <c r="AB1681" i="16"/>
  <c r="AB2762" i="16"/>
  <c r="AB1026" i="16"/>
  <c r="AB3204" i="16"/>
  <c r="AB1518" i="16"/>
  <c r="AB1116" i="16"/>
  <c r="AB488" i="16"/>
  <c r="AB1258" i="16"/>
  <c r="AB490" i="16"/>
  <c r="AB1958" i="16"/>
  <c r="AB3117" i="16"/>
  <c r="AB2831" i="16"/>
  <c r="AB3283" i="16"/>
  <c r="AB1796" i="16"/>
  <c r="AB2385" i="16"/>
  <c r="AB2834" i="16"/>
  <c r="AB239" i="16"/>
  <c r="AB2418" i="16"/>
  <c r="AB911" i="16"/>
  <c r="AB2456" i="16"/>
  <c r="AB639" i="16"/>
  <c r="AB2902" i="16"/>
  <c r="AB2452" i="16"/>
  <c r="AB3223" i="16"/>
  <c r="AB1380" i="16"/>
  <c r="AB2432" i="16"/>
  <c r="AB258" i="16"/>
  <c r="AB213" i="16"/>
  <c r="AB2797" i="16"/>
  <c r="AB1884" i="16"/>
  <c r="AB965" i="16"/>
  <c r="AB1694" i="16"/>
  <c r="AB34" i="16"/>
  <c r="AB840" i="16"/>
  <c r="AB492" i="16"/>
  <c r="AB3232" i="16"/>
  <c r="AB229" i="16"/>
  <c r="AB1611" i="16"/>
  <c r="AB2405" i="16"/>
  <c r="AB3428" i="16"/>
  <c r="AB495" i="16"/>
  <c r="AB1855" i="16"/>
  <c r="AB3307" i="16"/>
  <c r="AB2865" i="16"/>
  <c r="AB1599" i="16"/>
  <c r="AB707" i="16"/>
  <c r="AB1227" i="16"/>
  <c r="AB2561" i="16"/>
  <c r="AB1201" i="16"/>
  <c r="AB599" i="16"/>
  <c r="AB3443" i="16"/>
  <c r="AB2292" i="16"/>
  <c r="AB1406" i="16"/>
  <c r="AB2973" i="16"/>
  <c r="AB1123" i="16"/>
  <c r="AB946" i="16"/>
  <c r="AB2136" i="16"/>
  <c r="AB1422" i="16"/>
  <c r="AB1870" i="16"/>
  <c r="AB645" i="16"/>
  <c r="AB1291" i="16"/>
  <c r="AB1686" i="16"/>
  <c r="AB1356" i="16"/>
  <c r="AB1286" i="16"/>
  <c r="AB777" i="16"/>
  <c r="AB3368" i="16"/>
  <c r="AB470" i="16"/>
  <c r="AB2144" i="16"/>
  <c r="AB698" i="16"/>
  <c r="AB2304" i="16"/>
  <c r="AB1485" i="16"/>
  <c r="AB1316" i="16"/>
  <c r="AB3125" i="16"/>
  <c r="AB947" i="16"/>
  <c r="AB2550" i="16"/>
  <c r="AB1546" i="16"/>
  <c r="AB1162" i="16"/>
  <c r="AB1324" i="16"/>
  <c r="AB2667" i="16"/>
  <c r="AB1812" i="16"/>
  <c r="AB1954" i="16"/>
  <c r="AB956" i="16"/>
  <c r="AB741" i="16"/>
  <c r="AB1050" i="16"/>
  <c r="AB1562" i="16"/>
  <c r="AB780" i="16"/>
  <c r="AB552" i="16"/>
  <c r="AB1996" i="16"/>
  <c r="AB3107" i="16"/>
  <c r="AB1128" i="16"/>
  <c r="AB1018" i="16"/>
  <c r="AB1281" i="16"/>
  <c r="AB2974" i="16"/>
  <c r="AB397" i="16"/>
  <c r="AB1369" i="16"/>
  <c r="AB1872" i="16"/>
  <c r="AB2271" i="16"/>
  <c r="AB2806" i="16"/>
  <c r="AB1308" i="16"/>
  <c r="AB372" i="16"/>
  <c r="AB1763" i="16"/>
  <c r="AB1039" i="16"/>
  <c r="AB2916" i="16"/>
  <c r="AB1462" i="16"/>
  <c r="AB3376" i="16"/>
  <c r="AB2951" i="16"/>
  <c r="AB2912" i="16"/>
  <c r="AB449" i="16"/>
  <c r="AB257" i="16"/>
  <c r="AB651" i="16"/>
  <c r="AB2063" i="16"/>
  <c r="AB541" i="16"/>
  <c r="AB1517" i="16"/>
  <c r="AB2044" i="16"/>
  <c r="AB782" i="16"/>
  <c r="AB2824" i="16"/>
  <c r="AB273" i="16"/>
  <c r="AB1120" i="16"/>
  <c r="AB1228" i="16"/>
  <c r="AB988" i="16"/>
  <c r="AB2196" i="16"/>
  <c r="AB1915" i="16"/>
  <c r="AB739" i="16"/>
  <c r="AB2337" i="16"/>
  <c r="AB3116" i="16"/>
  <c r="AB236" i="16"/>
  <c r="AB2187" i="16"/>
  <c r="AB1615" i="16"/>
  <c r="AB2032" i="16"/>
  <c r="AB720" i="16"/>
  <c r="AB1961" i="16"/>
  <c r="AB2730" i="16"/>
  <c r="AB1736" i="16"/>
  <c r="AB2767" i="16"/>
  <c r="AB300" i="16"/>
  <c r="AB1762" i="16"/>
  <c r="AB2078" i="16"/>
  <c r="AB2522" i="16"/>
  <c r="AB3103" i="16"/>
  <c r="AB1010" i="16"/>
  <c r="AB2696" i="16"/>
  <c r="AB633" i="16"/>
  <c r="AB2103" i="16"/>
  <c r="AB2243" i="16"/>
  <c r="AB3231" i="16"/>
  <c r="AB1331" i="16"/>
  <c r="AB463" i="16"/>
  <c r="AB899" i="16"/>
  <c r="AB3406" i="16"/>
  <c r="AB740" i="16"/>
  <c r="AB2049" i="16"/>
  <c r="AB717" i="16"/>
  <c r="AB64" i="16"/>
  <c r="AB922" i="16"/>
  <c r="AB334" i="16"/>
  <c r="AB1641" i="16"/>
  <c r="AB3303" i="16"/>
  <c r="AB3357" i="16"/>
  <c r="AB370" i="16"/>
  <c r="AB3050" i="16"/>
  <c r="AB1508" i="16"/>
  <c r="AB2062" i="16"/>
  <c r="AB1792" i="16"/>
  <c r="AB1221" i="16"/>
  <c r="AB2504" i="16"/>
  <c r="AB131" i="16"/>
  <c r="AB1539" i="16"/>
  <c r="AB3178" i="16"/>
  <c r="AB1635" i="16"/>
  <c r="AB31" i="16"/>
  <c r="AB2129" i="16"/>
  <c r="AB2958" i="16"/>
  <c r="AB2358" i="16"/>
  <c r="AB1637" i="16"/>
  <c r="AB1302" i="16"/>
  <c r="AB3274" i="16"/>
  <c r="AB3326" i="16"/>
  <c r="AB1778" i="16"/>
  <c r="AB1977" i="16"/>
  <c r="AB622" i="16"/>
  <c r="AB1560" i="16"/>
  <c r="AB3172" i="16"/>
  <c r="AB1456" i="16"/>
  <c r="AB465" i="16"/>
  <c r="AB963" i="16"/>
  <c r="AB2445" i="16"/>
  <c r="AB3355" i="16"/>
  <c r="AB3175" i="16"/>
  <c r="AB1660" i="16"/>
  <c r="AB315" i="16"/>
  <c r="AB385" i="16"/>
  <c r="AB1630" i="16"/>
  <c r="AB1993" i="16"/>
  <c r="AB509" i="16"/>
  <c r="AB945" i="16"/>
  <c r="AB670" i="16"/>
  <c r="AB497" i="16"/>
  <c r="AB2362" i="16"/>
  <c r="AB3306" i="16"/>
  <c r="AB3139" i="16"/>
  <c r="AB2746" i="16"/>
  <c r="AB874" i="16"/>
  <c r="AB498" i="16"/>
  <c r="AB15" i="16"/>
  <c r="AB1622" i="16"/>
  <c r="AB1606" i="16"/>
  <c r="AB2034" i="16"/>
  <c r="AB2377" i="16"/>
  <c r="AB263" i="16"/>
  <c r="AB1202" i="16"/>
  <c r="AB884" i="16"/>
  <c r="AB22" i="16"/>
  <c r="AB1711" i="16"/>
  <c r="AB1840" i="16"/>
  <c r="AB2945" i="16"/>
  <c r="AB184" i="16"/>
  <c r="AB534" i="16"/>
  <c r="AB728" i="16"/>
  <c r="AB2506" i="16"/>
  <c r="AB563" i="16"/>
  <c r="AB1566" i="16"/>
  <c r="AB2020" i="16"/>
  <c r="AB1368" i="16"/>
  <c r="AB2992" i="16"/>
  <c r="AB3480" i="16"/>
  <c r="AB2228" i="16"/>
  <c r="AB484" i="16"/>
  <c r="AB2154" i="16"/>
  <c r="AB1254" i="16"/>
  <c r="AB2900" i="16"/>
  <c r="AB1621" i="16"/>
  <c r="AB2137" i="16"/>
  <c r="AB1833" i="16"/>
  <c r="AB3137" i="16"/>
  <c r="AB3018" i="16"/>
  <c r="AB3213" i="16"/>
  <c r="AB2466" i="16"/>
  <c r="AB661" i="16"/>
  <c r="AB2600" i="16"/>
  <c r="AB535" i="16"/>
  <c r="AB1160" i="16"/>
  <c r="AB2411" i="16"/>
  <c r="AB2114" i="16"/>
  <c r="AB2288" i="16"/>
  <c r="AB2369" i="16"/>
  <c r="AB714" i="16"/>
  <c r="AB1155" i="16"/>
  <c r="AB1138" i="16"/>
  <c r="AB240" i="16"/>
  <c r="AB1427" i="16"/>
  <c r="AB3358" i="16"/>
  <c r="AB857" i="16"/>
  <c r="AB415" i="16"/>
  <c r="AB298" i="16"/>
  <c r="AB650" i="16"/>
  <c r="AB403" i="16"/>
  <c r="AB2039" i="16"/>
  <c r="AB256" i="16"/>
  <c r="AB1483" i="16"/>
  <c r="AB2695" i="16"/>
  <c r="AB185" i="16"/>
  <c r="AB2001" i="16"/>
  <c r="AB2955" i="16"/>
  <c r="AB2388" i="16"/>
  <c r="AB1425" i="16"/>
  <c r="AB3262" i="16"/>
  <c r="AB1492" i="16"/>
  <c r="AB1500" i="16"/>
  <c r="AB2594" i="16"/>
  <c r="AB734" i="16"/>
  <c r="AB3281" i="16"/>
  <c r="AB431" i="16"/>
  <c r="AB845" i="16"/>
  <c r="AB769" i="16"/>
  <c r="AB2318" i="16"/>
  <c r="AB117" i="16"/>
  <c r="AB1510" i="16"/>
  <c r="AB1418" i="16"/>
  <c r="AB3031" i="16"/>
  <c r="AB1387" i="16"/>
  <c r="AB3422" i="16"/>
  <c r="AB744" i="16"/>
  <c r="AB572" i="16"/>
  <c r="AB1454" i="16"/>
  <c r="AB592" i="16"/>
  <c r="AB1031" i="16"/>
  <c r="AB290" i="16"/>
  <c r="AB392" i="16"/>
  <c r="AB113" i="16"/>
  <c r="AB1269" i="16"/>
  <c r="AB1598" i="16"/>
  <c r="AB2027" i="16"/>
  <c r="AB582" i="16"/>
  <c r="AB264" i="16"/>
  <c r="AB194" i="16"/>
  <c r="AB3465" i="16"/>
  <c r="AB3424" i="16"/>
  <c r="AB2257" i="16"/>
  <c r="AB418" i="16"/>
  <c r="AB543" i="16"/>
  <c r="AB134" i="16"/>
  <c r="AB1262" i="16"/>
  <c r="AB3275" i="16"/>
  <c r="AB855" i="16"/>
  <c r="AB1814" i="16"/>
  <c r="AB3451" i="16"/>
  <c r="AB2214" i="16"/>
  <c r="AB1946" i="16"/>
  <c r="AB1934" i="16"/>
  <c r="AB1513" i="16"/>
  <c r="AB2744" i="16"/>
  <c r="AB1773" i="16"/>
  <c r="AB3101" i="16"/>
  <c r="AB3459" i="16"/>
  <c r="AB2727" i="16"/>
  <c r="AB3292" i="16"/>
  <c r="AB2000" i="16"/>
  <c r="AB1575" i="16"/>
  <c r="AB1194" i="16"/>
  <c r="AB3212" i="16"/>
  <c r="AB2102" i="16"/>
  <c r="AB917" i="16"/>
  <c r="AB1148" i="16"/>
  <c r="AB3199" i="16"/>
  <c r="AB2625" i="16"/>
  <c r="AB437" i="16"/>
  <c r="AB469" i="16"/>
  <c r="AB3039" i="16"/>
  <c r="AB2404" i="16"/>
  <c r="AB399" i="16"/>
  <c r="AB195" i="16"/>
  <c r="AB475" i="16"/>
  <c r="AB1564" i="16"/>
  <c r="AB761" i="16"/>
  <c r="AB3354" i="16"/>
  <c r="AB2605" i="16"/>
  <c r="AB235" i="16"/>
  <c r="AB165" i="16"/>
  <c r="AB297" i="16"/>
  <c r="AB2105" i="16"/>
  <c r="AB136" i="16"/>
  <c r="AB618" i="16"/>
  <c r="AB191" i="16"/>
  <c r="AB1203" i="16"/>
  <c r="AB2197" i="16"/>
  <c r="AB3158" i="16"/>
  <c r="AB377" i="16"/>
  <c r="AB2134" i="16"/>
  <c r="AB942" i="16"/>
  <c r="AB2406" i="16"/>
  <c r="AB1373" i="16"/>
  <c r="AB1944" i="16"/>
  <c r="AB1395" i="16"/>
  <c r="AB1997" i="16"/>
  <c r="AB3298" i="16"/>
  <c r="AB2687" i="16"/>
  <c r="AB2666" i="16"/>
  <c r="AB709" i="16"/>
  <c r="AB216" i="16"/>
  <c r="AB1505" i="16"/>
  <c r="AB2428" i="16"/>
  <c r="AB2" i="16"/>
  <c r="AB3332" i="16"/>
  <c r="AB3105" i="16"/>
  <c r="AB3260" i="16"/>
  <c r="AB2589" i="16"/>
  <c r="AB130" i="16"/>
  <c r="AB35" i="16"/>
  <c r="AB612" i="16"/>
  <c r="AB332" i="16"/>
  <c r="AB2147" i="16"/>
  <c r="AB2776" i="16"/>
  <c r="AB1732" i="16"/>
  <c r="AB2125" i="16"/>
  <c r="AB1451" i="16"/>
  <c r="AB566" i="16"/>
  <c r="AB3324" i="16"/>
  <c r="AB1901" i="16"/>
  <c r="AB2122" i="16"/>
  <c r="AB1584" i="16"/>
  <c r="AB3377" i="16"/>
  <c r="AB2870" i="16"/>
  <c r="AB2282" i="16"/>
  <c r="AB2363" i="16"/>
  <c r="AB3009" i="16"/>
  <c r="AB54" i="16"/>
  <c r="AB1364" i="16"/>
  <c r="AB1702" i="16"/>
  <c r="AB3152" i="16"/>
  <c r="AB2972" i="16"/>
  <c r="AB1205" i="16"/>
  <c r="AB2021" i="16"/>
  <c r="AB2293" i="16"/>
  <c r="AB1705" i="16"/>
  <c r="AB2887" i="16"/>
  <c r="AB2045" i="16"/>
  <c r="AB594" i="16"/>
  <c r="AB591" i="16"/>
  <c r="AB454" i="16"/>
  <c r="AB2669" i="16"/>
  <c r="AB1094" i="16"/>
  <c r="AB2823" i="16"/>
  <c r="AB2186" i="16"/>
  <c r="AB2804" i="16"/>
  <c r="AB1144" i="16"/>
  <c r="AB1264" i="16"/>
  <c r="AB140" i="16"/>
  <c r="AB1344" i="16"/>
  <c r="AB1140" i="16"/>
  <c r="AB1414" i="16"/>
  <c r="AB660" i="16"/>
  <c r="AB1638" i="16"/>
  <c r="AB1665" i="16"/>
  <c r="AB323" i="16"/>
  <c r="AB1142" i="16"/>
  <c r="AB1498" i="16"/>
  <c r="AB1347" i="16"/>
  <c r="AB41" i="16"/>
  <c r="AB2443" i="16"/>
  <c r="AB281" i="16"/>
  <c r="AB118" i="16"/>
  <c r="AB2929" i="16"/>
  <c r="AB1671" i="16"/>
  <c r="AB1413" i="16"/>
  <c r="AB1009" i="16"/>
  <c r="AB2321" i="16"/>
  <c r="AB702" i="16"/>
  <c r="AB3338" i="16"/>
  <c r="AB531" i="16"/>
  <c r="AB1738" i="16"/>
  <c r="AB2017" i="16"/>
  <c r="AB1404" i="16"/>
  <c r="AB218" i="16"/>
  <c r="AB1669" i="16"/>
  <c r="AB2747" i="16"/>
  <c r="AB1363" i="16"/>
  <c r="AB3099" i="16"/>
  <c r="AB2407" i="16"/>
  <c r="AB2344" i="16"/>
  <c r="AB1703" i="16"/>
  <c r="AB3088" i="16"/>
  <c r="AB3264" i="16"/>
  <c r="AB2736" i="16"/>
  <c r="AB1396" i="16"/>
  <c r="AB1570" i="16"/>
  <c r="AB3420" i="16"/>
  <c r="AB1063" i="16"/>
  <c r="AB1719" i="16"/>
  <c r="AB827" i="16"/>
  <c r="AB611" i="16"/>
  <c r="AB2582" i="16"/>
  <c r="AB3434" i="16"/>
  <c r="AB3151" i="16"/>
  <c r="AB3467" i="16"/>
  <c r="AB432" i="16"/>
  <c r="AB624" i="16"/>
  <c r="AB3215" i="16"/>
  <c r="AB207" i="16"/>
  <c r="AB3145" i="16"/>
  <c r="AB1695" i="16"/>
  <c r="AB2266" i="16"/>
  <c r="AB1658" i="16"/>
  <c r="AB1956" i="16"/>
  <c r="AB994" i="16"/>
  <c r="AB1284" i="16"/>
  <c r="AB656" i="16"/>
  <c r="AB3203" i="16"/>
  <c r="AB100" i="16"/>
  <c r="AB1355" i="16"/>
  <c r="AB1220" i="16"/>
  <c r="AB1558" i="16"/>
  <c r="AB3221" i="16"/>
  <c r="AB3061" i="16"/>
  <c r="AB1811" i="16"/>
  <c r="AB2022" i="16"/>
  <c r="AB1105" i="16"/>
  <c r="AB2920" i="16"/>
  <c r="AB1891" i="16"/>
  <c r="AB1966" i="16"/>
  <c r="AB359" i="16"/>
  <c r="AB905" i="16"/>
  <c r="AB1776" i="16"/>
  <c r="AB1949" i="16"/>
  <c r="AB232" i="16"/>
  <c r="AB3437" i="16"/>
  <c r="AB1999" i="16"/>
  <c r="AB822" i="16"/>
  <c r="AB408" i="16"/>
  <c r="AB1684" i="16"/>
  <c r="AB2688" i="16"/>
  <c r="AB2037" i="16"/>
  <c r="AB834" i="16"/>
  <c r="AB2631" i="16"/>
  <c r="AB1525" i="16"/>
  <c r="AB412" i="16"/>
  <c r="AB2503" i="16"/>
  <c r="AB2967" i="16"/>
  <c r="AB1547" i="16"/>
  <c r="AB1086" i="16"/>
  <c r="AB1986" i="16"/>
  <c r="AB1974" i="16"/>
  <c r="AB1787" i="16"/>
  <c r="AB2118" i="16"/>
  <c r="AB383" i="16"/>
  <c r="AB960" i="16"/>
  <c r="AB1957" i="16"/>
  <c r="AB1856" i="16"/>
  <c r="AB598" i="16"/>
  <c r="AB3051" i="16"/>
  <c r="AB900" i="16"/>
  <c r="AB2467" i="16"/>
  <c r="AB279" i="16"/>
  <c r="AB2931" i="16"/>
  <c r="AB1803" i="16"/>
  <c r="AB1244" i="16"/>
  <c r="AB1994" i="16"/>
  <c r="AB3014" i="16"/>
  <c r="AB3359" i="16"/>
  <c r="AB1538" i="16"/>
  <c r="AB3004" i="16"/>
  <c r="AB2324" i="16"/>
  <c r="AB320" i="16"/>
  <c r="AB231" i="16"/>
  <c r="AB553" i="16"/>
  <c r="AB2957" i="16"/>
  <c r="AB525" i="16"/>
  <c r="AB923" i="16"/>
  <c r="AB3273" i="16"/>
  <c r="AB2860" i="16"/>
  <c r="AB2711" i="16"/>
  <c r="AB2557" i="16"/>
  <c r="AB576" i="16"/>
  <c r="AB2446" i="16"/>
  <c r="AB389" i="16"/>
  <c r="AB223" i="16"/>
  <c r="AB2429" i="16"/>
  <c r="AB1327" i="16"/>
  <c r="AB858" i="16"/>
  <c r="AB2536" i="16"/>
  <c r="AB1270" i="16"/>
  <c r="AB781" i="16"/>
  <c r="AB551" i="16"/>
  <c r="AB60" i="16"/>
  <c r="AB1357" i="16"/>
  <c r="AB3347" i="16"/>
  <c r="AB3068" i="16"/>
  <c r="AB683" i="16"/>
  <c r="AB3293" i="16"/>
  <c r="AB391" i="16"/>
  <c r="AB1516" i="16"/>
  <c r="AB2812" i="16"/>
  <c r="AB2060" i="16"/>
  <c r="AB2702" i="16"/>
  <c r="AB1481" i="16"/>
  <c r="AB1147" i="16"/>
  <c r="AB3414" i="16"/>
  <c r="AB133" i="16"/>
  <c r="AB3265" i="16"/>
  <c r="AB2801" i="16"/>
  <c r="AB2052" i="16"/>
  <c r="AB890" i="16"/>
  <c r="AB395" i="16"/>
  <c r="AB2061" i="16"/>
  <c r="AB1815" i="16"/>
  <c r="AB1727" i="16"/>
  <c r="AB3164" i="16"/>
  <c r="AB2320" i="16"/>
  <c r="AB2265" i="16"/>
  <c r="AB1199" i="16"/>
  <c r="AB3365" i="16"/>
  <c r="AB3156" i="16"/>
  <c r="AB1972" i="16"/>
  <c r="AB3320" i="16"/>
  <c r="AB1818" i="16"/>
  <c r="AB3489" i="16"/>
  <c r="AB2201" i="16"/>
  <c r="AB3263" i="16"/>
  <c r="AB1881" i="16"/>
  <c r="AB679" i="16"/>
  <c r="AB2370" i="16"/>
  <c r="AB615" i="16"/>
  <c r="AB2346" i="16"/>
  <c r="AB2877" i="16"/>
  <c r="AB3246" i="16"/>
  <c r="AB2968" i="16"/>
  <c r="AB3322" i="16"/>
  <c r="AB1486" i="16"/>
  <c r="AB2922" i="16"/>
  <c r="AB224" i="16"/>
  <c r="AB2925" i="16"/>
  <c r="AB1779" i="16"/>
  <c r="AB3225" i="16"/>
  <c r="AB3112" i="16"/>
  <c r="AB450" i="16"/>
  <c r="AB2485" i="16"/>
  <c r="AB915" i="16"/>
  <c r="AB3189" i="16"/>
  <c r="AB2889" i="16"/>
  <c r="AB642" i="16"/>
  <c r="AB1197" i="16"/>
  <c r="AB2661" i="16"/>
  <c r="AB1311" i="16"/>
  <c r="AB1185" i="16"/>
  <c r="AB3471" i="16"/>
  <c r="AB3138" i="16"/>
  <c r="AB1654" i="16"/>
  <c r="AB2210" i="16"/>
  <c r="AB3102" i="16"/>
  <c r="AB1278" i="16"/>
  <c r="AB3022" i="16"/>
  <c r="AB3149" i="16"/>
  <c r="AB1255" i="16"/>
  <c r="AB2115" i="16"/>
  <c r="AB103" i="16"/>
  <c r="AB836" i="16"/>
  <c r="AB467" i="16"/>
  <c r="AB3176" i="16"/>
  <c r="AB1060" i="16"/>
  <c r="AB1104" i="16"/>
  <c r="AB1161" i="16"/>
  <c r="AB1210" i="16"/>
  <c r="AB2839" i="16"/>
  <c r="AB1430" i="16"/>
  <c r="AB2213" i="16"/>
  <c r="AB2227" i="16"/>
  <c r="AB1065" i="16"/>
  <c r="AB1591" i="16"/>
  <c r="AB1401" i="16"/>
  <c r="AB614" i="16"/>
  <c r="AB2510" i="16"/>
  <c r="AB3329" i="16"/>
  <c r="AB1991" i="16"/>
  <c r="AB46" i="16"/>
  <c r="AB2159" i="16"/>
  <c r="AB2287" i="16"/>
  <c r="AB2816" i="16"/>
  <c r="AB318" i="16"/>
  <c r="AB1828" i="16"/>
  <c r="AB2289" i="16"/>
  <c r="AB1688" i="16"/>
  <c r="AB354" i="16"/>
  <c r="AB480" i="16"/>
  <c r="AB3218" i="16"/>
  <c r="AB2424" i="16"/>
  <c r="AB2508" i="16"/>
  <c r="AB280" i="16"/>
  <c r="AB931" i="16"/>
  <c r="AB929" i="16"/>
  <c r="AB1902" i="16"/>
  <c r="AB1488" i="16"/>
  <c r="AB2571" i="16"/>
  <c r="AB3236" i="16"/>
  <c r="AB2892" i="16"/>
  <c r="AB2226" i="16"/>
  <c r="AB3146" i="16"/>
  <c r="AB2409" i="16"/>
  <c r="AB3184" i="16"/>
  <c r="AB181" i="16"/>
  <c r="AB1580" i="16"/>
  <c r="AB939" i="16"/>
  <c r="AB3040" i="16"/>
  <c r="AB3082" i="16"/>
  <c r="AB49" i="16"/>
  <c r="AB126" i="16"/>
  <c r="AB2112" i="16"/>
  <c r="AB3127" i="16"/>
  <c r="AB1437" i="16"/>
  <c r="AB3297" i="16"/>
  <c r="AB1334" i="16"/>
  <c r="AB2580" i="16"/>
  <c r="AB654" i="16"/>
  <c r="AB1610" i="16"/>
  <c r="AB1735" i="16"/>
  <c r="AB912" i="16"/>
  <c r="AB226" i="16"/>
  <c r="AB3362" i="16"/>
  <c r="AB3345" i="16"/>
  <c r="AB935" i="16"/>
  <c r="AB1583" i="16"/>
  <c r="AB1415" i="16"/>
  <c r="AB873" i="16"/>
  <c r="AB1473" i="16"/>
  <c r="AB881" i="16"/>
  <c r="AB1121" i="16"/>
  <c r="AB867" i="16"/>
  <c r="AB3166" i="16"/>
  <c r="AB2202" i="16"/>
  <c r="AB259" i="16"/>
  <c r="AB1526" i="16"/>
  <c r="AB487" i="16"/>
  <c r="AB3192" i="16"/>
  <c r="AB1346" i="16"/>
  <c r="AB3241" i="16"/>
  <c r="AB2961" i="16"/>
  <c r="AB3442" i="16"/>
  <c r="AB944" i="16"/>
  <c r="AB568" i="16"/>
  <c r="AB2438" i="16"/>
  <c r="AB3090" i="16"/>
  <c r="AB163" i="16"/>
  <c r="AB1098" i="16"/>
  <c r="AB3302" i="16"/>
  <c r="AB1640" i="16"/>
  <c r="AB838" i="16"/>
  <c r="AB3239" i="16"/>
  <c r="AB1329" i="16"/>
  <c r="AB3397" i="16"/>
  <c r="AB2417" i="16"/>
  <c r="AB3234" i="16"/>
  <c r="AB2842" i="16"/>
  <c r="AB1512" i="16"/>
  <c r="AB2820" i="16"/>
  <c r="AB1436" i="16"/>
  <c r="AB56" i="16"/>
  <c r="AB3224" i="16"/>
  <c r="AB154" i="16"/>
  <c r="AB887" i="16"/>
  <c r="AB200" i="16"/>
  <c r="AB3317" i="16"/>
  <c r="AB550" i="16"/>
  <c r="AB2697" i="16"/>
  <c r="AB1461" i="16"/>
  <c r="AB1760" i="16"/>
  <c r="AB1987" i="16"/>
  <c r="AB711" i="16"/>
  <c r="AB1766" i="16"/>
  <c r="AB3401" i="16"/>
  <c r="AB225" i="16"/>
  <c r="AB1386" i="16"/>
  <c r="AB3353" i="16"/>
  <c r="AB2165" i="16"/>
  <c r="AB1318" i="16"/>
  <c r="AB878" i="16"/>
  <c r="AB1352" i="16"/>
  <c r="AB3458" i="16"/>
  <c r="AB771" i="16"/>
  <c r="AB1875" i="16"/>
  <c r="AB2458" i="16"/>
  <c r="AB3477" i="16"/>
  <c r="AB2761" i="16"/>
  <c r="AB1076" i="16"/>
  <c r="AB3285" i="16"/>
  <c r="AB724" i="16"/>
  <c r="AB1834" i="16"/>
  <c r="AB358" i="16"/>
  <c r="AB2180" i="16"/>
  <c r="AB2274" i="16"/>
  <c r="AB3389" i="16"/>
  <c r="AB2237" i="16"/>
  <c r="AB1536" i="16"/>
  <c r="AB168" i="16"/>
  <c r="AB489" i="16"/>
  <c r="AB1019" i="16"/>
  <c r="AB2881" i="16"/>
  <c r="AB2191" i="16"/>
  <c r="AB554" i="16"/>
  <c r="AB2862" i="16"/>
  <c r="AB529" i="16"/>
  <c r="AB2478" i="16"/>
  <c r="AB3382" i="16"/>
  <c r="AB3100" i="16"/>
  <c r="AB2729" i="16"/>
  <c r="AB675" i="16"/>
  <c r="AB2149" i="16"/>
  <c r="AB745" i="16"/>
  <c r="AB2997" i="16"/>
  <c r="AB2095" i="16"/>
  <c r="AB1973" i="16"/>
  <c r="AB125" i="16"/>
  <c r="AB1365" i="16"/>
  <c r="AB2956" i="16"/>
  <c r="AB1021" i="16"/>
  <c r="AB2422" i="16"/>
  <c r="AB3238" i="16"/>
  <c r="AB804" i="16"/>
  <c r="AB369" i="16"/>
  <c r="AB3017" i="16"/>
  <c r="AB62" i="16"/>
  <c r="AB3257" i="16"/>
  <c r="AB2091" i="16"/>
  <c r="AB400" i="16"/>
  <c r="AB3456" i="16"/>
  <c r="AB3130" i="16"/>
  <c r="AB261" i="16"/>
  <c r="AB1716" i="16"/>
  <c r="AB1412" i="16"/>
  <c r="AB2236" i="16"/>
  <c r="AB649" i="16"/>
  <c r="AB643" i="16"/>
  <c r="AB1890" i="16"/>
  <c r="AB1022" i="16"/>
  <c r="AB864" i="16"/>
  <c r="AB1979" i="16"/>
  <c r="AB987" i="16"/>
  <c r="AB2701" i="16"/>
  <c r="AB973" i="16"/>
  <c r="AB749" i="16"/>
  <c r="AB762" i="16"/>
  <c r="AB3058" i="16"/>
  <c r="AB1384" i="16"/>
  <c r="AB2896" i="16"/>
  <c r="AB2254" i="16"/>
  <c r="AB1393" i="16"/>
  <c r="AB3021" i="16"/>
  <c r="AB2182" i="16"/>
  <c r="AB120" i="16"/>
  <c r="AB445" i="16"/>
  <c r="AB3351" i="16"/>
  <c r="AB2750" i="16"/>
  <c r="AB1058" i="16"/>
  <c r="AB3346" i="16"/>
  <c r="AB565" i="16"/>
  <c r="AB2890" i="16"/>
  <c r="AB357" i="16"/>
  <c r="AB895" i="16"/>
  <c r="AB2148" i="16"/>
  <c r="AB2817" i="16"/>
  <c r="AB1109" i="16"/>
  <c r="AB321" i="16"/>
  <c r="AB920" i="16"/>
  <c r="AB2433" i="16"/>
  <c r="AB2241" i="16"/>
  <c r="AB1571" i="16"/>
  <c r="AB2471" i="16"/>
  <c r="AB1014" i="16"/>
  <c r="AB1883" i="16"/>
  <c r="AB843" i="16"/>
  <c r="AB2065" i="16"/>
  <c r="AB2921" i="16"/>
  <c r="AB577" i="16"/>
  <c r="AB694" i="16"/>
  <c r="AB2529" i="16"/>
  <c r="AB1249" i="16"/>
  <c r="AB2312" i="16"/>
  <c r="AB1657" i="16"/>
  <c r="AB3253" i="16"/>
  <c r="AB183" i="16"/>
  <c r="AB1817" i="16"/>
  <c r="AB3288" i="16"/>
  <c r="AB1350" i="16"/>
  <c r="AB1314" i="16"/>
  <c r="AB146" i="16"/>
  <c r="AB2491" i="16"/>
  <c r="AB1474" i="16"/>
  <c r="AB1176" i="16"/>
  <c r="AB2164" i="16"/>
  <c r="AB1822" i="16"/>
  <c r="AB416" i="16"/>
  <c r="AB983" i="16"/>
  <c r="AB485" i="16"/>
  <c r="AB663" i="16"/>
  <c r="AB1969" i="16"/>
  <c r="AB2221" i="16"/>
  <c r="AB3041" i="16"/>
  <c r="AB3096" i="16"/>
  <c r="AB1529" i="16"/>
  <c r="AB2908" i="16"/>
  <c r="AB3457" i="16"/>
  <c r="AB3123" i="16"/>
  <c r="AB2329" i="16"/>
  <c r="AB204" i="16"/>
  <c r="AB1543" i="16"/>
  <c r="AB3150" i="16"/>
  <c r="AB351" i="16"/>
  <c r="AB288" i="16"/>
  <c r="AB1910" i="16"/>
  <c r="AB76" i="16"/>
  <c r="AB3185" i="16"/>
  <c r="AB278" i="16"/>
  <c r="AB1652" i="16"/>
  <c r="AB1023" i="16"/>
  <c r="AB1927" i="16"/>
  <c r="AB198" i="16"/>
  <c r="AB452" i="16"/>
  <c r="AB1965" i="16"/>
  <c r="AB381" i="16"/>
  <c r="AB764" i="16"/>
  <c r="AB2435" i="16"/>
  <c r="AB2915" i="16"/>
  <c r="AB2738" i="16"/>
  <c r="AB2880" i="16"/>
  <c r="AB2414" i="16"/>
  <c r="AB1879" i="16"/>
  <c r="AB1578" i="16"/>
  <c r="AB617" i="16"/>
  <c r="AB2518" i="16"/>
  <c r="AB422" i="16"/>
  <c r="AB2604" i="16"/>
  <c r="AB78" i="16"/>
  <c r="AB2849" i="16"/>
  <c r="AB2016" i="16"/>
  <c r="AB2963" i="16"/>
  <c r="AB2170" i="16"/>
  <c r="AB367" i="16"/>
  <c r="AB727" i="16"/>
  <c r="AB1028" i="16"/>
  <c r="AB1534" i="16"/>
  <c r="AB2626" i="16"/>
  <c r="AB2181" i="16"/>
  <c r="AB2591" i="16"/>
  <c r="AB3095" i="16"/>
  <c r="AB3245" i="16"/>
  <c r="AB2843" i="16"/>
  <c r="AB936" i="16"/>
  <c r="AB2707" i="16"/>
  <c r="AB472" i="16"/>
  <c r="AB2300" i="16"/>
  <c r="AB2693" i="16"/>
  <c r="AB1319" i="16"/>
  <c r="AB1447" i="16"/>
  <c r="AB1936" i="16"/>
  <c r="AB2459" i="16"/>
  <c r="AB665" i="16"/>
  <c r="AB2656" i="16"/>
  <c r="AB3098" i="16"/>
  <c r="AB2994" i="16"/>
  <c r="AB1601" i="16"/>
  <c r="AB2959" i="16"/>
  <c r="AB1798" i="16"/>
  <c r="AB1556" i="16"/>
  <c r="AB2488" i="16"/>
  <c r="AB2215" i="16"/>
  <c r="AB1410" i="16"/>
  <c r="AB521" i="16"/>
  <c r="AB1189" i="16"/>
  <c r="AB1336" i="16"/>
  <c r="AB657" i="16"/>
  <c r="AB2123" i="16"/>
  <c r="AB1499" i="16"/>
  <c r="AB2255" i="16"/>
  <c r="AB2263" i="16"/>
  <c r="AB368" i="16"/>
  <c r="AB904" i="16"/>
  <c r="AB2160" i="16"/>
  <c r="AB2206" i="16"/>
  <c r="AB2857" i="16"/>
  <c r="AB2473" i="16"/>
  <c r="AB1306" i="16"/>
  <c r="AB2396" i="16"/>
  <c r="AB3210" i="16"/>
  <c r="AB3027" i="16"/>
  <c r="AB814" i="16"/>
  <c r="AB3352" i="16"/>
  <c r="AB2859" i="16"/>
  <c r="AB2373" i="16"/>
  <c r="AB1823" i="16"/>
  <c r="AB2067" i="16"/>
  <c r="AB3310" i="16"/>
  <c r="AB1729" i="16"/>
  <c r="AB996" i="16"/>
  <c r="AB1242" i="16"/>
  <c r="AB809" i="16"/>
  <c r="AB1192" i="16"/>
  <c r="AB2089" i="16"/>
  <c r="AB968" i="16"/>
  <c r="AB1248" i="16"/>
  <c r="AB2911" i="16"/>
  <c r="AB708" i="16"/>
  <c r="AB2627" i="16"/>
  <c r="AB2345" i="16"/>
  <c r="AB2630" i="16"/>
  <c r="AB2111" i="16"/>
  <c r="AB2780" i="16"/>
  <c r="AB1900" i="16"/>
  <c r="AB337" i="16"/>
  <c r="AB3244" i="16"/>
  <c r="AB1172" i="16"/>
  <c r="AB3053" i="16"/>
  <c r="AB647" i="16"/>
  <c r="AB3193" i="16"/>
  <c r="AB808" i="16"/>
  <c r="AB3081" i="16"/>
  <c r="AB2015" i="16"/>
  <c r="AB1937" i="16"/>
  <c r="AB444" i="16"/>
  <c r="AB2964" i="16"/>
  <c r="AB3070" i="16"/>
  <c r="AB3258" i="16"/>
  <c r="AB1007" i="16"/>
  <c r="AB1911" i="16"/>
  <c r="AB1429" i="16"/>
  <c r="AB433" i="16"/>
  <c r="AB1882" i="16"/>
  <c r="AB378" i="16"/>
  <c r="AB927" i="16"/>
  <c r="AB2733" i="16"/>
  <c r="AB1636" i="16"/>
  <c r="AB2146" i="16"/>
  <c r="AB2567" i="16"/>
  <c r="AB1896" i="16"/>
  <c r="AB1533" i="16"/>
  <c r="AB1519" i="16"/>
  <c r="AB636" i="16"/>
  <c r="AB2093" i="16"/>
  <c r="AB795" i="16"/>
  <c r="AB1728" i="16"/>
  <c r="AB2698" i="16"/>
  <c r="AB3436" i="16"/>
  <c r="AB523" i="16"/>
  <c r="AB3433" i="16"/>
  <c r="AB1195" i="16"/>
  <c r="AB2989" i="16"/>
  <c r="AB3296" i="16"/>
  <c r="AB2172" i="16"/>
  <c r="AB3272" i="16"/>
  <c r="AB2477" i="16"/>
  <c r="AB1816" i="16"/>
  <c r="AB375" i="16"/>
  <c r="AB2071" i="16"/>
  <c r="AB3036" i="16"/>
  <c r="AB2810" i="16"/>
  <c r="AB2092" i="16"/>
  <c r="AB2278" i="16"/>
  <c r="AB3208" i="16"/>
  <c r="AB2270" i="16"/>
  <c r="AB1154" i="16"/>
  <c r="AB3016" i="16"/>
  <c r="AB537" i="16"/>
  <c r="AB1582" i="16"/>
  <c r="AB162" i="16"/>
  <c r="AB1403" i="16"/>
  <c r="AB3026" i="16"/>
  <c r="AB644" i="16"/>
  <c r="AB266" i="16"/>
  <c r="AB788" i="16"/>
  <c r="AB623" i="16"/>
  <c r="AB2025" i="16"/>
  <c r="AB2937" i="16"/>
  <c r="AB3464" i="16"/>
  <c r="AB1913" i="16"/>
  <c r="AB1165" i="16"/>
  <c r="AB499" i="16"/>
  <c r="AB1446" i="16"/>
  <c r="AB3196" i="16"/>
  <c r="AB2033" i="16"/>
  <c r="AB97" i="16"/>
  <c r="AB621" i="16"/>
  <c r="AB3097" i="16"/>
  <c r="AB220" i="16"/>
  <c r="AB933" i="16"/>
  <c r="AB2578" i="16"/>
  <c r="AB2773" i="16"/>
  <c r="AB526" i="16"/>
  <c r="AB1191" i="16"/>
  <c r="AB1938" i="16"/>
  <c r="AB515" i="16"/>
  <c r="AB2811" i="16"/>
  <c r="AB547" i="16"/>
  <c r="AB938" i="16"/>
  <c r="AB1698" i="16"/>
  <c r="AB3388" i="16"/>
  <c r="AB1572" i="16"/>
  <c r="AB1107" i="16"/>
  <c r="AB1943" i="16"/>
  <c r="AB1857" i="16"/>
  <c r="AB2949" i="16"/>
  <c r="AB2361" i="16"/>
  <c r="AB2564" i="16"/>
  <c r="AB2386" i="16"/>
  <c r="AB179" i="16"/>
  <c r="AB2683" i="16"/>
  <c r="AB3276" i="16"/>
  <c r="AB2584" i="16"/>
  <c r="AB738" i="16"/>
  <c r="AB557" i="16"/>
  <c r="AB3333" i="16"/>
  <c r="AB916" i="16"/>
  <c r="AB2532" i="16"/>
  <c r="AB959" i="16"/>
  <c r="AB3028" i="16"/>
  <c r="AB2303" i="16"/>
  <c r="AB2178" i="16"/>
  <c r="AB3142" i="16"/>
  <c r="AB393" i="16"/>
  <c r="AB2074" i="16"/>
  <c r="AB574" i="16"/>
  <c r="AB2494" i="16"/>
  <c r="AB1224" i="16"/>
  <c r="AB2410" i="16"/>
  <c r="AB209" i="16"/>
  <c r="AB1377" i="16"/>
  <c r="AB3386" i="16"/>
  <c r="AB870" i="16"/>
  <c r="AB3277" i="16"/>
  <c r="AB101" i="16"/>
  <c r="AB2516" i="16"/>
  <c r="AB2544" i="16"/>
  <c r="AB176" i="16"/>
  <c r="AB713" i="16"/>
  <c r="AB859" i="16"/>
  <c r="AB3289" i="16"/>
  <c r="AB3198" i="16"/>
  <c r="AB581" i="16"/>
  <c r="AB1858" i="16"/>
  <c r="AB3067" i="16"/>
  <c r="AB1597" i="16"/>
  <c r="AB1293" i="16"/>
  <c r="AB1559" i="16"/>
  <c r="AB246" i="16"/>
  <c r="AB1616" i="16"/>
  <c r="AB3411" i="16"/>
  <c r="AB2893" i="16"/>
  <c r="AB902" i="16"/>
  <c r="AB1024" i="16"/>
  <c r="AB3131" i="16"/>
  <c r="AB1214" i="16"/>
  <c r="AB275" i="16"/>
  <c r="AB1757" i="16"/>
  <c r="AB3271" i="16"/>
  <c r="AB243" i="16"/>
  <c r="AB2496" i="16"/>
  <c r="AB2251" i="16"/>
  <c r="AB635" i="16"/>
  <c r="AB2554" i="16"/>
  <c r="AB1432" i="16"/>
  <c r="AB1320" i="16"/>
  <c r="AB1908" i="16"/>
  <c r="AB2499" i="16"/>
  <c r="AB1383" i="16"/>
  <c r="AB1042" i="16"/>
  <c r="AB3383" i="16"/>
  <c r="AB620" i="16"/>
  <c r="AB2742" i="16"/>
  <c r="AB2814" i="16"/>
  <c r="AB1077" i="16"/>
  <c r="AB1067" i="16"/>
  <c r="AB2010" i="16"/>
  <c r="AB1489" i="16"/>
  <c r="AB316" i="16"/>
  <c r="AB286" i="16"/>
  <c r="AB3473" i="16"/>
  <c r="AB3475" i="16"/>
  <c r="AB2224" i="16"/>
  <c r="AB1690" i="16"/>
  <c r="AB984" i="16"/>
  <c r="AB1325" i="16"/>
  <c r="AB2853" i="16"/>
  <c r="AB2603" i="16"/>
  <c r="AB3170" i="16"/>
  <c r="AB1846" i="16"/>
  <c r="AB3148" i="16"/>
  <c r="AB1975" i="16"/>
  <c r="AB1455" i="16"/>
  <c r="AB2356" i="16"/>
  <c r="AB1048" i="16"/>
  <c r="AB1362" i="16"/>
  <c r="AB2679" i="16"/>
  <c r="AB1917" i="16"/>
  <c r="AB2794" i="16"/>
  <c r="AB2461" i="16"/>
  <c r="AB1820" i="16"/>
  <c r="AB2832" i="16"/>
  <c r="AB700" i="16"/>
  <c r="AB2672" i="16"/>
  <c r="AB3469" i="16"/>
  <c r="AB1407" i="16"/>
  <c r="AB506" i="16"/>
  <c r="AB3206" i="16"/>
  <c r="AB2392" i="16"/>
  <c r="AB2299" i="16"/>
  <c r="AB1100" i="16"/>
  <c r="AB2058" i="16"/>
  <c r="AB2547" i="16"/>
  <c r="AB2309" i="16"/>
  <c r="AB2469" i="16"/>
  <c r="AB1196" i="16"/>
  <c r="AB2276" i="16"/>
  <c r="AB2468" i="16"/>
  <c r="AB668" i="16"/>
  <c r="AB2924" i="16"/>
  <c r="AB2470" i="16"/>
  <c r="AB2413" i="16"/>
  <c r="AB2668" i="16"/>
  <c r="AB1178" i="16"/>
  <c r="AB1051" i="16"/>
  <c r="AB2298" i="16"/>
  <c r="AB2436" i="16"/>
  <c r="AB1746" i="16"/>
  <c r="AB839" i="16"/>
  <c r="AB3063" i="16"/>
  <c r="AB1340" i="16"/>
  <c r="AB3034" i="16"/>
  <c r="AB1689" i="16"/>
  <c r="AB961" i="16"/>
  <c r="AB631" i="16"/>
  <c r="AB1585" i="16"/>
  <c r="AB2624" i="16"/>
  <c r="AB1659" i="16"/>
  <c r="AB2351" i="16"/>
  <c r="AB682" i="16"/>
  <c r="AB30" i="16"/>
  <c r="AB296" i="16"/>
  <c r="AB1110" i="16"/>
  <c r="AB1706" i="16"/>
  <c r="AB1328" i="16"/>
  <c r="AB1998" i="16"/>
  <c r="AB2003" i="16"/>
  <c r="AB1697" i="16"/>
  <c r="AB309" i="16"/>
  <c r="AB1509" i="16"/>
  <c r="AB410" i="16"/>
  <c r="AB262" i="16"/>
  <c r="AB1032" i="16"/>
  <c r="AB1563" i="16"/>
  <c r="AB1959" i="16"/>
  <c r="AB885" i="16"/>
  <c r="AB1046" i="16"/>
  <c r="AB510" i="16"/>
  <c r="AB1333" i="16"/>
  <c r="AB3205" i="16"/>
  <c r="AB937" i="16"/>
  <c r="AB1297" i="16"/>
  <c r="AB398" i="16"/>
  <c r="AB102" i="16"/>
  <c r="AB468" i="16"/>
  <c r="AB2310" i="16"/>
  <c r="AB1747" i="16"/>
  <c r="AB2150" i="16"/>
  <c r="AB2796" i="16"/>
  <c r="AB1675" i="16"/>
  <c r="AB3343" i="16"/>
  <c r="AB514" i="16"/>
  <c r="AB466" i="16"/>
  <c r="AB2568" i="16"/>
  <c r="AB1853" i="16"/>
  <c r="AB1419" i="16"/>
  <c r="AB40" i="16"/>
  <c r="AB2873" i="16"/>
  <c r="AB1524" i="16"/>
  <c r="AB2135" i="16"/>
  <c r="AB360" i="16"/>
  <c r="AB2670" i="16"/>
  <c r="AB1236" i="16"/>
  <c r="AB562" i="16"/>
  <c r="AB1300" i="16"/>
  <c r="AB3423" i="16"/>
  <c r="AB73" i="16"/>
  <c r="AB2904" i="16"/>
  <c r="AB2119" i="16"/>
  <c r="AB2617" i="16"/>
  <c r="AB731" i="16"/>
  <c r="AB1156" i="16"/>
  <c r="AB2383" i="16"/>
  <c r="AB1874" i="16"/>
  <c r="AB1207" i="16"/>
  <c r="AB3093" i="16"/>
  <c r="AB2682" i="16"/>
  <c r="AB1806" i="16"/>
  <c r="AB831" i="16"/>
  <c r="AB3460" i="16"/>
  <c r="AB3312" i="16"/>
  <c r="AB2169" i="16"/>
  <c r="AB2244" i="16"/>
  <c r="AB1699" i="16"/>
  <c r="AB346" i="16"/>
  <c r="AB2447" i="16"/>
  <c r="AB3373" i="16"/>
  <c r="AB1141" i="16"/>
  <c r="AB2684" i="16"/>
  <c r="AB3413" i="16"/>
  <c r="AB2077" i="16"/>
  <c r="AB2262" i="16"/>
  <c r="AB87" i="16"/>
  <c r="AB1257" i="16"/>
  <c r="AB1181" i="16"/>
  <c r="AB1545" i="16"/>
  <c r="AB3448" i="16"/>
  <c r="AB767" i="16"/>
  <c r="AB1802" i="16"/>
  <c r="AB1864" i="16"/>
  <c r="AB825" i="16"/>
  <c r="AB3380" i="16"/>
  <c r="AB1496" i="16"/>
  <c r="AB1282" i="16"/>
  <c r="AB1398" i="16"/>
  <c r="AB3444" i="16"/>
  <c r="AB3335" i="16"/>
  <c r="AB2317" i="16"/>
  <c r="AB1838" i="16"/>
  <c r="AB1222" i="16"/>
  <c r="AB1929" i="16"/>
  <c r="AB2597" i="16"/>
  <c r="AB737" i="16"/>
  <c r="AB331" i="16"/>
  <c r="AB1431" i="16"/>
  <c r="AB3140" i="16"/>
  <c r="AB3069" i="16"/>
  <c r="AB1829" i="16"/>
  <c r="AB2382" i="16"/>
  <c r="AB1272" i="16"/>
  <c r="AB1301" i="16"/>
  <c r="AB2087" i="16"/>
  <c r="AB798" i="16"/>
  <c r="AB164" i="16"/>
  <c r="AB355" i="16"/>
  <c r="AB68" i="16"/>
  <c r="AB3490" i="16"/>
  <c r="AB3025" i="16"/>
  <c r="AB815" i="16"/>
  <c r="AB1672" i="16"/>
  <c r="AB3159" i="16"/>
  <c r="AB421" i="16"/>
  <c r="AB2056" i="16"/>
  <c r="AB55" i="16"/>
  <c r="AB3410" i="16"/>
  <c r="AB1349" i="16"/>
  <c r="AB2502" i="16"/>
  <c r="AB722" i="16"/>
  <c r="AB1495" i="16"/>
  <c r="AB440" i="16"/>
  <c r="AB686" i="16"/>
  <c r="AB1653" i="16"/>
  <c r="AB250" i="16"/>
  <c r="AB2723" i="16"/>
  <c r="AB556" i="16"/>
  <c r="AB2209" i="16"/>
  <c r="AB2249" i="16"/>
  <c r="AB1241" i="16"/>
  <c r="AB2104" i="16"/>
  <c r="AB313" i="16"/>
  <c r="AB1842" i="16"/>
  <c r="AB1479" i="16"/>
  <c r="AB3446" i="16"/>
  <c r="AB1771" i="16"/>
  <c r="AB1780" i="16"/>
  <c r="AB2398" i="16"/>
  <c r="AB564" i="16"/>
  <c r="AB2284" i="16"/>
  <c r="AB652" i="16"/>
  <c r="AB1594" i="16"/>
  <c r="AB132" i="16"/>
  <c r="AB2306" i="16"/>
  <c r="AB1211" i="16"/>
  <c r="AB1799" i="16"/>
  <c r="AB2979" i="16"/>
  <c r="AB1193" i="16"/>
  <c r="AB3476" i="16"/>
  <c r="AB1555" i="16"/>
  <c r="AB3160" i="16"/>
  <c r="AB2365" i="16"/>
  <c r="AB241" i="16"/>
  <c r="AB1274" i="16"/>
  <c r="AB285" i="16"/>
  <c r="AB202" i="16"/>
  <c r="AB2572" i="16"/>
  <c r="AB342" i="16"/>
  <c r="AB1595" i="16"/>
  <c r="AB685" i="16"/>
  <c r="AB507" i="16"/>
  <c r="AB2152" i="16"/>
  <c r="AB1988" i="16"/>
  <c r="AB1409" i="16"/>
  <c r="AB2882" i="16"/>
  <c r="AB2528" i="16"/>
  <c r="AB2828" i="16"/>
  <c r="AB2787" i="16"/>
  <c r="AB1831" i="16"/>
  <c r="AB1764" i="16"/>
  <c r="AB1751" i="16"/>
  <c r="AB1190" i="16"/>
  <c r="AB1044" i="16"/>
  <c r="AB270" i="16"/>
  <c r="AB692" i="16"/>
  <c r="AB501" i="16"/>
  <c r="AB928" i="16"/>
  <c r="AB2618" i="16"/>
  <c r="AB1885" i="16"/>
  <c r="AB1554" i="16"/>
  <c r="AB779" i="16"/>
  <c r="AB2057" i="16"/>
  <c r="AB2802" i="16"/>
  <c r="AB2556" i="16"/>
  <c r="AB1088" i="16"/>
  <c r="AB1059" i="16"/>
  <c r="AB823" i="16"/>
  <c r="AB2983" i="16"/>
  <c r="AB2543" i="16"/>
  <c r="AB1312" i="16"/>
  <c r="AB3115" i="16"/>
  <c r="AB3044" i="16"/>
  <c r="AB1581" i="16"/>
  <c r="AB242" i="16"/>
  <c r="AB1867" i="16"/>
  <c r="AB2988" i="16"/>
  <c r="AB2678" i="16"/>
  <c r="AB3128" i="16"/>
  <c r="AB2335" i="16"/>
  <c r="AB2769" i="16"/>
  <c r="AB2748" i="16"/>
  <c r="AB3174" i="16"/>
  <c r="AB99" i="16"/>
  <c r="AB1296" i="16"/>
  <c r="AB8" i="16"/>
  <c r="AB2421" i="16"/>
  <c r="AB1893" i="16"/>
  <c r="AB925" i="16"/>
  <c r="AB600" i="16"/>
  <c r="AB2609" i="16"/>
  <c r="AB1674" i="16"/>
  <c r="AB287" i="16"/>
  <c r="AB835" i="16"/>
  <c r="AB627" i="16"/>
  <c r="AB2821" i="16"/>
  <c r="AB2991" i="16"/>
  <c r="AB1552" i="16"/>
  <c r="AB1400" i="16"/>
  <c r="AB302" i="16"/>
  <c r="AB3366" i="16"/>
  <c r="AB1869" i="16"/>
  <c r="AB2513" i="16"/>
  <c r="AB2490" i="16"/>
  <c r="AB123" i="16"/>
  <c r="AB3114" i="16"/>
  <c r="AB2275" i="16"/>
  <c r="AB295" i="16"/>
  <c r="AB186" i="16"/>
  <c r="AB107" i="16"/>
  <c r="AB3181" i="16"/>
  <c r="AB1696" i="16"/>
  <c r="AB2637" i="16"/>
  <c r="AB304" i="16"/>
  <c r="AB1394" i="16"/>
  <c r="AB687" i="16"/>
  <c r="AB2393" i="16"/>
  <c r="AB2101" i="16"/>
  <c r="AB757" i="16"/>
  <c r="AB271" i="16"/>
  <c r="AB667" i="16"/>
  <c r="AB1115" i="16"/>
  <c r="AB3416" i="16"/>
  <c r="AB424" i="16"/>
  <c r="AB3006" i="16"/>
  <c r="AB999" i="16"/>
  <c r="AB2230" i="16"/>
  <c r="AB967" i="16"/>
  <c r="AB1177" i="16"/>
  <c r="AB2579" i="16"/>
  <c r="AB2895" i="16"/>
  <c r="AB1230" i="16"/>
  <c r="AB1742" i="16"/>
  <c r="AB1889" i="16"/>
  <c r="AB2229" i="16"/>
  <c r="AB1520" i="16"/>
  <c r="AB3318" i="16"/>
  <c r="AB2100" i="16"/>
  <c r="AB1016" i="16"/>
  <c r="AB1942" i="16"/>
  <c r="AB2217" i="16"/>
  <c r="AB1081" i="16"/>
  <c r="AB593" i="16"/>
  <c r="AB548" i="16"/>
  <c r="AB77" i="16"/>
  <c r="AB3308" i="16"/>
  <c r="AB314" i="16"/>
  <c r="AB705" i="16"/>
  <c r="AB269" i="16"/>
  <c r="AB2575" i="16"/>
  <c r="AB1777" i="16"/>
  <c r="AB1378" i="16"/>
  <c r="AB3299" i="16"/>
  <c r="AB1612" i="16"/>
  <c r="AB2500" i="16"/>
  <c r="AB426" i="16"/>
  <c r="AB2765" i="16"/>
  <c r="AB2002" i="16"/>
  <c r="AB2200" i="16"/>
  <c r="AB2376" i="16"/>
  <c r="AB1212" i="16"/>
  <c r="AB1321" i="16"/>
  <c r="AB2781" i="16"/>
  <c r="AB2489" i="16"/>
  <c r="AB1343" i="16"/>
  <c r="AB918" i="16"/>
  <c r="AB324" i="16"/>
  <c r="AB1379" i="16"/>
  <c r="AB2035" i="16"/>
  <c r="AB2938" i="16"/>
  <c r="AB824" i="16"/>
  <c r="AB860" i="16"/>
  <c r="AB2836" i="16"/>
  <c r="AB2205" i="16"/>
  <c r="AB1712" i="16"/>
  <c r="AB1071" i="16"/>
  <c r="AB1114" i="16"/>
  <c r="AB1323" i="16"/>
  <c r="AB157" i="16"/>
  <c r="AB1259" i="16"/>
  <c r="AB778" i="16"/>
  <c r="AB3381" i="16"/>
  <c r="AB1511" i="16"/>
  <c r="AB753" i="16"/>
  <c r="AB2245" i="16"/>
  <c r="AB361" i="16"/>
  <c r="AB1983" i="16"/>
  <c r="AB2770" i="16"/>
  <c r="AB1741" i="16"/>
  <c r="AB3327" i="16"/>
  <c r="AB2570" i="16"/>
  <c r="AB161" i="16"/>
  <c r="AB1628" i="16"/>
  <c r="AB254" i="16"/>
  <c r="AB1229" i="16"/>
  <c r="AB2482" i="16"/>
  <c r="AB2850" i="16"/>
  <c r="AB3482" i="16"/>
  <c r="AB2608" i="16"/>
  <c r="AB2097" i="16"/>
  <c r="AB1521" i="16"/>
  <c r="AB3121" i="16"/>
  <c r="AB605" i="16"/>
  <c r="AB854" i="16"/>
  <c r="AB951" i="16"/>
  <c r="AB2507" i="16"/>
  <c r="AB3486" i="16"/>
  <c r="AB940" i="16"/>
  <c r="AB518" i="16"/>
  <c r="AB1561" i="16"/>
  <c r="AB108" i="16"/>
  <c r="AB3124" i="16"/>
  <c r="AB366" i="16"/>
  <c r="AB1897" i="16"/>
  <c r="AB754" i="16"/>
  <c r="AB1298" i="16"/>
  <c r="AB1837" i="16"/>
  <c r="AB3048" i="16"/>
  <c r="AB1715" i="16"/>
  <c r="AB2590" i="16"/>
  <c r="AB768" i="16"/>
  <c r="AB1722" i="16"/>
  <c r="AB3243" i="16"/>
  <c r="AB3220" i="16"/>
  <c r="AB325" i="16"/>
  <c r="AB630" i="16"/>
  <c r="AB456" i="16"/>
  <c r="AB312" i="16"/>
  <c r="AB1093" i="16"/>
  <c r="AB2565" i="16"/>
  <c r="AB3089" i="16"/>
  <c r="AB2498" i="16"/>
  <c r="AB175" i="16"/>
  <c r="AB921" i="16"/>
  <c r="AB2140" i="16"/>
  <c r="AB464" i="16"/>
  <c r="AB139" i="16"/>
  <c r="AB1678" i="16"/>
  <c r="AB2216" i="16"/>
  <c r="AB111" i="16"/>
  <c r="AB3372" i="16"/>
  <c r="AB569" i="16"/>
  <c r="AB2019" i="16"/>
  <c r="AB2660" i="16"/>
  <c r="AB2573" i="16"/>
  <c r="AB2465" i="16"/>
  <c r="AB1082" i="16"/>
  <c r="AB2487" i="16"/>
  <c r="AB1359" i="16"/>
  <c r="AB1639" i="16"/>
  <c r="AB1888" i="16"/>
  <c r="AB228" i="16"/>
  <c r="AB1159" i="16"/>
  <c r="AB1337" i="16"/>
  <c r="AB2815" i="16"/>
  <c r="AB2954" i="16"/>
  <c r="AB2610" i="16"/>
  <c r="AB3363" i="16"/>
  <c r="AB1265" i="16"/>
  <c r="AB746" i="16"/>
  <c r="AB3147" i="16"/>
  <c r="AB2685" i="16"/>
  <c r="AB1617" i="16"/>
  <c r="AB2990" i="16"/>
  <c r="AB3227" i="16"/>
  <c r="AB1075" i="16"/>
  <c r="AB932" i="16"/>
  <c r="AB662" i="16"/>
  <c r="AB2875" i="16"/>
  <c r="AB1924" i="16"/>
  <c r="AB500" i="16"/>
  <c r="AB2294" i="16"/>
  <c r="AB3001" i="16"/>
  <c r="AB94" i="16"/>
  <c r="AB441" i="16"/>
  <c r="AB2475" i="16"/>
  <c r="AB237" i="16"/>
  <c r="AB1733" i="16"/>
  <c r="AB2340" i="16"/>
  <c r="AB2157" i="16"/>
  <c r="AB2222" i="16"/>
  <c r="AB1135" i="16"/>
  <c r="AB2082" i="16"/>
  <c r="AB2691" i="16"/>
  <c r="AB3468" i="16"/>
  <c r="AB1932" i="16"/>
  <c r="AB473" i="16"/>
  <c r="AB1527" i="16"/>
  <c r="AB347" i="16"/>
  <c r="AB1701" i="16"/>
  <c r="AB2739" i="16"/>
  <c r="AB773" i="16"/>
  <c r="AB2985" i="16"/>
  <c r="AB590" i="16"/>
  <c r="AB2788" i="16"/>
  <c r="AB1457" i="16"/>
  <c r="AB2083" i="16"/>
  <c r="AB2117" i="16"/>
  <c r="AB2970" i="16"/>
  <c r="AB3417" i="16"/>
  <c r="AB1783" i="16"/>
  <c r="AB2085" i="16"/>
  <c r="AB1752" i="16"/>
  <c r="AB2426" i="16"/>
  <c r="AB570" i="16"/>
  <c r="AB2138" i="16"/>
  <c r="AB127" i="16"/>
  <c r="AB3321" i="16"/>
  <c r="AB504" i="16"/>
  <c r="AB2942" i="16"/>
  <c r="AB883" i="16"/>
  <c r="AB560" i="16"/>
  <c r="AB1886" i="16"/>
  <c r="AB3155" i="16"/>
  <c r="AB862" i="16"/>
  <c r="AB2721" i="16"/>
  <c r="AB3179" i="16"/>
  <c r="AB2223" i="16"/>
  <c r="AB2553" i="16"/>
  <c r="AB1945" i="16"/>
  <c r="AB3032" i="16"/>
  <c r="AB434" i="16"/>
  <c r="AB751" i="16"/>
  <c r="AB1576" i="16"/>
  <c r="AB3455" i="16"/>
  <c r="AB1850" i="16"/>
  <c r="AB3256" i="16"/>
  <c r="AB699" i="16"/>
  <c r="AB1830" i="16"/>
  <c r="AB2583" i="16"/>
  <c r="AB1084" i="16"/>
  <c r="AB784" i="16"/>
  <c r="AB2211" i="16"/>
  <c r="AB2054" i="16"/>
  <c r="AB2474" i="16"/>
  <c r="AB3341" i="16"/>
  <c r="AB865" i="16"/>
  <c r="AB1613" i="16"/>
  <c r="AB3043" i="16"/>
  <c r="AB1225" i="16"/>
  <c r="AB1339" i="16"/>
  <c r="AB1285" i="16"/>
  <c r="AB856" i="16"/>
  <c r="AB2511" i="16"/>
  <c r="AB2190" i="16"/>
  <c r="AB1231" i="16"/>
  <c r="AB169" i="16"/>
  <c r="AB2759" i="16"/>
  <c r="AB2246" i="16"/>
  <c r="AB1693" i="16"/>
  <c r="AB84" i="16"/>
  <c r="AB1607" i="16"/>
  <c r="AB2658" i="16"/>
  <c r="AB2220" i="16"/>
  <c r="AB1600" i="16"/>
  <c r="AB1504" i="16"/>
  <c r="AB2030" i="16"/>
  <c r="AB2514" i="16"/>
  <c r="AB844" i="16"/>
  <c r="AB2944" i="16"/>
  <c r="AB2792" i="16"/>
  <c r="AB2090" i="16"/>
  <c r="AB672" i="16"/>
  <c r="AB305" i="16"/>
  <c r="AB1685" i="16"/>
  <c r="AB2339" i="16"/>
  <c r="AB1037" i="16"/>
  <c r="AB3126" i="16"/>
  <c r="AB3197" i="16"/>
  <c r="AB2673" i="16"/>
  <c r="AB1402" i="16"/>
  <c r="AB1989" i="16"/>
  <c r="AB1770" i="16"/>
  <c r="AB2094" i="16"/>
  <c r="AB67" i="16"/>
  <c r="AB1761" i="16"/>
  <c r="AB2371" i="16"/>
  <c r="AB2179" i="16"/>
  <c r="AB3173" i="16"/>
  <c r="AB1785" i="16"/>
  <c r="AB609" i="16"/>
  <c r="AB2011" i="16"/>
  <c r="AB211" i="16"/>
  <c r="AB3427" i="16"/>
  <c r="AB3084" i="16"/>
  <c r="AB861" i="16"/>
  <c r="AB289" i="16"/>
  <c r="AB1826" i="16"/>
  <c r="AB2342" i="16"/>
  <c r="AB48" i="16"/>
  <c r="AB343" i="16"/>
  <c r="AB59" i="16"/>
  <c r="AB2905" i="16"/>
  <c r="AB2745" i="16"/>
  <c r="AB2743" i="16"/>
  <c r="AB2166" i="16"/>
  <c r="AB425" i="16"/>
  <c r="AB1642" i="16"/>
  <c r="AB3037" i="16"/>
  <c r="AB193" i="16"/>
  <c r="AB580" i="16"/>
  <c r="AB2740" i="16"/>
  <c r="AB1173" i="16"/>
  <c r="AB260" i="16"/>
  <c r="AB2400" i="16"/>
  <c r="AB3268" i="16"/>
  <c r="AB384" i="16"/>
  <c r="AB970" i="16"/>
  <c r="AB2785" i="16"/>
  <c r="AB1865" i="16"/>
  <c r="AB2412" i="16"/>
  <c r="AB930" i="16"/>
  <c r="AB2642" i="16"/>
  <c r="AB2737" i="16"/>
  <c r="AB2671" i="16"/>
  <c r="AB2822" i="16"/>
  <c r="AB955" i="16"/>
  <c r="AB112" i="16"/>
  <c r="AB150" i="16"/>
  <c r="AB2996" i="16"/>
  <c r="AB3418" i="16"/>
  <c r="AB2645" i="16"/>
  <c r="AB898" i="16"/>
  <c r="AB926" i="16"/>
  <c r="AB2574" i="16"/>
  <c r="AB889" i="16"/>
  <c r="AB227" i="16"/>
  <c r="AB1366" i="16"/>
  <c r="AB718" i="16"/>
  <c r="AB1047" i="16"/>
  <c r="AB3261" i="16"/>
  <c r="AB712" i="16"/>
  <c r="AB471" i="16"/>
  <c r="AB2686" i="16"/>
  <c r="AB561" i="16"/>
  <c r="AB3286" i="16"/>
  <c r="AB1169" i="16"/>
  <c r="AB3432" i="16"/>
  <c r="AB2192" i="16"/>
  <c r="AB2359" i="16"/>
  <c r="AB2389" i="16"/>
  <c r="AB2854" i="16"/>
  <c r="AB1710" i="16"/>
  <c r="AB2341" i="16"/>
  <c r="AB2330" i="16"/>
  <c r="AB2348" i="16"/>
  <c r="AB3167" i="16"/>
  <c r="AB3249" i="16"/>
  <c r="AB1080" i="16"/>
  <c r="AB283" i="16"/>
  <c r="AB602" i="16"/>
  <c r="AB536" i="16"/>
  <c r="AB1157" i="16"/>
  <c r="AB1253" i="16"/>
  <c r="AB1310" i="16"/>
  <c r="AB2311" i="16"/>
  <c r="AB3007" i="16"/>
  <c r="AB2703" i="16"/>
  <c r="AB2638" i="16"/>
  <c r="AB1136" i="16"/>
  <c r="AB2207" i="16"/>
  <c r="AB1935" i="16"/>
  <c r="AB3136" i="16"/>
  <c r="AB3378" i="16"/>
  <c r="AB1568" i="16"/>
  <c r="AB2771" i="16"/>
  <c r="AB3313" i="16"/>
  <c r="AB2313" i="16"/>
  <c r="AB1962" i="16"/>
  <c r="AB1475" i="16"/>
  <c r="AB1931" i="16"/>
  <c r="AB1113" i="16"/>
  <c r="AB533" i="16"/>
  <c r="AB3047" i="16"/>
  <c r="AB1375" i="16"/>
  <c r="AB3056" i="16"/>
  <c r="AB2416" i="16"/>
  <c r="AB340" i="16"/>
  <c r="AB5" i="16"/>
  <c r="AB1623" i="16"/>
  <c r="AB3392" i="16"/>
  <c r="AB759" i="16"/>
  <c r="AB1941" i="16"/>
  <c r="AB459" i="16"/>
  <c r="AB1800" i="16"/>
  <c r="AB1947" i="16"/>
  <c r="AB1008" i="16"/>
  <c r="AB248" i="16"/>
  <c r="AB3161" i="16"/>
  <c r="AB2272" i="16"/>
  <c r="AB2273" i="16"/>
  <c r="AB1208" i="16"/>
  <c r="AB1200" i="16"/>
  <c r="AB2650" i="16"/>
  <c r="AB1892" i="16"/>
  <c r="AB772" i="16"/>
  <c r="AB2453" i="16"/>
  <c r="AB158" i="16"/>
  <c r="AB2086" i="16"/>
  <c r="AB2258" i="16"/>
  <c r="AB1588" i="16"/>
  <c r="AB688" i="16"/>
  <c r="AB1502" i="16"/>
  <c r="AB743" i="16"/>
  <c r="AB2070" i="16"/>
  <c r="AB1131" i="16"/>
  <c r="AB2007" i="16"/>
  <c r="AB364" i="16"/>
  <c r="AB1036" i="16"/>
  <c r="AB2947" i="16"/>
  <c r="AB969" i="16"/>
  <c r="AB2155" i="16"/>
  <c r="AB2681" i="16"/>
  <c r="AB2141" i="16"/>
  <c r="AB913" i="16"/>
  <c r="AB3194" i="16"/>
  <c r="AB677" i="16"/>
  <c r="AB742" i="16"/>
  <c r="AB1839" i="16"/>
  <c r="AB646" i="16"/>
  <c r="AB876" i="16"/>
  <c r="AB2512" i="16"/>
  <c r="AB3344" i="16"/>
  <c r="AB2800" i="16"/>
  <c r="AB2751" i="16"/>
  <c r="AB1602" i="16"/>
  <c r="AB3337" i="16"/>
  <c r="AB903" i="16"/>
  <c r="AB3024" i="16"/>
  <c r="AB3060" i="16"/>
  <c r="U1727" i="16"/>
  <c r="U1790" i="16"/>
  <c r="U3134" i="16"/>
  <c r="U2216" i="16"/>
  <c r="U1166" i="16"/>
  <c r="U2896" i="16"/>
  <c r="U1546" i="16"/>
  <c r="U708" i="16"/>
  <c r="U2480" i="16"/>
  <c r="U2776" i="16"/>
  <c r="U1715" i="16"/>
  <c r="U2852" i="16"/>
  <c r="U2578" i="16"/>
  <c r="U3232" i="16"/>
  <c r="U407" i="16"/>
  <c r="U2460" i="16"/>
  <c r="U1389" i="16"/>
  <c r="U1858" i="16"/>
  <c r="U1456" i="16"/>
  <c r="U950" i="16"/>
  <c r="U2703" i="16"/>
  <c r="U1696" i="16"/>
  <c r="U3250" i="16"/>
  <c r="U1406" i="16"/>
  <c r="U485" i="16"/>
  <c r="U1515" i="16"/>
  <c r="U1000" i="16"/>
  <c r="U1586" i="16"/>
  <c r="U2614" i="16"/>
  <c r="U997" i="16"/>
  <c r="U1709" i="16"/>
  <c r="U2759" i="16"/>
  <c r="U2334" i="16"/>
  <c r="U826" i="16"/>
  <c r="U1019" i="16"/>
  <c r="U1869" i="16"/>
  <c r="U792" i="16"/>
  <c r="U3075" i="16"/>
  <c r="U1853" i="16"/>
  <c r="U1346" i="16"/>
  <c r="U2426" i="16"/>
  <c r="U823" i="16"/>
  <c r="U439" i="16"/>
  <c r="U1890" i="16"/>
  <c r="U2983" i="16"/>
  <c r="U2456" i="16"/>
  <c r="U3001" i="16"/>
  <c r="U2162" i="16"/>
  <c r="U1905" i="16"/>
  <c r="U1577" i="16"/>
  <c r="U2988" i="16"/>
  <c r="U433" i="16"/>
  <c r="U1273" i="16"/>
  <c r="U1281" i="16"/>
  <c r="U2990" i="16"/>
  <c r="U130" i="16"/>
  <c r="U2146" i="16"/>
  <c r="U1766" i="16"/>
  <c r="U2913" i="16"/>
  <c r="U2992" i="16"/>
  <c r="U697" i="16"/>
  <c r="U1433" i="16"/>
  <c r="U2966" i="16"/>
  <c r="U1874" i="16"/>
  <c r="U3086" i="16"/>
  <c r="U771" i="16"/>
  <c r="U868" i="16"/>
  <c r="U2498" i="16"/>
  <c r="U1366" i="16"/>
  <c r="U1497" i="16"/>
  <c r="U701" i="16"/>
  <c r="U2669" i="16"/>
  <c r="U2814" i="16"/>
  <c r="U2577" i="16"/>
  <c r="U1059" i="16"/>
  <c r="U1910" i="16"/>
  <c r="U3207" i="16"/>
  <c r="U3291" i="16"/>
  <c r="U1084" i="16"/>
  <c r="U1258" i="16"/>
  <c r="U1488" i="16"/>
  <c r="U740" i="16"/>
  <c r="U1998" i="16"/>
  <c r="U1859" i="16"/>
  <c r="U1840" i="16"/>
  <c r="U261" i="16"/>
  <c r="U1502" i="16"/>
  <c r="U3064" i="16"/>
  <c r="U1012" i="16"/>
  <c r="U1648" i="16"/>
  <c r="U562" i="16"/>
  <c r="U1681" i="16"/>
  <c r="U1516" i="16"/>
  <c r="U362" i="16"/>
  <c r="U2211" i="16"/>
  <c r="U358" i="16"/>
  <c r="U2542" i="16"/>
  <c r="U2638" i="16"/>
  <c r="U851" i="16"/>
  <c r="U1831" i="16"/>
  <c r="U2390" i="16"/>
  <c r="U1439" i="16"/>
  <c r="U103" i="16"/>
  <c r="U471" i="16"/>
  <c r="U2328" i="16"/>
  <c r="U1923" i="16"/>
  <c r="U2061" i="16"/>
  <c r="U348" i="16"/>
  <c r="U2147" i="16"/>
  <c r="U833" i="16"/>
  <c r="U2123" i="16"/>
  <c r="U2710" i="16"/>
  <c r="U134" i="16"/>
  <c r="U3219" i="16"/>
  <c r="U551" i="16"/>
  <c r="U1913" i="16"/>
  <c r="U2607" i="16"/>
  <c r="U1646" i="16"/>
  <c r="U2639" i="16"/>
  <c r="U3237" i="16"/>
  <c r="U1265" i="16"/>
  <c r="U778" i="16"/>
  <c r="U1633" i="16"/>
  <c r="U2044" i="16"/>
  <c r="U2813" i="16"/>
  <c r="U663" i="16"/>
  <c r="U2385" i="16"/>
  <c r="U876" i="16"/>
  <c r="U3201" i="16"/>
  <c r="U1881" i="16"/>
  <c r="U1760" i="16"/>
  <c r="U2796" i="16"/>
  <c r="U3178" i="16"/>
  <c r="U1597" i="16"/>
  <c r="U894" i="16"/>
  <c r="U2448" i="16"/>
  <c r="U2282" i="16"/>
  <c r="U1064" i="16"/>
  <c r="U335" i="16"/>
  <c r="U167" i="16"/>
  <c r="U509" i="16"/>
  <c r="U1277" i="16"/>
  <c r="U281" i="16"/>
  <c r="U2729" i="16"/>
  <c r="U3285" i="16"/>
  <c r="U1099" i="16"/>
  <c r="U2080" i="16"/>
  <c r="U2755" i="16"/>
  <c r="U212" i="16"/>
  <c r="U1944" i="16"/>
  <c r="U1134" i="16"/>
  <c r="U720" i="16"/>
  <c r="U1139" i="16"/>
  <c r="U3284" i="16"/>
  <c r="U1511" i="16"/>
  <c r="U2752" i="16"/>
  <c r="U2856" i="16"/>
  <c r="U2198" i="16"/>
  <c r="U2519" i="16"/>
  <c r="U316" i="16"/>
  <c r="U538" i="16"/>
  <c r="U844" i="16"/>
  <c r="U3228" i="16"/>
  <c r="U2111" i="16"/>
  <c r="U1580" i="16"/>
  <c r="U2846" i="16"/>
  <c r="U2400" i="16"/>
  <c r="U1096" i="16"/>
  <c r="U2270" i="16"/>
  <c r="U2687" i="16"/>
  <c r="U2528" i="16"/>
  <c r="U698" i="16"/>
  <c r="U1606" i="16"/>
  <c r="U2057" i="16"/>
  <c r="U435" i="16"/>
  <c r="U3281" i="16"/>
  <c r="U1623" i="16"/>
  <c r="U2222" i="16"/>
  <c r="U3209" i="16"/>
  <c r="U1385" i="16"/>
  <c r="U1704" i="16"/>
  <c r="U907" i="16"/>
  <c r="U2864" i="16"/>
  <c r="U2609" i="16"/>
  <c r="U2179" i="16"/>
  <c r="U3216" i="16"/>
  <c r="U1625" i="16"/>
  <c r="U2604" i="16"/>
  <c r="U1999" i="16"/>
  <c r="U2588" i="16"/>
  <c r="U404" i="16"/>
  <c r="U615" i="16"/>
  <c r="U2907" i="16"/>
  <c r="U1222" i="16"/>
  <c r="U767" i="16"/>
  <c r="U2171" i="16"/>
  <c r="U1619" i="16"/>
  <c r="U1857" i="16"/>
  <c r="U3041" i="16"/>
  <c r="U1807" i="16"/>
  <c r="U2271" i="16"/>
  <c r="U2232" i="16"/>
  <c r="U1120" i="16"/>
  <c r="U1572" i="16"/>
  <c r="U3265" i="16"/>
  <c r="U136" i="16"/>
  <c r="U2533" i="16"/>
  <c r="U1636" i="16"/>
  <c r="U1339" i="16"/>
  <c r="U769" i="16"/>
  <c r="U1364" i="16"/>
  <c r="U1274" i="16"/>
  <c r="U2195" i="16"/>
  <c r="U1582" i="16"/>
  <c r="U2745" i="16"/>
  <c r="U824" i="16"/>
  <c r="U1956" i="16"/>
  <c r="U427" i="16"/>
  <c r="U2630" i="16"/>
  <c r="U2934" i="16"/>
  <c r="U2636" i="16"/>
  <c r="U3073" i="16"/>
  <c r="U3226" i="16"/>
  <c r="U669" i="16"/>
  <c r="U1109" i="16"/>
  <c r="U873" i="16"/>
  <c r="U2339" i="16"/>
  <c r="U2513" i="16"/>
  <c r="U1056" i="16"/>
  <c r="U601" i="16"/>
  <c r="U1255" i="16"/>
  <c r="U467" i="16"/>
  <c r="U2585" i="16"/>
  <c r="U1460" i="16"/>
  <c r="U2401" i="16"/>
  <c r="U1232" i="16"/>
  <c r="U2646" i="16"/>
  <c r="U879" i="16"/>
  <c r="U2268" i="16"/>
  <c r="U1399" i="16"/>
  <c r="U125" i="16"/>
  <c r="U2998" i="16"/>
  <c r="U1437" i="16"/>
  <c r="U3275" i="16"/>
  <c r="U1818" i="16"/>
  <c r="U1309" i="16"/>
  <c r="U1609" i="16"/>
  <c r="U998" i="16"/>
  <c r="U776" i="16"/>
  <c r="U1822" i="16"/>
  <c r="U2177" i="16"/>
  <c r="U1573" i="16"/>
  <c r="U1041" i="16"/>
  <c r="U2430" i="16"/>
  <c r="U1178" i="16"/>
  <c r="U1296" i="16"/>
  <c r="U10" i="16"/>
  <c r="U1037" i="16"/>
  <c r="U1478" i="16"/>
  <c r="U1763" i="16"/>
  <c r="U3111" i="16"/>
  <c r="U2708" i="16"/>
  <c r="U2706" i="16"/>
  <c r="U547" i="16"/>
  <c r="U636" i="16"/>
  <c r="U48" i="16"/>
  <c r="U143" i="16"/>
  <c r="U3215" i="16"/>
  <c r="U819" i="16"/>
  <c r="U2854" i="16"/>
  <c r="U2506" i="16"/>
  <c r="U1491" i="16"/>
  <c r="U604" i="16"/>
  <c r="U2007" i="16"/>
  <c r="U2240" i="16"/>
  <c r="U3112" i="16"/>
  <c r="U393" i="16"/>
  <c r="U2143" i="16"/>
  <c r="U849" i="16"/>
  <c r="U428" i="16"/>
  <c r="U105" i="16"/>
  <c r="U1662" i="16"/>
  <c r="U3264" i="16"/>
  <c r="U3289" i="16"/>
  <c r="U379" i="16"/>
  <c r="U3016" i="16"/>
  <c r="U2539" i="16"/>
  <c r="U504" i="16"/>
  <c r="U317" i="16"/>
  <c r="U967" i="16"/>
  <c r="U2322" i="16"/>
  <c r="U2655" i="16"/>
  <c r="U478" i="16"/>
  <c r="U341" i="16"/>
  <c r="U286" i="16"/>
  <c r="U2666" i="16"/>
  <c r="U120" i="16"/>
  <c r="U1238" i="16"/>
  <c r="U1090" i="16"/>
  <c r="U2193" i="16"/>
  <c r="U1871" i="16"/>
  <c r="U2326" i="16"/>
  <c r="U2575" i="16"/>
  <c r="U1493" i="16"/>
  <c r="U589" i="16"/>
  <c r="U2548" i="16"/>
  <c r="U2968" i="16"/>
  <c r="U1973" i="16"/>
  <c r="U2042" i="16"/>
  <c r="U2091" i="16"/>
  <c r="U1132" i="16"/>
  <c r="U1730" i="16"/>
  <c r="U2225" i="16"/>
  <c r="U1082" i="16"/>
  <c r="U912" i="16"/>
  <c r="U1057" i="16"/>
  <c r="U1591" i="16"/>
  <c r="U2652" i="16"/>
  <c r="U3039" i="16"/>
  <c r="U1605" i="16"/>
  <c r="U3214" i="16"/>
  <c r="U1102" i="16"/>
  <c r="U2467" i="16"/>
  <c r="U2337" i="16"/>
  <c r="U2658" i="16"/>
  <c r="U2517" i="16"/>
  <c r="U3097" i="16"/>
  <c r="U259" i="16"/>
  <c r="U1603" i="16"/>
  <c r="U1816" i="16"/>
  <c r="U3280" i="16"/>
  <c r="U304" i="16"/>
  <c r="U541" i="16"/>
  <c r="U989" i="16"/>
  <c r="U2079" i="16"/>
  <c r="U2956" i="16"/>
  <c r="U2231" i="16"/>
  <c r="U2909" i="16"/>
  <c r="U1313" i="16"/>
  <c r="U1130" i="16"/>
  <c r="U2616" i="16"/>
  <c r="U1010" i="16"/>
  <c r="U2850" i="16"/>
  <c r="U1429" i="16"/>
  <c r="U798" i="16"/>
  <c r="U629" i="16"/>
  <c r="U653" i="16"/>
  <c r="U3266" i="16"/>
  <c r="U3295" i="16"/>
  <c r="U675" i="16"/>
  <c r="U1146" i="16"/>
  <c r="U607" i="16"/>
  <c r="U199" i="16"/>
  <c r="U1004" i="16"/>
  <c r="U1561" i="16"/>
  <c r="U659" i="16"/>
  <c r="U2429" i="16"/>
  <c r="U99" i="16"/>
  <c r="U2849" i="16"/>
  <c r="U2041" i="16"/>
  <c r="U1737" i="16"/>
  <c r="U1098" i="16"/>
  <c r="U724" i="16"/>
  <c r="U2294" i="16"/>
  <c r="U2220" i="16"/>
  <c r="U1360" i="16"/>
  <c r="U3292" i="16"/>
  <c r="U481" i="16"/>
  <c r="U1278" i="16"/>
  <c r="U3052" i="16"/>
  <c r="U1563" i="16"/>
  <c r="U3156" i="16"/>
  <c r="U3062" i="16"/>
  <c r="U493" i="16"/>
  <c r="U1170" i="16"/>
  <c r="U809" i="16"/>
  <c r="U1243" i="16"/>
  <c r="U3025" i="16"/>
  <c r="U2486" i="16"/>
  <c r="U2858" i="16"/>
  <c r="U2595" i="16"/>
  <c r="U2848" i="16"/>
  <c r="U3160" i="16"/>
  <c r="U2071" i="16"/>
  <c r="U35" i="16"/>
  <c r="U1207" i="16"/>
  <c r="U1263" i="16"/>
  <c r="U1894" i="16"/>
  <c r="U2278" i="16"/>
  <c r="U1072" i="16"/>
  <c r="U757" i="16"/>
  <c r="U2536" i="16"/>
  <c r="U1645" i="16"/>
  <c r="U548" i="16"/>
  <c r="U3173" i="16"/>
  <c r="U1387" i="16"/>
  <c r="U3217" i="16"/>
  <c r="U1639" i="16"/>
  <c r="U3235" i="16"/>
  <c r="U3298" i="16"/>
  <c r="U1017" i="16"/>
  <c r="U2062" i="16"/>
  <c r="U171" i="16"/>
  <c r="U437" i="16"/>
  <c r="U878" i="16"/>
  <c r="U2906" i="16"/>
  <c r="U3148" i="16"/>
  <c r="U2824" i="16"/>
  <c r="U1008" i="16"/>
  <c r="U200" i="16"/>
  <c r="U2716" i="16"/>
  <c r="U2188" i="16"/>
  <c r="U2017" i="16"/>
  <c r="U1006" i="16"/>
  <c r="U1855" i="16"/>
  <c r="U3302" i="16"/>
  <c r="U1716" i="16"/>
  <c r="U861" i="16"/>
  <c r="U1556" i="16"/>
  <c r="U179" i="16"/>
  <c r="U1957" i="16"/>
  <c r="U925" i="16"/>
  <c r="U1357" i="16"/>
  <c r="U19" i="16"/>
  <c r="U2300" i="16"/>
  <c r="U2876" i="16"/>
  <c r="U1442" i="16"/>
  <c r="U1443" i="16"/>
  <c r="U2559" i="16"/>
  <c r="U1410" i="16"/>
  <c r="U658" i="16"/>
  <c r="U1784" i="16"/>
  <c r="U766" i="16"/>
  <c r="U2633" i="16"/>
  <c r="U3000" i="16"/>
  <c r="U2568" i="16"/>
  <c r="U1093" i="16"/>
  <c r="U2099" i="16"/>
  <c r="U656" i="16"/>
  <c r="U1717" i="16"/>
  <c r="U3137" i="16"/>
  <c r="U1978" i="16"/>
  <c r="U625" i="16"/>
  <c r="U1327" i="16"/>
  <c r="U1155" i="16"/>
  <c r="U2922" i="16"/>
  <c r="U3140" i="16"/>
  <c r="U2340" i="16"/>
  <c r="U3037" i="16"/>
  <c r="U438" i="16"/>
  <c r="U3184" i="16"/>
  <c r="U3044" i="16"/>
  <c r="U3038" i="16"/>
  <c r="U1884" i="16"/>
  <c r="U2973" i="16"/>
  <c r="U412" i="16"/>
  <c r="U2033" i="16"/>
  <c r="U2770" i="16"/>
  <c r="U1865" i="16"/>
  <c r="U1811" i="16"/>
  <c r="U550" i="16"/>
  <c r="U266" i="16"/>
  <c r="U782" i="16"/>
  <c r="U3117" i="16"/>
  <c r="U2779" i="16"/>
  <c r="U1438" i="16"/>
  <c r="U1628" i="16"/>
  <c r="U2054" i="16"/>
  <c r="U993" i="16"/>
  <c r="U2879" i="16"/>
  <c r="U2994" i="16"/>
  <c r="U402" i="16"/>
  <c r="U666" i="16"/>
  <c r="U2686" i="16"/>
  <c r="U2908" i="16"/>
  <c r="U1351" i="16"/>
  <c r="U2839" i="16"/>
  <c r="U2969" i="16"/>
  <c r="U1199" i="16"/>
  <c r="U3028" i="16"/>
  <c r="U1506" i="16"/>
  <c r="U1196" i="16"/>
  <c r="U703" i="16"/>
  <c r="U3078" i="16"/>
  <c r="U1496" i="16"/>
  <c r="U1045" i="16"/>
  <c r="U3163" i="16"/>
  <c r="U2483" i="16"/>
  <c r="U2981" i="16"/>
  <c r="U2056" i="16"/>
  <c r="U3230" i="16"/>
  <c r="U1016" i="16"/>
  <c r="U2799" i="16"/>
  <c r="U812" i="16"/>
  <c r="U2411" i="16"/>
  <c r="U308" i="16"/>
  <c r="U3192" i="16"/>
  <c r="U500" i="16"/>
  <c r="U705" i="16"/>
  <c r="U800" i="16"/>
  <c r="U2971" i="16"/>
  <c r="U2461" i="16"/>
  <c r="U1545" i="16"/>
  <c r="U1952" i="16"/>
  <c r="U1754" i="16"/>
  <c r="U2774" i="16"/>
  <c r="U2552" i="16"/>
  <c r="U901" i="16"/>
  <c r="U1613" i="16"/>
  <c r="U713" i="16"/>
  <c r="U1144" i="16"/>
  <c r="U1762" i="16"/>
  <c r="U2048" i="16"/>
  <c r="U2566" i="16"/>
  <c r="U2570" i="16"/>
  <c r="U2406" i="16"/>
  <c r="U1600" i="16"/>
  <c r="U1396" i="16"/>
  <c r="U366" i="16"/>
  <c r="U1813" i="16"/>
  <c r="U219" i="16"/>
  <c r="U599" i="16"/>
  <c r="U2901" i="16"/>
  <c r="U2625" i="16"/>
  <c r="U3260" i="16"/>
  <c r="U2617" i="16"/>
  <c r="U2855" i="16"/>
  <c r="U2561" i="16"/>
  <c r="U2180" i="16"/>
  <c r="U931" i="16"/>
  <c r="U3055" i="16"/>
  <c r="U2139" i="16"/>
  <c r="U1711" i="16"/>
  <c r="U80" i="16"/>
  <c r="U2134" i="16"/>
  <c r="U2082" i="16"/>
  <c r="U3040" i="16"/>
  <c r="U1698" i="16"/>
  <c r="U2028" i="16"/>
  <c r="U2215" i="16"/>
  <c r="U1403" i="16"/>
  <c r="U1030" i="16"/>
  <c r="U1421" i="16"/>
  <c r="U1817" i="16"/>
  <c r="U429" i="16"/>
  <c r="U608" i="16"/>
  <c r="U1701" i="16"/>
  <c r="U3267" i="16"/>
  <c r="U1774" i="16"/>
  <c r="U2189" i="16"/>
  <c r="U2256" i="16"/>
  <c r="U1933" i="16"/>
  <c r="U2151" i="16"/>
  <c r="U1303" i="16"/>
  <c r="U1435" i="16"/>
  <c r="U1718" i="16"/>
  <c r="U525" i="16"/>
  <c r="U2870" i="16"/>
  <c r="U1246" i="16"/>
  <c r="U2201" i="16"/>
  <c r="U184" i="16"/>
  <c r="U2869" i="16"/>
  <c r="U263" i="16"/>
  <c r="U2419" i="16"/>
  <c r="U955" i="16"/>
  <c r="U1911" i="16"/>
  <c r="U2534" i="16"/>
  <c r="U6" i="16"/>
  <c r="U2104" i="16"/>
  <c r="U1750" i="16"/>
  <c r="U1394" i="16"/>
  <c r="U418" i="16"/>
  <c r="U973" i="16"/>
  <c r="U2709" i="16"/>
  <c r="U1635" i="16"/>
  <c r="U2098" i="16"/>
  <c r="U1615" i="16"/>
  <c r="U1804" i="16"/>
  <c r="U66" i="16"/>
  <c r="U853" i="16"/>
  <c r="U2191" i="16"/>
  <c r="U2780" i="16"/>
  <c r="U692" i="16"/>
  <c r="U3294" i="16"/>
  <c r="U1024" i="16"/>
  <c r="U995" i="16"/>
  <c r="U2677" i="16"/>
  <c r="U1702" i="16"/>
  <c r="U842" i="16"/>
  <c r="U668" i="16"/>
  <c r="U2659" i="16"/>
  <c r="U1670" i="16"/>
  <c r="U3282" i="16"/>
  <c r="U1653" i="16"/>
  <c r="U2433" i="16"/>
  <c r="U1235" i="16"/>
  <c r="U634" i="16"/>
  <c r="U3145" i="16"/>
  <c r="U3125" i="16"/>
  <c r="U1575" i="16"/>
  <c r="U2479" i="16"/>
  <c r="U2576" i="16"/>
  <c r="U1548" i="16"/>
  <c r="U2304" i="16"/>
  <c r="U2308" i="16"/>
  <c r="U3270" i="16"/>
  <c r="U1501" i="16"/>
  <c r="U2535" i="16"/>
  <c r="U3206" i="16"/>
  <c r="U449" i="16"/>
  <c r="U234" i="16"/>
  <c r="U2063" i="16"/>
  <c r="U811" i="16"/>
  <c r="U227" i="16"/>
  <c r="U699" i="16"/>
  <c r="U1679" i="16"/>
  <c r="U1135" i="16"/>
  <c r="U1769" i="16"/>
  <c r="U893" i="16"/>
  <c r="U2911" i="16"/>
  <c r="U1479" i="16"/>
  <c r="U2217" i="16"/>
  <c r="U1147" i="16"/>
  <c r="U1393" i="16"/>
  <c r="U638" i="16"/>
  <c r="U1174" i="16"/>
  <c r="U1839" i="16"/>
  <c r="U913" i="16"/>
  <c r="U1642" i="16"/>
  <c r="U717" i="16"/>
  <c r="U877" i="16"/>
  <c r="U468" i="16"/>
  <c r="U2739" i="16"/>
  <c r="U626" i="16"/>
  <c r="U38" i="16"/>
  <c r="U754" i="16"/>
  <c r="U3146" i="16"/>
  <c r="U930" i="16"/>
  <c r="U2290" i="16"/>
  <c r="U1369" i="16"/>
  <c r="U3238" i="16"/>
  <c r="U2728" i="16"/>
  <c r="U1823" i="16"/>
  <c r="U1489" i="16"/>
  <c r="U69" i="16"/>
  <c r="U441" i="16"/>
  <c r="U1182" i="16"/>
  <c r="U762" i="16"/>
  <c r="U2632" i="16"/>
  <c r="U1539" i="16"/>
  <c r="U1532" i="16"/>
  <c r="U1472" i="16"/>
  <c r="U3175" i="16"/>
  <c r="U1938" i="16"/>
  <c r="U1551" i="16"/>
  <c r="U2035" i="16"/>
  <c r="U2477" i="16"/>
  <c r="U22" i="16"/>
  <c r="U1152" i="16"/>
  <c r="U1982" i="16"/>
  <c r="U2894" i="16"/>
  <c r="U1975" i="16"/>
  <c r="U2689" i="16"/>
  <c r="U388" i="16"/>
  <c r="U3014" i="16"/>
  <c r="U202" i="16"/>
  <c r="U1078" i="16"/>
  <c r="U563" i="16"/>
  <c r="U921" i="16"/>
  <c r="U2531" i="16"/>
  <c r="U2762" i="16"/>
  <c r="U2767" i="16"/>
  <c r="U1594" i="16"/>
  <c r="U2087" i="16"/>
  <c r="U2380" i="16"/>
  <c r="U528" i="16"/>
  <c r="U1477" i="16"/>
  <c r="U2124" i="16"/>
  <c r="U3182" i="16"/>
  <c r="U154" i="16"/>
  <c r="U1381" i="16"/>
  <c r="U280" i="16"/>
  <c r="U2127" i="16"/>
  <c r="U1348" i="16"/>
  <c r="U1310" i="16"/>
  <c r="U863" i="16"/>
  <c r="U1891" i="16"/>
  <c r="U1941" i="16"/>
  <c r="U110" i="16"/>
  <c r="U214" i="16"/>
  <c r="U753" i="16"/>
  <c r="U2093" i="16"/>
  <c r="U2750" i="16"/>
  <c r="U3096" i="16"/>
  <c r="U1239" i="16"/>
  <c r="U1121" i="16"/>
  <c r="U1835" i="16"/>
  <c r="U1720" i="16"/>
  <c r="U1977" i="16"/>
  <c r="U1778" i="16"/>
  <c r="U559" i="16"/>
  <c r="U333" i="16"/>
  <c r="U2623" i="16"/>
  <c r="U1882" i="16"/>
  <c r="U1359" i="16"/>
  <c r="U2468" i="16"/>
  <c r="U2391" i="16"/>
  <c r="U3183" i="16"/>
  <c r="U172" i="16"/>
  <c r="U2253" i="16"/>
  <c r="U1467" i="16"/>
  <c r="U729" i="16"/>
  <c r="U2378" i="16"/>
  <c r="U1175" i="16"/>
  <c r="U910" i="16"/>
  <c r="U2243" i="16"/>
  <c r="U1921" i="16"/>
  <c r="U338" i="16"/>
  <c r="U786" i="16"/>
  <c r="U3276" i="16"/>
  <c r="U2523" i="16"/>
  <c r="U3095" i="16"/>
  <c r="U466" i="16"/>
  <c r="U946" i="16"/>
  <c r="U987" i="16"/>
  <c r="U1326" i="16"/>
  <c r="U783" i="16"/>
  <c r="U3252" i="16"/>
  <c r="U3286" i="16"/>
  <c r="U1912" i="16"/>
  <c r="U1536" i="16"/>
  <c r="U1759" i="16"/>
  <c r="U1390" i="16"/>
  <c r="U1686" i="16"/>
  <c r="U1997" i="16"/>
  <c r="U1995" i="16"/>
  <c r="U2296" i="16"/>
  <c r="U999" i="16"/>
  <c r="U794" i="16"/>
  <c r="U3084" i="16"/>
  <c r="U305" i="16"/>
  <c r="U1272" i="16"/>
  <c r="U395" i="16"/>
  <c r="U2715" i="16"/>
  <c r="U3034" i="16"/>
  <c r="U773" i="16"/>
  <c r="U421" i="16"/>
  <c r="U1692" i="16"/>
  <c r="U365" i="16"/>
  <c r="U1566" i="16"/>
  <c r="U2053" i="16"/>
  <c r="U385" i="16"/>
  <c r="U2668" i="16"/>
  <c r="U3115" i="16"/>
  <c r="U3157" i="16"/>
  <c r="U1290" i="16"/>
  <c r="U2303" i="16"/>
  <c r="U2667" i="16"/>
  <c r="U1780" i="16"/>
  <c r="U821" i="16"/>
  <c r="U3210" i="16"/>
  <c r="U2806" i="16"/>
  <c r="U1354" i="16"/>
  <c r="U2208" i="16"/>
  <c r="U2758" i="16"/>
  <c r="U1699" i="16"/>
  <c r="U1733" i="16"/>
  <c r="U1747" i="16"/>
  <c r="U378" i="16"/>
  <c r="U232" i="16"/>
  <c r="U2564" i="16"/>
  <c r="U688" i="16"/>
  <c r="U1119" i="16"/>
  <c r="U2970" i="16"/>
  <c r="U1376" i="16"/>
  <c r="U373" i="16"/>
  <c r="U3033" i="16"/>
  <c r="U292" i="16"/>
  <c r="U3179" i="16"/>
  <c r="U633" i="16"/>
  <c r="U484" i="16"/>
  <c r="U2442" i="16"/>
  <c r="U1827" i="16"/>
  <c r="U4" i="16"/>
  <c r="U1260" i="16"/>
  <c r="U1223" i="16"/>
  <c r="U1873" i="16"/>
  <c r="U523" i="16"/>
  <c r="U2286" i="16"/>
  <c r="U2916" i="16"/>
  <c r="U2262" i="16"/>
  <c r="U3122" i="16"/>
  <c r="U3009" i="16"/>
  <c r="U2740" i="16"/>
  <c r="U2837" i="16"/>
  <c r="U354" i="16"/>
  <c r="U977" i="16"/>
  <c r="U1863" i="16"/>
  <c r="U1967" i="16"/>
  <c r="U33" i="16"/>
  <c r="U2841" i="16"/>
  <c r="U47" i="16"/>
  <c r="U1286" i="16"/>
  <c r="U30" i="16"/>
  <c r="U352" i="16"/>
  <c r="U2135" i="16"/>
  <c r="U1168" i="16"/>
  <c r="U2889" i="16"/>
  <c r="U248" i="16"/>
  <c r="U1027" i="16"/>
  <c r="U2138" i="16"/>
  <c r="U556" i="16"/>
  <c r="U1851" i="16"/>
  <c r="U2684" i="16"/>
  <c r="U1900" i="16"/>
  <c r="U881" i="16"/>
  <c r="U1087" i="16"/>
  <c r="U3253" i="16"/>
  <c r="U1341" i="16"/>
  <c r="U2103" i="16"/>
  <c r="U1292" i="16"/>
  <c r="U182" i="16"/>
  <c r="U32" i="16"/>
  <c r="U340" i="16"/>
  <c r="U170" i="16"/>
  <c r="U2538" i="16"/>
  <c r="U2122" i="16"/>
  <c r="U1036" i="16"/>
  <c r="U1985" i="16"/>
  <c r="U2784" i="16"/>
  <c r="U3257" i="16"/>
  <c r="U2927" i="16"/>
  <c r="U704" i="16"/>
  <c r="U2795" i="16"/>
  <c r="U2649" i="16"/>
  <c r="U3224" i="16"/>
  <c r="U1749" i="16"/>
  <c r="U2697" i="16"/>
  <c r="U1660" i="16"/>
  <c r="U545" i="16"/>
  <c r="U161" i="16"/>
  <c r="U1363" i="16"/>
  <c r="U785" i="16"/>
  <c r="U2346" i="16"/>
  <c r="U71" i="16"/>
  <c r="U49" i="16"/>
  <c r="U3263" i="16"/>
  <c r="U3149" i="16"/>
  <c r="U1794" i="16"/>
  <c r="U2820" i="16"/>
  <c r="U686" i="16"/>
  <c r="U1397" i="16"/>
  <c r="U1203" i="16"/>
  <c r="U215" i="16"/>
  <c r="U2152" i="16"/>
  <c r="U1683" i="16"/>
  <c r="U1048" i="16"/>
  <c r="U1596" i="16"/>
  <c r="U1204" i="16"/>
  <c r="U1578" i="16"/>
  <c r="U2735" i="16"/>
  <c r="U1888" i="16"/>
  <c r="U1644" i="16"/>
  <c r="U513" i="16"/>
  <c r="U303" i="16"/>
  <c r="U990" i="16"/>
  <c r="U2737" i="16"/>
  <c r="U2512" i="16"/>
  <c r="U649" i="16"/>
  <c r="U457" i="16"/>
  <c r="U293" i="16"/>
  <c r="U321" i="16"/>
  <c r="U2624" i="16"/>
  <c r="U1042" i="16"/>
  <c r="U1907" i="16"/>
  <c r="U2275" i="16"/>
  <c r="U1344" i="16"/>
  <c r="U1663" i="16"/>
  <c r="U1729" i="16"/>
  <c r="U565" i="16"/>
  <c r="U91" i="16"/>
  <c r="U3305" i="16"/>
  <c r="U1430" i="16"/>
  <c r="U1885" i="16"/>
  <c r="U810" i="16"/>
  <c r="U1254" i="16"/>
  <c r="U166" i="16"/>
  <c r="U2673" i="16"/>
  <c r="U592" i="16"/>
  <c r="U1486" i="16"/>
  <c r="U2579" i="16"/>
  <c r="U1043" i="16"/>
  <c r="U557" i="16"/>
  <c r="U520" i="16"/>
  <c r="U2090" i="16"/>
  <c r="U426" i="16"/>
  <c r="U1940" i="16"/>
  <c r="U224" i="16"/>
  <c r="U1565" i="16"/>
  <c r="U3287" i="16"/>
  <c r="U1640" i="16"/>
  <c r="U1579" i="16"/>
  <c r="U479" i="16"/>
  <c r="U505" i="16"/>
  <c r="U3098" i="16"/>
  <c r="U1782" i="16"/>
  <c r="U2924" i="16"/>
  <c r="U1457" i="16"/>
  <c r="U16" i="16"/>
  <c r="U1919" i="16"/>
  <c r="U2914" i="16"/>
  <c r="U2163" i="16"/>
  <c r="U1929" i="16"/>
  <c r="U2944" i="16"/>
  <c r="U491" i="16"/>
  <c r="U640" i="16"/>
  <c r="U2942" i="16"/>
  <c r="U1163" i="16"/>
  <c r="U886" i="16"/>
  <c r="U1815" i="16"/>
  <c r="U1965" i="16"/>
  <c r="U716" i="16"/>
  <c r="U2140" i="16"/>
  <c r="U1229" i="16"/>
  <c r="U2613" i="16"/>
  <c r="U2454" i="16"/>
  <c r="U1388" i="16"/>
  <c r="U2302" i="16"/>
  <c r="U1751" i="16"/>
  <c r="U1451" i="16"/>
  <c r="U2096" i="16"/>
  <c r="U1925" i="16"/>
  <c r="U185" i="16"/>
  <c r="U2283" i="16"/>
  <c r="U2420" i="16"/>
  <c r="U2314" i="16"/>
  <c r="U43" i="16"/>
  <c r="U2377" i="16"/>
  <c r="U13" i="16"/>
  <c r="U2651" i="16"/>
  <c r="U1128" i="16"/>
  <c r="U174" i="16"/>
  <c r="U1061" i="16"/>
  <c r="U462" i="16"/>
  <c r="U1772" i="16"/>
  <c r="U2221" i="16"/>
  <c r="U1570" i="16"/>
  <c r="U86" i="16"/>
  <c r="U1269" i="16"/>
  <c r="U2125" i="16"/>
  <c r="U2679" i="16"/>
  <c r="U991" i="16"/>
  <c r="U147" i="16"/>
  <c r="U2335" i="16"/>
  <c r="U1694" i="16"/>
  <c r="U2269" i="16"/>
  <c r="U2711" i="16"/>
  <c r="U2301" i="16"/>
  <c r="U1052" i="16"/>
  <c r="U2763" i="16"/>
  <c r="U1247" i="16"/>
  <c r="U689" i="16"/>
  <c r="U2520" i="16"/>
  <c r="U2569" i="16"/>
  <c r="U2280" i="16"/>
  <c r="U947" i="16"/>
  <c r="U1776" i="16"/>
  <c r="U2051" i="16"/>
  <c r="U927" i="16"/>
  <c r="U1801" i="16"/>
  <c r="U2678" i="16"/>
  <c r="U2069" i="16"/>
  <c r="U2203" i="16"/>
  <c r="U2441" i="16"/>
  <c r="U858" i="16"/>
  <c r="U1418" i="16"/>
  <c r="U2024" i="16"/>
  <c r="U1708" i="16"/>
  <c r="U1996" i="16"/>
  <c r="U1211" i="16"/>
  <c r="U829" i="16"/>
  <c r="U971" i="16"/>
  <c r="U2261" i="16"/>
  <c r="U1428" i="16"/>
  <c r="U970" i="16"/>
  <c r="U42" i="16"/>
  <c r="U1637" i="16"/>
  <c r="U2299" i="16"/>
  <c r="U406" i="16"/>
  <c r="U1555" i="16"/>
  <c r="U2603" i="16"/>
  <c r="U2375" i="16"/>
  <c r="U2481" i="16"/>
  <c r="U3072" i="16"/>
  <c r="U2166" i="16"/>
  <c r="U3225" i="16"/>
  <c r="U1237" i="16"/>
  <c r="U1015" i="16"/>
  <c r="U2620" i="16"/>
  <c r="U3005" i="16"/>
  <c r="U2738" i="16"/>
  <c r="U329" i="16"/>
  <c r="U2761" i="16"/>
  <c r="U2937" i="16"/>
  <c r="U2873" i="16"/>
  <c r="U2218" i="16"/>
  <c r="U3195" i="16"/>
  <c r="U1820" i="16"/>
  <c r="U1758" i="16"/>
  <c r="U852" i="16"/>
  <c r="U2021" i="16"/>
  <c r="U2445" i="16"/>
  <c r="U2497" i="16"/>
  <c r="U1947" i="16"/>
  <c r="U1721" i="16"/>
  <c r="U3196" i="16"/>
  <c r="U1520" i="16"/>
  <c r="U1315" i="16"/>
  <c r="U2912" i="16"/>
  <c r="U1040" i="16"/>
  <c r="U3067" i="16"/>
  <c r="U941" i="16"/>
  <c r="U2120" i="16"/>
  <c r="U1227" i="16"/>
  <c r="U1301" i="16"/>
  <c r="U968" i="16"/>
  <c r="U2744" i="16"/>
  <c r="U2349" i="16"/>
  <c r="U612" i="16"/>
  <c r="U1171" i="16"/>
  <c r="U2363" i="16"/>
  <c r="U1480" i="16"/>
  <c r="U527" i="16"/>
  <c r="U1129" i="16"/>
  <c r="U2383" i="16"/>
  <c r="U1371" i="16"/>
  <c r="U945" i="16"/>
  <c r="U1035" i="16"/>
  <c r="U57" i="16"/>
  <c r="U1607" i="16"/>
  <c r="U654" i="16"/>
  <c r="U203" i="16"/>
  <c r="U2338" i="16"/>
  <c r="U2874" i="16"/>
  <c r="U1069" i="16"/>
  <c r="U2219" i="16"/>
  <c r="U3008" i="16"/>
  <c r="U2977" i="16"/>
  <c r="U1331" i="16"/>
  <c r="U2404" i="16"/>
  <c r="U1195" i="16"/>
  <c r="U2769" i="16"/>
  <c r="U3042" i="16"/>
  <c r="U1466" i="16"/>
  <c r="U2347" i="16"/>
  <c r="U2388" i="16"/>
  <c r="U2260" i="16"/>
  <c r="U1519" i="16"/>
  <c r="U1989" i="16"/>
  <c r="U58" i="16"/>
  <c r="U187" i="16"/>
  <c r="U384" i="16"/>
  <c r="U727" i="16"/>
  <c r="U83" i="16"/>
  <c r="U96" i="16"/>
  <c r="U1638" i="16"/>
  <c r="U67" i="16"/>
  <c r="U273" i="16"/>
  <c r="U344" i="16"/>
  <c r="U40" i="16"/>
  <c r="U2242" i="16"/>
  <c r="U434" i="16"/>
  <c r="U117" i="16"/>
  <c r="U937" i="16"/>
  <c r="U72" i="16"/>
  <c r="U222" i="16"/>
  <c r="U289" i="16"/>
  <c r="U207" i="16"/>
  <c r="U676" i="16"/>
  <c r="U279" i="16"/>
  <c r="U540" i="16"/>
  <c r="U775" i="16"/>
  <c r="U162" i="16"/>
  <c r="U50" i="16"/>
  <c r="U2352" i="16"/>
  <c r="U3189" i="16"/>
  <c r="U464" i="16"/>
  <c r="U330" i="16"/>
  <c r="U124" i="16"/>
  <c r="U264" i="16"/>
  <c r="U2987" i="16"/>
  <c r="U1771" i="16"/>
  <c r="U1934" i="16"/>
  <c r="U254" i="16"/>
  <c r="U2202" i="16"/>
  <c r="U641" i="16"/>
  <c r="U1100" i="16"/>
  <c r="U818" i="16"/>
  <c r="U3245" i="16"/>
  <c r="U1382" i="16"/>
  <c r="U1481" i="16"/>
  <c r="U2527" i="16"/>
  <c r="U2182" i="16"/>
  <c r="U480" i="16"/>
  <c r="U3070" i="16"/>
  <c r="U2976" i="16"/>
  <c r="U210" i="16"/>
  <c r="U15" i="16"/>
  <c r="U51" i="16"/>
  <c r="U2772" i="16"/>
  <c r="U1588" i="16"/>
  <c r="U121" i="16"/>
  <c r="U153" i="16"/>
  <c r="U2345" i="16"/>
  <c r="U2068" i="16"/>
  <c r="U1593" i="16"/>
  <c r="U3089" i="16"/>
  <c r="U1906" i="16"/>
  <c r="U2416" i="16"/>
  <c r="U1251" i="16"/>
  <c r="U1962" i="16"/>
  <c r="U1787" i="16"/>
  <c r="U1350" i="16"/>
  <c r="U499" i="16"/>
  <c r="U2019" i="16"/>
  <c r="U27" i="16"/>
  <c r="U3108" i="16"/>
  <c r="U2680" i="16"/>
  <c r="U2641" i="16"/>
  <c r="U1968" i="16"/>
  <c r="U1320" i="16"/>
  <c r="U1703" i="16"/>
  <c r="U2949" i="16"/>
  <c r="U1208" i="16"/>
  <c r="U2476" i="16"/>
  <c r="U3150" i="16"/>
  <c r="U647" i="16"/>
  <c r="U835" i="16"/>
  <c r="U2192" i="16"/>
  <c r="U2893" i="16"/>
  <c r="U1464" i="16"/>
  <c r="U560" i="16"/>
  <c r="U1796" i="16"/>
  <c r="U92" i="16"/>
  <c r="U2622" i="16"/>
  <c r="U301" i="16"/>
  <c r="U3022" i="16"/>
  <c r="U1188" i="16"/>
  <c r="U838" i="16"/>
  <c r="U2746" i="16"/>
  <c r="U2493" i="16"/>
  <c r="U1047" i="16"/>
  <c r="U2642" i="16"/>
  <c r="U444" i="16"/>
  <c r="U1883" i="16"/>
  <c r="U1454" i="16"/>
  <c r="U3100" i="16"/>
  <c r="U3301" i="16"/>
  <c r="U770" i="16"/>
  <c r="U539" i="16"/>
  <c r="U1328" i="16"/>
  <c r="U2310" i="16"/>
  <c r="U3255" i="16"/>
  <c r="U409" i="16"/>
  <c r="U2733" i="16"/>
  <c r="U2213" i="16"/>
  <c r="U2405" i="16"/>
  <c r="U1725" i="16"/>
  <c r="U1987" i="16"/>
  <c r="U2751" i="16"/>
  <c r="U1752" i="16"/>
  <c r="U871" i="16"/>
  <c r="U29" i="16"/>
  <c r="U1349" i="16"/>
  <c r="U256" i="16"/>
  <c r="U2672" i="16"/>
  <c r="U880" i="16"/>
  <c r="U2844" i="16"/>
  <c r="U2587" i="16"/>
  <c r="U1401" i="16"/>
  <c r="U3167" i="16"/>
  <c r="U1189" i="16"/>
  <c r="U2600" i="16"/>
  <c r="U2705" i="16"/>
  <c r="U85" i="16"/>
  <c r="U137" i="16"/>
  <c r="U1009" i="16"/>
  <c r="U2316" i="16"/>
  <c r="U2886" i="16"/>
  <c r="U899" i="16"/>
  <c r="U400" i="16"/>
  <c r="U2670" i="16"/>
  <c r="U377" i="16"/>
  <c r="U299" i="16"/>
  <c r="U3059" i="16"/>
  <c r="U2699" i="16"/>
  <c r="U1601" i="16"/>
  <c r="U2671" i="16"/>
  <c r="U1077" i="16"/>
  <c r="U122" i="16"/>
  <c r="U3174" i="16"/>
  <c r="U204" i="16"/>
  <c r="U106" i="16"/>
  <c r="U275" i="16"/>
  <c r="U2518" i="16"/>
  <c r="U1419" i="16"/>
  <c r="U1781" i="16"/>
  <c r="U2318" i="16"/>
  <c r="U1937" i="16"/>
  <c r="U752" i="16"/>
  <c r="U3074" i="16"/>
  <c r="U2589" i="16"/>
  <c r="U411" i="16"/>
  <c r="U3233" i="16"/>
  <c r="U2312" i="16"/>
  <c r="U2511" i="16"/>
  <c r="U3129" i="16"/>
  <c r="U875" i="16"/>
  <c r="U1897" i="16"/>
  <c r="U718" i="16"/>
  <c r="U2161" i="16"/>
  <c r="U3240" i="16"/>
  <c r="U2284" i="16"/>
  <c r="U208" i="16"/>
  <c r="U979" i="16"/>
  <c r="U1031" i="16"/>
  <c r="U2989" i="16"/>
  <c r="U1942" i="16"/>
  <c r="U2332" i="16"/>
  <c r="U2938" i="16"/>
  <c r="U213" i="16"/>
  <c r="U100" i="16"/>
  <c r="U1896" i="16"/>
  <c r="U820" i="16"/>
  <c r="U494" i="16"/>
  <c r="U2615" i="16"/>
  <c r="U2012" i="16"/>
  <c r="U2619" i="16"/>
  <c r="U1508" i="16"/>
  <c r="U209" i="16"/>
  <c r="U681" i="16"/>
  <c r="U1324" i="16"/>
  <c r="U489" i="16"/>
  <c r="U448" i="16"/>
  <c r="U2237" i="16"/>
  <c r="U239" i="16"/>
  <c r="U450" i="16"/>
  <c r="U201" i="16"/>
  <c r="U2553" i="16"/>
  <c r="U11" i="16"/>
  <c r="U2267" i="16"/>
  <c r="U3123" i="16"/>
  <c r="U1423" i="16"/>
  <c r="U1909" i="16"/>
  <c r="U832" i="16"/>
  <c r="U932" i="16"/>
  <c r="U189" i="16"/>
  <c r="U2354" i="16"/>
  <c r="U1275" i="16"/>
  <c r="U2503" i="16"/>
  <c r="U1585" i="16"/>
  <c r="U141" i="16"/>
  <c r="U3109" i="16"/>
  <c r="U190" i="16"/>
  <c r="U3187" i="16"/>
  <c r="U984" i="16"/>
  <c r="U2692" i="16"/>
  <c r="U1447" i="16"/>
  <c r="U2555" i="16"/>
  <c r="U157" i="16"/>
  <c r="U1136" i="16"/>
  <c r="U285" i="16"/>
  <c r="U1463" i="16"/>
  <c r="U1028" i="16"/>
  <c r="U1342" i="16"/>
  <c r="U1627" i="16"/>
  <c r="U7" i="16"/>
  <c r="U1777" i="16"/>
  <c r="U2835" i="16"/>
  <c r="U1264" i="16"/>
  <c r="U942" i="16"/>
  <c r="U1308" i="16"/>
  <c r="U63" i="16"/>
  <c r="U1071" i="16"/>
  <c r="U459" i="16"/>
  <c r="U383" i="16"/>
  <c r="U353" i="16"/>
  <c r="U828" i="16"/>
  <c r="U28" i="16"/>
  <c r="U2516" i="16"/>
  <c r="U21" i="16"/>
  <c r="U25" i="16"/>
  <c r="U18" i="16"/>
  <c r="U41" i="16"/>
  <c r="U24" i="16"/>
  <c r="U841" i="16"/>
  <c r="U160" i="16"/>
  <c r="U1305" i="16"/>
  <c r="U2960" i="16"/>
  <c r="U1241" i="16"/>
  <c r="U2384" i="16"/>
  <c r="U2743" i="16"/>
  <c r="U89" i="16"/>
  <c r="U1185" i="16"/>
  <c r="U169" i="16"/>
  <c r="U1153" i="16"/>
  <c r="U2494" i="16"/>
  <c r="U519" i="16"/>
  <c r="U759" i="16"/>
  <c r="U1943" i="16"/>
  <c r="U326" i="16"/>
  <c r="U36" i="16"/>
  <c r="U2357" i="16"/>
  <c r="U2276" i="16"/>
  <c r="U417" i="16"/>
  <c r="U2537" i="16"/>
  <c r="U217" i="16"/>
  <c r="U1086" i="16"/>
  <c r="U177" i="16"/>
  <c r="U1063" i="16"/>
  <c r="U2116" i="16"/>
  <c r="U1861" i="16"/>
  <c r="U2110" i="16"/>
  <c r="U3188" i="16"/>
  <c r="U81" i="16"/>
  <c r="U23" i="16"/>
  <c r="U416" i="16"/>
  <c r="U242" i="16"/>
  <c r="U1218" i="16"/>
  <c r="U1553" i="16"/>
  <c r="U1242" i="16"/>
  <c r="U2997" i="16"/>
  <c r="U1125" i="16"/>
  <c r="U1445" i="16"/>
  <c r="U14" i="16"/>
  <c r="U1073" i="16"/>
  <c r="U576" i="16"/>
  <c r="U211" i="16"/>
  <c r="U298" i="16"/>
  <c r="U268" i="16"/>
  <c r="U20" i="16"/>
  <c r="U65" i="16"/>
  <c r="U799" i="16"/>
  <c r="U104" i="16"/>
  <c r="U5" i="16"/>
  <c r="U571" i="16"/>
  <c r="U2234" i="16"/>
  <c r="U719" i="16"/>
  <c r="U1690" i="16"/>
  <c r="U9" i="16"/>
  <c r="U577" i="16"/>
  <c r="U262" i="16"/>
  <c r="U2399" i="16"/>
  <c r="U922" i="16"/>
  <c r="U1411" i="16"/>
  <c r="U516" i="16"/>
  <c r="U425" i="16"/>
  <c r="U408" i="16"/>
  <c r="U70" i="16"/>
  <c r="U2790" i="16"/>
  <c r="U1948" i="16"/>
  <c r="U1365" i="16"/>
  <c r="U2831" i="16"/>
  <c r="U78" i="16"/>
  <c r="U928" i="16"/>
  <c r="U1571" i="16"/>
  <c r="U1476" i="16"/>
  <c r="U972" i="16"/>
  <c r="U3166" i="16"/>
  <c r="U510" i="16"/>
  <c r="U205" i="16"/>
  <c r="U64" i="16"/>
  <c r="U2367" i="16"/>
  <c r="U2323" i="16"/>
  <c r="U1672" i="16"/>
  <c r="U1710" i="16"/>
  <c r="U79" i="16"/>
  <c r="U1259" i="16"/>
  <c r="U2597" i="16"/>
  <c r="U1504" i="16"/>
  <c r="U1846" i="16"/>
  <c r="U2431" i="16"/>
  <c r="U84" i="16"/>
  <c r="U2374" i="16"/>
  <c r="U1256" i="16"/>
  <c r="U787" i="16"/>
  <c r="U1535" i="16"/>
  <c r="U3013" i="16"/>
  <c r="U1837" i="16"/>
  <c r="U2781" i="16"/>
  <c r="U1322" i="16"/>
  <c r="U287" i="16"/>
  <c r="U1915" i="16"/>
  <c r="U934" i="16"/>
  <c r="U862" i="16"/>
  <c r="U1574" i="16"/>
  <c r="U2485" i="16"/>
  <c r="U1187" i="16"/>
  <c r="U3151" i="16"/>
  <c r="U1908" i="16"/>
  <c r="U1050" i="16"/>
  <c r="U2888" i="16"/>
  <c r="U2011" i="16"/>
  <c r="U2884" i="16"/>
  <c r="U2184" i="16"/>
  <c r="U1602" i="16"/>
  <c r="U2236" i="16"/>
  <c r="U1564" i="16"/>
  <c r="U108" i="16"/>
  <c r="U939" i="16"/>
  <c r="U3152" i="16"/>
  <c r="U1021" i="16"/>
  <c r="U2675" i="16"/>
  <c r="U2129" i="16"/>
  <c r="U2447" i="16"/>
  <c r="U2903" i="16"/>
  <c r="U558" i="16"/>
  <c r="U2015" i="16"/>
  <c r="U221" i="16"/>
  <c r="U2522" i="16"/>
  <c r="U2003" i="16"/>
  <c r="U1992" i="16"/>
  <c r="U1270" i="16"/>
  <c r="U1990" i="16"/>
  <c r="U963" i="16"/>
  <c r="U2935" i="16"/>
  <c r="U469" i="16"/>
  <c r="U424" i="16"/>
  <c r="U2197" i="16"/>
  <c r="U2455" i="16"/>
  <c r="U2504" i="16"/>
  <c r="U2224" i="16"/>
  <c r="U645" i="16"/>
  <c r="U2882" i="16"/>
  <c r="U903" i="16"/>
  <c r="U1332" i="16"/>
  <c r="U603" i="16"/>
  <c r="U2904" i="16"/>
  <c r="U3234" i="16"/>
  <c r="U2382" i="16"/>
  <c r="U90" i="16"/>
  <c r="U1014" i="16"/>
  <c r="U2811" i="16"/>
  <c r="U3107" i="16"/>
  <c r="U3259" i="16"/>
  <c r="U2788" i="16"/>
  <c r="U1083" i="16"/>
  <c r="U1802" i="16"/>
  <c r="U1674" i="16"/>
  <c r="U1347" i="16"/>
  <c r="U1500" i="16"/>
  <c r="U2052" i="16"/>
  <c r="U2596" i="16"/>
  <c r="U2749" i="16"/>
  <c r="U2315" i="16"/>
  <c r="U1916" i="16"/>
  <c r="U2415" i="16"/>
  <c r="U1689" i="16"/>
  <c r="U1684" i="16"/>
  <c r="U2635" i="16"/>
  <c r="U2297" i="16"/>
  <c r="U2925" i="16"/>
  <c r="U2991" i="16"/>
  <c r="U368" i="16"/>
  <c r="U665" i="16"/>
  <c r="U149" i="16"/>
  <c r="U1559" i="16"/>
  <c r="U176" i="16"/>
  <c r="U1753" i="16"/>
  <c r="U140" i="16"/>
  <c r="U181" i="16"/>
  <c r="U1176" i="16"/>
  <c r="U2602" i="16"/>
  <c r="U2212" i="16"/>
  <c r="U803" i="16"/>
  <c r="U3101" i="16"/>
  <c r="U1712" i="16"/>
  <c r="U168" i="16"/>
  <c r="U1092" i="16"/>
  <c r="U3133" i="16"/>
  <c r="U906" i="16"/>
  <c r="U374" i="16"/>
  <c r="U587" i="16"/>
  <c r="U272" i="16"/>
  <c r="U667" i="16"/>
  <c r="U2425" i="16"/>
  <c r="U1137" i="16"/>
  <c r="U2150" i="16"/>
  <c r="U2277" i="16"/>
  <c r="U1595" i="16"/>
  <c r="U74" i="16"/>
  <c r="U1544" i="16"/>
  <c r="U1592" i="16"/>
  <c r="U613" i="16"/>
  <c r="U1814" i="16"/>
  <c r="U2004" i="16"/>
  <c r="U2656" i="16"/>
  <c r="U2847" i="16"/>
  <c r="U193" i="16"/>
  <c r="U1876" i="16"/>
  <c r="U529" i="16"/>
  <c r="U241" i="16"/>
  <c r="U1186" i="16"/>
  <c r="U391" i="16"/>
  <c r="U1217" i="16"/>
  <c r="U1821" i="16"/>
  <c r="U2274" i="16"/>
  <c r="U220" i="16"/>
  <c r="U3172" i="16"/>
  <c r="U1409" i="16"/>
  <c r="U1765" i="16"/>
  <c r="U2106" i="16"/>
  <c r="U2685" i="16"/>
  <c r="U2545" i="16"/>
  <c r="U1250" i="16"/>
  <c r="U1830" i="16"/>
  <c r="U1914" i="16"/>
  <c r="U1918" i="16"/>
  <c r="U1655" i="16"/>
  <c r="U2157" i="16"/>
  <c r="U2940" i="16"/>
  <c r="U1075" i="16"/>
  <c r="U1141" i="16"/>
  <c r="U1734" i="16"/>
  <c r="U1197" i="16"/>
  <c r="U1209" i="16"/>
  <c r="U1641" i="16"/>
  <c r="U3051" i="16"/>
  <c r="U1514" i="16"/>
  <c r="U1358" i="16"/>
  <c r="U1980" i="16"/>
  <c r="U1434" i="16"/>
  <c r="U1742" i="16"/>
  <c r="U791" i="16"/>
  <c r="U2899" i="16"/>
  <c r="U1267" i="16"/>
  <c r="U2085" i="16"/>
  <c r="U111" i="16"/>
  <c r="U2756" i="16"/>
  <c r="U223" i="16"/>
  <c r="U2875" i="16"/>
  <c r="U1695" i="16"/>
  <c r="U1319" i="16"/>
  <c r="U442" i="16"/>
  <c r="U646" i="16"/>
  <c r="U2105" i="16"/>
  <c r="U533" i="16"/>
  <c r="U455" i="16"/>
  <c r="U1568" i="16"/>
  <c r="U569" i="16"/>
  <c r="U2950" i="16"/>
  <c r="U2945" i="16"/>
  <c r="U1960" i="16"/>
  <c r="U2471" i="16"/>
  <c r="U26" i="16"/>
  <c r="U1143" i="16"/>
  <c r="U1271" i="16"/>
  <c r="U2238" i="16"/>
  <c r="U319" i="16"/>
  <c r="U723" i="16"/>
  <c r="U573" i="16"/>
  <c r="U3278" i="16"/>
  <c r="U2210" i="16"/>
  <c r="U1054" i="16"/>
  <c r="U1652" i="16"/>
  <c r="U2475" i="16"/>
  <c r="U642" i="16"/>
  <c r="U2395" i="16"/>
  <c r="U2650" i="16"/>
  <c r="U1287" i="16"/>
  <c r="U2881" i="16"/>
  <c r="U2798" i="16"/>
  <c r="U1523" i="16"/>
  <c r="U1214" i="16"/>
  <c r="U1018" i="16"/>
  <c r="U709" i="16"/>
  <c r="U755" i="16"/>
  <c r="U1302" i="16"/>
  <c r="U3239" i="16"/>
  <c r="U3031" i="16"/>
  <c r="U983" i="16"/>
  <c r="U2423" i="16"/>
  <c r="U650" i="16"/>
  <c r="U534" i="16"/>
  <c r="U1917" i="16"/>
  <c r="U1676" i="16"/>
  <c r="U312" i="16"/>
  <c r="U2014" i="16"/>
  <c r="U2557" i="16"/>
  <c r="U2487" i="16"/>
  <c r="U1631" i="16"/>
  <c r="U2443" i="16"/>
  <c r="U3011" i="16"/>
  <c r="U306" i="16"/>
  <c r="U2648" i="16"/>
  <c r="U885" i="16"/>
  <c r="U1868" i="16"/>
  <c r="U822" i="16"/>
  <c r="U2801" i="16"/>
  <c r="U2807" i="16"/>
  <c r="U2821" i="16"/>
  <c r="U1617" i="16"/>
  <c r="U240" i="16"/>
  <c r="U245" i="16"/>
  <c r="U2741" i="16"/>
  <c r="U952" i="16"/>
  <c r="U3021" i="16"/>
  <c r="U1659" i="16"/>
  <c r="U62" i="16"/>
  <c r="U1074" i="16"/>
  <c r="U401" i="16"/>
  <c r="U3231" i="16"/>
  <c r="U112" i="16"/>
  <c r="U1140" i="16"/>
  <c r="U2126" i="16"/>
  <c r="U897" i="16"/>
  <c r="U2194" i="16"/>
  <c r="U3258" i="16"/>
  <c r="U2819" i="16"/>
  <c r="U1798" i="16"/>
  <c r="U580" i="16"/>
  <c r="U1213" i="16"/>
  <c r="U2117" i="16"/>
  <c r="U1779" i="16"/>
  <c r="U796" i="16"/>
  <c r="U2008" i="16"/>
  <c r="U1558" i="16"/>
  <c r="U3144" i="16"/>
  <c r="U2175" i="16"/>
  <c r="U707" i="16"/>
  <c r="U1825" i="16"/>
  <c r="U896" i="16"/>
  <c r="U1173" i="16"/>
  <c r="U446" i="16"/>
  <c r="U916" i="16"/>
  <c r="U1220" i="16"/>
  <c r="U2045" i="16"/>
  <c r="U1425" i="16"/>
  <c r="U1046" i="16"/>
  <c r="U2957" i="16"/>
  <c r="U661" i="16"/>
  <c r="U1970" i="16"/>
  <c r="U780" i="16"/>
  <c r="U2209" i="16"/>
  <c r="U895" i="16"/>
  <c r="U1055" i="16"/>
  <c r="U3268" i="16"/>
  <c r="U2691" i="16"/>
  <c r="U1295" i="16"/>
  <c r="U1245" i="16"/>
  <c r="U1068" i="16"/>
  <c r="U2947" i="16"/>
  <c r="U2254" i="16"/>
  <c r="U1391" i="16"/>
  <c r="U415" i="16"/>
  <c r="U390" i="16"/>
  <c r="U1268" i="16"/>
  <c r="U1167" i="16"/>
  <c r="U1013" i="16"/>
  <c r="U403" i="16"/>
  <c r="U2039" i="16"/>
  <c r="U2077" i="16"/>
  <c r="U902" i="16"/>
  <c r="U1236" i="16"/>
  <c r="U2928" i="16"/>
  <c r="U1848" i="16"/>
  <c r="U2428" i="16"/>
  <c r="U2136" i="16"/>
  <c r="U2348" i="16"/>
  <c r="U1788" i="16"/>
  <c r="U1355" i="16"/>
  <c r="U243" i="16"/>
  <c r="U2200" i="16"/>
  <c r="U1080" i="16"/>
  <c r="U2853" i="16"/>
  <c r="U3121" i="16"/>
  <c r="U2827" i="16"/>
  <c r="U2581" i="16"/>
  <c r="U1104" i="16"/>
  <c r="U618" i="16"/>
  <c r="U1598" i="16"/>
  <c r="U739" i="16"/>
  <c r="U1538" i="16"/>
  <c r="U1550" i="16"/>
  <c r="U917" i="16"/>
  <c r="U3090" i="16"/>
  <c r="U267" i="16"/>
  <c r="U1262" i="16"/>
  <c r="U1611" i="16"/>
  <c r="U1374" i="16"/>
  <c r="U2958" i="16"/>
  <c r="U1089" i="16"/>
  <c r="U2164" i="16"/>
  <c r="U2159" i="16"/>
  <c r="U453" i="16"/>
  <c r="U2170" i="16"/>
  <c r="U1452" i="16"/>
  <c r="U2205" i="16"/>
  <c r="U452" i="16"/>
  <c r="U2355" i="16"/>
  <c r="U2892" i="16"/>
  <c r="U2121" i="16"/>
  <c r="U3212" i="16"/>
  <c r="U183" i="16"/>
  <c r="U2020" i="16"/>
  <c r="U2081" i="16"/>
  <c r="U2982" i="16"/>
  <c r="U1230" i="16"/>
  <c r="U1870" i="16"/>
  <c r="U515" i="16"/>
  <c r="U2644" i="16"/>
  <c r="U1675" i="16"/>
  <c r="U1792" i="16"/>
  <c r="U139" i="16"/>
  <c r="U790" i="16"/>
  <c r="U3053" i="16"/>
  <c r="U761" i="16"/>
  <c r="U2107" i="16"/>
  <c r="U530" i="16"/>
  <c r="U77" i="16"/>
  <c r="U595" i="16"/>
  <c r="U135" i="16"/>
  <c r="U1414" i="16"/>
  <c r="U2311" i="16"/>
  <c r="U3199" i="16"/>
  <c r="U413" i="16"/>
  <c r="U3223" i="16"/>
  <c r="U2753" i="16"/>
  <c r="U1590" i="16"/>
  <c r="U2005" i="16"/>
  <c r="U2040" i="16"/>
  <c r="U128" i="16"/>
  <c r="U1620" i="16"/>
  <c r="U3057" i="16"/>
  <c r="U1949" i="16"/>
  <c r="U52" i="16"/>
  <c r="U2723" i="16"/>
  <c r="U2381" i="16"/>
  <c r="U2933" i="16"/>
  <c r="U1023" i="16"/>
  <c r="U2165" i="16"/>
  <c r="U1293" i="16"/>
  <c r="U3019" i="16"/>
  <c r="U3205" i="16"/>
  <c r="U1311" i="16"/>
  <c r="U1741" i="16"/>
  <c r="U721" i="16"/>
  <c r="U940" i="16"/>
  <c r="U1240" i="16"/>
  <c r="U1200" i="16"/>
  <c r="U567" i="16"/>
  <c r="U2353" i="16"/>
  <c r="U843" i="16"/>
  <c r="U2204" i="16"/>
  <c r="U2515" i="16"/>
  <c r="U1380" i="16"/>
  <c r="U3155" i="16"/>
  <c r="U291" i="16"/>
  <c r="U294" i="16"/>
  <c r="U3165" i="16"/>
  <c r="U2838" i="16"/>
  <c r="U2432" i="16"/>
  <c r="U370" i="16"/>
  <c r="U889" i="16"/>
  <c r="U1899" i="16"/>
  <c r="U594" i="16"/>
  <c r="U2396" i="16"/>
  <c r="U2546" i="16"/>
  <c r="U1002" i="16"/>
  <c r="U774" i="16"/>
  <c r="U12" i="16"/>
  <c r="U3290" i="16"/>
  <c r="U2731" i="16"/>
  <c r="U1512" i="16"/>
  <c r="U2172" i="16"/>
  <c r="U1191" i="16"/>
  <c r="U327" i="16"/>
  <c r="U1294" i="16"/>
  <c r="U588" i="16"/>
  <c r="U44" i="16"/>
  <c r="U1225" i="16"/>
  <c r="U1726" i="16"/>
  <c r="U194" i="16"/>
  <c r="U590" i="16"/>
  <c r="U584" i="16"/>
  <c r="U3006" i="16"/>
  <c r="U472" i="16"/>
  <c r="U685" i="16"/>
  <c r="U1757" i="16"/>
  <c r="U1562" i="16"/>
  <c r="U2560" i="16"/>
  <c r="U1828" i="16"/>
  <c r="U331" i="16"/>
  <c r="U830" i="16"/>
  <c r="U1276" i="16"/>
  <c r="U3135" i="16"/>
  <c r="U1872" i="16"/>
  <c r="U2248" i="16"/>
  <c r="U1880" i="16"/>
  <c r="U3162" i="16"/>
  <c r="U2285" i="16"/>
  <c r="U644" i="16"/>
  <c r="U860" i="16"/>
  <c r="U1079" i="16"/>
  <c r="U2306" i="16"/>
  <c r="U2112" i="16"/>
  <c r="U2259" i="16"/>
  <c r="U1530" i="16"/>
  <c r="U2394" i="16"/>
  <c r="U2413" i="16"/>
  <c r="U233" i="16"/>
  <c r="U1567" i="16"/>
  <c r="U3083" i="16"/>
  <c r="U639" i="16"/>
  <c r="U552" i="16"/>
  <c r="U295" i="16"/>
  <c r="U657" i="16"/>
  <c r="U3127" i="16"/>
  <c r="U2526" i="16"/>
  <c r="U307" i="16"/>
  <c r="U1298" i="16"/>
  <c r="U3020" i="16"/>
  <c r="U156" i="16"/>
  <c r="U2298" i="16"/>
  <c r="U2249" i="16"/>
  <c r="U2046" i="16"/>
  <c r="U1034" i="16"/>
  <c r="U1557" i="16"/>
  <c r="U1651" i="16"/>
  <c r="U2861" i="16"/>
  <c r="U628" i="16"/>
  <c r="U3114" i="16"/>
  <c r="U535" i="16"/>
  <c r="U900" i="16"/>
  <c r="U763" i="16"/>
  <c r="U2002" i="16"/>
  <c r="U101" i="16"/>
  <c r="U1164" i="16"/>
  <c r="U1964" i="16"/>
  <c r="U3200" i="16"/>
  <c r="U2605" i="16"/>
  <c r="U1529" i="16"/>
  <c r="U1201" i="16"/>
  <c r="U2695" i="16"/>
  <c r="U1797" i="16"/>
  <c r="U1844" i="16"/>
  <c r="U672" i="16"/>
  <c r="U805" i="16"/>
  <c r="U297" i="16"/>
  <c r="U386" i="16"/>
  <c r="U764" i="16"/>
  <c r="U1379" i="16"/>
  <c r="U2244" i="16"/>
  <c r="U1420" i="16"/>
  <c r="U1552" i="16"/>
  <c r="U544" i="16"/>
  <c r="U382" i="16"/>
  <c r="U278" i="16"/>
  <c r="U3227" i="16"/>
  <c r="U2036" i="16"/>
  <c r="U474" i="16"/>
  <c r="U747" i="16"/>
  <c r="U115" i="16"/>
  <c r="U1402" i="16"/>
  <c r="U1362" i="16"/>
  <c r="U892" i="16"/>
  <c r="U2037" i="16"/>
  <c r="U2351" i="16"/>
  <c r="U2554" i="16"/>
  <c r="U1549" i="16"/>
  <c r="U2358" i="16"/>
  <c r="U1450" i="16"/>
  <c r="U3119" i="16"/>
  <c r="U1231" i="16"/>
  <c r="U2043" i="16"/>
  <c r="U3077" i="16"/>
  <c r="U1728" i="16"/>
  <c r="U1159" i="16"/>
  <c r="U2978" i="16"/>
  <c r="U1887" i="16"/>
  <c r="U1193" i="16"/>
  <c r="U909" i="16"/>
  <c r="U518" i="16"/>
  <c r="U375" i="16"/>
  <c r="U1316" i="16"/>
  <c r="U2495" i="16"/>
  <c r="U389" i="16"/>
  <c r="U311" i="16"/>
  <c r="U1228" i="16"/>
  <c r="U1110" i="16"/>
  <c r="U1513" i="16"/>
  <c r="U3136" i="16"/>
  <c r="U2830" i="16"/>
  <c r="U269" i="16"/>
  <c r="U3154" i="16"/>
  <c r="U238" i="16"/>
  <c r="U399" i="16"/>
  <c r="U1361" i="16"/>
  <c r="U195" i="16"/>
  <c r="U483" i="16"/>
  <c r="U253" i="16"/>
  <c r="U797" i="16"/>
  <c r="U2783" i="16"/>
  <c r="U357" i="16"/>
  <c r="U376" i="16"/>
  <c r="U2070" i="16"/>
  <c r="U856" i="16"/>
  <c r="U2748" i="16"/>
  <c r="U1462" i="16"/>
  <c r="U1589" i="16"/>
  <c r="U2293" i="16"/>
  <c r="U2777" i="16"/>
  <c r="U3043" i="16"/>
  <c r="U2591" i="16"/>
  <c r="U936" i="16"/>
  <c r="U257" i="16"/>
  <c r="U1468" i="16"/>
  <c r="U2547" i="16"/>
  <c r="U3" i="16"/>
  <c r="U2851" i="16"/>
  <c r="U2872" i="16"/>
  <c r="U2393" i="16"/>
  <c r="U129" i="16"/>
  <c r="U31" i="16"/>
  <c r="U745" i="16"/>
  <c r="U553" i="16"/>
  <c r="U1986" i="16"/>
  <c r="U2092" i="16"/>
  <c r="U1945" i="16"/>
  <c r="U2501" i="16"/>
  <c r="U2132" i="16"/>
  <c r="U813" i="16"/>
  <c r="U3168" i="16"/>
  <c r="U1903" i="16"/>
  <c r="U1657" i="16"/>
  <c r="U1386" i="16"/>
  <c r="U1841" i="16"/>
  <c r="U2156" i="16"/>
  <c r="U2832" i="16"/>
  <c r="U2660" i="16"/>
  <c r="U53" i="16"/>
  <c r="U660" i="16"/>
  <c r="U1736" i="16"/>
  <c r="U3220" i="16"/>
  <c r="U2727" i="16"/>
  <c r="U1707" i="16"/>
  <c r="U2265" i="16"/>
  <c r="U2507" i="16"/>
  <c r="U1740" i="16"/>
  <c r="U2424" i="16"/>
  <c r="U2030" i="16"/>
  <c r="U514" i="16"/>
  <c r="U664" i="16"/>
  <c r="U611" i="16"/>
  <c r="U2459" i="16"/>
  <c r="U1624" i="16"/>
  <c r="U2941" i="16"/>
  <c r="U2365" i="16"/>
  <c r="U3024" i="16"/>
  <c r="U1244" i="16"/>
  <c r="U1875" i="16"/>
  <c r="U144" i="16"/>
  <c r="U1614" i="16"/>
  <c r="U1165" i="16"/>
  <c r="U1219" i="16"/>
  <c r="U651" i="16"/>
  <c r="U1748" i="16"/>
  <c r="U1756" i="16"/>
  <c r="U392" i="16"/>
  <c r="U1112" i="16"/>
  <c r="U1039" i="16"/>
  <c r="U46" i="16"/>
  <c r="U2333" i="16"/>
  <c r="U119" i="16"/>
  <c r="U88" i="16"/>
  <c r="U1378" i="16"/>
  <c r="U728" i="16"/>
  <c r="U561" i="16"/>
  <c r="U3120" i="16"/>
  <c r="U2809" i="16"/>
  <c r="U715" i="16"/>
  <c r="U488" i="16"/>
  <c r="U1375" i="16"/>
  <c r="U2682" i="16"/>
  <c r="U1630" i="16"/>
  <c r="U315" i="16"/>
  <c r="U2681" i="16"/>
  <c r="U2768" i="16"/>
  <c r="U1116" i="16"/>
  <c r="U3202" i="16"/>
  <c r="U1842" i="16"/>
  <c r="U2083" i="16"/>
  <c r="U1744" i="16"/>
  <c r="U2895" i="16"/>
  <c r="U2505" i="16"/>
  <c r="U1799" i="16"/>
  <c r="U1101" i="16"/>
  <c r="U2059" i="16"/>
  <c r="U702" i="16"/>
  <c r="U1337" i="16"/>
  <c r="U695" i="16"/>
  <c r="U3105" i="16"/>
  <c r="U2773" i="16"/>
  <c r="U1503" i="16"/>
  <c r="U2880" i="16"/>
  <c r="U270" i="16"/>
  <c r="U2317" i="16"/>
  <c r="U2457" i="16"/>
  <c r="U1599" i="16"/>
  <c r="U1687" i="16"/>
  <c r="U2010" i="16"/>
  <c r="U1257" i="16"/>
  <c r="U454" i="16"/>
  <c r="U477" i="16"/>
  <c r="U3303" i="16"/>
  <c r="U39" i="16"/>
  <c r="U1368" i="16"/>
  <c r="U2980" i="16"/>
  <c r="U1610" i="16"/>
  <c r="U2661" i="16"/>
  <c r="U2584" i="16"/>
  <c r="U911" i="16"/>
  <c r="U1879" i="16"/>
  <c r="U620" i="16"/>
  <c r="U2371" i="16"/>
  <c r="U1527" i="16"/>
  <c r="U1091" i="16"/>
  <c r="U198" i="16"/>
  <c r="U788" i="16"/>
  <c r="U2144" i="16"/>
  <c r="U2926" i="16"/>
  <c r="U196" i="16"/>
  <c r="U2128" i="16"/>
  <c r="U1081" i="16"/>
  <c r="U741" i="16"/>
  <c r="U290" i="16"/>
  <c r="U2118" i="16"/>
  <c r="U2921" i="16"/>
  <c r="U2444" i="16"/>
  <c r="U751" i="16"/>
  <c r="U2931" i="16"/>
  <c r="U1053" i="16"/>
  <c r="U456" i="16"/>
  <c r="U2953" i="16"/>
  <c r="U2023" i="16"/>
  <c r="U2292" i="16"/>
  <c r="U1738" i="16"/>
  <c r="U2387" i="16"/>
  <c r="U1685" i="16"/>
  <c r="U508" i="16"/>
  <c r="U1248" i="16"/>
  <c r="U1524" i="16"/>
  <c r="U1459" i="16"/>
  <c r="U2510" i="16"/>
  <c r="U2336" i="16"/>
  <c r="U1845" i="16"/>
  <c r="U361" i="16"/>
  <c r="U2917" i="16"/>
  <c r="U1927" i="16"/>
  <c r="U1768" i="16"/>
  <c r="U684" i="16"/>
  <c r="U2490" i="16"/>
  <c r="U3193" i="16"/>
  <c r="U1127" i="16"/>
  <c r="U2466" i="16"/>
  <c r="U1786" i="16"/>
  <c r="U487" i="16"/>
  <c r="U236" i="16"/>
  <c r="U848" i="16"/>
  <c r="U323" i="16"/>
  <c r="U870" i="16"/>
  <c r="U3106" i="16"/>
  <c r="U2281" i="16"/>
  <c r="U2865" i="16"/>
  <c r="U872" i="16"/>
  <c r="U2558" i="16"/>
  <c r="U536" i="16"/>
  <c r="U2696" i="16"/>
  <c r="U470" i="16"/>
  <c r="U300" i="16"/>
  <c r="U2324" i="16"/>
  <c r="U1352" i="16"/>
  <c r="U631" i="16"/>
  <c r="U1658" i="16"/>
  <c r="U734" i="16"/>
  <c r="U1417" i="16"/>
  <c r="U447" i="16"/>
  <c r="U60" i="16"/>
  <c r="U869" i="16"/>
  <c r="U2771" i="16"/>
  <c r="U3099" i="16"/>
  <c r="U2984" i="16"/>
  <c r="U1066" i="16"/>
  <c r="U3061" i="16"/>
  <c r="U884" i="16"/>
  <c r="U1340" i="16"/>
  <c r="U1280" i="16"/>
  <c r="U2067" i="16"/>
  <c r="U1661" i="16"/>
  <c r="U2499" i="16"/>
  <c r="U1533" i="16"/>
  <c r="U3273" i="16"/>
  <c r="U97" i="16"/>
  <c r="U2963" i="16"/>
  <c r="U1961" i="16"/>
  <c r="U1518" i="16"/>
  <c r="U372" i="16"/>
  <c r="U2543" i="16"/>
  <c r="U1426" i="16"/>
  <c r="U2050" i="16"/>
  <c r="U2718" i="16"/>
  <c r="U1971" i="16"/>
  <c r="U929" i="16"/>
  <c r="U3279" i="16"/>
  <c r="U1682" i="16"/>
  <c r="U1626" i="16"/>
  <c r="U1329" i="16"/>
  <c r="U3248" i="16"/>
  <c r="U2713" i="16"/>
  <c r="U2049" i="16"/>
  <c r="U1094" i="16"/>
  <c r="U2690" i="16"/>
  <c r="U496" i="16"/>
  <c r="U1806" i="16"/>
  <c r="U2890" i="16"/>
  <c r="U1856" i="16"/>
  <c r="U2422" i="16"/>
  <c r="U2995" i="16"/>
  <c r="U575" i="16"/>
  <c r="U2885" i="16"/>
  <c r="U322" i="16"/>
  <c r="U1604" i="16"/>
  <c r="U3058" i="16"/>
  <c r="U2484" i="16"/>
  <c r="U367" i="16"/>
  <c r="U3116" i="16"/>
  <c r="U3204" i="16"/>
  <c r="U682" i="16"/>
  <c r="U3159" i="16"/>
  <c r="U2524" i="16"/>
  <c r="U746" i="16"/>
  <c r="U976" i="16"/>
  <c r="U1106" i="16"/>
  <c r="U3063" i="16"/>
  <c r="U1622" i="16"/>
  <c r="U1866" i="16"/>
  <c r="U2100" i="16"/>
  <c r="U1473" i="16"/>
  <c r="U2417" i="16"/>
  <c r="U904" i="16"/>
  <c r="U2009" i="16"/>
  <c r="U94" i="16"/>
  <c r="U808" i="16"/>
  <c r="U394" i="16"/>
  <c r="U2629" i="16"/>
  <c r="U2137" i="16"/>
  <c r="U3288" i="16"/>
  <c r="U1534" i="16"/>
  <c r="U801" i="16"/>
  <c r="U1455" i="16"/>
  <c r="U2582" i="16"/>
  <c r="U1671" i="16"/>
  <c r="U924" i="16"/>
  <c r="U2149" i="16"/>
  <c r="U969" i="16"/>
  <c r="U2145" i="16"/>
  <c r="U1474" i="16"/>
  <c r="U3147" i="16"/>
  <c r="U1049" i="16"/>
  <c r="U2309" i="16"/>
  <c r="U2113" i="16"/>
  <c r="U2414" i="16"/>
  <c r="U507" i="16"/>
  <c r="U1576" i="16"/>
  <c r="U3236" i="16"/>
  <c r="U2449" i="16"/>
  <c r="U2863" i="16"/>
  <c r="U360" i="16"/>
  <c r="U346" i="16"/>
  <c r="U3023" i="16"/>
  <c r="U2590" i="16"/>
  <c r="U226" i="16"/>
  <c r="U737" i="16"/>
  <c r="U994" i="16"/>
  <c r="U2075" i="16"/>
  <c r="U781" i="16"/>
  <c r="U2544" i="16"/>
  <c r="U2574" i="16"/>
  <c r="U2470" i="16"/>
  <c r="U2369" i="16"/>
  <c r="U2190" i="16"/>
  <c r="U3027" i="16"/>
  <c r="U158" i="16"/>
  <c r="U1158" i="16"/>
  <c r="U2611" i="16"/>
  <c r="U546" i="16"/>
  <c r="U2782" i="16"/>
  <c r="U2902" i="16"/>
  <c r="U34" i="16"/>
  <c r="U107" i="16"/>
  <c r="U948" i="16"/>
  <c r="U3131" i="16"/>
  <c r="U1509" i="16"/>
  <c r="U3271" i="16"/>
  <c r="U1889" i="16"/>
  <c r="U283" i="16"/>
  <c r="U1317" i="16"/>
  <c r="U2757" i="16"/>
  <c r="U351" i="16"/>
  <c r="U3081" i="16"/>
  <c r="U1775" i="16"/>
  <c r="U643" i="16"/>
  <c r="U1413" i="16"/>
  <c r="U959" i="16"/>
  <c r="U1005" i="16"/>
  <c r="U749" i="16"/>
  <c r="U555" i="16"/>
  <c r="U918" i="16"/>
  <c r="U1194" i="16"/>
  <c r="U1800" i="16"/>
  <c r="U2967" i="16"/>
  <c r="U2341" i="16"/>
  <c r="U506" i="16"/>
  <c r="U1886" i="16"/>
  <c r="U866" i="16"/>
  <c r="U1330" i="16"/>
  <c r="U2662" i="16"/>
  <c r="U960" i="16"/>
  <c r="U614" i="16"/>
  <c r="U2492" i="16"/>
  <c r="U3066" i="16"/>
  <c r="U175" i="16"/>
  <c r="U1966" i="16"/>
  <c r="U2754" i="16"/>
  <c r="U2186" i="16"/>
  <c r="U964" i="16"/>
  <c r="U2985" i="16"/>
  <c r="U1507" i="16"/>
  <c r="U2291" i="16"/>
  <c r="U2833" i="16"/>
  <c r="U2047" i="16"/>
  <c r="U888" i="16"/>
  <c r="U2013" i="16"/>
  <c r="U2368" i="16"/>
  <c r="U2736" i="16"/>
  <c r="U1634" i="16"/>
  <c r="U54" i="16"/>
  <c r="U3142" i="16"/>
  <c r="U131" i="16"/>
  <c r="U1145" i="16"/>
  <c r="U76" i="16"/>
  <c r="U3017" i="16"/>
  <c r="U677" i="16"/>
  <c r="U2154" i="16"/>
  <c r="U2606" i="16"/>
  <c r="U1767" i="16"/>
  <c r="U2707" i="16"/>
  <c r="U679" i="16"/>
  <c r="U1461" i="16"/>
  <c r="U284" i="16"/>
  <c r="U1852" i="16"/>
  <c r="U3030" i="16"/>
  <c r="U943" i="16"/>
  <c r="U2372" i="16"/>
  <c r="U1183" i="16"/>
  <c r="U1700" i="16"/>
  <c r="U3190" i="16"/>
  <c r="U807" i="16"/>
  <c r="U2169" i="16"/>
  <c r="U2683" i="16"/>
  <c r="U1226" i="16"/>
  <c r="U570" i="16"/>
  <c r="U1560" i="16"/>
  <c r="U339" i="16"/>
  <c r="U2571" i="16"/>
  <c r="U2594" i="16"/>
  <c r="U2996" i="16"/>
  <c r="U1485" i="16"/>
  <c r="U216" i="16"/>
  <c r="U517" i="16"/>
  <c r="U1216" i="16"/>
  <c r="U3036" i="16"/>
  <c r="U1654" i="16"/>
  <c r="U635" i="16"/>
  <c r="U2747" i="16"/>
  <c r="U617" i="16"/>
  <c r="U1356" i="16"/>
  <c r="U1969" i="16"/>
  <c r="U1412" i="16"/>
  <c r="U511" i="16"/>
  <c r="U2488" i="16"/>
  <c r="U1095" i="16"/>
  <c r="U2817" i="16"/>
  <c r="U1878" i="16"/>
  <c r="U1731" i="16"/>
  <c r="U56" i="16"/>
  <c r="U1162" i="16"/>
  <c r="U2474" i="16"/>
  <c r="U1946" i="16"/>
  <c r="U2508" i="16"/>
  <c r="U1920" i="16"/>
  <c r="U288" i="16"/>
  <c r="U1706" i="16"/>
  <c r="U274" i="16"/>
  <c r="U3185" i="16"/>
  <c r="U2521" i="16"/>
  <c r="U356" i="16"/>
  <c r="U2389" i="16"/>
  <c r="U2859" i="16"/>
  <c r="U152" i="16"/>
  <c r="U1323" i="16"/>
  <c r="U1180" i="16"/>
  <c r="U1791" i="16"/>
  <c r="U355" i="16"/>
  <c r="U430" i="16"/>
  <c r="U1850" i="16"/>
  <c r="U2653" i="16"/>
  <c r="U890" i="16"/>
  <c r="U673" i="16"/>
  <c r="U1353" i="16"/>
  <c r="U1038" i="16"/>
  <c r="U2910" i="16"/>
  <c r="U1051" i="16"/>
  <c r="U914" i="16"/>
  <c r="U1025" i="16"/>
  <c r="U2693" i="16"/>
  <c r="U1111" i="16"/>
  <c r="U2724" i="16"/>
  <c r="U2891" i="16"/>
  <c r="U1029" i="16"/>
  <c r="U3088" i="16"/>
  <c r="U1618" i="16"/>
  <c r="U102" i="16"/>
  <c r="U772" i="16"/>
  <c r="U2478" i="16"/>
  <c r="U2572" i="16"/>
  <c r="U476" i="16"/>
  <c r="U765" i="16"/>
  <c r="U369" i="16"/>
  <c r="U1300" i="16"/>
  <c r="U2386" i="16"/>
  <c r="U1440" i="16"/>
  <c r="U235" i="16"/>
  <c r="U784" i="16"/>
  <c r="U2567" i="16"/>
  <c r="U2583" i="16"/>
  <c r="U2173" i="16"/>
  <c r="U1060" i="16"/>
  <c r="U2174" i="16"/>
  <c r="U1123" i="16"/>
  <c r="U2540" i="16"/>
  <c r="U461" i="16"/>
  <c r="U795" i="16"/>
  <c r="U2610" i="16"/>
  <c r="U986" i="16"/>
  <c r="U1415" i="16"/>
  <c r="U132" i="16"/>
  <c r="U1632" i="16"/>
  <c r="U2704" i="16"/>
  <c r="U674" i="16"/>
  <c r="U2153" i="16"/>
  <c r="U98" i="16"/>
  <c r="U1395" i="16"/>
  <c r="U2176" i="16"/>
  <c r="U2700" i="16"/>
  <c r="U1951" i="16"/>
  <c r="U855" i="16"/>
  <c r="U1373" i="16"/>
  <c r="U325" i="16"/>
  <c r="U1118" i="16"/>
  <c r="U1621" i="16"/>
  <c r="U2239" i="16"/>
  <c r="U3093" i="16"/>
  <c r="U2742" i="16"/>
  <c r="U2133" i="16"/>
  <c r="U2473" i="16"/>
  <c r="U3004" i="16"/>
  <c r="U2360" i="16"/>
  <c r="U2469" i="16"/>
  <c r="U165" i="16"/>
  <c r="U3293" i="16"/>
  <c r="U460" i="16"/>
  <c r="U250" i="16"/>
  <c r="U1449" i="16"/>
  <c r="U75" i="16"/>
  <c r="U2701" i="16"/>
  <c r="U334" i="16"/>
  <c r="U3274" i="16"/>
  <c r="U1898" i="16"/>
  <c r="U831" i="16"/>
  <c r="U2233" i="16"/>
  <c r="U475" i="16"/>
  <c r="U816" i="16"/>
  <c r="U1955" i="16"/>
  <c r="U342" i="16"/>
  <c r="U522" i="16"/>
  <c r="U2356" i="16"/>
  <c r="U1664" i="16"/>
  <c r="U2778" i="16"/>
  <c r="U1422" i="16"/>
  <c r="U3208" i="16"/>
  <c r="U2465" i="16"/>
  <c r="U1713" i="16"/>
  <c r="U974" i="16"/>
  <c r="U839" i="16"/>
  <c r="U1743" i="16"/>
  <c r="U68" i="16"/>
  <c r="U2845" i="16"/>
  <c r="U2364" i="16"/>
  <c r="U2064" i="16"/>
  <c r="U1836" i="16"/>
  <c r="U2502" i="16"/>
  <c r="U482" i="16"/>
  <c r="U606" i="16"/>
  <c r="U1666" i="16"/>
  <c r="U1284" i="16"/>
  <c r="U2255" i="16"/>
  <c r="U2450" i="16"/>
  <c r="U2227" i="16"/>
  <c r="U3180" i="16"/>
  <c r="U2397" i="16"/>
  <c r="U1001" i="16"/>
  <c r="U2961" i="16"/>
  <c r="U501" i="16"/>
  <c r="U2370" i="16"/>
  <c r="U3007" i="16"/>
  <c r="U1542" i="16"/>
  <c r="U1198" i="16"/>
  <c r="U1453" i="16"/>
  <c r="U1372" i="16"/>
  <c r="U3026" i="16"/>
  <c r="U1436" i="16"/>
  <c r="U2102" i="16"/>
  <c r="U2076" i="16"/>
  <c r="U2825" i="16"/>
  <c r="U1494" i="16"/>
  <c r="U1266" i="16"/>
  <c r="U2725" i="16"/>
  <c r="U2319" i="16"/>
  <c r="U1805" i="16"/>
  <c r="U817" i="16"/>
  <c r="U1252" i="16"/>
  <c r="U1829" i="16"/>
  <c r="U742" i="16"/>
  <c r="U1495" i="16"/>
  <c r="U915" i="16"/>
  <c r="U1953" i="16"/>
  <c r="U1697" i="16"/>
  <c r="U381" i="16"/>
  <c r="U3304" i="16"/>
  <c r="U1392" i="16"/>
  <c r="U2097" i="16"/>
  <c r="U2235" i="16"/>
  <c r="U1249" i="16"/>
  <c r="U1416" i="16"/>
  <c r="U2883" i="16"/>
  <c r="U2974" i="16"/>
  <c r="U605" i="16"/>
  <c r="U3092" i="16"/>
  <c r="U2720" i="16"/>
  <c r="U1959" i="16"/>
  <c r="U1510" i="16"/>
  <c r="U498" i="16"/>
  <c r="U1215" i="16"/>
  <c r="U748" i="16"/>
  <c r="U582" i="16"/>
  <c r="U1405" i="16"/>
  <c r="U524" i="16"/>
  <c r="U981" i="16"/>
  <c r="U2214" i="16"/>
  <c r="U1150" i="16"/>
  <c r="U2618" i="16"/>
  <c r="U2919" i="16"/>
  <c r="U2257" i="16"/>
  <c r="U2549" i="16"/>
  <c r="U3056" i="16"/>
  <c r="U1939" i="16"/>
  <c r="U1288" i="16"/>
  <c r="U277" i="16"/>
  <c r="U2936" i="16"/>
  <c r="U1810" i="16"/>
  <c r="U251" i="16"/>
  <c r="U700" i="16"/>
  <c r="U2250" i="16"/>
  <c r="U2867" i="16"/>
  <c r="U2031" i="16"/>
  <c r="U1656" i="16"/>
  <c r="U678" i="16"/>
  <c r="U2688" i="16"/>
  <c r="U2155" i="16"/>
  <c r="U935" i="16"/>
  <c r="U1531" i="16"/>
  <c r="U694" i="16"/>
  <c r="U1370" i="16"/>
  <c r="U581" i="16"/>
  <c r="U988" i="16"/>
  <c r="U1407" i="16"/>
  <c r="U2060" i="16"/>
  <c r="U2918" i="16"/>
  <c r="U2843" i="16"/>
  <c r="U3158" i="16"/>
  <c r="U2398" i="16"/>
  <c r="U1926" i="16"/>
  <c r="U1070" i="16"/>
  <c r="U730" i="16"/>
  <c r="U2379" i="16"/>
  <c r="U758" i="16"/>
  <c r="U1581" i="16"/>
  <c r="U2307" i="16"/>
  <c r="U3251" i="16"/>
  <c r="U503" i="16"/>
  <c r="U3256" i="16"/>
  <c r="U1058" i="16"/>
  <c r="U2599" i="16"/>
  <c r="U1122" i="16"/>
  <c r="U3128" i="16"/>
  <c r="U2972" i="16"/>
  <c r="U1849" i="16"/>
  <c r="U397" i="16"/>
  <c r="U2952" i="16"/>
  <c r="U1819" i="16"/>
  <c r="U2366" i="16"/>
  <c r="U3161" i="16"/>
  <c r="U2930" i="16"/>
  <c r="U1719" i="16"/>
  <c r="U2792" i="16"/>
  <c r="U1190" i="16"/>
  <c r="U1770" i="16"/>
  <c r="U2816" i="16"/>
  <c r="U345" i="16"/>
  <c r="U1547" i="16"/>
  <c r="U148" i="16"/>
  <c r="U1608" i="16"/>
  <c r="U2228" i="16"/>
  <c r="U398" i="16"/>
  <c r="U271" i="16"/>
  <c r="U1169" i="16"/>
  <c r="U815" i="16"/>
  <c r="U2258" i="16"/>
  <c r="U2000" i="16"/>
  <c r="U2463" i="16"/>
  <c r="U3218" i="16"/>
  <c r="U2403" i="16"/>
  <c r="U568" i="16"/>
  <c r="U1922" i="16"/>
  <c r="U2946" i="16"/>
  <c r="U1475" i="16"/>
  <c r="U73" i="16"/>
  <c r="U882" i="16"/>
  <c r="U2717" i="16"/>
  <c r="U231" i="16"/>
  <c r="U908" i="16"/>
  <c r="U1345" i="16"/>
  <c r="U593" i="16"/>
  <c r="U1261" i="16"/>
  <c r="U2409" i="16"/>
  <c r="U726" i="16"/>
  <c r="U564" i="16"/>
  <c r="U1398" i="16"/>
  <c r="U2532" i="16"/>
  <c r="U2712" i="16"/>
  <c r="U1291" i="16"/>
  <c r="U804" i="16"/>
  <c r="U2187" i="16"/>
  <c r="U1877" i="16"/>
  <c r="U2350" i="16"/>
  <c r="U2094" i="16"/>
  <c r="U2451" i="16"/>
  <c r="U155" i="16"/>
  <c r="U1924" i="16"/>
  <c r="U2965" i="16"/>
  <c r="U3169" i="16"/>
  <c r="U857" i="16"/>
  <c r="U422" i="16"/>
  <c r="U2765" i="16"/>
  <c r="U980" i="16"/>
  <c r="U1253" i="16"/>
  <c r="U2119" i="16"/>
  <c r="U2775" i="16"/>
  <c r="U3102" i="16"/>
  <c r="U3085" i="16"/>
  <c r="U632" i="16"/>
  <c r="U2562" i="16"/>
  <c r="U738" i="16"/>
  <c r="U2551" i="16"/>
  <c r="U1336" i="16"/>
  <c r="U1901" i="16"/>
  <c r="U502" i="16"/>
  <c r="U2038" i="16"/>
  <c r="U2939" i="16"/>
  <c r="U706" i="16"/>
  <c r="U3181" i="16"/>
  <c r="U82" i="16"/>
  <c r="U2196" i="16"/>
  <c r="U2436" i="16"/>
  <c r="U1983" i="16"/>
  <c r="U151" i="16"/>
  <c r="U566" i="16"/>
  <c r="U961" i="16"/>
  <c r="U3221" i="16"/>
  <c r="U2812" i="16"/>
  <c r="U532" i="16"/>
  <c r="U1528" i="16"/>
  <c r="U1669" i="16"/>
  <c r="U1812" i="16"/>
  <c r="U1668" i="16"/>
  <c r="U252" i="16"/>
  <c r="U1117" i="16"/>
  <c r="U3048" i="16"/>
  <c r="U1138" i="16"/>
  <c r="U1832" i="16"/>
  <c r="U2438" i="16"/>
  <c r="U255" i="16"/>
  <c r="U1954" i="16"/>
  <c r="U3032" i="16"/>
  <c r="U602" i="16"/>
  <c r="U2055" i="16"/>
  <c r="U2962" i="16"/>
  <c r="U847" i="16"/>
  <c r="U2878" i="16"/>
  <c r="U1795" i="16"/>
  <c r="U956" i="16"/>
  <c r="U2529" i="16"/>
  <c r="U3170" i="16"/>
  <c r="U2022" i="16"/>
  <c r="U1483" i="16"/>
  <c r="U2923" i="16"/>
  <c r="U652" i="16"/>
  <c r="U2183" i="16"/>
  <c r="U3104" i="16"/>
  <c r="U1583" i="16"/>
  <c r="U898" i="16"/>
  <c r="U923" i="16"/>
  <c r="U229" i="16"/>
  <c r="U225" i="16"/>
  <c r="U3246" i="16"/>
  <c r="U965" i="16"/>
  <c r="U2006" i="16"/>
  <c r="U1525" i="16"/>
  <c r="U1221" i="16"/>
  <c r="U2601" i="16"/>
  <c r="U2018" i="16"/>
  <c r="U2343" i="16"/>
  <c r="U1297" i="16"/>
  <c r="U2951" i="16"/>
  <c r="U1377" i="16"/>
  <c r="U1498" i="16"/>
  <c r="U3138" i="16"/>
  <c r="U1318" i="16"/>
  <c r="U1192" i="16"/>
  <c r="U1867" i="16"/>
  <c r="U2905" i="16"/>
  <c r="U2840" i="16"/>
  <c r="U2766" i="16"/>
  <c r="U2722" i="16"/>
  <c r="U2593" i="16"/>
  <c r="U586" i="16"/>
  <c r="U2148" i="16"/>
  <c r="U3132" i="16"/>
  <c r="U1465" i="16"/>
  <c r="U359" i="16"/>
  <c r="U2252" i="16"/>
  <c r="U2452" i="16"/>
  <c r="U982" i="16"/>
  <c r="U1892" i="16"/>
  <c r="U2573" i="16"/>
  <c r="U2073" i="16"/>
  <c r="U2325" i="16"/>
  <c r="U3244" i="16"/>
  <c r="U725" i="16"/>
  <c r="U1678" i="16"/>
  <c r="U2608" i="16"/>
  <c r="U671" i="16"/>
  <c r="U2592" i="16"/>
  <c r="U1526" i="16"/>
  <c r="U1427" i="16"/>
  <c r="U696" i="16"/>
  <c r="U2628" i="16"/>
  <c r="U1994" i="16"/>
  <c r="U1179" i="16"/>
  <c r="U1895" i="16"/>
  <c r="U1172" i="16"/>
  <c r="U2791" i="16"/>
  <c r="U1988" i="16"/>
  <c r="U1383" i="16"/>
  <c r="U985" i="16"/>
  <c r="U733" i="16"/>
  <c r="U2435" i="16"/>
  <c r="U2598" i="16"/>
  <c r="U1991" i="16"/>
  <c r="U2095" i="16"/>
  <c r="U1667" i="16"/>
  <c r="U2109" i="16"/>
  <c r="U619" i="16"/>
  <c r="U17" i="16"/>
  <c r="U2834" i="16"/>
  <c r="U237" i="16"/>
  <c r="U2361" i="16"/>
  <c r="U949" i="16"/>
  <c r="U1773" i="16"/>
  <c r="U1824" i="16"/>
  <c r="U1833" i="16"/>
  <c r="U296" i="16"/>
  <c r="U2500" i="16"/>
  <c r="U662" i="16"/>
  <c r="U314" i="16"/>
  <c r="U714" i="16"/>
  <c r="U2101" i="16"/>
  <c r="U1142" i="16"/>
  <c r="U1108" i="16"/>
  <c r="U712" i="16"/>
  <c r="U1151" i="16"/>
  <c r="U2986" i="16"/>
  <c r="U1306" i="16"/>
  <c r="U1124" i="16"/>
  <c r="U597" i="16"/>
  <c r="U127" i="16"/>
  <c r="U432" i="16"/>
  <c r="U2320" i="16"/>
  <c r="U1735" i="16"/>
  <c r="U3143" i="16"/>
  <c r="U3068" i="16"/>
  <c r="U1202" i="16"/>
  <c r="U3297" i="16"/>
  <c r="U396" i="16"/>
  <c r="U313" i="16"/>
  <c r="U2496" i="16"/>
  <c r="U2887" i="16"/>
  <c r="U1714" i="16"/>
  <c r="U1097" i="16"/>
  <c r="U37" i="16"/>
  <c r="U2730" i="16"/>
  <c r="U1834" i="16"/>
  <c r="U3071" i="16"/>
  <c r="U336" i="16"/>
  <c r="U1065" i="16"/>
  <c r="U492" i="16"/>
  <c r="U616" i="16"/>
  <c r="U3018" i="16"/>
  <c r="U150" i="16"/>
  <c r="U2241" i="16"/>
  <c r="U623" i="16"/>
  <c r="U850" i="16"/>
  <c r="U1384" i="16"/>
  <c r="U1705" i="16"/>
  <c r="U854" i="16"/>
  <c r="U3113" i="16"/>
  <c r="U2640" i="16"/>
  <c r="U3194" i="16"/>
  <c r="U572" i="16"/>
  <c r="U3272" i="16"/>
  <c r="U2223" i="16"/>
  <c r="U2229" i="16"/>
  <c r="U1650" i="16"/>
  <c r="U328" i="16"/>
  <c r="U2698" i="16"/>
  <c r="U3197" i="16"/>
  <c r="U2665" i="16"/>
  <c r="U3262" i="16"/>
  <c r="U3300" i="16"/>
  <c r="U2331" i="16"/>
  <c r="U95" i="16"/>
  <c r="U1224" i="16"/>
  <c r="U957" i="16"/>
  <c r="U1979" i="16"/>
  <c r="U3229" i="16"/>
  <c r="U722" i="16"/>
  <c r="U2207" i="16"/>
  <c r="U2434" i="16"/>
  <c r="U1114" i="16"/>
  <c r="U2084" i="16"/>
  <c r="U2719" i="16"/>
  <c r="U2462" i="16"/>
  <c r="U3080" i="16"/>
  <c r="U3177" i="16"/>
  <c r="U3277" i="16"/>
  <c r="U760" i="16"/>
  <c r="U1930" i="16"/>
  <c r="U1448" i="16"/>
  <c r="U609" i="16"/>
  <c r="U3049" i="16"/>
  <c r="U197" i="16"/>
  <c r="U1160" i="16"/>
  <c r="U3242" i="16"/>
  <c r="U2789" i="16"/>
  <c r="U1022" i="16"/>
  <c r="U2541" i="16"/>
  <c r="U1499" i="16"/>
  <c r="U1299" i="16"/>
  <c r="U2437" i="16"/>
  <c r="U834" i="16"/>
  <c r="U247" i="16"/>
  <c r="U414" i="16"/>
  <c r="U59" i="16"/>
  <c r="U1860" i="16"/>
  <c r="U840" i="16"/>
  <c r="U2802" i="16"/>
  <c r="U443" i="16"/>
  <c r="U1732" i="16"/>
  <c r="U55" i="16"/>
  <c r="U3254" i="16"/>
  <c r="U1470" i="16"/>
  <c r="U2489" i="16"/>
  <c r="U585" i="16"/>
  <c r="U1629" i="16"/>
  <c r="U497" i="16"/>
  <c r="U731" i="16"/>
  <c r="U1446" i="16"/>
  <c r="U282" i="16"/>
  <c r="U2247" i="16"/>
  <c r="U596" i="16"/>
  <c r="U1826" i="16"/>
  <c r="U1976" i="16"/>
  <c r="U1154" i="16"/>
  <c r="U2408" i="16"/>
  <c r="U405" i="16"/>
  <c r="U1469" i="16"/>
  <c r="U1177" i="16"/>
  <c r="U2273" i="16"/>
  <c r="U1843" i="16"/>
  <c r="U465" i="16"/>
  <c r="U3010" i="16"/>
  <c r="U953" i="16"/>
  <c r="U1838" i="16"/>
  <c r="U138" i="16"/>
  <c r="U1234" i="16"/>
  <c r="U1722" i="16"/>
  <c r="U2565" i="16"/>
  <c r="U1809" i="16"/>
  <c r="U431" i="16"/>
  <c r="U1864" i="16"/>
  <c r="U324" i="16"/>
  <c r="U1126" i="16"/>
  <c r="U142" i="16"/>
  <c r="U260" i="16"/>
  <c r="U579" i="16"/>
  <c r="U337" i="16"/>
  <c r="U1936" i="16"/>
  <c r="U1007" i="16"/>
  <c r="U591" i="16"/>
  <c r="U2805" i="16"/>
  <c r="U2072" i="16"/>
  <c r="U1343" i="16"/>
  <c r="U2108" i="16"/>
  <c r="U3241" i="16"/>
  <c r="U2530" i="16"/>
  <c r="U2114" i="16"/>
  <c r="U1471" i="16"/>
  <c r="U2634" i="16"/>
  <c r="U1067" i="16"/>
  <c r="U1314" i="16"/>
  <c r="U419" i="16"/>
  <c r="U859" i="16"/>
  <c r="U865" i="16"/>
  <c r="U1554" i="16"/>
  <c r="U2032" i="16"/>
  <c r="U2631" i="16"/>
  <c r="U691" i="16"/>
  <c r="U2181" i="16"/>
  <c r="U2726" i="16"/>
  <c r="U2263" i="16"/>
  <c r="U919" i="16"/>
  <c r="U1131" i="16"/>
  <c r="U768" i="16"/>
  <c r="U2089" i="16"/>
  <c r="U624" i="16"/>
  <c r="U1793" i="16"/>
  <c r="U3065" i="16"/>
  <c r="U978" i="16"/>
  <c r="U145" i="16"/>
  <c r="U1584" i="16"/>
  <c r="U3110" i="16"/>
  <c r="U2734" i="16"/>
  <c r="U3176" i="16"/>
  <c r="U2226" i="16"/>
  <c r="U2453" i="16"/>
  <c r="U2898" i="16"/>
  <c r="U3283" i="16"/>
  <c r="U87" i="16"/>
  <c r="U1673" i="16"/>
  <c r="U8" i="16"/>
  <c r="U3035" i="16"/>
  <c r="U3191" i="16"/>
  <c r="U2199" i="16"/>
  <c r="U1334" i="16"/>
  <c r="U891" i="16"/>
  <c r="U2787" i="16"/>
  <c r="U1335" i="16"/>
  <c r="U244" i="16"/>
  <c r="U944" i="16"/>
  <c r="U648" i="16"/>
  <c r="U1693" i="16"/>
  <c r="U1312" i="16"/>
  <c r="U2915" i="16"/>
  <c r="U933" i="16"/>
  <c r="U371" i="16"/>
  <c r="U2421" i="16"/>
  <c r="U1587" i="16"/>
  <c r="U2862" i="16"/>
  <c r="U2266" i="16"/>
  <c r="U146" i="16"/>
  <c r="U2897" i="16"/>
  <c r="U310" i="16"/>
  <c r="U926" i="16"/>
  <c r="U159" i="16"/>
  <c r="U3153" i="16"/>
  <c r="U1540" i="16"/>
  <c r="U1847" i="16"/>
  <c r="U1161" i="16"/>
  <c r="U1210" i="16"/>
  <c r="U690" i="16"/>
  <c r="U2702" i="16"/>
  <c r="U2295" i="16"/>
  <c r="U864" i="16"/>
  <c r="U191" i="16"/>
  <c r="U347" i="16"/>
  <c r="U1003" i="16"/>
  <c r="U3124" i="16"/>
  <c r="U436" i="16"/>
  <c r="U2829" i="16"/>
  <c r="U814" i="16"/>
  <c r="U2016" i="16"/>
  <c r="U1981" i="16"/>
  <c r="U996" i="16"/>
  <c r="U2001" i="16"/>
  <c r="U2900" i="16"/>
  <c r="U1133" i="16"/>
  <c r="U2329" i="16"/>
  <c r="U1984" i="16"/>
  <c r="U2509" i="16"/>
  <c r="U2999" i="16"/>
  <c r="U3069" i="16"/>
  <c r="U1893" i="16"/>
  <c r="U543" i="16"/>
  <c r="U1963" i="16"/>
  <c r="U349" i="16"/>
  <c r="U670" i="16"/>
  <c r="U837" i="16"/>
  <c r="U126" i="16"/>
  <c r="U3118" i="16"/>
  <c r="U486" i="16"/>
  <c r="U512" i="16"/>
  <c r="U364" i="16"/>
  <c r="U1688" i="16"/>
  <c r="U1569" i="16"/>
  <c r="U1400" i="16"/>
  <c r="U2877" i="16"/>
  <c r="U2027" i="16"/>
  <c r="U410" i="16"/>
  <c r="U2563" i="16"/>
  <c r="U1289" i="16"/>
  <c r="U2034" i="16"/>
  <c r="U3029" i="16"/>
  <c r="U1739" i="16"/>
  <c r="U1505" i="16"/>
  <c r="U2823" i="16"/>
  <c r="U2828" i="16"/>
  <c r="U1032" i="16"/>
  <c r="U637" i="16"/>
  <c r="U249" i="16"/>
  <c r="U1408" i="16"/>
  <c r="U2857" i="16"/>
  <c r="U2866" i="16"/>
  <c r="U630" i="16"/>
  <c r="U693" i="16"/>
  <c r="U2948" i="16"/>
  <c r="U2550" i="16"/>
  <c r="U2657" i="16"/>
  <c r="U905" i="16"/>
  <c r="U598" i="16"/>
  <c r="U1745" i="16"/>
  <c r="U113" i="16"/>
  <c r="U2158" i="16"/>
  <c r="U883" i="16"/>
  <c r="U2065" i="16"/>
  <c r="U2979" i="16"/>
  <c r="U554" i="16"/>
  <c r="U1490" i="16"/>
  <c r="U320" i="16"/>
  <c r="U2251" i="16"/>
  <c r="U750" i="16"/>
  <c r="U2327" i="16"/>
  <c r="U2964" i="16"/>
  <c r="U133" i="16"/>
  <c r="U1338" i="16"/>
  <c r="U318" i="16"/>
  <c r="U1020" i="16"/>
  <c r="U1789" i="16"/>
  <c r="U3103" i="16"/>
  <c r="U2654" i="16"/>
  <c r="U1233" i="16"/>
  <c r="U1677" i="16"/>
  <c r="U3249" i="16"/>
  <c r="U1279" i="16"/>
  <c r="U3082" i="16"/>
  <c r="U387" i="16"/>
  <c r="U420" i="16"/>
  <c r="U1304" i="16"/>
  <c r="U2860" i="16"/>
  <c r="U3299" i="16"/>
  <c r="U1115" i="16"/>
  <c r="U622" i="16"/>
  <c r="U1103" i="16"/>
  <c r="U114" i="16"/>
  <c r="U380" i="16"/>
  <c r="U1537" i="16"/>
  <c r="U526" i="16"/>
  <c r="U1026" i="16"/>
  <c r="U3054" i="16"/>
  <c r="U2612" i="16"/>
  <c r="U2714" i="16"/>
  <c r="U531" i="16"/>
  <c r="U2464" i="16"/>
  <c r="U1148" i="16"/>
  <c r="U1854" i="16"/>
  <c r="U473" i="16"/>
  <c r="U1011" i="16"/>
  <c r="U332" i="16"/>
  <c r="U265" i="16"/>
  <c r="U744" i="16"/>
  <c r="U2160" i="16"/>
  <c r="U2439" i="16"/>
  <c r="U2676" i="16"/>
  <c r="U118" i="16"/>
  <c r="U1432" i="16"/>
  <c r="U1647" i="16"/>
  <c r="U845" i="16"/>
  <c r="U186" i="16"/>
  <c r="U2402" i="16"/>
  <c r="U1958" i="16"/>
  <c r="U123" i="16"/>
  <c r="U3076" i="16"/>
  <c r="U537" i="16"/>
  <c r="U1862" i="16"/>
  <c r="U1928" i="16"/>
  <c r="U3079" i="16"/>
  <c r="U1487" i="16"/>
  <c r="U2803" i="16"/>
  <c r="U1424" i="16"/>
  <c r="U1974" i="16"/>
  <c r="U178" i="16"/>
  <c r="U1484" i="16"/>
  <c r="U2206" i="16"/>
  <c r="U2818" i="16"/>
  <c r="U2115" i="16"/>
  <c r="U3171" i="16"/>
  <c r="U1307" i="16"/>
  <c r="U711" i="16"/>
  <c r="U2305" i="16"/>
  <c r="U2446" i="16"/>
  <c r="U1441" i="16"/>
  <c r="U1755" i="16"/>
  <c r="U3094" i="16"/>
  <c r="U2793" i="16"/>
  <c r="U827" i="16"/>
  <c r="U825" i="16"/>
  <c r="U1808" i="16"/>
  <c r="U680" i="16"/>
  <c r="U2482" i="16"/>
  <c r="U3091" i="16"/>
  <c r="U350" i="16"/>
  <c r="U1993" i="16"/>
  <c r="U2131" i="16"/>
  <c r="U93" i="16"/>
  <c r="U440" i="16"/>
  <c r="U2637" i="16"/>
  <c r="U206" i="16"/>
  <c r="U1724" i="16"/>
  <c r="U3050" i="16"/>
  <c r="U2822" i="16"/>
  <c r="U2586" i="16"/>
  <c r="U2932" i="16"/>
  <c r="U2330" i="16"/>
  <c r="U2954" i="16"/>
  <c r="U3015" i="16"/>
  <c r="U1723" i="16"/>
  <c r="U3198" i="16"/>
  <c r="U1285" i="16"/>
  <c r="U258" i="16"/>
  <c r="U1482" i="16"/>
  <c r="U2808" i="16"/>
  <c r="U583" i="16"/>
  <c r="U2556" i="16"/>
  <c r="U463" i="16"/>
  <c r="U3247" i="16"/>
  <c r="U2764" i="16"/>
  <c r="U1206" i="16"/>
  <c r="U2178" i="16"/>
  <c r="U2621" i="16"/>
  <c r="U3087" i="16"/>
  <c r="U2287" i="16"/>
  <c r="U2694" i="16"/>
  <c r="U874" i="16"/>
  <c r="U3060" i="16"/>
  <c r="U756" i="16"/>
  <c r="U2959" i="16"/>
  <c r="U1157" i="16"/>
  <c r="U173" i="16"/>
  <c r="U3164" i="16"/>
  <c r="U2142" i="16"/>
  <c r="U2868" i="16"/>
  <c r="U793" i="16"/>
  <c r="U363" i="16"/>
  <c r="U2514" i="16"/>
  <c r="U1044" i="16"/>
  <c r="U2058" i="16"/>
  <c r="U2804" i="16"/>
  <c r="U1444" i="16"/>
  <c r="U1333" i="16"/>
  <c r="U3186" i="16"/>
  <c r="U521" i="16"/>
  <c r="U542" i="16"/>
  <c r="U735" i="16"/>
  <c r="U3211" i="16"/>
  <c r="U2732" i="16"/>
  <c r="U2721" i="16"/>
  <c r="U736" i="16"/>
  <c r="U2130" i="16"/>
  <c r="U2373" i="16"/>
  <c r="U966" i="16"/>
  <c r="U1680" i="16"/>
  <c r="U2321" i="16"/>
  <c r="U2663" i="16"/>
  <c r="U1517" i="16"/>
  <c r="U3141" i="16"/>
  <c r="U743" i="16"/>
  <c r="U2797" i="16"/>
  <c r="U3012" i="16"/>
  <c r="U1616" i="16"/>
  <c r="U1521" i="16"/>
  <c r="U1205" i="16"/>
  <c r="U1076" i="16"/>
  <c r="U2288" i="16"/>
  <c r="U1085" i="16"/>
  <c r="U192" i="16"/>
  <c r="U2168" i="16"/>
  <c r="U2185" i="16"/>
  <c r="U2407" i="16"/>
  <c r="U109" i="16"/>
  <c r="U610" i="16"/>
  <c r="U1431" i="16"/>
  <c r="U836" i="16"/>
  <c r="U1156" i="16"/>
  <c r="U1522" i="16"/>
  <c r="U578" i="16"/>
  <c r="U3139" i="16"/>
  <c r="U2427" i="16"/>
  <c r="U445" i="16"/>
  <c r="U180" i="16"/>
  <c r="U1764" i="16"/>
  <c r="U2643" i="16"/>
  <c r="U887" i="16"/>
  <c r="U2929" i="16"/>
  <c r="U2066" i="16"/>
  <c r="U1972" i="16"/>
  <c r="U1282" i="16"/>
  <c r="U2943" i="16"/>
  <c r="U2359" i="16"/>
  <c r="U116" i="16"/>
  <c r="U2313" i="16"/>
  <c r="U2785" i="16"/>
  <c r="U2626" i="16"/>
  <c r="U3046" i="16"/>
  <c r="U1691" i="16"/>
  <c r="U1088" i="16"/>
  <c r="U1746" i="16"/>
  <c r="U218" i="16"/>
  <c r="U3261" i="16"/>
  <c r="U2842" i="16"/>
  <c r="U777" i="16"/>
  <c r="U163" i="16"/>
  <c r="U2074" i="16"/>
  <c r="U2289" i="16"/>
  <c r="U45" i="16"/>
  <c r="U627" i="16"/>
  <c r="U61" i="16"/>
  <c r="U2826" i="16"/>
  <c r="U2580" i="16"/>
  <c r="U458" i="16"/>
  <c r="U1321" i="16"/>
  <c r="U2794" i="16"/>
  <c r="U164" i="16"/>
  <c r="U2230" i="16"/>
  <c r="U710" i="16"/>
  <c r="U3222" i="16"/>
  <c r="U1184" i="16"/>
  <c r="U451" i="16"/>
  <c r="U2078" i="16"/>
  <c r="U276" i="16"/>
  <c r="U1062" i="16"/>
  <c r="U2088" i="16"/>
  <c r="U2800" i="16"/>
  <c r="U1935" i="16"/>
  <c r="U1932" i="16"/>
  <c r="U2086" i="16"/>
  <c r="U2410" i="16"/>
  <c r="U1105" i="16"/>
  <c r="U230" i="16"/>
  <c r="U228" i="16"/>
  <c r="U2786" i="16"/>
  <c r="U2645" i="16"/>
  <c r="U687" i="16"/>
  <c r="U951" i="16"/>
  <c r="U2836" i="16"/>
  <c r="U1149" i="16"/>
  <c r="U343" i="16"/>
  <c r="U1458" i="16"/>
  <c r="U3213" i="16"/>
  <c r="U962" i="16"/>
  <c r="U975" i="16"/>
  <c r="U621" i="16"/>
  <c r="U3002" i="16"/>
  <c r="U600" i="16"/>
  <c r="U2760" i="16"/>
  <c r="U779" i="16"/>
  <c r="U3130" i="16"/>
  <c r="U1325" i="16"/>
  <c r="U3296" i="16"/>
  <c r="U1902" i="16"/>
  <c r="U1931" i="16"/>
  <c r="U2245" i="16"/>
  <c r="U1803" i="16"/>
  <c r="U2029" i="16"/>
  <c r="U2141" i="16"/>
  <c r="U3243" i="16"/>
  <c r="U992" i="16"/>
  <c r="U302" i="16"/>
  <c r="U867" i="16"/>
  <c r="U1283" i="16"/>
  <c r="U2026" i="16"/>
  <c r="U1665" i="16"/>
  <c r="U1783" i="16"/>
  <c r="U2272" i="16"/>
  <c r="U2920" i="16"/>
  <c r="U2362" i="16"/>
  <c r="U789" i="16"/>
  <c r="U1649" i="16"/>
  <c r="U2025" i="16"/>
  <c r="U2810" i="16"/>
  <c r="U3047" i="16"/>
  <c r="U938" i="16"/>
  <c r="U2279" i="16"/>
  <c r="U2993" i="16"/>
  <c r="U2342" i="16"/>
  <c r="U2246" i="16"/>
  <c r="U1181" i="16"/>
  <c r="U920" i="16"/>
  <c r="U495" i="16"/>
  <c r="U2674" i="16"/>
  <c r="U1612" i="16"/>
  <c r="U2871" i="16"/>
  <c r="U2440" i="16"/>
  <c r="U2525" i="16"/>
  <c r="U549" i="16"/>
  <c r="U2" i="16"/>
  <c r="U2344" i="16"/>
  <c r="U1543" i="16"/>
  <c r="U2491" i="16"/>
  <c r="U246" i="16"/>
  <c r="U2664" i="16"/>
  <c r="U2418" i="16"/>
  <c r="U2376" i="16"/>
  <c r="U1113" i="16"/>
  <c r="U490" i="16"/>
  <c r="U2264" i="16"/>
  <c r="U1950" i="16"/>
  <c r="U806" i="16"/>
  <c r="U2815" i="16"/>
  <c r="U958" i="16"/>
  <c r="U2627" i="16"/>
  <c r="U188" i="16"/>
  <c r="U2647" i="16"/>
  <c r="U2167" i="16"/>
  <c r="U1033" i="16"/>
  <c r="U954" i="16"/>
  <c r="U1541" i="16"/>
  <c r="U1107" i="16"/>
  <c r="U1643" i="16"/>
  <c r="U683" i="16"/>
  <c r="U1367" i="16"/>
  <c r="U309" i="16"/>
  <c r="U1212" i="16"/>
  <c r="U3045" i="16"/>
  <c r="U2458" i="16"/>
  <c r="U2975" i="16"/>
  <c r="U2392" i="16"/>
  <c r="U1761" i="16"/>
  <c r="U1404" i="16"/>
  <c r="U2412" i="16"/>
  <c r="U732" i="16"/>
  <c r="U655" i="16"/>
  <c r="U574" i="16"/>
  <c r="U1904" i="16"/>
  <c r="U423" i="16"/>
  <c r="U3269" i="16"/>
  <c r="U846" i="16"/>
  <c r="U2472" i="16"/>
  <c r="U3203" i="16"/>
  <c r="U1785" i="16"/>
  <c r="U3126" i="16"/>
  <c r="U1492" i="16"/>
  <c r="U2955" i="16"/>
  <c r="U802" i="16"/>
  <c r="U3003" i="16"/>
  <c r="AB3445" i="16"/>
  <c r="M615" i="16" l="1"/>
  <c r="M1507" i="16"/>
  <c r="M922" i="16"/>
  <c r="M2" i="16"/>
  <c r="M1751" i="16"/>
  <c r="M190" i="16"/>
  <c r="M2026" i="16"/>
  <c r="M1226" i="16"/>
  <c r="M3146" i="16"/>
  <c r="M622" i="16"/>
  <c r="M1582" i="16"/>
  <c r="M402" i="16"/>
  <c r="M209" i="16"/>
  <c r="M2973" i="16"/>
  <c r="M2490" i="16"/>
  <c r="M1039" i="16"/>
  <c r="M2315" i="16"/>
  <c r="M1482" i="16"/>
  <c r="M2804" i="16"/>
  <c r="M39" i="16"/>
  <c r="M1962" i="16"/>
  <c r="M2634" i="16"/>
  <c r="M1179" i="16"/>
  <c r="M1311" i="16"/>
  <c r="M2115" i="16"/>
  <c r="M2523" i="16"/>
  <c r="M1121" i="16"/>
  <c r="M297" i="16"/>
  <c r="M1789" i="16"/>
  <c r="M2854" i="16"/>
  <c r="M659" i="16"/>
  <c r="M2623" i="16"/>
  <c r="M385" i="16"/>
  <c r="M1050" i="16"/>
  <c r="M2367" i="16"/>
  <c r="M1176" i="16"/>
  <c r="M2662" i="16"/>
  <c r="M1845" i="16"/>
  <c r="M2567" i="16"/>
  <c r="M3143" i="16"/>
  <c r="M326" i="16"/>
  <c r="M40" i="16"/>
  <c r="M397" i="16"/>
  <c r="M5" i="16"/>
  <c r="M2503" i="16"/>
  <c r="M2717" i="16"/>
  <c r="M1905" i="16"/>
  <c r="M1403" i="16"/>
  <c r="M176" i="16"/>
  <c r="M578" i="16"/>
  <c r="M1754" i="16"/>
  <c r="M177" i="16"/>
  <c r="M4" i="16"/>
  <c r="M1778" i="16"/>
  <c r="M1937" i="16"/>
  <c r="M2068" i="16"/>
  <c r="M2297" i="16"/>
  <c r="M2407" i="16"/>
  <c r="M110" i="16"/>
  <c r="M2805" i="16"/>
  <c r="M780" i="16"/>
  <c r="M2707" i="16"/>
  <c r="M2086" i="16"/>
  <c r="M2138" i="16"/>
  <c r="M3063" i="16"/>
  <c r="M3027" i="16"/>
  <c r="M442" i="16"/>
  <c r="M2487" i="16"/>
  <c r="M378" i="16"/>
  <c r="M1416" i="16"/>
  <c r="M344" i="16"/>
  <c r="M1499" i="16"/>
  <c r="M1253" i="16"/>
  <c r="M61" i="16"/>
  <c r="M616" i="16"/>
  <c r="M828" i="16"/>
  <c r="M375" i="16"/>
  <c r="M3001" i="16"/>
  <c r="M1483" i="16"/>
  <c r="M230" i="16"/>
  <c r="M1280" i="16"/>
  <c r="M2066" i="16"/>
  <c r="M2132" i="16"/>
  <c r="M1972" i="16"/>
  <c r="M1855" i="16"/>
  <c r="M1976" i="16"/>
  <c r="M41" i="16"/>
  <c r="M2604" i="16"/>
  <c r="M365" i="16"/>
  <c r="M814" i="16"/>
  <c r="M406" i="16"/>
  <c r="M1476" i="16"/>
  <c r="M419" i="16"/>
  <c r="M1378" i="16"/>
  <c r="M2733" i="16"/>
  <c r="M2518" i="16"/>
  <c r="M1534" i="16"/>
  <c r="M1292" i="16"/>
  <c r="M2519" i="16"/>
  <c r="M370" i="16"/>
  <c r="M1168" i="16"/>
  <c r="M3045" i="16"/>
  <c r="M1082" i="16"/>
  <c r="M1939" i="16"/>
  <c r="M1152" i="16"/>
  <c r="M205" i="16"/>
  <c r="M653" i="16"/>
  <c r="M3043" i="16"/>
  <c r="M2149" i="16"/>
  <c r="M2042" i="16"/>
  <c r="M1306" i="16"/>
  <c r="M605" i="16"/>
  <c r="M1163" i="16"/>
  <c r="M2200" i="16"/>
  <c r="M800" i="16"/>
  <c r="M2789" i="16"/>
  <c r="M42" i="16"/>
  <c r="M202" i="16"/>
  <c r="M1384" i="16"/>
  <c r="M787" i="16"/>
  <c r="M2210" i="16"/>
  <c r="M1014" i="16"/>
  <c r="M49" i="16"/>
  <c r="M81" i="16"/>
  <c r="M832" i="16"/>
  <c r="M2712" i="16"/>
  <c r="M1786" i="16"/>
  <c r="M2745" i="16"/>
  <c r="M1945" i="16"/>
  <c r="M2827" i="16"/>
  <c r="M218" i="16"/>
  <c r="M632" i="16"/>
  <c r="M771" i="16"/>
  <c r="M450" i="16"/>
  <c r="M501" i="16"/>
  <c r="M11" i="16"/>
  <c r="M1010" i="16"/>
  <c r="M2736" i="16"/>
  <c r="M2358" i="16"/>
  <c r="M1002" i="16"/>
  <c r="M1108" i="16"/>
  <c r="M3020" i="16"/>
  <c r="M1914" i="16"/>
  <c r="M624" i="16"/>
  <c r="M2075" i="16"/>
  <c r="M3088" i="16"/>
  <c r="M156" i="16"/>
  <c r="M225" i="16"/>
  <c r="M1151" i="16"/>
  <c r="M1093" i="16"/>
  <c r="M1205" i="16"/>
  <c r="M2752" i="16"/>
  <c r="M539" i="16"/>
  <c r="M2859" i="16"/>
  <c r="M2173" i="16"/>
  <c r="M2324" i="16"/>
  <c r="M527" i="16"/>
  <c r="M1319" i="16"/>
  <c r="M410" i="16"/>
  <c r="M698" i="16"/>
  <c r="M1502" i="16"/>
  <c r="M2344" i="16"/>
  <c r="M608" i="16"/>
  <c r="M207" i="16"/>
  <c r="M868" i="16"/>
  <c r="M2520" i="16"/>
  <c r="M1625" i="16"/>
  <c r="M2237" i="16"/>
  <c r="M792" i="16"/>
  <c r="M988" i="16"/>
  <c r="M1155" i="16"/>
  <c r="M670" i="16"/>
  <c r="M1265" i="16"/>
  <c r="M2221" i="16"/>
  <c r="M107" i="16"/>
  <c r="M2203" i="16"/>
  <c r="M2556" i="16"/>
  <c r="M3018" i="16"/>
  <c r="M2960" i="16"/>
  <c r="M1797" i="16"/>
  <c r="M3145" i="16"/>
  <c r="M322" i="16"/>
  <c r="M175" i="16"/>
  <c r="M1831" i="16"/>
  <c r="M3" i="16"/>
  <c r="M1072" i="16"/>
  <c r="M2791" i="16"/>
  <c r="M1094" i="16"/>
  <c r="M1539" i="16"/>
  <c r="M1520" i="16"/>
  <c r="M688" i="16"/>
  <c r="M3099" i="16"/>
  <c r="M1923" i="16"/>
  <c r="M2569" i="16"/>
  <c r="M1472" i="16"/>
  <c r="M3062" i="16"/>
  <c r="M1612" i="16"/>
  <c r="M639" i="16"/>
  <c r="M1291" i="16"/>
  <c r="M1144" i="16"/>
  <c r="M2245" i="16"/>
  <c r="M937" i="16"/>
  <c r="M2932" i="16"/>
  <c r="M1150" i="16"/>
  <c r="M505" i="16"/>
  <c r="M2515" i="16"/>
  <c r="M2011" i="16"/>
  <c r="M1781" i="16"/>
  <c r="M1252" i="16"/>
  <c r="M3016" i="16"/>
  <c r="M2008" i="16"/>
  <c r="M1130" i="16"/>
  <c r="M2609" i="16"/>
  <c r="M1011" i="16"/>
  <c r="M2113" i="16"/>
  <c r="M2674" i="16"/>
  <c r="M2489" i="16"/>
  <c r="M1254" i="16"/>
  <c r="M991" i="16"/>
  <c r="M1366" i="16"/>
  <c r="M547" i="16"/>
  <c r="M2165" i="16"/>
  <c r="M2969" i="16"/>
  <c r="M26" i="16"/>
  <c r="M2458" i="16"/>
  <c r="M1260" i="16"/>
  <c r="M2801" i="16"/>
  <c r="M1309" i="16"/>
  <c r="M981" i="16"/>
  <c r="M1839" i="16"/>
  <c r="M2732" i="16"/>
  <c r="M239" i="16"/>
  <c r="M585" i="16"/>
  <c r="M270" i="16"/>
  <c r="M1753" i="16"/>
  <c r="M1570" i="16"/>
  <c r="M1429" i="16"/>
  <c r="M2700" i="16"/>
  <c r="M492" i="16"/>
  <c r="M3025" i="16"/>
  <c r="M99" i="16"/>
  <c r="M388" i="16"/>
  <c r="M2022" i="16"/>
  <c r="M404" i="16"/>
  <c r="M812" i="16"/>
  <c r="M2300" i="16"/>
  <c r="M1157" i="16"/>
  <c r="M1021" i="16"/>
  <c r="M1791" i="16"/>
  <c r="M2655" i="16"/>
  <c r="M2898" i="16"/>
  <c r="M1578" i="16"/>
  <c r="M299" i="16"/>
  <c r="M1669" i="16"/>
  <c r="M853" i="16"/>
  <c r="M372" i="16"/>
  <c r="M1760" i="16"/>
  <c r="M2968" i="16"/>
  <c r="M1051" i="16"/>
  <c r="M2620" i="16"/>
  <c r="M3068" i="16"/>
  <c r="M448" i="16"/>
  <c r="M699" i="16"/>
  <c r="M444" i="16"/>
  <c r="M2548" i="16"/>
  <c r="M2619" i="16"/>
  <c r="M2379" i="16"/>
  <c r="M1798" i="16"/>
  <c r="M2049" i="16"/>
  <c r="M1703" i="16"/>
  <c r="M513" i="16"/>
  <c r="M1594" i="16"/>
  <c r="M1037" i="16"/>
  <c r="M33" i="16"/>
  <c r="M1659" i="16"/>
  <c r="M1470" i="16"/>
  <c r="M36" i="16"/>
  <c r="M518" i="16"/>
  <c r="M2927" i="16"/>
  <c r="M105" i="16"/>
  <c r="M1561" i="16"/>
  <c r="M2861" i="16"/>
  <c r="M738" i="16"/>
  <c r="M1193" i="16"/>
  <c r="M1615" i="16"/>
  <c r="M2438" i="16"/>
  <c r="M2111" i="16"/>
  <c r="M1620" i="16"/>
  <c r="M467" i="16"/>
  <c r="M3122" i="16"/>
  <c r="M115" i="16"/>
  <c r="M2067" i="16"/>
  <c r="M2394" i="16"/>
  <c r="M935" i="16"/>
  <c r="M3114" i="16"/>
  <c r="M869" i="16"/>
  <c r="M1355" i="16"/>
  <c r="M2183" i="16"/>
  <c r="M196" i="16"/>
  <c r="M1222" i="16"/>
  <c r="M2768" i="16"/>
  <c r="M1547" i="16"/>
  <c r="M1154" i="16"/>
  <c r="M2527" i="16"/>
  <c r="M2097" i="16"/>
  <c r="M2646" i="16"/>
  <c r="M2802" i="16"/>
  <c r="M2053" i="16"/>
  <c r="M1372" i="16"/>
  <c r="M1596" i="16"/>
  <c r="M956" i="16"/>
  <c r="M2280" i="16"/>
  <c r="M477" i="16"/>
  <c r="M801" i="16"/>
  <c r="M312" i="16"/>
  <c r="M2381" i="16"/>
  <c r="M3104" i="16"/>
  <c r="M2984" i="16"/>
  <c r="M484" i="16"/>
  <c r="M430" i="16"/>
  <c r="M818" i="16"/>
  <c r="M1238" i="16"/>
  <c r="M756" i="16"/>
  <c r="M120" i="16"/>
  <c r="M1581" i="16"/>
  <c r="M2432" i="16"/>
  <c r="M1806" i="16"/>
  <c r="M2397" i="16"/>
  <c r="M2292" i="16"/>
  <c r="M1310" i="16"/>
  <c r="M2082" i="16"/>
  <c r="M1166" i="16"/>
  <c r="M2266" i="16"/>
  <c r="M803" i="16"/>
  <c r="M955" i="16"/>
  <c r="M1893" i="16"/>
  <c r="M3106" i="16"/>
  <c r="M1740" i="16"/>
  <c r="M2224" i="16"/>
  <c r="M89" i="16"/>
  <c r="M1327" i="16"/>
  <c r="M2418" i="16"/>
  <c r="M1214" i="16"/>
  <c r="M2957" i="16"/>
  <c r="M2753" i="16"/>
  <c r="M1301" i="16"/>
  <c r="M2855" i="16"/>
  <c r="M2866" i="16"/>
  <c r="M1871" i="16"/>
  <c r="M262" i="16"/>
  <c r="M897" i="16"/>
  <c r="M1343" i="16"/>
  <c r="M488" i="16"/>
  <c r="M133" i="16"/>
  <c r="M129" i="16"/>
  <c r="M229" i="16"/>
  <c r="M1229" i="16"/>
  <c r="M1759" i="16"/>
  <c r="M2999" i="16"/>
  <c r="M3032" i="16"/>
  <c r="M73" i="16"/>
  <c r="M2483" i="16"/>
  <c r="M1453" i="16"/>
  <c r="M2517" i="16"/>
  <c r="M2223" i="16"/>
  <c r="M1284" i="16"/>
  <c r="M147" i="16"/>
  <c r="M213" i="16"/>
  <c r="M1679" i="16"/>
  <c r="M2640" i="16"/>
  <c r="M1637" i="16"/>
  <c r="M1481" i="16"/>
  <c r="M695" i="16"/>
  <c r="M1954" i="16"/>
  <c r="M1216" i="16"/>
  <c r="M37" i="16"/>
  <c r="M905" i="16"/>
  <c r="M589" i="16"/>
  <c r="M1819" i="16"/>
  <c r="M2955" i="16"/>
  <c r="M3064" i="16"/>
  <c r="M17" i="16"/>
  <c r="M2459" i="16"/>
  <c r="M65" i="16"/>
  <c r="M926" i="16"/>
  <c r="M1455" i="16"/>
  <c r="M347" i="16"/>
  <c r="M1922" i="16"/>
  <c r="M2433" i="16"/>
  <c r="M2014" i="16"/>
  <c r="M2168" i="16"/>
  <c r="M84" i="16"/>
  <c r="M1985" i="16"/>
  <c r="M426" i="16"/>
  <c r="M1270" i="16"/>
  <c r="M179" i="16"/>
  <c r="M238" i="16"/>
  <c r="M1910" i="16"/>
  <c r="M725" i="16"/>
  <c r="M1255" i="16"/>
  <c r="M1904" i="16"/>
  <c r="M784" i="16"/>
  <c r="M990" i="16"/>
  <c r="M993" i="16"/>
  <c r="M1883" i="16"/>
  <c r="M150" i="16"/>
  <c r="M1821" i="16"/>
  <c r="M369" i="16"/>
  <c r="M942" i="16"/>
  <c r="M1495" i="16"/>
  <c r="M2136" i="16"/>
  <c r="M2220" i="16"/>
  <c r="M1457" i="16"/>
  <c r="M625" i="16"/>
  <c r="M1920" i="16"/>
  <c r="M2208" i="16"/>
  <c r="M1467" i="16"/>
  <c r="M813" i="16"/>
  <c r="M1671" i="16"/>
  <c r="M2494" i="16"/>
  <c r="M912" i="16"/>
  <c r="M958" i="16"/>
  <c r="M291" i="16"/>
  <c r="M221" i="16"/>
  <c r="M392" i="16"/>
  <c r="M104" i="16"/>
  <c r="M257" i="16"/>
  <c r="M582" i="16"/>
  <c r="M2382" i="16"/>
  <c r="M2034" i="16"/>
  <c r="M2565" i="16"/>
  <c r="M2468" i="16"/>
  <c r="M1800" i="16"/>
  <c r="M2147" i="16"/>
  <c r="M1577" i="16"/>
  <c r="M2380" i="16"/>
  <c r="M1074" i="16"/>
  <c r="M3021" i="16"/>
  <c r="M584" i="16"/>
  <c r="M1700" i="16"/>
  <c r="M377" i="16"/>
  <c r="M1901" i="16"/>
  <c r="M1075" i="16"/>
  <c r="M1431" i="16"/>
  <c r="M117" i="16"/>
  <c r="M2443" i="16"/>
  <c r="M2009" i="16"/>
  <c r="M554" i="16"/>
  <c r="M2419" i="16"/>
  <c r="M155" i="16"/>
  <c r="M2398" i="16"/>
  <c r="M2228" i="16"/>
  <c r="M1597" i="16"/>
  <c r="M125" i="16"/>
  <c r="M1031" i="16"/>
  <c r="M2429" i="16"/>
  <c r="M906" i="16"/>
  <c r="M1497" i="16"/>
  <c r="M79" i="16"/>
  <c r="M618" i="16"/>
  <c r="M895" i="16"/>
  <c r="M1664" i="16"/>
  <c r="M261" i="16"/>
  <c r="M3015" i="16"/>
  <c r="M1341" i="16"/>
  <c r="M1764" i="16"/>
  <c r="M1515" i="16"/>
  <c r="M1321" i="16"/>
  <c r="M591" i="16"/>
  <c r="M1347" i="16"/>
  <c r="M736" i="16"/>
  <c r="M66" i="16"/>
  <c r="M51" i="16"/>
  <c r="M1757" i="16"/>
  <c r="M708" i="16"/>
  <c r="M1938" i="16"/>
  <c r="M1153" i="16"/>
  <c r="M2708" i="16"/>
  <c r="M244" i="16"/>
  <c r="M1852" i="16"/>
  <c r="M114" i="16"/>
  <c r="M1204" i="16"/>
  <c r="M504" i="16"/>
  <c r="M2253" i="16"/>
  <c r="M2869" i="16"/>
  <c r="M3107" i="16"/>
  <c r="M2693" i="16"/>
  <c r="M2914" i="16"/>
  <c r="M526" i="16"/>
  <c r="M232" i="16"/>
  <c r="M153" i="16"/>
  <c r="M2945" i="16"/>
  <c r="M2065" i="16"/>
  <c r="M2624" i="16"/>
  <c r="M307" i="16"/>
  <c r="M464" i="16"/>
  <c r="M391" i="16"/>
  <c r="M1748" i="16"/>
  <c r="M633" i="16"/>
  <c r="M1667" i="16"/>
  <c r="M1686" i="16"/>
  <c r="M657" i="16"/>
  <c r="M2054" i="16"/>
  <c r="M303" i="16"/>
  <c r="M178" i="16"/>
  <c r="M226" i="16"/>
  <c r="M119" i="16"/>
  <c r="M976" i="16"/>
  <c r="M2605" i="16"/>
  <c r="M1672" i="16"/>
  <c r="M680" i="16"/>
  <c r="M2338" i="16"/>
  <c r="M1892" i="16"/>
  <c r="M1013" i="16"/>
  <c r="M2820" i="16"/>
  <c r="M2536" i="16"/>
  <c r="M1825" i="16"/>
  <c r="M330" i="16"/>
  <c r="M142" i="16"/>
  <c r="M376" i="16"/>
  <c r="M1607" i="16"/>
  <c r="M3079" i="16"/>
  <c r="M1827" i="16"/>
  <c r="M1814" i="16"/>
  <c r="M2510" i="16"/>
  <c r="M1525" i="16"/>
  <c r="M2703" i="16"/>
  <c r="M3085" i="16"/>
  <c r="M2238" i="16"/>
  <c r="M2550" i="16"/>
  <c r="M2758" i="16"/>
  <c r="M2051" i="16"/>
  <c r="M300" i="16"/>
  <c r="M2656" i="16"/>
  <c r="M418" i="16"/>
  <c r="M2625" i="16"/>
  <c r="M2844" i="16"/>
  <c r="M1648" i="16"/>
  <c r="M741" i="16"/>
  <c r="M2106" i="16"/>
  <c r="M54" i="16"/>
  <c r="M2031" i="16"/>
  <c r="M1983" i="16"/>
  <c r="M78" i="16"/>
  <c r="M2998" i="16"/>
  <c r="M76" i="16"/>
  <c r="M1742" i="16"/>
  <c r="M131" i="16"/>
  <c r="M1417" i="16"/>
  <c r="M2108" i="16"/>
  <c r="M646" i="16"/>
  <c r="M1330" i="16"/>
  <c r="M2385" i="16"/>
  <c r="M494" i="16"/>
  <c r="M662" i="16"/>
  <c r="M909" i="16"/>
  <c r="M1272" i="16"/>
  <c r="M1850" i="16"/>
  <c r="M2860" i="16"/>
  <c r="M882" i="16"/>
  <c r="M1829" i="16"/>
  <c r="M47" i="16"/>
  <c r="M2685" i="16"/>
  <c r="M998" i="16"/>
  <c r="M567" i="16"/>
  <c r="M2521" i="16"/>
  <c r="M1143" i="16"/>
  <c r="M2890" i="16"/>
  <c r="M1891" i="16"/>
  <c r="M1480" i="16"/>
  <c r="M845" i="16"/>
  <c r="M626" i="16"/>
  <c r="M77" i="16"/>
  <c r="M2699" i="16"/>
  <c r="M2638" i="16"/>
  <c r="M2641" i="16"/>
  <c r="M2420" i="16"/>
  <c r="M2555" i="16"/>
  <c r="M2934" i="16"/>
  <c r="M1761" i="16"/>
  <c r="M710" i="16"/>
  <c r="M1029" i="16"/>
  <c r="M2088" i="16"/>
  <c r="M2501" i="16"/>
  <c r="M1382" i="16"/>
  <c r="M2880" i="16"/>
  <c r="M2547" i="16"/>
  <c r="M1136" i="16"/>
  <c r="M2683" i="16"/>
  <c r="M2212" i="16"/>
  <c r="M742" i="16"/>
  <c r="M2258" i="16"/>
  <c r="M2904" i="16"/>
  <c r="M2091" i="16"/>
  <c r="M93" i="16"/>
  <c r="M1604" i="16"/>
  <c r="M3046" i="16"/>
  <c r="M1811" i="16"/>
  <c r="M3078" i="16"/>
  <c r="M966" i="16"/>
  <c r="M329" i="16"/>
  <c r="M75" i="16"/>
  <c r="M3103" i="16"/>
  <c r="M2219" i="16"/>
  <c r="M2632" i="16"/>
  <c r="M2749" i="16"/>
  <c r="M2215" i="16"/>
  <c r="M2155" i="16"/>
  <c r="M2514" i="16"/>
  <c r="M2598" i="16"/>
  <c r="M1337" i="16"/>
  <c r="M302" i="16"/>
  <c r="M2474" i="16"/>
  <c r="M233" i="16"/>
  <c r="M2030" i="16"/>
  <c r="M1793" i="16"/>
  <c r="M1966" i="16"/>
  <c r="M2643" i="16"/>
  <c r="M839" i="16"/>
  <c r="M1953" i="16"/>
  <c r="M880" i="16"/>
  <c r="M597" i="16"/>
  <c r="M2653" i="16"/>
  <c r="M2164" i="16"/>
  <c r="M1020" i="16"/>
  <c r="M1107" i="16"/>
  <c r="M3038" i="16"/>
  <c r="M1710" i="16"/>
  <c r="M382" i="16"/>
  <c r="M296" i="16"/>
  <c r="M1345" i="16"/>
  <c r="M500" i="16"/>
  <c r="M1433" i="16"/>
  <c r="M1813" i="16"/>
  <c r="M460" i="16"/>
  <c r="M2139" i="16"/>
  <c r="M2813" i="16"/>
  <c r="M2689" i="16"/>
  <c r="M2353" i="16"/>
  <c r="M947" i="16"/>
  <c r="M2977" i="16"/>
  <c r="M3120" i="16"/>
  <c r="M652" i="16"/>
  <c r="M1477" i="16"/>
  <c r="M631" i="16"/>
  <c r="M366" i="16"/>
  <c r="M1386" i="16"/>
  <c r="M1210" i="16"/>
  <c r="M690" i="16"/>
  <c r="M519" i="16"/>
  <c r="M1456" i="16"/>
  <c r="M1706" i="16"/>
  <c r="M314" i="16"/>
  <c r="M1421" i="16"/>
  <c r="M279" i="16"/>
  <c r="M1946" i="16"/>
  <c r="M1652" i="16"/>
  <c r="M63" i="16"/>
  <c r="M2376" i="16"/>
  <c r="M2467" i="16"/>
  <c r="M1689" i="16"/>
  <c r="M335" i="16"/>
  <c r="M331" i="16"/>
  <c r="M1752" i="16"/>
  <c r="M2942" i="16"/>
  <c r="M762" i="16"/>
  <c r="M1682" i="16"/>
  <c r="M384" i="16"/>
  <c r="M289" i="16"/>
  <c r="M98" i="16"/>
  <c r="M862" i="16"/>
  <c r="M1942" i="16"/>
  <c r="M1134" i="16"/>
  <c r="M2680" i="16"/>
  <c r="M1654" i="16"/>
  <c r="M1994" i="16"/>
  <c r="M2310" i="16"/>
  <c r="M968" i="16"/>
  <c r="M2540" i="16"/>
  <c r="M2747" i="16"/>
  <c r="M2318" i="16"/>
  <c r="M1899" i="16"/>
  <c r="M2209" i="16"/>
  <c r="M1503" i="16"/>
  <c r="M280" i="16"/>
  <c r="M2852" i="16"/>
  <c r="M2311" i="16"/>
  <c r="M2303" i="16"/>
  <c r="M1630" i="16"/>
  <c r="M250" i="16"/>
  <c r="M573" i="16"/>
  <c r="M1663" i="16"/>
  <c r="M141" i="16"/>
  <c r="M168" i="16"/>
  <c r="M2373" i="16"/>
  <c r="M994" i="16"/>
  <c r="M896" i="16"/>
  <c r="M83" i="16"/>
  <c r="M2756" i="16"/>
  <c r="M1375" i="16"/>
  <c r="M989" i="16"/>
  <c r="M1264" i="16"/>
  <c r="M480" i="16"/>
  <c r="M2909" i="16"/>
  <c r="M1866" i="16"/>
  <c r="M1410" i="16"/>
  <c r="M2581" i="16"/>
  <c r="M2036" i="16"/>
  <c r="M2694" i="16"/>
  <c r="M1931" i="16"/>
  <c r="M1184" i="16"/>
  <c r="M846" i="16"/>
  <c r="M2502" i="16"/>
  <c r="M806" i="16"/>
  <c r="M587" i="16"/>
  <c r="M69" i="16"/>
  <c r="M265" i="16"/>
  <c r="M854" i="16"/>
  <c r="M1728" i="16"/>
  <c r="M106" i="16"/>
  <c r="M533" i="16"/>
  <c r="M1079" i="16"/>
  <c r="M552" i="16"/>
  <c r="M118" i="16"/>
  <c r="M2631" i="16"/>
  <c r="M2941" i="16"/>
  <c r="M619" i="16"/>
  <c r="M598" i="16"/>
  <c r="M2874" i="16"/>
  <c r="M263" i="16"/>
  <c r="M1722" i="16"/>
  <c r="M2383" i="16"/>
  <c r="M1921" i="16"/>
  <c r="M3112" i="16"/>
  <c r="M1964" i="16"/>
  <c r="M1545" i="16"/>
  <c r="M1071" i="16"/>
  <c r="M2961" i="16"/>
  <c r="M247" i="16"/>
  <c r="M1299" i="16"/>
  <c r="M1887" i="16"/>
  <c r="M793" i="16"/>
  <c r="M1780" i="16"/>
  <c r="M2558" i="16"/>
  <c r="M53" i="16"/>
  <c r="M2243" i="16"/>
  <c r="M1943" i="16"/>
  <c r="M1018" i="16"/>
  <c r="M866" i="16"/>
  <c r="M101" i="16"/>
  <c r="M643" i="16"/>
  <c r="M596" i="16"/>
  <c r="M478" i="16"/>
  <c r="M2202" i="16"/>
  <c r="M498" i="16"/>
  <c r="M1102" i="16"/>
  <c r="M2133" i="16"/>
  <c r="M1387" i="16"/>
  <c r="M245" i="16"/>
  <c r="M2970" i="16"/>
  <c r="M2750" i="16"/>
  <c r="M2194" i="16"/>
  <c r="M1240" i="16"/>
  <c r="M997" i="16"/>
  <c r="M2117" i="16"/>
  <c r="M1201" i="16"/>
  <c r="M2332" i="16"/>
  <c r="M1026" i="16"/>
  <c r="M2884" i="16"/>
  <c r="M1092" i="16"/>
  <c r="M332" i="16"/>
  <c r="M2287" i="16"/>
  <c r="M3083" i="16"/>
  <c r="M887" i="16"/>
  <c r="M371" i="16"/>
  <c r="M1490" i="16"/>
  <c r="M2181" i="16"/>
  <c r="M1067" i="16"/>
  <c r="M1872" i="16"/>
  <c r="M3048" i="16"/>
  <c r="M1158" i="16"/>
  <c r="M969" i="16"/>
  <c r="M764" i="16"/>
  <c r="M522" i="16"/>
  <c r="M2882" i="16"/>
  <c r="M1782" i="16"/>
  <c r="M1716" i="16"/>
  <c r="M8" i="16"/>
  <c r="M944" i="16"/>
  <c r="M353" i="16"/>
  <c r="M796" i="16"/>
  <c r="M7" i="16"/>
  <c r="M3133" i="16"/>
  <c r="M2121" i="16"/>
  <c r="M2197" i="16"/>
  <c r="M273" i="16"/>
  <c r="M2835" i="16"/>
  <c r="M1723" i="16"/>
  <c r="M2806" i="16"/>
  <c r="M1529" i="16"/>
  <c r="M1718" i="16"/>
  <c r="M2356" i="16"/>
  <c r="M506" i="16"/>
  <c r="M2166" i="16"/>
  <c r="M2587" i="16"/>
  <c r="M476" i="16"/>
  <c r="M2800" i="16"/>
  <c r="M264" i="16"/>
  <c r="M1641" i="16"/>
  <c r="M594" i="16"/>
  <c r="M46" i="16"/>
  <c r="M2012" i="16"/>
  <c r="M610" i="16"/>
  <c r="M2482" i="16"/>
  <c r="M1696" i="16"/>
  <c r="M2043" i="16"/>
  <c r="M2744" i="16"/>
  <c r="M1808" i="16"/>
  <c r="M456" i="16"/>
  <c r="M23" i="16"/>
  <c r="M487" i="16"/>
  <c r="M2410" i="16"/>
  <c r="M1068" i="16"/>
  <c r="M1202" i="16"/>
  <c r="M2593" i="16"/>
  <c r="M71" i="16"/>
  <c r="M2444" i="16"/>
  <c r="M2639" i="16"/>
  <c r="M1516" i="16"/>
  <c r="M2810" i="16"/>
  <c r="M1307" i="16"/>
  <c r="M2460" i="16"/>
  <c r="M116" i="16"/>
  <c r="M2010" i="16"/>
  <c r="M1777" i="16"/>
  <c r="M2307" i="16"/>
  <c r="M2797" i="16"/>
  <c r="M18" i="16"/>
  <c r="M620" i="16"/>
  <c r="M1052" i="16"/>
  <c r="M1574" i="16"/>
  <c r="M2534" i="16"/>
  <c r="M333" i="16"/>
  <c r="M29" i="16"/>
  <c r="M1389" i="16"/>
  <c r="M2144" i="16"/>
  <c r="M987" i="16"/>
  <c r="M1273" i="16"/>
  <c r="M1024" i="16"/>
  <c r="M453" i="16"/>
  <c r="M2283" i="16"/>
  <c r="M575" i="16"/>
  <c r="M1356" i="16"/>
  <c r="M782" i="16"/>
  <c r="M2936" i="16"/>
  <c r="M2608" i="16"/>
  <c r="M2754" i="16"/>
  <c r="M122" i="16"/>
  <c r="M726" i="16"/>
  <c r="M2757" i="16"/>
  <c r="M1077" i="16"/>
  <c r="M3072" i="16"/>
  <c r="M1828" i="16"/>
  <c r="M1783" i="16"/>
  <c r="M1208" i="16"/>
  <c r="M352" i="16"/>
  <c r="M246" i="16"/>
  <c r="M1120" i="16"/>
  <c r="M1434" i="16"/>
  <c r="M808" i="16"/>
  <c r="M1262" i="16"/>
  <c r="M222" i="16"/>
  <c r="M2741" i="16"/>
  <c r="M1145" i="16"/>
  <c r="M2306" i="16"/>
  <c r="M3082" i="16"/>
  <c r="M1622" i="16"/>
  <c r="M2314" i="16"/>
  <c r="M606" i="16"/>
  <c r="M2629" i="16"/>
  <c r="M2735" i="16"/>
  <c r="M668" i="16"/>
  <c r="M2577" i="16"/>
  <c r="M2305" i="16"/>
  <c r="M836" i="16"/>
  <c r="M1056" i="16"/>
  <c r="M2033" i="16"/>
  <c r="M2924" i="16"/>
  <c r="M1675" i="16"/>
  <c r="M2576" i="16"/>
  <c r="M383" i="16"/>
  <c r="M234" i="16"/>
  <c r="M2814" i="16"/>
  <c r="M1896" i="16"/>
  <c r="M2081" i="16"/>
  <c r="M692" i="16"/>
  <c r="M1388" i="16"/>
  <c r="M650" i="16"/>
  <c r="M1423" i="16"/>
  <c r="M1505" i="16"/>
  <c r="M1835" i="16"/>
  <c r="M126" i="16"/>
  <c r="M2614" i="16"/>
  <c r="M43" i="16"/>
  <c r="M2401" i="16"/>
  <c r="M1111" i="16"/>
  <c r="M1919" i="16"/>
  <c r="M1590" i="16"/>
  <c r="M715" i="16"/>
  <c r="M52" i="16"/>
  <c r="M2192" i="16"/>
  <c r="M2665" i="16"/>
  <c r="M1544" i="16"/>
  <c r="M2363" i="16"/>
  <c r="M3076" i="16"/>
  <c r="M284" i="16"/>
  <c r="M446" i="16"/>
  <c r="M2019" i="16"/>
  <c r="M1809" i="16"/>
  <c r="M2568" i="16"/>
  <c r="M1538" i="16"/>
  <c r="M362" i="16"/>
  <c r="M1614" i="16"/>
  <c r="M851" i="16"/>
  <c r="M28" i="16"/>
  <c r="M3037" i="16"/>
  <c r="M2896" i="16"/>
  <c r="M2137" i="16"/>
  <c r="M2949" i="16"/>
  <c r="M1149" i="16"/>
  <c r="M1916" i="16"/>
  <c r="M1566" i="16"/>
  <c r="M1342" i="16"/>
  <c r="M3004" i="16"/>
  <c r="M860" i="16"/>
  <c r="M2188" i="16"/>
  <c r="M1377" i="16"/>
  <c r="M843" i="16"/>
  <c r="M2883" i="16"/>
  <c r="M121" i="16"/>
  <c r="M1060" i="16"/>
  <c r="M2767" i="16"/>
  <c r="M102" i="16"/>
  <c r="M2336" i="16"/>
  <c r="M1430" i="16"/>
  <c r="M1888" i="16"/>
  <c r="M198" i="16"/>
  <c r="M1336" i="16"/>
  <c r="M1853" i="16"/>
  <c r="M1564" i="16"/>
  <c r="M2198" i="16"/>
  <c r="M933" i="16"/>
  <c r="M2893" i="16"/>
  <c r="M1600" i="16"/>
  <c r="M864" i="16"/>
  <c r="M572" i="16"/>
  <c r="M2431" i="16"/>
  <c r="M1105" i="16"/>
  <c r="M1278" i="16"/>
  <c r="M1027" i="16"/>
  <c r="M2337" i="16"/>
  <c r="M2276" i="16"/>
  <c r="M2642" i="16"/>
  <c r="M2995" i="16"/>
  <c r="M1017" i="16"/>
  <c r="M583" i="16"/>
  <c r="M2964" i="16"/>
  <c r="M2347" i="16"/>
  <c r="M2466" i="16"/>
  <c r="M1452" i="16"/>
  <c r="M1379" i="16"/>
  <c r="M2170" i="16"/>
  <c r="M2498" i="16"/>
  <c r="M1980" i="16"/>
  <c r="M972" i="16"/>
  <c r="M1487" i="16"/>
  <c r="M2309" i="16"/>
  <c r="M201" i="16"/>
  <c r="M2457" i="16"/>
  <c r="M848" i="16"/>
  <c r="M885" i="16"/>
  <c r="M1043" i="16"/>
  <c r="M2761" i="16"/>
  <c r="M1001" i="16"/>
  <c r="M932" i="16"/>
  <c r="M2348" i="16"/>
  <c r="M1699" i="16"/>
  <c r="M566" i="16"/>
  <c r="M1691" i="16"/>
  <c r="M1242" i="16"/>
  <c r="M2613" i="16"/>
  <c r="M881" i="16"/>
  <c r="M286" i="16"/>
  <c r="M2704" i="16"/>
  <c r="M2378" i="16"/>
  <c r="M1524" i="16"/>
  <c r="M3035" i="16"/>
  <c r="M15" i="16"/>
  <c r="M733" i="16"/>
  <c r="M3101" i="16"/>
  <c r="M1986" i="16"/>
  <c r="M2346" i="16"/>
  <c r="M1988" i="16"/>
  <c r="M1401" i="16"/>
  <c r="M2271" i="16"/>
  <c r="M2644" i="16"/>
  <c r="M1940" i="16"/>
  <c r="M704" i="16"/>
  <c r="M1627" i="16"/>
  <c r="M1047" i="16"/>
  <c r="M1203" i="16"/>
  <c r="M2954" i="16"/>
  <c r="M212" i="16"/>
  <c r="M2112" i="16"/>
  <c r="M2024" i="16"/>
  <c r="M1997" i="16"/>
  <c r="M1995" i="16"/>
  <c r="M1875" i="16"/>
  <c r="M2718" i="16"/>
  <c r="M1368" i="16"/>
  <c r="M166" i="16"/>
  <c r="M2229" i="16"/>
  <c r="M821" i="16"/>
  <c r="M1660" i="16"/>
  <c r="M1141" i="16"/>
  <c r="M2021" i="16"/>
  <c r="M2032" i="16"/>
  <c r="M2259" i="16"/>
  <c r="M2107" i="16"/>
  <c r="M805" i="16"/>
  <c r="M962" i="16"/>
  <c r="M2244" i="16"/>
  <c r="M217" i="16"/>
  <c r="M1992" i="16"/>
  <c r="M660" i="16"/>
  <c r="M458" i="16"/>
  <c r="M1739" i="16"/>
  <c r="M1640" i="16"/>
  <c r="M2286" i="16"/>
  <c r="M1138" i="16"/>
  <c r="M1774" i="16"/>
  <c r="M288" i="16"/>
  <c r="M795" i="16"/>
  <c r="M822" i="16"/>
  <c r="M281" i="16"/>
  <c r="M82" i="16"/>
  <c r="M2591" i="16"/>
  <c r="M2135" i="16"/>
  <c r="M2199" i="16"/>
  <c r="M3017" i="16"/>
  <c r="M1735" i="16"/>
  <c r="M1826" i="16"/>
  <c r="M159" i="16"/>
  <c r="M2885" i="16"/>
  <c r="M2950" i="16"/>
  <c r="M1807" i="16"/>
  <c r="M1647" i="16"/>
  <c r="M1023" i="16"/>
  <c r="M717" i="16"/>
  <c r="M219" i="16"/>
  <c r="M255" i="16"/>
  <c r="M2285" i="16"/>
  <c r="M2996" i="16"/>
  <c r="M732" i="16"/>
  <c r="M2291" i="16"/>
  <c r="M701" i="16"/>
  <c r="M1182" i="16"/>
  <c r="M2992" i="16"/>
  <c r="M908" i="16"/>
  <c r="M1857" i="16"/>
  <c r="M2845" i="16"/>
  <c r="M1090" i="16"/>
  <c r="M2450" i="16"/>
  <c r="M1924" i="16"/>
  <c r="M380" i="16"/>
  <c r="M2853" i="16"/>
  <c r="M58" i="16"/>
  <c r="M2302" i="16"/>
  <c r="M1755" i="16"/>
  <c r="M1572" i="16"/>
  <c r="M2959" i="16"/>
  <c r="M1080" i="16"/>
  <c r="M2131" i="16"/>
  <c r="M427" i="16"/>
  <c r="M1066" i="16"/>
  <c r="M340" i="16"/>
  <c r="M2809" i="16"/>
  <c r="M2405" i="16"/>
  <c r="M760" i="16"/>
  <c r="M1034" i="16"/>
  <c r="M665" i="16"/>
  <c r="M2263" i="16"/>
  <c r="M2269" i="16"/>
  <c r="M1170" i="16"/>
  <c r="M445" i="16"/>
  <c r="M1192" i="16"/>
  <c r="M124" i="16"/>
  <c r="M2268" i="16"/>
  <c r="M3019" i="16"/>
  <c r="M1450" i="16"/>
  <c r="M1878" i="16"/>
  <c r="M934" i="16"/>
  <c r="M1769" i="16"/>
  <c r="M992" i="16"/>
  <c r="M421" i="16"/>
  <c r="M1504" i="16"/>
  <c r="M2448" i="16"/>
  <c r="M2692" i="16"/>
  <c r="M1580" i="16"/>
  <c r="M2886" i="16"/>
  <c r="M48" i="16"/>
  <c r="M746" i="16"/>
  <c r="M2252" i="16"/>
  <c r="M1057" i="16"/>
  <c r="M674" i="16"/>
  <c r="M2818" i="16"/>
  <c r="M2161" i="16"/>
  <c r="M2452" i="16"/>
  <c r="M830" i="16"/>
  <c r="M1969" i="16"/>
  <c r="M1603" i="16"/>
  <c r="M1889" i="16"/>
  <c r="M2174" i="16"/>
  <c r="M555" i="16"/>
  <c r="M1374" i="16"/>
  <c r="M3105" i="16"/>
  <c r="M45" i="16"/>
  <c r="M2762" i="16"/>
  <c r="M731" i="16"/>
  <c r="M2939" i="16"/>
  <c r="M2130" i="16"/>
  <c r="M2035" i="16"/>
  <c r="M607" i="16"/>
  <c r="M673" i="16"/>
  <c r="M903" i="16"/>
  <c r="M2039" i="16"/>
  <c r="M2772" i="16"/>
  <c r="M2589" i="16"/>
  <c r="M2421" i="16"/>
  <c r="M1236" i="16"/>
  <c r="M1340" i="16"/>
  <c r="M130" i="16"/>
  <c r="M3071" i="16"/>
  <c r="M3056" i="16"/>
  <c r="M1215" i="16"/>
  <c r="M1894" i="16"/>
  <c r="M3091" i="16"/>
  <c r="M2427" i="16"/>
  <c r="M1194" i="16"/>
  <c r="M1861" i="16"/>
  <c r="M2847" i="16"/>
  <c r="M2677" i="16"/>
  <c r="M2846" i="16"/>
  <c r="M1348" i="16"/>
  <c r="M2142" i="16"/>
  <c r="M2967" i="16"/>
  <c r="M191" i="16"/>
  <c r="M3024" i="16"/>
  <c r="M144" i="16"/>
  <c r="M2045" i="16"/>
  <c r="M1446" i="16"/>
  <c r="M794" i="16"/>
  <c r="M855" i="16"/>
  <c r="M1512" i="16"/>
  <c r="M2720" i="16"/>
  <c r="M2993" i="16"/>
  <c r="M1822" i="16"/>
  <c r="M2982" i="16"/>
  <c r="M490" i="16"/>
  <c r="M2028" i="16"/>
  <c r="M2064" i="16"/>
  <c r="M734" i="16"/>
  <c r="M1019" i="16"/>
  <c r="M1950" i="16"/>
  <c r="M1987" i="16"/>
  <c r="M19" i="16"/>
  <c r="M2559" i="16"/>
  <c r="M2040" i="16"/>
  <c r="M2878" i="16"/>
  <c r="M1438" i="16"/>
  <c r="M2782" i="16"/>
  <c r="M2684" i="16"/>
  <c r="M96" i="16"/>
  <c r="M62" i="16"/>
  <c r="M1436" i="16"/>
  <c r="M628" i="16"/>
  <c r="M313" i="16"/>
  <c r="M546" i="16"/>
  <c r="M2415" i="16"/>
  <c r="M2628" i="16"/>
  <c r="M1177" i="16"/>
  <c r="M996" i="16"/>
  <c r="M1088" i="16"/>
  <c r="M1635" i="16"/>
  <c r="M1900" i="16"/>
  <c r="M2393" i="16"/>
  <c r="M435" i="16"/>
  <c r="M779" i="16"/>
  <c r="M540" i="16"/>
  <c r="M2247" i="16"/>
  <c r="M2422" i="16"/>
  <c r="M2118" i="16"/>
  <c r="M1371" i="16"/>
  <c r="M3000" i="16"/>
  <c r="M2477" i="16"/>
  <c r="M1847" i="16"/>
  <c r="M2074" i="16"/>
  <c r="M87" i="16"/>
  <c r="M56" i="16"/>
  <c r="M2799" i="16"/>
  <c r="M2360" i="16"/>
  <c r="M2532" i="16"/>
  <c r="M783" i="16"/>
  <c r="M2050" i="16"/>
  <c r="M530" i="16"/>
  <c r="M2940" i="16"/>
  <c r="M3119" i="16"/>
  <c r="M1322" i="16"/>
  <c r="M2402" i="16"/>
  <c r="M1646" i="16"/>
  <c r="M2921" i="16"/>
  <c r="M3006" i="16"/>
  <c r="M1325" i="16"/>
  <c r="M2583" i="16"/>
  <c r="M3097" i="16"/>
  <c r="M1073" i="16"/>
  <c r="M21" i="16"/>
  <c r="M2227" i="16"/>
  <c r="M400" i="16"/>
  <c r="M2509" i="16"/>
  <c r="M2539" i="16"/>
  <c r="M3013" i="16"/>
  <c r="M1685" i="16"/>
  <c r="M1915" i="16"/>
  <c r="M2403" i="16"/>
  <c r="M2281" i="16"/>
  <c r="M2257" i="16"/>
  <c r="M2697" i="16"/>
  <c r="M2580" i="16"/>
  <c r="M455" i="16"/>
  <c r="M1362" i="16"/>
  <c r="M187" i="16"/>
  <c r="M2445" i="16"/>
  <c r="M1259" i="16"/>
  <c r="M1678" i="16"/>
  <c r="M1668" i="16"/>
  <c r="M2618" i="16"/>
  <c r="M889" i="16"/>
  <c r="M1737" i="16"/>
  <c r="M1947" i="16"/>
  <c r="M2171" i="16"/>
  <c r="M2551" i="16"/>
  <c r="M2038" i="16"/>
  <c r="M1359" i="16"/>
  <c r="M180" i="16"/>
  <c r="M1731" i="16"/>
  <c r="M1412" i="16"/>
  <c r="M1599" i="16"/>
  <c r="M865" i="16"/>
  <c r="M529" i="16"/>
  <c r="M1776" i="16"/>
  <c r="M3093" i="16"/>
  <c r="M220" i="16"/>
  <c r="M2273" i="16"/>
  <c r="M2447" i="16"/>
  <c r="M850" i="16"/>
  <c r="M2626" i="16"/>
  <c r="M1890" i="16"/>
  <c r="M1078" i="16"/>
  <c r="M1558" i="16"/>
  <c r="M510" i="16"/>
  <c r="M3069" i="16"/>
  <c r="M1281" i="16"/>
  <c r="M1110" i="16"/>
  <c r="M2877" i="16"/>
  <c r="M724" i="16"/>
  <c r="M2505" i="16"/>
  <c r="M2077" i="16"/>
  <c r="M1971" i="16"/>
  <c r="M1353" i="16"/>
  <c r="M2275" i="16"/>
  <c r="M1522" i="16"/>
  <c r="M2484" i="16"/>
  <c r="M694" i="16"/>
  <c r="M2986" i="16"/>
  <c r="M3022" i="16"/>
  <c r="M638" i="16"/>
  <c r="M109" i="16"/>
  <c r="M2987" i="16"/>
  <c r="M925" i="16"/>
  <c r="M60" i="16"/>
  <c r="M776" i="16"/>
  <c r="M743" i="16"/>
  <c r="M3040" i="16"/>
  <c r="M1040" i="16"/>
  <c r="M2725" i="16"/>
  <c r="M2784" i="16"/>
  <c r="M1328" i="16"/>
  <c r="M1930" i="16"/>
  <c r="M599" i="16"/>
  <c r="M661" i="16"/>
  <c r="M802" i="16"/>
  <c r="M2408" i="16"/>
  <c r="M3031" i="16"/>
  <c r="M438" i="16"/>
  <c r="M1042" i="16"/>
  <c r="M357" i="16"/>
  <c r="M2235" i="16"/>
  <c r="M282" i="16"/>
  <c r="M2055" i="16"/>
  <c r="M1233" i="16"/>
  <c r="M1035" i="16"/>
  <c r="M1303" i="16"/>
  <c r="M2988" i="16"/>
  <c r="M1370" i="16"/>
  <c r="M1004" i="16"/>
  <c r="M588" i="16"/>
  <c r="M1218" i="16"/>
  <c r="M1221" i="16"/>
  <c r="M676" i="16"/>
  <c r="M1413" i="16"/>
  <c r="M1392" i="16"/>
  <c r="M635" i="16"/>
  <c r="M2341" i="16"/>
  <c r="M2755" i="16"/>
  <c r="M2958" i="16"/>
  <c r="M22" i="16"/>
  <c r="M1271" i="16"/>
  <c r="M2816" i="16"/>
  <c r="M2141" i="16"/>
  <c r="M1244" i="16"/>
  <c r="M235" i="16"/>
  <c r="M449" i="16"/>
  <c r="M206" i="16"/>
  <c r="M2377" i="16"/>
  <c r="M1045" i="16"/>
  <c r="M1977" i="16"/>
  <c r="M32" i="16"/>
  <c r="M258" i="16"/>
  <c r="M1560" i="16"/>
  <c r="M1180" i="16"/>
  <c r="M3100" i="16"/>
  <c r="M2400" i="16"/>
  <c r="M2516" i="16"/>
  <c r="M2651" i="16"/>
  <c r="M1248" i="16"/>
  <c r="M1165" i="16"/>
  <c r="M325" i="16"/>
  <c r="M2542" i="16"/>
  <c r="M1162" i="16"/>
  <c r="M290" i="16"/>
  <c r="M1086" i="16"/>
  <c r="M2349" i="16"/>
  <c r="M1169" i="16"/>
  <c r="M2007" i="16"/>
  <c r="M1407" i="16"/>
  <c r="M1085" i="16"/>
  <c r="M819" i="16"/>
  <c r="M797" i="16"/>
  <c r="M1048" i="16"/>
  <c r="M765" i="16"/>
  <c r="M1528" i="16"/>
  <c r="M686" i="16"/>
  <c r="M1432" i="16"/>
  <c r="M600" i="16"/>
  <c r="M3011" i="16"/>
  <c r="M170" i="16"/>
  <c r="M1103" i="16"/>
  <c r="M1055" i="16"/>
  <c r="M2803" i="16"/>
  <c r="M2325" i="16"/>
  <c r="M1161" i="16"/>
  <c r="M2323" i="16"/>
  <c r="M1978" i="16"/>
  <c r="M423" i="16"/>
  <c r="M824" i="16"/>
  <c r="M2678" i="16"/>
  <c r="M1381" i="16"/>
  <c r="M945" i="16"/>
  <c r="M649" i="16"/>
  <c r="M64" i="16"/>
  <c r="M2098" i="16"/>
  <c r="M1984" i="16"/>
  <c r="M485" i="16"/>
  <c r="M916" i="16"/>
  <c r="M1935" i="16"/>
  <c r="M666" i="16"/>
  <c r="M2234" i="16"/>
  <c r="M451" i="16"/>
  <c r="M1097" i="16"/>
  <c r="M2663" i="16"/>
  <c r="M1160" i="16"/>
  <c r="M2211" i="16"/>
  <c r="M3144" i="16"/>
  <c r="M1142" i="16"/>
  <c r="M2470" i="16"/>
  <c r="M2178" i="16"/>
  <c r="M1000" i="16"/>
  <c r="M1451" i="16"/>
  <c r="M139" i="16"/>
  <c r="M2963" i="16"/>
  <c r="M2201" i="16"/>
  <c r="M1907" i="16"/>
  <c r="M1665" i="16"/>
  <c r="M1714" i="16"/>
  <c r="M462" i="16"/>
  <c r="M1304" i="16"/>
  <c r="M1948" i="16"/>
  <c r="M1886" i="16"/>
  <c r="M1715" i="16"/>
  <c r="M70" i="16"/>
  <c r="M1396" i="16"/>
  <c r="M387" i="16"/>
  <c r="M640" i="16"/>
  <c r="M1958" i="16"/>
  <c r="M162" i="16"/>
  <c r="M1867" i="16"/>
  <c r="M2795" i="16"/>
  <c r="M2478" i="16"/>
  <c r="M2974" i="16"/>
  <c r="M1990" i="16"/>
  <c r="M1458" i="16"/>
  <c r="M877" i="16"/>
  <c r="M927" i="16"/>
  <c r="M2592" i="16"/>
  <c r="M2319" i="16"/>
  <c r="M67" i="16"/>
  <c r="M1188" i="16"/>
  <c r="M1076" i="16"/>
  <c r="M1643" i="16"/>
  <c r="M911" i="16"/>
  <c r="M2838" i="16"/>
  <c r="M479" i="16"/>
  <c r="M1579" i="16"/>
  <c r="M1091" i="16"/>
  <c r="M2003" i="16"/>
  <c r="M1199" i="16"/>
  <c r="M2962" i="16"/>
  <c r="M1096" i="16"/>
  <c r="M2473" i="16"/>
  <c r="M755" i="16"/>
  <c r="M2439" i="16"/>
  <c r="M857" i="16"/>
  <c r="M2316" i="16"/>
  <c r="M3115" i="16"/>
  <c r="M3141" i="16"/>
  <c r="M1844" i="16"/>
  <c r="M2872" i="16"/>
  <c r="M563" i="16"/>
  <c r="M931" i="16"/>
  <c r="M1406" i="16"/>
  <c r="M1586" i="16"/>
  <c r="M1692" i="16"/>
  <c r="M2454" i="16"/>
  <c r="M2282" i="16"/>
  <c r="M2153" i="16"/>
  <c r="M1062" i="16"/>
  <c r="M537" i="16"/>
  <c r="M2342" i="16"/>
  <c r="M2994" i="16"/>
  <c r="M531" i="16"/>
  <c r="M1849" i="16"/>
  <c r="M2590" i="16"/>
  <c r="M913" i="16"/>
  <c r="M1339" i="16"/>
  <c r="M1279" i="16"/>
  <c r="M2384" i="16"/>
  <c r="M1532" i="16"/>
  <c r="M3074" i="16"/>
  <c r="M752" i="16"/>
  <c r="M613" i="16"/>
  <c r="M459" i="16"/>
  <c r="M2025" i="16"/>
  <c r="M2876" i="16"/>
  <c r="M316" i="16"/>
  <c r="M2409" i="16"/>
  <c r="M2759" i="16"/>
  <c r="M1241" i="16"/>
  <c r="M85" i="16"/>
  <c r="M486" i="16"/>
  <c r="M978" i="16"/>
  <c r="M1527" i="16"/>
  <c r="M1484" i="16"/>
  <c r="M1602" i="16"/>
  <c r="M2881" i="16"/>
  <c r="M2764" i="16"/>
  <c r="M1662" i="16"/>
  <c r="M394" i="16"/>
  <c r="M2387" i="16"/>
  <c r="M562" i="16"/>
  <c r="M641" i="16"/>
  <c r="M1109" i="16"/>
  <c r="M2723" i="16"/>
  <c r="M132" i="16"/>
  <c r="M1975" i="16"/>
  <c r="M1063" i="16"/>
  <c r="M2399" i="16"/>
  <c r="M3060" i="16"/>
  <c r="M1028" i="16"/>
  <c r="M287" i="16"/>
  <c r="M1862" i="16"/>
  <c r="M1117" i="16"/>
  <c r="M2873" i="16"/>
  <c r="M538" i="16"/>
  <c r="M2654" i="16"/>
  <c r="M2388" i="16"/>
  <c r="M1239" i="16"/>
  <c r="M407" i="16"/>
  <c r="M2637" i="16"/>
  <c r="M974" i="16"/>
  <c r="M2469" i="16"/>
  <c r="M1926" i="16"/>
  <c r="M817" i="16"/>
  <c r="M2152" i="16"/>
  <c r="M1565" i="16"/>
  <c r="M1873" i="16"/>
  <c r="M1104" i="16"/>
  <c r="M2148" i="16"/>
  <c r="M343" i="16"/>
  <c r="M560" i="16"/>
  <c r="M2044" i="16"/>
  <c r="M1796" i="16"/>
  <c r="M136" i="16"/>
  <c r="M1069" i="16"/>
  <c r="M979" i="16"/>
  <c r="M719" i="16"/>
  <c r="M2902" i="16"/>
  <c r="M883" i="16"/>
  <c r="M1634" i="16"/>
  <c r="M1865" i="16"/>
  <c r="M859" i="16"/>
  <c r="M1642" i="16"/>
  <c r="M1274" i="16"/>
  <c r="M1993" i="16"/>
  <c r="M2724" i="16"/>
  <c r="M2488" i="16"/>
  <c r="M870" i="16"/>
  <c r="M164" i="16"/>
  <c r="M254" i="16"/>
  <c r="M763" i="16"/>
  <c r="M3123" i="16"/>
  <c r="M1207" i="16"/>
  <c r="M2001" i="16"/>
  <c r="M2511" i="16"/>
  <c r="M1277" i="16"/>
  <c r="M413" i="16"/>
  <c r="M2296" i="16"/>
  <c r="M1897" i="16"/>
  <c r="M323" i="16"/>
  <c r="M1268" i="16"/>
  <c r="M1729" i="16"/>
  <c r="M1114" i="16"/>
  <c r="M2389" i="16"/>
  <c r="M1373" i="16"/>
  <c r="M1733" i="16"/>
  <c r="M2176" i="16"/>
  <c r="M759" i="16"/>
  <c r="M2475" i="16"/>
  <c r="M1721" i="16"/>
  <c r="M1521" i="16"/>
  <c r="M1927" i="16"/>
  <c r="M1195" i="16"/>
  <c r="M553" i="16"/>
  <c r="M949" i="16"/>
  <c r="M2128" i="16"/>
  <c r="M923" i="16"/>
  <c r="M920" i="16"/>
  <c r="M823" i="16"/>
  <c r="M3047" i="16"/>
  <c r="M1838" i="16"/>
  <c r="M1318" i="16"/>
  <c r="M2670" i="16"/>
  <c r="M2615" i="16"/>
  <c r="M1591" i="16"/>
  <c r="M2277" i="16"/>
  <c r="M1898" i="16"/>
  <c r="M1554" i="16"/>
  <c r="M2951" i="16"/>
  <c r="M1684" i="16"/>
  <c r="M2891" i="16"/>
  <c r="M185" i="16"/>
  <c r="M2294" i="16"/>
  <c r="M2167" i="16"/>
  <c r="M311" i="16"/>
  <c r="M315" i="16"/>
  <c r="M1913" i="16"/>
  <c r="M1902" i="16"/>
  <c r="M1846" i="16"/>
  <c r="M2506" i="16"/>
  <c r="M227" i="16"/>
  <c r="M409" i="16"/>
  <c r="M165" i="16"/>
  <c r="M542" i="16"/>
  <c r="M664" i="16"/>
  <c r="M3117" i="16"/>
  <c r="M1810" i="16"/>
  <c r="M1295" i="16"/>
  <c r="M1349" i="16"/>
  <c r="M984" i="16"/>
  <c r="M2897" i="16"/>
  <c r="M511" i="16"/>
  <c r="M1746" i="16"/>
  <c r="M2339" i="16"/>
  <c r="M439" i="16"/>
  <c r="M2328" i="16"/>
  <c r="M1595" i="16"/>
  <c r="M2579" i="16"/>
  <c r="M253" i="16"/>
  <c r="M2204" i="16"/>
  <c r="M2778" i="16"/>
  <c r="M2870" i="16"/>
  <c r="M2196" i="16"/>
  <c r="M2611" i="16"/>
  <c r="M1127" i="16"/>
  <c r="M2831" i="16"/>
  <c r="M1542" i="16"/>
  <c r="M2920" i="16"/>
  <c r="M1738" i="16"/>
  <c r="M1256" i="16"/>
  <c r="M149" i="16"/>
  <c r="M2260" i="16"/>
  <c r="M2104" i="16"/>
  <c r="M1087" i="16"/>
  <c r="M3023" i="16"/>
  <c r="M2546" i="16"/>
  <c r="M929" i="16"/>
  <c r="M285" i="16"/>
  <c r="M1772" i="16"/>
  <c r="M2867" i="16"/>
  <c r="M3096" i="16"/>
  <c r="M1223" i="16"/>
  <c r="M2824" i="16"/>
  <c r="M2657" i="16"/>
  <c r="M1331" i="16"/>
  <c r="M2368" i="16"/>
  <c r="M2617" i="16"/>
  <c r="M1650" i="16"/>
  <c r="M1951" i="16"/>
  <c r="M1186" i="16"/>
  <c r="M2063" i="16"/>
  <c r="M2218" i="16"/>
  <c r="M1112" i="16"/>
  <c r="M2374" i="16"/>
  <c r="M327" i="16"/>
  <c r="M1488" i="16"/>
  <c r="M1146" i="16"/>
  <c r="M1393" i="16"/>
  <c r="M1290" i="16"/>
  <c r="M2597" i="16"/>
  <c r="M1106" i="16"/>
  <c r="M192" i="16"/>
  <c r="M507" i="16"/>
  <c r="M1405" i="16"/>
  <c r="M2570" i="16"/>
  <c r="M2923" i="16"/>
  <c r="M590" i="16"/>
  <c r="M1805" i="16"/>
  <c r="M2900" i="16"/>
  <c r="M1673" i="16"/>
  <c r="M2004" i="16"/>
  <c r="M2966" i="16"/>
  <c r="M1219" i="16"/>
  <c r="M91" i="16"/>
  <c r="M1053" i="16"/>
  <c r="M337" i="16"/>
  <c r="M1095" i="16"/>
  <c r="M2787" i="16"/>
  <c r="M3084" i="16"/>
  <c r="M3007" i="16"/>
  <c r="M2851" i="16"/>
  <c r="M953" i="16"/>
  <c r="M2908" i="16"/>
  <c r="M2887" i="16"/>
  <c r="M2320" i="16"/>
  <c r="M1139" i="16"/>
  <c r="M86" i="16"/>
  <c r="M2930" i="16"/>
  <c r="M283" i="16"/>
  <c r="M645" i="16"/>
  <c r="M1830" i="16"/>
  <c r="M939" i="16"/>
  <c r="M1918" i="16"/>
  <c r="M3128" i="16"/>
  <c r="M1815" i="16"/>
  <c r="M2829" i="16"/>
  <c r="M2794" i="16"/>
  <c r="M642" i="16"/>
  <c r="M2464" i="16"/>
  <c r="M193" i="16"/>
  <c r="M1422" i="16"/>
  <c r="M2076" i="16"/>
  <c r="M2541" i="16"/>
  <c r="M1854" i="16"/>
  <c r="M2530" i="16"/>
  <c r="M1557" i="16"/>
  <c r="M1235" i="16"/>
  <c r="M1709" i="16"/>
  <c r="M215" i="16"/>
  <c r="M1232" i="16"/>
  <c r="M2396" i="16"/>
  <c r="M2090" i="16"/>
  <c r="M747" i="16"/>
  <c r="M2716" i="16"/>
  <c r="M103" i="16"/>
  <c r="M1358" i="16"/>
  <c r="M1551" i="16"/>
  <c r="M838" i="16"/>
  <c r="M2046" i="16"/>
  <c r="M2207" i="16"/>
  <c r="M1933" i="16"/>
  <c r="M1404" i="16"/>
  <c r="M960" i="16"/>
  <c r="M1584" i="16"/>
  <c r="M173" i="16"/>
  <c r="M2256" i="16"/>
  <c r="M146" i="16"/>
  <c r="M809" i="16"/>
  <c r="M172" i="16"/>
  <c r="M675" i="16"/>
  <c r="M2606" i="16"/>
  <c r="M2917" i="16"/>
  <c r="M951" i="16"/>
  <c r="M2080" i="16"/>
  <c r="M1116" i="16"/>
  <c r="M2083" i="16"/>
  <c r="M2085" i="16"/>
  <c r="M2370" i="16"/>
  <c r="M1843" i="16"/>
  <c r="M1841" i="16"/>
  <c r="M1881" i="16"/>
  <c r="M2345" i="16"/>
  <c r="M1390" i="16"/>
  <c r="M2507" i="16"/>
  <c r="M1794" i="16"/>
  <c r="M1766" i="16"/>
  <c r="M360" i="16"/>
  <c r="M2295" i="16"/>
  <c r="M946" i="16"/>
  <c r="M1443" i="16"/>
  <c r="M2817" i="16"/>
  <c r="M2533" i="16"/>
  <c r="M940" i="16"/>
  <c r="M1556" i="16"/>
  <c r="M804" i="16"/>
  <c r="M2526" i="16"/>
  <c r="M1690" i="16"/>
  <c r="M2322" i="16"/>
  <c r="M2925" i="16"/>
  <c r="M2701" i="16"/>
  <c r="M3073" i="16"/>
  <c r="M2446" i="16"/>
  <c r="M1286" i="16"/>
  <c r="M1234" i="16"/>
  <c r="M1592" i="16"/>
  <c r="M2119" i="16"/>
  <c r="M2595" i="16"/>
  <c r="M871" i="16"/>
  <c r="M957" i="16"/>
  <c r="M2706" i="16"/>
  <c r="M134" i="16"/>
  <c r="M750" i="16"/>
  <c r="M2334" i="16"/>
  <c r="M454" i="16"/>
  <c r="M2552" i="16"/>
  <c r="M2681" i="16"/>
  <c r="M2981" i="16"/>
  <c r="M2428" i="16"/>
  <c r="M2084" i="16"/>
  <c r="M592" i="16"/>
  <c r="M2922" i="16"/>
  <c r="M3067" i="16"/>
  <c r="M1803" i="16"/>
  <c r="M571" i="16"/>
  <c r="M1174" i="16"/>
  <c r="M1475" i="16"/>
  <c r="M1559" i="16"/>
  <c r="M1549" i="16"/>
  <c r="M304" i="16"/>
  <c r="M2037" i="16"/>
  <c r="M242" i="16"/>
  <c r="M440" i="16"/>
  <c r="M374" i="16"/>
  <c r="M1720" i="16"/>
  <c r="M1601" i="16"/>
  <c r="M1247" i="16"/>
  <c r="M2246" i="16"/>
  <c r="M3003" i="16"/>
  <c r="M2892" i="16"/>
  <c r="M1724" i="16"/>
  <c r="M1420" i="16"/>
  <c r="M2714" i="16"/>
  <c r="M847" i="16"/>
  <c r="M2123" i="16"/>
  <c r="M902" i="16"/>
  <c r="M1768" i="16"/>
  <c r="M2918" i="16"/>
  <c r="M1741" i="16"/>
  <c r="M2722" i="16"/>
  <c r="M1859" i="16"/>
  <c r="M1462" i="16"/>
  <c r="M658" i="16"/>
  <c r="M2705" i="16"/>
  <c r="M1133" i="16"/>
  <c r="M744" i="16"/>
  <c r="M835" i="16"/>
  <c r="M437" i="16"/>
  <c r="M2424" i="16"/>
  <c r="M1745" i="16"/>
  <c r="M1333" i="16"/>
  <c r="M601" i="16"/>
  <c r="M669" i="16"/>
  <c r="M1486" i="16"/>
  <c r="M1523" i="16"/>
  <c r="M2061" i="16"/>
  <c r="M6" i="16"/>
  <c r="M3140" i="16"/>
  <c r="M1344" i="16"/>
  <c r="M2267" i="16"/>
  <c r="M2821" i="16"/>
  <c r="M705" i="16"/>
  <c r="M1230" i="16"/>
  <c r="M2956" i="16"/>
  <c r="M894" i="16"/>
  <c r="M1465" i="16"/>
  <c r="M2748" i="16"/>
  <c r="M2493" i="16"/>
  <c r="M10" i="16"/>
  <c r="M1126" i="16"/>
  <c r="M214" i="16"/>
  <c r="M1677" i="16"/>
  <c r="M1439" i="16"/>
  <c r="M2262" i="16"/>
  <c r="M837" i="16"/>
  <c r="M2015" i="16"/>
  <c r="M1812" i="16"/>
  <c r="M1485" i="16"/>
  <c r="M672" i="16"/>
  <c r="M1159" i="16"/>
  <c r="M31" i="16"/>
  <c r="M1012" i="16"/>
  <c r="M2709" i="16"/>
  <c r="M2783" i="16"/>
  <c r="M1730" i="16"/>
  <c r="M1294" i="16"/>
  <c r="M127" i="16"/>
  <c r="M520" i="16"/>
  <c r="M2766" i="16"/>
  <c r="M2786" i="16"/>
  <c r="M1351" i="16"/>
  <c r="M161" i="16"/>
  <c r="M2163" i="16"/>
  <c r="M2485" i="16"/>
  <c r="M2621" i="16"/>
  <c r="M475" i="16"/>
  <c r="M512" i="16"/>
  <c r="M528" i="16"/>
  <c r="M766" i="16"/>
  <c r="M1323" i="16"/>
  <c r="M3036" i="16"/>
  <c r="M2222" i="16"/>
  <c r="M2301" i="16"/>
  <c r="M603" i="16"/>
  <c r="M556" i="16"/>
  <c r="M1135" i="16"/>
  <c r="M408" i="16"/>
  <c r="M1670" i="16"/>
  <c r="M1765" i="16"/>
  <c r="M1049" i="16"/>
  <c r="M1447" i="16"/>
  <c r="M2233" i="16"/>
  <c r="M2126" i="16"/>
  <c r="M2179" i="16"/>
  <c r="M1510" i="16"/>
  <c r="M3127" i="16"/>
  <c r="M2248" i="16"/>
  <c r="M2435" i="16"/>
  <c r="M2513" i="16"/>
  <c r="M1496" i="16"/>
  <c r="M2985" i="16"/>
  <c r="M1298" i="16"/>
  <c r="M1575" i="16"/>
  <c r="M1824" i="16"/>
  <c r="M1868" i="16"/>
  <c r="M3002" i="16"/>
  <c r="M469" i="16"/>
  <c r="M2682" i="16"/>
  <c r="M2048" i="16"/>
  <c r="M2462" i="16"/>
  <c r="M970" i="16"/>
  <c r="M2095" i="16"/>
  <c r="M342" i="16"/>
  <c r="M1653" i="16"/>
  <c r="M890" i="16"/>
  <c r="M2612" i="16"/>
  <c r="M1217" i="16"/>
  <c r="M1779" i="16"/>
  <c r="M2916" i="16"/>
  <c r="M740" i="16"/>
  <c r="M267" i="16"/>
  <c r="M1494" i="16"/>
  <c r="M1657" i="16"/>
  <c r="M1425" i="16"/>
  <c r="M2412" i="16"/>
  <c r="M2585" i="16"/>
  <c r="M2391" i="16"/>
  <c r="M2206" i="16"/>
  <c r="M2636" i="16"/>
  <c r="M181" i="16"/>
  <c r="M1489" i="16"/>
  <c r="M2182" i="16"/>
  <c r="M1402" i="16"/>
  <c r="M1533" i="16"/>
  <c r="M2946" i="16"/>
  <c r="M655" i="16"/>
  <c r="M2289" i="16"/>
  <c r="M815" i="16"/>
  <c r="M1775" i="16"/>
  <c r="M2777" i="16"/>
  <c r="M2499" i="16"/>
  <c r="M2841" i="16"/>
  <c r="M361" i="16"/>
  <c r="M707" i="16"/>
  <c r="M3034" i="16"/>
  <c r="M367" i="16"/>
  <c r="M1376" i="16"/>
  <c r="M1206" i="16"/>
  <c r="M2865" i="16"/>
  <c r="M2825" i="16"/>
  <c r="M921" i="16"/>
  <c r="M1567" i="16"/>
  <c r="M167" i="16"/>
  <c r="M1537" i="16"/>
  <c r="M647" i="16"/>
  <c r="M875" i="16"/>
  <c r="M2952" i="16"/>
  <c r="M841" i="16"/>
  <c r="M2912" i="16"/>
  <c r="M1364" i="16"/>
  <c r="M2729" i="16"/>
  <c r="M1787" i="16"/>
  <c r="M1350" i="16"/>
  <c r="M2836" i="16"/>
  <c r="M422" i="16"/>
  <c r="M2304" i="16"/>
  <c r="M1385" i="16"/>
  <c r="M1428" i="16"/>
  <c r="M1427" i="16"/>
  <c r="M2991" i="16"/>
  <c r="M986" i="16"/>
  <c r="M1804" i="16"/>
  <c r="M2965" i="16"/>
  <c r="M13" i="16"/>
  <c r="M2990" i="16"/>
  <c r="M2006" i="16"/>
  <c r="M3118" i="16"/>
  <c r="M1649" i="16"/>
  <c r="M799" i="16"/>
  <c r="M721" i="16"/>
  <c r="M748" i="16"/>
  <c r="M1009" i="16"/>
  <c r="M2476" i="16"/>
  <c r="M3108" i="16"/>
  <c r="M3092" i="16"/>
  <c r="M2395" i="16"/>
  <c r="M579" i="16"/>
  <c r="M1530" i="16"/>
  <c r="M621" i="16"/>
  <c r="M825" i="16"/>
  <c r="M1879" i="16"/>
  <c r="M1101" i="16"/>
  <c r="M3054" i="16"/>
  <c r="M2630" i="16"/>
  <c r="M1656" i="16"/>
  <c r="M604" i="16"/>
  <c r="M2016" i="16"/>
  <c r="M2071" i="16"/>
  <c r="M2826" i="16"/>
  <c r="M982" i="16"/>
  <c r="M2018" i="16"/>
  <c r="M3124" i="16"/>
  <c r="M2366" i="16"/>
  <c r="M401" i="16"/>
  <c r="M2239" i="16"/>
  <c r="M241" i="16"/>
  <c r="M2411" i="16"/>
  <c r="M2437" i="16"/>
  <c r="M38" i="16"/>
  <c r="M2329" i="16"/>
  <c r="M3080" i="16"/>
  <c r="M3102" i="16"/>
  <c r="M679" i="16"/>
  <c r="M2780" i="16"/>
  <c r="M2092" i="16"/>
  <c r="M1426" i="16"/>
  <c r="M2005" i="16"/>
  <c r="M72" i="16"/>
  <c r="M2760" i="16"/>
  <c r="M301" i="16"/>
  <c r="M739" i="16"/>
  <c r="M278" i="16"/>
  <c r="M727" i="16"/>
  <c r="M2599" i="16"/>
  <c r="M1756" i="16"/>
  <c r="M983" i="16"/>
  <c r="M2479" i="16"/>
  <c r="M349" i="16"/>
  <c r="M2894" i="16"/>
  <c r="M574" i="16"/>
  <c r="M2299" i="16"/>
  <c r="M1732" i="16"/>
  <c r="M1548" i="16"/>
  <c r="M3116" i="16"/>
  <c r="M499" i="16"/>
  <c r="M1955" i="16"/>
  <c r="M3077" i="16"/>
  <c r="M2070" i="16"/>
  <c r="M138" i="16"/>
  <c r="M2769" i="16"/>
  <c r="M1196" i="16"/>
  <c r="M2771" i="16"/>
  <c r="M3053" i="16"/>
  <c r="M2240" i="16"/>
  <c r="M2871" i="16"/>
  <c r="M516" i="16"/>
  <c r="M3132" i="16"/>
  <c r="M602" i="16"/>
  <c r="M754" i="16"/>
  <c r="M1694" i="16"/>
  <c r="M2775" i="16"/>
  <c r="M2099" i="16"/>
  <c r="M534" i="16"/>
  <c r="M2915" i="16"/>
  <c r="M1397" i="16"/>
  <c r="M95" i="16"/>
  <c r="M433" i="16"/>
  <c r="M2819" i="16"/>
  <c r="M2175" i="16"/>
  <c r="M863" i="16"/>
  <c r="M2822" i="16"/>
  <c r="M97" i="16"/>
  <c r="M1956" i="16"/>
  <c r="M2535" i="16"/>
  <c r="M324" i="16"/>
  <c r="M798" i="16"/>
  <c r="M3041" i="16"/>
  <c r="M237" i="16"/>
  <c r="M1245" i="16"/>
  <c r="M3051" i="16"/>
  <c r="M2899" i="16"/>
  <c r="M2660" i="16"/>
  <c r="M2101" i="16"/>
  <c r="M2264" i="16"/>
  <c r="M24" i="16"/>
  <c r="M788" i="16"/>
  <c r="M2225" i="16"/>
  <c r="M2671" i="16"/>
  <c r="M1623" i="16"/>
  <c r="M1704" i="16"/>
  <c r="M1636" i="16"/>
  <c r="M678" i="16"/>
  <c r="M2658" i="16"/>
  <c r="M1802" i="16"/>
  <c r="M3126" i="16"/>
  <c r="M2096" i="16"/>
  <c r="M1058" i="16"/>
  <c r="M543" i="16"/>
  <c r="M373" i="16"/>
  <c r="M2850" i="16"/>
  <c r="M2254" i="16"/>
  <c r="M2145" i="16"/>
  <c r="M1628" i="16"/>
  <c r="M1332" i="16"/>
  <c r="M1681" i="16"/>
  <c r="M1963" i="16"/>
  <c r="M2842" i="16"/>
  <c r="M1175" i="16"/>
  <c r="M1758" i="16"/>
  <c r="M918" i="16"/>
  <c r="M2308" i="16"/>
  <c r="M523" i="16"/>
  <c r="M1518" i="16"/>
  <c r="M2261" i="16"/>
  <c r="M1500" i="16"/>
  <c r="M1860" i="16"/>
  <c r="M1246" i="16"/>
  <c r="M1571" i="16"/>
  <c r="M2231" i="16"/>
  <c r="M2879" i="16"/>
  <c r="M689" i="16"/>
  <c r="M2776" i="16"/>
  <c r="M1181" i="16"/>
  <c r="M1911" i="16"/>
  <c r="M2582" i="16"/>
  <c r="M1880" i="16"/>
  <c r="M682" i="16"/>
  <c r="M1541" i="16"/>
  <c r="M1837" i="16"/>
  <c r="M2491" i="16"/>
  <c r="M1593" i="16"/>
  <c r="M2616" i="16"/>
  <c r="M2989" i="16"/>
  <c r="M999" i="16"/>
  <c r="M2251" i="16"/>
  <c r="M1508" i="16"/>
  <c r="M2790" i="16"/>
  <c r="M1929" i="16"/>
  <c r="M1816" i="16"/>
  <c r="M1354" i="16"/>
  <c r="M1848" i="16"/>
  <c r="M1998" i="16"/>
  <c r="M577" i="16"/>
  <c r="M398" i="16"/>
  <c r="M356" i="16"/>
  <c r="M457" i="16"/>
  <c r="M952" i="16"/>
  <c r="M1283" i="16"/>
  <c r="M874" i="16"/>
  <c r="M1326" i="16"/>
  <c r="M1257" i="16"/>
  <c r="M2453" i="16"/>
  <c r="M2298" i="16"/>
  <c r="M2668" i="16"/>
  <c r="M1140" i="16"/>
  <c r="M1767" i="16"/>
  <c r="M2834" i="16"/>
  <c r="M1996" i="16"/>
  <c r="M1562" i="16"/>
  <c r="M1312" i="16"/>
  <c r="M2889" i="16"/>
  <c r="M1185" i="16"/>
  <c r="M1949" i="16"/>
  <c r="M2180" i="16"/>
  <c r="M3061" i="16"/>
  <c r="M2905" i="16"/>
  <c r="M630" i="16"/>
  <c r="M856" i="16"/>
  <c r="M656" i="16"/>
  <c r="M1293" i="16"/>
  <c r="M1007" i="16"/>
  <c r="M351" i="16"/>
  <c r="M1801" i="16"/>
  <c r="M30" i="16"/>
  <c r="M468" i="16"/>
  <c r="M2571" i="16"/>
  <c r="M2947" i="16"/>
  <c r="M977" i="16"/>
  <c r="M1785" i="16"/>
  <c r="M2079" i="16"/>
  <c r="M1856" i="16"/>
  <c r="M2743" i="16"/>
  <c r="M2195" i="16"/>
  <c r="M2169" i="16"/>
  <c r="M1468" i="16"/>
  <c r="M892" i="16"/>
  <c r="M2495" i="16"/>
  <c r="M2726" i="16"/>
  <c r="M1395" i="16"/>
  <c r="M496" i="16"/>
  <c r="M2185" i="16"/>
  <c r="M2746" i="16"/>
  <c r="M2456" i="16"/>
  <c r="M123" i="16"/>
  <c r="M2858" i="16"/>
  <c r="M791" i="16"/>
  <c r="M1005" i="16"/>
  <c r="M1608" i="16"/>
  <c r="M481" i="16"/>
  <c r="M1908" i="16"/>
  <c r="M171" i="16"/>
  <c r="M2441" i="16"/>
  <c r="M827" i="16"/>
  <c r="M901" i="16"/>
  <c r="M2650" i="16"/>
  <c r="M2933" i="16"/>
  <c r="M2544" i="16"/>
  <c r="M2216" i="16"/>
  <c r="M1687" i="16"/>
  <c r="M174" i="16"/>
  <c r="M140" i="16"/>
  <c r="M2578" i="16"/>
  <c r="M328" i="16"/>
  <c r="M1944" i="16"/>
  <c r="M1197" i="16"/>
  <c r="M493" i="16"/>
  <c r="M3113" i="16"/>
  <c r="M617" i="16"/>
  <c r="M2461" i="16"/>
  <c r="M1460" i="16"/>
  <c r="M1526" i="16"/>
  <c r="M3055" i="16"/>
  <c r="M336" i="16"/>
  <c r="M2154" i="16"/>
  <c r="M2603" i="16"/>
  <c r="M2190" i="16"/>
  <c r="M1213" i="16"/>
  <c r="M789" i="16"/>
  <c r="M44" i="16"/>
  <c r="M2362" i="16"/>
  <c r="M509" i="16"/>
  <c r="M2607" i="16"/>
  <c r="M2471" i="16"/>
  <c r="M1708" i="16"/>
  <c r="M157" i="16"/>
  <c r="M1044" i="16"/>
  <c r="M1790" i="16"/>
  <c r="M1823" i="16"/>
  <c r="M55" i="16"/>
  <c r="M2062" i="16"/>
  <c r="M2531" i="16"/>
  <c r="M1917" i="16"/>
  <c r="M3090" i="16"/>
  <c r="M3058" i="16"/>
  <c r="M1054" i="16"/>
  <c r="M1598" i="16"/>
  <c r="M252" i="16"/>
  <c r="M483" i="16"/>
  <c r="M878" i="16"/>
  <c r="M2413" i="16"/>
  <c r="M1474" i="16"/>
  <c r="M1820" i="16"/>
  <c r="M251" i="16"/>
  <c r="M1770" i="16"/>
  <c r="M541" i="16"/>
  <c r="M1022" i="16"/>
  <c r="M2127" i="16"/>
  <c r="M1089" i="16"/>
  <c r="M1876" i="16"/>
  <c r="M2124" i="16"/>
  <c r="M2060" i="16"/>
  <c r="M2177" i="16"/>
  <c r="M2226" i="16"/>
  <c r="M145" i="16"/>
  <c r="M2856" i="16"/>
  <c r="M1884" i="16"/>
  <c r="M1491" i="16"/>
  <c r="M820" i="16"/>
  <c r="M2187" i="16"/>
  <c r="M1698" i="16"/>
  <c r="M3121" i="16"/>
  <c r="M1297" i="16"/>
  <c r="M2255" i="16"/>
  <c r="M1324" i="16"/>
  <c r="M502" i="16"/>
  <c r="M1227" i="16"/>
  <c r="M1631" i="16"/>
  <c r="M1818" i="16"/>
  <c r="M1613" i="16"/>
  <c r="M2236" i="16"/>
  <c r="M2563" i="16"/>
  <c r="M2186" i="16"/>
  <c r="M593" i="16"/>
  <c r="M1398" i="16"/>
  <c r="M319" i="16"/>
  <c r="M1763" i="16"/>
  <c r="M1276" i="16"/>
  <c r="M428" i="16"/>
  <c r="M2359" i="16"/>
  <c r="M2371" i="16"/>
  <c r="M524" i="16"/>
  <c r="M1212" i="16"/>
  <c r="M1912" i="16"/>
  <c r="M1302" i="16"/>
  <c r="M2770" i="16"/>
  <c r="M1478" i="16"/>
  <c r="M2272" i="16"/>
  <c r="M1369" i="16"/>
  <c r="M810" i="16"/>
  <c r="M1991" i="16"/>
  <c r="M816" i="16"/>
  <c r="M1250" i="16"/>
  <c r="M200" i="16"/>
  <c r="M1676" i="16"/>
  <c r="M2666" i="16"/>
  <c r="M758" i="16"/>
  <c r="M1661" i="16"/>
  <c r="M2351" i="16"/>
  <c r="M2763" i="16"/>
  <c r="M2538" i="16"/>
  <c r="M722" i="16"/>
  <c r="M2622" i="16"/>
  <c r="M1258" i="16"/>
  <c r="M154" i="16"/>
  <c r="M305" i="16"/>
  <c r="M2971" i="16"/>
  <c r="M1712" i="16"/>
  <c r="M1903" i="16"/>
  <c r="M702" i="16"/>
  <c r="M1409" i="16"/>
  <c r="M3131" i="16"/>
  <c r="M2058" i="16"/>
  <c r="M274" i="16"/>
  <c r="M298" i="16"/>
  <c r="M203" i="16"/>
  <c r="M1492" i="16"/>
  <c r="M3139" i="16"/>
  <c r="M2451" i="16"/>
  <c r="M2317" i="16"/>
  <c r="M1118" i="16"/>
  <c r="M1338" i="16"/>
  <c r="M1329" i="16"/>
  <c r="M2440" i="16"/>
  <c r="M2742" i="16"/>
  <c r="M1788" i="16"/>
  <c r="M749" i="16"/>
  <c r="M910" i="16"/>
  <c r="M2839" i="16"/>
  <c r="M3014" i="16"/>
  <c r="M2906" i="16"/>
  <c r="M339" i="16"/>
  <c r="M1717" i="16"/>
  <c r="M2715" i="16"/>
  <c r="M249" i="16"/>
  <c r="M576" i="16"/>
  <c r="M2584" i="16"/>
  <c r="M1743" i="16"/>
  <c r="M137" i="16"/>
  <c r="M389" i="16"/>
  <c r="M1842" i="16"/>
  <c r="M2911" i="16"/>
  <c r="M1383" i="16"/>
  <c r="M2948" i="16"/>
  <c r="M2765" i="16"/>
  <c r="M2414" i="16"/>
  <c r="M1261" i="16"/>
  <c r="M447" i="16"/>
  <c r="M1563" i="16"/>
  <c r="M2352" i="16"/>
  <c r="M2000" i="16"/>
  <c r="M514" i="16"/>
  <c r="M3033" i="16"/>
  <c r="M341" i="16"/>
  <c r="M696" i="16"/>
  <c r="M2710" i="16"/>
  <c r="M840" i="16"/>
  <c r="M503" i="16"/>
  <c r="M2125" i="16"/>
  <c r="M1249" i="16"/>
  <c r="M1424" i="16"/>
  <c r="M393" i="16"/>
  <c r="M2875" i="16"/>
  <c r="M2146" i="16"/>
  <c r="M317" i="16"/>
  <c r="M2386" i="16"/>
  <c r="M2116" i="16"/>
  <c r="M1411" i="16"/>
  <c r="M2249" i="16"/>
  <c r="M2792" i="16"/>
  <c r="M2828" i="16"/>
  <c r="M1122" i="16"/>
  <c r="M1701" i="16"/>
  <c r="M712" i="16"/>
  <c r="M773" i="16"/>
  <c r="M1711" i="16"/>
  <c r="M2013" i="16"/>
  <c r="M1418" i="16"/>
  <c r="M535" i="16"/>
  <c r="M2594" i="16"/>
  <c r="M1967" i="16"/>
  <c r="M1435" i="16"/>
  <c r="M3135" i="16"/>
  <c r="M309" i="16"/>
  <c r="M463" i="16"/>
  <c r="M1693" i="16"/>
  <c r="M275" i="16"/>
  <c r="M2573" i="16"/>
  <c r="M184" i="16"/>
  <c r="M425" i="16"/>
  <c r="M2321" i="16"/>
  <c r="M1747" i="16"/>
  <c r="M612" i="16"/>
  <c r="M1633" i="16"/>
  <c r="M2120" i="16"/>
  <c r="M1461" i="16"/>
  <c r="M277" i="16"/>
  <c r="M2830" i="16"/>
  <c r="M1100" i="16"/>
  <c r="M197" i="16"/>
  <c r="M1999" i="16"/>
  <c r="M1536" i="16"/>
  <c r="M1621" i="16"/>
  <c r="M3042" i="16"/>
  <c r="M2943" i="16"/>
  <c r="M769" i="16"/>
  <c r="M2392" i="16"/>
  <c r="M1509" i="16"/>
  <c r="M3052" i="16"/>
  <c r="M470" i="16"/>
  <c r="M1651" i="16"/>
  <c r="M2903" i="16"/>
  <c r="M2669" i="16"/>
  <c r="M1316" i="16"/>
  <c r="M1123" i="16"/>
  <c r="M1313" i="16"/>
  <c r="M1629" i="16"/>
  <c r="M2686" i="16"/>
  <c r="M364" i="16"/>
  <c r="M1795" i="16"/>
  <c r="M2919" i="16"/>
  <c r="M2512" i="16"/>
  <c r="M2047" i="16"/>
  <c r="M2094" i="16"/>
  <c r="M936" i="16"/>
  <c r="M1209" i="16"/>
  <c r="M858" i="16"/>
  <c r="M2843" i="16"/>
  <c r="M697" i="16"/>
  <c r="M521" i="16"/>
  <c r="M1501" i="16"/>
  <c r="M2002" i="16"/>
  <c r="M2059" i="16"/>
  <c r="M1744" i="16"/>
  <c r="M627" i="16"/>
  <c r="M2103" i="16"/>
  <c r="M781" i="16"/>
  <c r="M2913" i="16"/>
  <c r="M548" i="16"/>
  <c r="M1444" i="16"/>
  <c r="M2972" i="16"/>
  <c r="M2041" i="16"/>
  <c r="M1840" i="16"/>
  <c r="M204" i="16"/>
  <c r="M1546" i="16"/>
  <c r="M1611" i="16"/>
  <c r="M2907" i="16"/>
  <c r="M684" i="16"/>
  <c r="M2354" i="16"/>
  <c r="M2213" i="16"/>
  <c r="M807" i="16"/>
  <c r="M1573" i="16"/>
  <c r="M1346" i="16"/>
  <c r="M34" i="16"/>
  <c r="M3142" i="16"/>
  <c r="M1638" i="16"/>
  <c r="M2635" i="16"/>
  <c r="M2574" i="16"/>
  <c r="M2863" i="16"/>
  <c r="M1719" i="16"/>
  <c r="M2023" i="16"/>
  <c r="M2659" i="16"/>
  <c r="M1357" i="16"/>
  <c r="M272" i="16"/>
  <c r="M411" i="16"/>
  <c r="M2815" i="16"/>
  <c r="M2728" i="16"/>
  <c r="M276" i="16"/>
  <c r="M2727" i="16"/>
  <c r="M59" i="16"/>
  <c r="M1098" i="16"/>
  <c r="M2442" i="16"/>
  <c r="M2557" i="16"/>
  <c r="M954" i="16"/>
  <c r="M497" i="16"/>
  <c r="M1695" i="16"/>
  <c r="M320" i="16"/>
  <c r="M1909" i="16"/>
  <c r="M611" i="16"/>
  <c r="M318" i="16"/>
  <c r="M2648" i="16"/>
  <c r="M1363" i="16"/>
  <c r="M637" i="16"/>
  <c r="M2406" i="16"/>
  <c r="M188" i="16"/>
  <c r="M1874" i="16"/>
  <c r="M1982" i="16"/>
  <c r="M1449" i="16"/>
  <c r="M1834" i="16"/>
  <c r="M2738" i="16"/>
  <c r="M544" i="16"/>
  <c r="M1459" i="16"/>
  <c r="M1836" i="16"/>
  <c r="M434" i="16"/>
  <c r="M2284" i="16"/>
  <c r="M651" i="16"/>
  <c r="M1064" i="16"/>
  <c r="M1553" i="16"/>
  <c r="M671" i="16"/>
  <c r="M1587" i="16"/>
  <c r="M2333" i="16"/>
  <c r="M1792" i="16"/>
  <c r="M561" i="16"/>
  <c r="M3134" i="16"/>
  <c r="M2274" i="16"/>
  <c r="M2737" i="16"/>
  <c r="M1498" i="16"/>
  <c r="M2027" i="16"/>
  <c r="M1928" i="16"/>
  <c r="M1124" i="16"/>
  <c r="M2232" i="16"/>
  <c r="M751" i="16"/>
  <c r="M833" i="16"/>
  <c r="M224" i="16"/>
  <c r="M761" i="16"/>
  <c r="M256" i="16"/>
  <c r="M1968" i="16"/>
  <c r="M231" i="16"/>
  <c r="M790" i="16"/>
  <c r="M737" i="16"/>
  <c r="M1585" i="16"/>
  <c r="M271" i="16"/>
  <c r="M2497" i="16"/>
  <c r="M248" i="16"/>
  <c r="M1320" i="16"/>
  <c r="M2425" i="16"/>
  <c r="M1817" i="16"/>
  <c r="M2278" i="16"/>
  <c r="M2698" i="16"/>
  <c r="M3012" i="16"/>
  <c r="M2217" i="16"/>
  <c r="M294" i="16"/>
  <c r="M2864" i="16"/>
  <c r="M90" i="16"/>
  <c r="M2751" i="16"/>
  <c r="M1081" i="16"/>
  <c r="M321" i="16"/>
  <c r="M1243" i="16"/>
  <c r="M1308" i="16"/>
  <c r="M199" i="16"/>
  <c r="M891" i="16"/>
  <c r="M495" i="16"/>
  <c r="M2078" i="16"/>
  <c r="M569" i="16"/>
  <c r="M2241" i="16"/>
  <c r="M2910" i="16"/>
  <c r="M2436" i="16"/>
  <c r="M1576" i="16"/>
  <c r="M2543" i="16"/>
  <c r="M914" i="16"/>
  <c r="M368" i="16"/>
  <c r="M1705" i="16"/>
  <c r="M1535" i="16"/>
  <c r="M2500" i="16"/>
  <c r="M2848" i="16"/>
  <c r="M2572" i="16"/>
  <c r="M1113" i="16"/>
  <c r="M465" i="16"/>
  <c r="M2695" i="16"/>
  <c r="M1726" i="16"/>
  <c r="M1415" i="16"/>
  <c r="M2529" i="16"/>
  <c r="M2566" i="16"/>
  <c r="M2560" i="16"/>
  <c r="M2649" i="16"/>
  <c r="M1454" i="16"/>
  <c r="M1832" i="16"/>
  <c r="M2561" i="16"/>
  <c r="M2481" i="16"/>
  <c r="M1981" i="16"/>
  <c r="M2343" i="16"/>
  <c r="M2862" i="16"/>
  <c r="M363" i="16"/>
  <c r="M1041" i="16"/>
  <c r="M557" i="16"/>
  <c r="M3026" i="16"/>
  <c r="M2265" i="16"/>
  <c r="M2832" i="16"/>
  <c r="M1960" i="16"/>
  <c r="M1870" i="16"/>
  <c r="M2672" i="16"/>
  <c r="M259" i="16"/>
  <c r="M1639" i="16"/>
  <c r="M995" i="16"/>
  <c r="M2122" i="16"/>
  <c r="M834" i="16"/>
  <c r="M2633" i="16"/>
  <c r="M2430" i="16"/>
  <c r="M2335" i="16"/>
  <c r="M2465" i="16"/>
  <c r="M1360" i="16"/>
  <c r="M2667" i="16"/>
  <c r="M2857" i="16"/>
  <c r="M1148" i="16"/>
  <c r="M2937" i="16"/>
  <c r="M1773" i="16"/>
  <c r="M3070" i="16"/>
  <c r="M2931" i="16"/>
  <c r="M2143" i="16"/>
  <c r="M508" i="16"/>
  <c r="M899" i="16"/>
  <c r="M346" i="16"/>
  <c r="M420" i="16"/>
  <c r="M2596" i="16"/>
  <c r="M1380" i="16"/>
  <c r="M1589" i="16"/>
  <c r="M2279" i="16"/>
  <c r="M654" i="16"/>
  <c r="M2151" i="16"/>
  <c r="M2645" i="16"/>
  <c r="M1191" i="16"/>
  <c r="M1132" i="16"/>
  <c r="M441" i="16"/>
  <c r="M2610" i="16"/>
  <c r="M3057" i="16"/>
  <c r="M2983" i="16"/>
  <c r="M3130" i="16"/>
  <c r="M2463" i="16"/>
  <c r="M1632" i="16"/>
  <c r="M2702" i="16"/>
  <c r="M243" i="16"/>
  <c r="M1414" i="16"/>
  <c r="M1863" i="16"/>
  <c r="M683" i="16"/>
  <c r="M2812" i="16"/>
  <c r="M236" i="16"/>
  <c r="M551" i="16"/>
  <c r="M3125" i="16"/>
  <c r="M2944" i="16"/>
  <c r="M308" i="16"/>
  <c r="M2575" i="16"/>
  <c r="M2652" i="16"/>
  <c r="M1609" i="16"/>
  <c r="M2522" i="16"/>
  <c r="M88" i="16"/>
  <c r="M2773" i="16"/>
  <c r="M1441" i="16"/>
  <c r="M3081" i="16"/>
  <c r="M2719" i="16"/>
  <c r="M2293" i="16"/>
  <c r="M1736" i="16"/>
  <c r="M2928" i="16"/>
  <c r="M2372" i="16"/>
  <c r="M431" i="16"/>
  <c r="M564" i="16"/>
  <c r="M1285" i="16"/>
  <c r="M1877" i="16"/>
  <c r="M1762" i="16"/>
  <c r="M1287" i="16"/>
  <c r="M1400" i="16"/>
  <c r="M595" i="16"/>
  <c r="M1727" i="16"/>
  <c r="M2230" i="16"/>
  <c r="M1129" i="16"/>
  <c r="M2434" i="16"/>
  <c r="M2331" i="16"/>
  <c r="M2731" i="16"/>
  <c r="M714" i="16"/>
  <c r="M1220" i="16"/>
  <c r="M716" i="16"/>
  <c r="M1799" i="16"/>
  <c r="M443" i="16"/>
  <c r="M2455" i="16"/>
  <c r="M194" i="16"/>
  <c r="M2586" i="16"/>
  <c r="M831" i="16"/>
  <c r="M1171" i="16"/>
  <c r="M1683" i="16"/>
  <c r="M872" i="16"/>
  <c r="M1974" i="16"/>
  <c r="M2868" i="16"/>
  <c r="M1399" i="16"/>
  <c r="M1267" i="16"/>
  <c r="M2330" i="16"/>
  <c r="M1046" i="16"/>
  <c r="M379" i="16"/>
  <c r="M730" i="16"/>
  <c r="M2675" i="16"/>
  <c r="M2545" i="16"/>
  <c r="M25" i="16"/>
  <c r="M609" i="16"/>
  <c r="M452" i="16"/>
  <c r="M2721" i="16"/>
  <c r="M3110" i="16"/>
  <c r="M706" i="16"/>
  <c r="M536" i="16"/>
  <c r="M1616" i="16"/>
  <c r="M2158" i="16"/>
  <c r="M1190" i="16"/>
  <c r="M532" i="16"/>
  <c r="M2057" i="16"/>
  <c r="M1511" i="16"/>
  <c r="M163" i="16"/>
  <c r="M1514" i="16"/>
  <c r="M2676" i="16"/>
  <c r="M570" i="16"/>
  <c r="M1015" i="16"/>
  <c r="M2602" i="16"/>
  <c r="M2807" i="16"/>
  <c r="M2687" i="16"/>
  <c r="M1644" i="16"/>
  <c r="M3111" i="16"/>
  <c r="M3010" i="16"/>
  <c r="M2355" i="16"/>
  <c r="M2350" i="16"/>
  <c r="M2017" i="16"/>
  <c r="M2524" i="16"/>
  <c r="M1519" i="16"/>
  <c r="M2953" i="16"/>
  <c r="M1334" i="16"/>
  <c r="M310" i="16"/>
  <c r="M2404" i="16"/>
  <c r="M151" i="16"/>
  <c r="M677" i="16"/>
  <c r="M2449" i="16"/>
  <c r="M57" i="16"/>
  <c r="M1851" i="16"/>
  <c r="M2486" i="16"/>
  <c r="M2496" i="16"/>
  <c r="M1771" i="16"/>
  <c r="M152" i="16"/>
  <c r="M1864" i="16"/>
  <c r="M2416" i="16"/>
  <c r="M1008" i="16"/>
  <c r="M2052" i="16"/>
  <c r="M565" i="16"/>
  <c r="M2369" i="16"/>
  <c r="M1115" i="16"/>
  <c r="M2290" i="16"/>
  <c r="M50" i="16"/>
  <c r="M2480" i="16"/>
  <c r="M1173" i="16"/>
  <c r="M550" i="16"/>
  <c r="M1583" i="16"/>
  <c r="M1479" i="16"/>
  <c r="M1707" i="16"/>
  <c r="M35" i="16"/>
  <c r="M1952" i="16"/>
  <c r="M693" i="16"/>
  <c r="M2562" i="16"/>
  <c r="M2326" i="16"/>
  <c r="M1119" i="16"/>
  <c r="M471" i="16"/>
  <c r="M3136" i="16"/>
  <c r="M3005" i="16"/>
  <c r="M260" i="16"/>
  <c r="M1466" i="16"/>
  <c r="M1032" i="16"/>
  <c r="M2150" i="16"/>
  <c r="M1038" i="16"/>
  <c r="M2214" i="16"/>
  <c r="M2270" i="16"/>
  <c r="M2361" i="16"/>
  <c r="M1289" i="16"/>
  <c r="M941" i="16"/>
  <c r="M2713" i="16"/>
  <c r="M2926" i="16"/>
  <c r="M2160" i="16"/>
  <c r="M2357" i="16"/>
  <c r="M2774" i="16"/>
  <c r="M2250" i="16"/>
  <c r="M713" i="16"/>
  <c r="M1335" i="16"/>
  <c r="M1688" i="16"/>
  <c r="M2901" i="16"/>
  <c r="M1493" i="16"/>
  <c r="M306" i="16"/>
  <c r="M2072" i="16"/>
  <c r="M293" i="16"/>
  <c r="M355" i="16"/>
  <c r="M2537" i="16"/>
  <c r="M1275" i="16"/>
  <c r="M1251" i="16"/>
  <c r="M1925" i="16"/>
  <c r="M2140" i="16"/>
  <c r="M1025" i="16"/>
  <c r="M629" i="16"/>
  <c r="M2114" i="16"/>
  <c r="M1128" i="16"/>
  <c r="M2938" i="16"/>
  <c r="M1178" i="16"/>
  <c r="M3065" i="16"/>
  <c r="M12" i="16"/>
  <c r="M3029" i="16"/>
  <c r="M729" i="16"/>
  <c r="M2134" i="16"/>
  <c r="M634" i="16"/>
  <c r="M1061" i="16"/>
  <c r="M436" i="16"/>
  <c r="M1885" i="16"/>
  <c r="M2100" i="16"/>
  <c r="M950" i="16"/>
  <c r="M2029" i="16"/>
  <c r="M2664" i="16"/>
  <c r="M691" i="16"/>
  <c r="M2798" i="16"/>
  <c r="M1713" i="16"/>
  <c r="M917" i="16"/>
  <c r="M1941" i="16"/>
  <c r="M2109" i="16"/>
  <c r="M842" i="16"/>
  <c r="M2426" i="16"/>
  <c r="M2193" i="16"/>
  <c r="M405" i="16"/>
  <c r="M1550" i="16"/>
  <c r="M1989" i="16"/>
  <c r="M2688" i="16"/>
  <c r="M785" i="16"/>
  <c r="M1674" i="16"/>
  <c r="M2888" i="16"/>
  <c r="M3137" i="16"/>
  <c r="M2056" i="16"/>
  <c r="M1869" i="16"/>
  <c r="M1391" i="16"/>
  <c r="M1445" i="16"/>
  <c r="M2696" i="16"/>
  <c r="M757" i="16"/>
  <c r="M2102" i="16"/>
  <c r="M849" i="16"/>
  <c r="M1906" i="16"/>
  <c r="M2528" i="16"/>
  <c r="M386" i="16"/>
  <c r="M2554" i="16"/>
  <c r="M1198" i="16"/>
  <c r="M474" i="16"/>
  <c r="M390" i="16"/>
  <c r="M92" i="16"/>
  <c r="M74" i="16"/>
  <c r="M907" i="16"/>
  <c r="M930" i="16"/>
  <c r="M2504" i="16"/>
  <c r="M1367" i="16"/>
  <c r="M2365" i="16"/>
  <c r="M685" i="16"/>
  <c r="M3138" i="16"/>
  <c r="M1979" i="16"/>
  <c r="M1016" i="16"/>
  <c r="M266" i="16"/>
  <c r="M2600" i="16"/>
  <c r="M1269" i="16"/>
  <c r="M2811" i="16"/>
  <c r="M2781" i="16"/>
  <c r="M2073" i="16"/>
  <c r="M3086" i="16"/>
  <c r="M186" i="16"/>
  <c r="M687" i="16"/>
  <c r="M3087" i="16"/>
  <c r="M852" i="16"/>
  <c r="M1131" i="16"/>
  <c r="M826" i="16"/>
  <c r="M1317" i="16"/>
  <c r="M1655" i="16"/>
  <c r="M2313" i="16"/>
  <c r="M1225" i="16"/>
  <c r="M1555" i="16"/>
  <c r="M143" i="16"/>
  <c r="M3009" i="16"/>
  <c r="M2823" i="16"/>
  <c r="M1200" i="16"/>
  <c r="M938" i="16"/>
  <c r="M415" i="16"/>
  <c r="M2553" i="16"/>
  <c r="M2588" i="16"/>
  <c r="M2730" i="16"/>
  <c r="M68" i="16"/>
  <c r="M1858" i="16"/>
  <c r="M844" i="16"/>
  <c r="M228" i="16"/>
  <c r="M14" i="16"/>
  <c r="M359" i="16"/>
  <c r="M735" i="16"/>
  <c r="M3050" i="16"/>
  <c r="M1569" i="16"/>
  <c r="M1702" i="16"/>
  <c r="M2979" i="16"/>
  <c r="M2110" i="16"/>
  <c r="M1314" i="16"/>
  <c r="M2895" i="16"/>
  <c r="M2601" i="16"/>
  <c r="M2976" i="16"/>
  <c r="M1125" i="16"/>
  <c r="M1517" i="16"/>
  <c r="M1365" i="16"/>
  <c r="M295" i="16"/>
  <c r="M2740" i="16"/>
  <c r="M1697" i="16"/>
  <c r="M461" i="16"/>
  <c r="M964" i="16"/>
  <c r="M2796" i="16"/>
  <c r="M1934" i="16"/>
  <c r="M2159" i="16"/>
  <c r="M1099" i="16"/>
  <c r="M158" i="16"/>
  <c r="M2162" i="16"/>
  <c r="M1617" i="16"/>
  <c r="M1552" i="16"/>
  <c r="M644" i="16"/>
  <c r="M2069" i="16"/>
  <c r="M1036" i="16"/>
  <c r="M2711" i="16"/>
  <c r="M709" i="16"/>
  <c r="M973" i="16"/>
  <c r="M3028" i="16"/>
  <c r="M703" i="16"/>
  <c r="M980" i="16"/>
  <c r="M240" i="16"/>
  <c r="M919" i="16"/>
  <c r="M1352" i="16"/>
  <c r="M399" i="16"/>
  <c r="M2087" i="16"/>
  <c r="M1531" i="16"/>
  <c r="M963" i="16"/>
  <c r="M2364" i="16"/>
  <c r="M2105" i="16"/>
  <c r="M2691" i="16"/>
  <c r="M898" i="16"/>
  <c r="M1137" i="16"/>
  <c r="M2549" i="16"/>
  <c r="M1448" i="16"/>
  <c r="M1408" i="16"/>
  <c r="M2020" i="16"/>
  <c r="M2739" i="16"/>
  <c r="M772" i="16"/>
  <c r="M723" i="16"/>
  <c r="M1473" i="16"/>
  <c r="M1006" i="16"/>
  <c r="M16" i="16"/>
  <c r="M774" i="16"/>
  <c r="M1059" i="16"/>
  <c r="M1305" i="16"/>
  <c r="M861" i="16"/>
  <c r="M768" i="16"/>
  <c r="M778" i="16"/>
  <c r="M1610" i="16"/>
  <c r="M2997" i="16"/>
  <c r="M3039" i="16"/>
  <c r="M767" i="16"/>
  <c r="M491" i="16"/>
  <c r="M1749" i="16"/>
  <c r="M2172" i="16"/>
  <c r="M1033" i="16"/>
  <c r="M867" i="16"/>
  <c r="M1419" i="16"/>
  <c r="M216" i="16"/>
  <c r="M2184" i="16"/>
  <c r="M614" i="16"/>
  <c r="M395" i="16"/>
  <c r="M2840" i="16"/>
  <c r="M549" i="16"/>
  <c r="M1540" i="16"/>
  <c r="M879" i="16"/>
  <c r="M292" i="16"/>
  <c r="M1156" i="16"/>
  <c r="M967" i="16"/>
  <c r="M568" i="16"/>
  <c r="M396" i="16"/>
  <c r="M3030" i="16"/>
  <c r="M2423" i="16"/>
  <c r="M667" i="16"/>
  <c r="M1003" i="16"/>
  <c r="M1658" i="16"/>
  <c r="M1224" i="16"/>
  <c r="M700" i="16"/>
  <c r="M2788" i="16"/>
  <c r="M985" i="16"/>
  <c r="M786" i="16"/>
  <c r="M959" i="16"/>
  <c r="M2492" i="16"/>
  <c r="M1973" i="16"/>
  <c r="M2327" i="16"/>
  <c r="M1513" i="16"/>
  <c r="M429" i="16"/>
  <c r="M1961" i="16"/>
  <c r="M1288" i="16"/>
  <c r="M2156" i="16"/>
  <c r="M873" i="16"/>
  <c r="M2779" i="16"/>
  <c r="M2661" i="16"/>
  <c r="M1282" i="16"/>
  <c r="M1936" i="16"/>
  <c r="M515" i="16"/>
  <c r="M648" i="16"/>
  <c r="M915" i="16"/>
  <c r="M1606" i="16"/>
  <c r="M112" i="16"/>
  <c r="M3075" i="16"/>
  <c r="M111" i="16"/>
  <c r="M1750" i="16"/>
  <c r="M183" i="16"/>
  <c r="M525" i="16"/>
  <c r="M348" i="16"/>
  <c r="M334" i="16"/>
  <c r="M1237" i="16"/>
  <c r="M350" i="16"/>
  <c r="M1833" i="16"/>
  <c r="M1784" i="16"/>
  <c r="M417" i="16"/>
  <c r="M211" i="16"/>
  <c r="M432" i="16"/>
  <c r="M403" i="16"/>
  <c r="M472" i="16"/>
  <c r="M886" i="16"/>
  <c r="M2242" i="16"/>
  <c r="M1463" i="16"/>
  <c r="M1624" i="16"/>
  <c r="M1605" i="16"/>
  <c r="M718" i="16"/>
  <c r="M2089" i="16"/>
  <c r="M728" i="16"/>
  <c r="M623" i="16"/>
  <c r="M2980" i="16"/>
  <c r="M358" i="16"/>
  <c r="M2978" i="16"/>
  <c r="M948" i="16"/>
  <c r="M924" i="16"/>
  <c r="M1361" i="16"/>
  <c r="M1440" i="16"/>
  <c r="M580" i="16"/>
  <c r="M1645" i="16"/>
  <c r="M636" i="16"/>
  <c r="M888" i="16"/>
  <c r="M1895" i="16"/>
  <c r="M1065" i="16"/>
  <c r="M489" i="16"/>
  <c r="M900" i="16"/>
  <c r="M1471" i="16"/>
  <c r="M775" i="16"/>
  <c r="M1315" i="16"/>
  <c r="M482" i="16"/>
  <c r="M1619" i="16"/>
  <c r="M1442" i="16"/>
  <c r="M1083" i="16"/>
  <c r="M2375" i="16"/>
  <c r="M1300" i="16"/>
  <c r="M1506" i="16"/>
  <c r="M2975" i="16"/>
  <c r="M1588" i="16"/>
  <c r="M1183" i="16"/>
  <c r="M681" i="16"/>
  <c r="M975" i="16"/>
  <c r="M1187" i="16"/>
  <c r="M559" i="16"/>
  <c r="M770" i="16"/>
  <c r="M1147" i="16"/>
  <c r="M2288" i="16"/>
  <c r="M269" i="16"/>
  <c r="M884" i="16"/>
  <c r="M268" i="16"/>
  <c r="M1164" i="16"/>
  <c r="M2690" i="16"/>
  <c r="M189" i="16"/>
  <c r="M961" i="16"/>
  <c r="M1211" i="16"/>
  <c r="M1464" i="16"/>
  <c r="M113" i="16"/>
  <c r="M2191" i="16"/>
  <c r="M1882" i="16"/>
  <c r="M1568" i="16"/>
  <c r="M663" i="16"/>
  <c r="M1734" i="16"/>
  <c r="M338" i="16"/>
  <c r="M345" i="16"/>
  <c r="M354" i="16"/>
  <c r="M904" i="16"/>
  <c r="M414" i="16"/>
  <c r="M1070" i="16"/>
  <c r="M466" i="16"/>
  <c r="M517" i="16"/>
  <c r="M720" i="16"/>
  <c r="M1030" i="16"/>
  <c r="M195" i="16"/>
  <c r="M223" i="16"/>
  <c r="M971" i="16"/>
  <c r="M829" i="16"/>
  <c r="M893" i="16"/>
  <c r="M1970" i="16"/>
  <c r="M1394" i="16"/>
  <c r="M1172" i="16"/>
  <c r="M928" i="16"/>
  <c r="M1084" i="16"/>
  <c r="M381" i="16"/>
  <c r="M943" i="16"/>
  <c r="M753" i="16"/>
  <c r="M1228" i="16"/>
  <c r="M745" i="16"/>
  <c r="M777" i="16"/>
  <c r="M1189" i="16"/>
  <c r="M1296" i="16"/>
  <c r="M2205" i="16"/>
  <c r="M2785" i="16"/>
  <c r="M581" i="16"/>
  <c r="M100" i="16"/>
  <c r="M160" i="16"/>
  <c r="M965" i="16"/>
  <c r="M9" i="16"/>
  <c r="M545" i="16"/>
  <c r="M473" i="16"/>
  <c r="M182" i="16"/>
  <c r="M208" i="16"/>
  <c r="M210" i="16"/>
  <c r="M108" i="16"/>
  <c r="M412" i="16"/>
  <c r="M711" i="16"/>
  <c r="M876" i="16"/>
  <c r="M135" i="16"/>
  <c r="M20" i="16"/>
  <c r="M416" i="16"/>
  <c r="M424" i="16"/>
  <c r="M148" i="16"/>
  <c r="M94" i="16"/>
  <c r="M169" i="16"/>
  <c r="M80" i="16"/>
  <c r="M128" i="16"/>
  <c r="M27" i="16"/>
  <c r="M3049" i="16"/>
  <c r="M1725" i="16"/>
  <c r="M2673" i="16"/>
  <c r="M2417" i="16"/>
  <c r="M3129" i="16"/>
  <c r="M811" i="16"/>
  <c r="M1231" i="16"/>
  <c r="M1965" i="16"/>
  <c r="M2929" i="16"/>
  <c r="M1543" i="16"/>
  <c r="M3089" i="16"/>
  <c r="M1959" i="16"/>
  <c r="M2833" i="16"/>
  <c r="M2129" i="16"/>
  <c r="M2627" i="16"/>
  <c r="M2472" i="16"/>
  <c r="M3095" i="16"/>
  <c r="M3059" i="16"/>
  <c r="M3008" i="16"/>
  <c r="M1266" i="16"/>
  <c r="M2508" i="16"/>
  <c r="M1957" i="16"/>
  <c r="M1932" i="16"/>
  <c r="M2647" i="16"/>
  <c r="M3066" i="16"/>
  <c r="M3094" i="16"/>
  <c r="M2793" i="16"/>
  <c r="M1167" i="16"/>
  <c r="M1263" i="16"/>
  <c r="M3109" i="16"/>
  <c r="M2525" i="16"/>
  <c r="M3098" i="16"/>
  <c r="M2935" i="16"/>
  <c r="M1680" i="16"/>
  <c r="M2849" i="16"/>
  <c r="M558" i="16"/>
  <c r="M2157" i="16"/>
  <c r="M2679" i="16"/>
  <c r="M1437" i="16"/>
  <c r="M1469" i="16"/>
  <c r="M2189" i="16"/>
  <c r="M3044" i="16"/>
  <c r="M2093" i="16"/>
  <c r="M1626" i="16"/>
  <c r="M2564" i="16"/>
  <c r="M2837" i="16"/>
  <c r="M586" i="16"/>
  <c r="M1618" i="16"/>
  <c r="M2312" i="16"/>
  <c r="M2808" i="16"/>
  <c r="M2390" i="16"/>
  <c r="M1666" i="16"/>
  <c r="M2340" i="16"/>
  <c r="M2734" i="16"/>
  <c r="F3258" i="16"/>
  <c r="F591" i="16"/>
  <c r="F1485" i="16"/>
  <c r="F902" i="16"/>
  <c r="F2" i="16"/>
  <c r="F1723" i="16"/>
  <c r="F176" i="16"/>
  <c r="F2915" i="16"/>
  <c r="F2025" i="16"/>
  <c r="F1209" i="16"/>
  <c r="F3231" i="16"/>
  <c r="F595" i="16"/>
  <c r="F2997" i="16"/>
  <c r="F1576" i="16"/>
  <c r="F380" i="16"/>
  <c r="F197" i="16"/>
  <c r="F3049" i="16"/>
  <c r="F2481" i="16"/>
  <c r="F3272" i="16"/>
  <c r="F1039" i="16"/>
  <c r="F3105" i="16"/>
  <c r="F2300" i="16"/>
  <c r="F1446" i="16"/>
  <c r="F2877" i="16"/>
  <c r="F33" i="16"/>
  <c r="F1945" i="16"/>
  <c r="F3171" i="16"/>
  <c r="F1177" i="16"/>
  <c r="F1301" i="16"/>
  <c r="F2113" i="16"/>
  <c r="F1128" i="16"/>
  <c r="F286" i="16"/>
  <c r="F1784" i="16"/>
  <c r="F2910" i="16"/>
  <c r="F637" i="16"/>
  <c r="F2647" i="16"/>
  <c r="F372" i="16"/>
  <c r="F1017" i="16"/>
  <c r="F2384" i="16"/>
  <c r="F2629" i="16"/>
  <c r="F1155" i="16"/>
  <c r="F2722" i="16"/>
  <c r="F1845" i="16"/>
  <c r="F2597" i="16"/>
  <c r="F3313" i="16"/>
  <c r="F3205" i="16"/>
  <c r="F309" i="16"/>
  <c r="F2573" i="16"/>
  <c r="F2780" i="16"/>
  <c r="F35" i="16"/>
  <c r="F3047" i="16"/>
  <c r="F377" i="16"/>
  <c r="F5" i="16"/>
  <c r="F2507" i="16"/>
  <c r="F2772" i="16"/>
  <c r="F1875" i="16"/>
  <c r="F1403" i="16"/>
  <c r="F170" i="16"/>
  <c r="F554" i="16"/>
  <c r="F1713" i="16"/>
  <c r="F171" i="16"/>
  <c r="F4" i="16"/>
  <c r="F1779" i="16"/>
  <c r="F1950" i="16"/>
  <c r="F2064" i="16"/>
  <c r="F2276" i="16"/>
  <c r="F2404" i="16"/>
  <c r="F106" i="16"/>
  <c r="F2872" i="16"/>
  <c r="F768" i="16"/>
  <c r="F2743" i="16"/>
  <c r="F2066" i="16"/>
  <c r="F2111" i="16"/>
  <c r="F3122" i="16"/>
  <c r="F423" i="16"/>
  <c r="F2503" i="16"/>
  <c r="F363" i="16"/>
  <c r="F1370" i="16"/>
  <c r="F332" i="16"/>
  <c r="F1455" i="16"/>
  <c r="F1243" i="16"/>
  <c r="F55" i="16"/>
  <c r="F587" i="16"/>
  <c r="F798" i="16"/>
  <c r="F366" i="16"/>
  <c r="F3064" i="16"/>
  <c r="F1430" i="16"/>
  <c r="F231" i="16"/>
  <c r="F1238" i="16"/>
  <c r="F2124" i="16"/>
  <c r="F2091" i="16"/>
  <c r="F3192" i="16"/>
  <c r="F1985" i="16"/>
  <c r="F1821" i="16"/>
  <c r="F1997" i="16"/>
  <c r="F3041" i="16"/>
  <c r="F36" i="16"/>
  <c r="F2582" i="16"/>
  <c r="F351" i="16"/>
  <c r="F808" i="16"/>
  <c r="F386" i="16"/>
  <c r="F1456" i="16"/>
  <c r="F389" i="16"/>
  <c r="F1375" i="16"/>
  <c r="F2754" i="16"/>
  <c r="F2527" i="16"/>
  <c r="F1497" i="16"/>
  <c r="F1266" i="16"/>
  <c r="F2546" i="16"/>
  <c r="F1661" i="16"/>
  <c r="F360" i="16"/>
  <c r="F1141" i="16"/>
  <c r="F1063" i="16"/>
  <c r="F1900" i="16"/>
  <c r="F1129" i="16"/>
  <c r="F191" i="16"/>
  <c r="F615" i="16"/>
  <c r="F3130" i="16"/>
  <c r="F2173" i="16"/>
  <c r="F2075" i="16"/>
  <c r="F1274" i="16"/>
  <c r="F577" i="16"/>
  <c r="F1175" i="16"/>
  <c r="F2189" i="16"/>
  <c r="F777" i="16"/>
  <c r="F2957" i="16"/>
  <c r="F37" i="16"/>
  <c r="F186" i="16"/>
  <c r="F1383" i="16"/>
  <c r="F781" i="16"/>
  <c r="F2245" i="16"/>
  <c r="F969" i="16"/>
  <c r="F42" i="16"/>
  <c r="F77" i="16"/>
  <c r="F802" i="16"/>
  <c r="F2799" i="16"/>
  <c r="F1712" i="16"/>
  <c r="F2828" i="16"/>
  <c r="F1920" i="16"/>
  <c r="F2930" i="16"/>
  <c r="F202" i="16"/>
  <c r="F616" i="16"/>
  <c r="F760" i="16"/>
  <c r="F438" i="16"/>
  <c r="F3304" i="16"/>
  <c r="F492" i="16"/>
  <c r="F13" i="16"/>
  <c r="F1021" i="16"/>
  <c r="F2766" i="16"/>
  <c r="F2375" i="16"/>
  <c r="F972" i="16"/>
  <c r="F1091" i="16"/>
  <c r="F3076" i="16"/>
  <c r="F1881" i="16"/>
  <c r="F588" i="16"/>
  <c r="F2098" i="16"/>
  <c r="F3202" i="16"/>
  <c r="F163" i="16"/>
  <c r="F212" i="16"/>
  <c r="F1157" i="16"/>
  <c r="F1111" i="16"/>
  <c r="F3321" i="16"/>
  <c r="F1150" i="16"/>
  <c r="F2835" i="16"/>
  <c r="F529" i="16"/>
  <c r="F2896" i="16"/>
  <c r="F2136" i="16"/>
  <c r="F2229" i="16"/>
  <c r="F514" i="16"/>
  <c r="F1326" i="16"/>
  <c r="F398" i="16"/>
  <c r="F690" i="16"/>
  <c r="F1443" i="16"/>
  <c r="F2318" i="16"/>
  <c r="F592" i="16"/>
  <c r="F190" i="16"/>
  <c r="F844" i="16"/>
  <c r="F2301" i="16"/>
  <c r="F2483" i="16"/>
  <c r="F1628" i="16"/>
  <c r="F2205" i="16"/>
  <c r="F785" i="16"/>
  <c r="F2598" i="16"/>
  <c r="F964" i="16"/>
  <c r="F1160" i="16"/>
  <c r="F664" i="16"/>
  <c r="F1270" i="16"/>
  <c r="F2252" i="16"/>
  <c r="F100" i="16"/>
  <c r="F2485" i="16"/>
  <c r="F3088" i="16"/>
  <c r="F3045" i="16"/>
  <c r="F1874" i="16"/>
  <c r="F312" i="16"/>
  <c r="F167" i="16"/>
  <c r="F1793" i="16"/>
  <c r="F3" i="16"/>
  <c r="F1098" i="16"/>
  <c r="F2836" i="16"/>
  <c r="F1064" i="16"/>
  <c r="F1470" i="16"/>
  <c r="F1471" i="16"/>
  <c r="F659" i="16"/>
  <c r="F3218" i="16"/>
  <c r="F1863" i="16"/>
  <c r="F2528" i="16"/>
  <c r="F1465" i="16"/>
  <c r="F3182" i="16"/>
  <c r="F1552" i="16"/>
  <c r="F627" i="16"/>
  <c r="F1304" i="16"/>
  <c r="F1117" i="16"/>
  <c r="F2283" i="16"/>
  <c r="F945" i="16"/>
  <c r="F2967" i="16"/>
  <c r="F1163" i="16"/>
  <c r="F498" i="16"/>
  <c r="F2550" i="16"/>
  <c r="F2042" i="16"/>
  <c r="F1733" i="16"/>
  <c r="F1204" i="16"/>
  <c r="F2691" i="16"/>
  <c r="F3127" i="16"/>
  <c r="F1187" i="16"/>
  <c r="F2661" i="16"/>
  <c r="F1031" i="16"/>
  <c r="F2227" i="16"/>
  <c r="F2673" i="16"/>
  <c r="F2445" i="16"/>
  <c r="F1273" i="16"/>
  <c r="F959" i="16"/>
  <c r="F1279" i="16"/>
  <c r="F558" i="16"/>
  <c r="F2206" i="16"/>
  <c r="F3016" i="16"/>
  <c r="F21" i="16"/>
  <c r="F2380" i="16"/>
  <c r="F1208" i="16"/>
  <c r="F2854" i="16"/>
  <c r="F1678" i="16"/>
  <c r="F1247" i="16"/>
  <c r="F955" i="16"/>
  <c r="F1869" i="16"/>
  <c r="F2727" i="16"/>
  <c r="F241" i="16"/>
  <c r="F580" i="16"/>
  <c r="F254" i="16"/>
  <c r="F1780" i="16"/>
  <c r="F1486" i="16"/>
  <c r="F2894" i="16"/>
  <c r="F1428" i="16"/>
  <c r="F2827" i="16"/>
  <c r="F494" i="16"/>
  <c r="F3082" i="16"/>
  <c r="F96" i="16"/>
  <c r="F362" i="16"/>
  <c r="F1877" i="16"/>
  <c r="F374" i="16"/>
  <c r="F749" i="16"/>
  <c r="F2182" i="16"/>
  <c r="F1381" i="16"/>
  <c r="F1124" i="16"/>
  <c r="F987" i="16"/>
  <c r="F2796" i="16"/>
  <c r="F1835" i="16"/>
  <c r="F2830" i="16"/>
  <c r="F2998" i="16"/>
  <c r="F1600" i="16"/>
  <c r="F271" i="16"/>
  <c r="F1604" i="16"/>
  <c r="F875" i="16"/>
  <c r="F342" i="16"/>
  <c r="F1667" i="16"/>
  <c r="F3015" i="16"/>
  <c r="F996" i="16"/>
  <c r="F2602" i="16"/>
  <c r="F3215" i="16"/>
  <c r="F449" i="16"/>
  <c r="F697" i="16"/>
  <c r="F3117" i="16"/>
  <c r="F448" i="16"/>
  <c r="F2668" i="16"/>
  <c r="F2501" i="16"/>
  <c r="F3209" i="16"/>
  <c r="F2329" i="16"/>
  <c r="F1847" i="16"/>
  <c r="F2095" i="16"/>
  <c r="F1539" i="16"/>
  <c r="F503" i="16"/>
  <c r="F1610" i="16"/>
  <c r="F986" i="16"/>
  <c r="F27" i="16"/>
  <c r="F1816" i="16"/>
  <c r="F1537" i="16"/>
  <c r="F34" i="16"/>
  <c r="F3291" i="16"/>
  <c r="F515" i="16"/>
  <c r="F3029" i="16"/>
  <c r="F95" i="16"/>
  <c r="F3323" i="16"/>
  <c r="F1503" i="16"/>
  <c r="F2887" i="16"/>
  <c r="F734" i="16"/>
  <c r="F869" i="16"/>
  <c r="F1147" i="16"/>
  <c r="F1558" i="16"/>
  <c r="F2470" i="16"/>
  <c r="F2165" i="16"/>
  <c r="F3233" i="16"/>
  <c r="F1778" i="16"/>
  <c r="F488" i="16"/>
  <c r="F3263" i="16"/>
  <c r="F123" i="16"/>
  <c r="F2119" i="16"/>
  <c r="F3297" i="16"/>
  <c r="F2343" i="16"/>
  <c r="F3230" i="16"/>
  <c r="F886" i="16"/>
  <c r="F2848" i="16"/>
  <c r="F884" i="16"/>
  <c r="F1213" i="16"/>
  <c r="F2128" i="16"/>
  <c r="F3234" i="16"/>
  <c r="F175" i="16"/>
  <c r="F1149" i="16"/>
  <c r="F2765" i="16"/>
  <c r="F1596" i="16"/>
  <c r="F1109" i="16"/>
  <c r="F2579" i="16"/>
  <c r="F2572" i="16"/>
  <c r="F2287" i="16"/>
  <c r="F2649" i="16"/>
  <c r="F2902" i="16"/>
  <c r="F2003" i="16"/>
  <c r="F1394" i="16"/>
  <c r="F2658" i="16"/>
  <c r="F1536" i="16"/>
  <c r="F908" i="16"/>
  <c r="F2175" i="16"/>
  <c r="F434" i="16"/>
  <c r="F811" i="16"/>
  <c r="F283" i="16"/>
  <c r="F2330" i="16"/>
  <c r="F3256" i="16"/>
  <c r="F3025" i="16"/>
  <c r="F477" i="16"/>
  <c r="F2693" i="16"/>
  <c r="F403" i="16"/>
  <c r="F3241" i="16"/>
  <c r="F833" i="16"/>
  <c r="F1188" i="16"/>
  <c r="F695" i="16"/>
  <c r="F103" i="16"/>
  <c r="F1535" i="16"/>
  <c r="F2379" i="16"/>
  <c r="F1843" i="16"/>
  <c r="F2333" i="16"/>
  <c r="F2544" i="16"/>
  <c r="F2167" i="16"/>
  <c r="F2364" i="16"/>
  <c r="F1249" i="16"/>
  <c r="F2912" i="16"/>
  <c r="F2147" i="16"/>
  <c r="F1207" i="16"/>
  <c r="F2437" i="16"/>
  <c r="F819" i="16"/>
  <c r="F895" i="16"/>
  <c r="F1826" i="16"/>
  <c r="F3216" i="16"/>
  <c r="F1653" i="16"/>
  <c r="F2369" i="16"/>
  <c r="F91" i="16"/>
  <c r="F1257" i="16"/>
  <c r="F2377" i="16"/>
  <c r="F2590" i="16"/>
  <c r="F1254" i="16"/>
  <c r="F3308" i="16"/>
  <c r="F2980" i="16"/>
  <c r="F2866" i="16"/>
  <c r="F1154" i="16"/>
  <c r="F2947" i="16"/>
  <c r="F2899" i="16"/>
  <c r="F1913" i="16"/>
  <c r="F264" i="16"/>
  <c r="F845" i="16"/>
  <c r="F1287" i="16"/>
  <c r="F430" i="16"/>
  <c r="F125" i="16"/>
  <c r="F128" i="16"/>
  <c r="F216" i="16"/>
  <c r="F1241" i="16"/>
  <c r="F1785" i="16"/>
  <c r="F3028" i="16"/>
  <c r="F2726" i="16"/>
  <c r="F3069" i="16"/>
  <c r="F75" i="16"/>
  <c r="F2750" i="16"/>
  <c r="F1202" i="16"/>
  <c r="F2561" i="16"/>
  <c r="F2139" i="16"/>
  <c r="F1308" i="16"/>
  <c r="F155" i="16"/>
  <c r="F210" i="16"/>
  <c r="F1601" i="16"/>
  <c r="F2670" i="16"/>
  <c r="F1677" i="16"/>
  <c r="F1541" i="16"/>
  <c r="F644" i="16"/>
  <c r="F2106" i="16"/>
  <c r="F1253" i="16"/>
  <c r="F25" i="16"/>
  <c r="F858" i="16"/>
  <c r="F2677" i="16"/>
  <c r="F548" i="16"/>
  <c r="F1745" i="16"/>
  <c r="F2970" i="16"/>
  <c r="F16" i="16"/>
  <c r="F2395" i="16"/>
  <c r="F50" i="16"/>
  <c r="F867" i="16"/>
  <c r="F1491" i="16"/>
  <c r="F320" i="16"/>
  <c r="F1855" i="16"/>
  <c r="F3289" i="16"/>
  <c r="F2508" i="16"/>
  <c r="F1928" i="16"/>
  <c r="F2067" i="16"/>
  <c r="F86" i="16"/>
  <c r="F2055" i="16"/>
  <c r="F393" i="16"/>
  <c r="F1313" i="16"/>
  <c r="F165" i="16"/>
  <c r="F203" i="16"/>
  <c r="F1989" i="16"/>
  <c r="F672" i="16"/>
  <c r="F1282" i="16"/>
  <c r="F1773" i="16"/>
  <c r="F736" i="16"/>
  <c r="F1011" i="16"/>
  <c r="F2790" i="16"/>
  <c r="F914" i="16"/>
  <c r="F1958" i="16"/>
  <c r="F152" i="16"/>
  <c r="F1752" i="16"/>
  <c r="F2897" i="16"/>
  <c r="F323" i="16"/>
  <c r="F876" i="16"/>
  <c r="F2844" i="16"/>
  <c r="F1534" i="16"/>
  <c r="F2429" i="16"/>
  <c r="F2274" i="16"/>
  <c r="F1269" i="16"/>
  <c r="F570" i="16"/>
  <c r="F1996" i="16"/>
  <c r="F2307" i="16"/>
  <c r="F3026" i="16"/>
  <c r="F1494" i="16"/>
  <c r="F758" i="16"/>
  <c r="F1769" i="16"/>
  <c r="F2408" i="16"/>
  <c r="F1665" i="16"/>
  <c r="F943" i="16"/>
  <c r="F883" i="16"/>
  <c r="F294" i="16"/>
  <c r="F2660" i="16"/>
  <c r="F227" i="16"/>
  <c r="F396" i="16"/>
  <c r="F116" i="16"/>
  <c r="F236" i="16"/>
  <c r="F543" i="16"/>
  <c r="F2476" i="16"/>
  <c r="F2105" i="16"/>
  <c r="F3190" i="16"/>
  <c r="F2500" i="16"/>
  <c r="F2219" i="16"/>
  <c r="F1718" i="16"/>
  <c r="F2039" i="16"/>
  <c r="F1516" i="16"/>
  <c r="F1212" i="16"/>
  <c r="F506" i="16"/>
  <c r="F1583" i="16"/>
  <c r="F379" i="16"/>
  <c r="F2264" i="16"/>
  <c r="F3154" i="16"/>
  <c r="F1818" i="16"/>
  <c r="F1397" i="16"/>
  <c r="F2804" i="16"/>
  <c r="F3240" i="16"/>
  <c r="F3033" i="16"/>
  <c r="F1483" i="16"/>
  <c r="F107" i="16"/>
  <c r="F2966" i="16"/>
  <c r="F2665" i="16"/>
  <c r="F2116" i="16"/>
  <c r="F3222" i="16"/>
  <c r="F505" i="16"/>
  <c r="F2471" i="16"/>
  <c r="F146" i="16"/>
  <c r="F2286" i="16"/>
  <c r="F2288" i="16"/>
  <c r="F1523" i="16"/>
  <c r="F117" i="16"/>
  <c r="F852" i="16"/>
  <c r="F2338" i="16"/>
  <c r="F1962" i="16"/>
  <c r="F850" i="16"/>
  <c r="F1387" i="16"/>
  <c r="F2279" i="16"/>
  <c r="F73" i="16"/>
  <c r="F567" i="16"/>
  <c r="F679" i="16"/>
  <c r="F1333" i="16"/>
  <c r="F245" i="16"/>
  <c r="F3118" i="16"/>
  <c r="F1385" i="16"/>
  <c r="F1615" i="16"/>
  <c r="F2807" i="16"/>
  <c r="F1616" i="16"/>
  <c r="F1479" i="16"/>
  <c r="F549" i="16"/>
  <c r="F3046" i="16"/>
  <c r="F1408" i="16"/>
  <c r="F762" i="16"/>
  <c r="F66" i="16"/>
  <c r="F39" i="16"/>
  <c r="F1670" i="16"/>
  <c r="F657" i="16"/>
  <c r="F1854" i="16"/>
  <c r="F1035" i="16"/>
  <c r="F1635" i="16"/>
  <c r="F2634" i="16"/>
  <c r="F226" i="16"/>
  <c r="F2956" i="16"/>
  <c r="F1757" i="16"/>
  <c r="F121" i="16"/>
  <c r="F1146" i="16"/>
  <c r="F512" i="16"/>
  <c r="F2107" i="16"/>
  <c r="F2955" i="16"/>
  <c r="F3191" i="16"/>
  <c r="F2669" i="16"/>
  <c r="F532" i="16"/>
  <c r="F215" i="16"/>
  <c r="F138" i="16"/>
  <c r="F2941" i="16"/>
  <c r="F2012" i="16"/>
  <c r="F2567" i="16"/>
  <c r="F305" i="16"/>
  <c r="F415" i="16"/>
  <c r="F391" i="16"/>
  <c r="F1626" i="16"/>
  <c r="F496" i="16"/>
  <c r="F1777" i="16"/>
  <c r="F1595" i="16"/>
  <c r="F586" i="16"/>
  <c r="F2183" i="16"/>
  <c r="F269" i="16"/>
  <c r="F162" i="16"/>
  <c r="F204" i="16"/>
  <c r="F108" i="16"/>
  <c r="F901" i="16"/>
  <c r="F2511" i="16"/>
  <c r="F1593" i="16"/>
  <c r="F710" i="16"/>
  <c r="F2254" i="16"/>
  <c r="F1749" i="16"/>
  <c r="F967" i="16"/>
  <c r="F2682" i="16"/>
  <c r="F2631" i="16"/>
  <c r="F1907" i="16"/>
  <c r="F290" i="16"/>
  <c r="F147" i="16"/>
  <c r="F343" i="16"/>
  <c r="F1521" i="16"/>
  <c r="F3238" i="16"/>
  <c r="F1931" i="16"/>
  <c r="F1280" i="16"/>
  <c r="F1896" i="16"/>
  <c r="F2643" i="16"/>
  <c r="F2426" i="16"/>
  <c r="F1579" i="16"/>
  <c r="F2934" i="16"/>
  <c r="F3244" i="16"/>
  <c r="F2339" i="16"/>
  <c r="F2475" i="16"/>
  <c r="F2886" i="16"/>
  <c r="F2290" i="16"/>
  <c r="F3293" i="16"/>
  <c r="F299" i="16"/>
  <c r="F2562" i="16"/>
  <c r="F368" i="16"/>
  <c r="F2851" i="16"/>
  <c r="F1707" i="16"/>
  <c r="F763" i="16"/>
  <c r="F2880" i="16"/>
  <c r="F2397" i="16"/>
  <c r="F47" i="16"/>
  <c r="F2871" i="16"/>
  <c r="F2108" i="16"/>
  <c r="F1344" i="16"/>
  <c r="F2087" i="16"/>
  <c r="F81" i="16"/>
  <c r="F2983" i="16"/>
  <c r="F79" i="16"/>
  <c r="F1496" i="16"/>
  <c r="F124" i="16"/>
  <c r="F1298" i="16"/>
  <c r="F2850" i="16"/>
  <c r="F2207" i="16"/>
  <c r="F550" i="16"/>
  <c r="F1378" i="16"/>
  <c r="F2526" i="16"/>
  <c r="F428" i="16"/>
  <c r="F596" i="16"/>
  <c r="F847" i="16"/>
  <c r="F1319" i="16"/>
  <c r="F1953" i="16"/>
  <c r="F3022" i="16"/>
  <c r="F921" i="16"/>
  <c r="F1910" i="16"/>
  <c r="F46" i="16"/>
  <c r="F2671" i="16"/>
  <c r="F920" i="16"/>
  <c r="F626" i="16"/>
  <c r="F2416" i="16"/>
  <c r="F1206" i="16"/>
  <c r="F2771" i="16"/>
  <c r="F1750" i="16"/>
  <c r="F2768" i="16"/>
  <c r="F1331" i="16"/>
  <c r="F759" i="16"/>
  <c r="F641" i="16"/>
  <c r="F69" i="16"/>
  <c r="F2646" i="16"/>
  <c r="F2517" i="16"/>
  <c r="F2746" i="16"/>
  <c r="F2659" i="16"/>
  <c r="F2447" i="16"/>
  <c r="F3087" i="16"/>
  <c r="F1654" i="16"/>
  <c r="F723" i="16"/>
  <c r="F946" i="16"/>
  <c r="F2199" i="16"/>
  <c r="F2698" i="16"/>
  <c r="F1423" i="16"/>
  <c r="F3037" i="16"/>
  <c r="F2430" i="16"/>
  <c r="F3254" i="16"/>
  <c r="F1038" i="16"/>
  <c r="F2625" i="16"/>
  <c r="F2332" i="16"/>
  <c r="F836" i="16"/>
  <c r="F2002" i="16"/>
  <c r="F2895" i="16"/>
  <c r="F1957" i="16"/>
  <c r="F99" i="16"/>
  <c r="F1466" i="16"/>
  <c r="F3185" i="16"/>
  <c r="F3221" i="16"/>
  <c r="F1952" i="16"/>
  <c r="F2990" i="16"/>
  <c r="F866" i="16"/>
  <c r="F282" i="16"/>
  <c r="F67" i="16"/>
  <c r="F3166" i="16"/>
  <c r="F2349" i="16"/>
  <c r="F2709" i="16"/>
  <c r="F2094" i="16"/>
  <c r="F2052" i="16"/>
  <c r="F2402" i="16"/>
  <c r="F2717" i="16"/>
  <c r="F1384" i="16"/>
  <c r="F1814" i="16"/>
  <c r="F230" i="16"/>
  <c r="F2292" i="16"/>
  <c r="F192" i="16"/>
  <c r="F3139" i="16"/>
  <c r="F1879" i="16"/>
  <c r="F1857" i="16"/>
  <c r="F2938" i="16"/>
  <c r="F2054" i="16"/>
  <c r="F3310" i="16"/>
  <c r="F2615" i="16"/>
  <c r="F767" i="16"/>
  <c r="F1708" i="16"/>
  <c r="F801" i="16"/>
  <c r="F691" i="16"/>
  <c r="F2825" i="16"/>
  <c r="F2278" i="16"/>
  <c r="F1094" i="16"/>
  <c r="F1195" i="16"/>
  <c r="F3052" i="16"/>
  <c r="F3311" i="16"/>
  <c r="F392" i="16"/>
  <c r="F2753" i="16"/>
  <c r="F307" i="16"/>
  <c r="F1239" i="16"/>
  <c r="F376" i="16"/>
  <c r="F1562" i="16"/>
  <c r="F1640" i="16"/>
  <c r="F481" i="16"/>
  <c r="F2297" i="16"/>
  <c r="F3217" i="16"/>
  <c r="F2936" i="16"/>
  <c r="F2376" i="16"/>
  <c r="F2981" i="16"/>
  <c r="F2425" i="16"/>
  <c r="F840" i="16"/>
  <c r="F2906" i="16"/>
  <c r="F507" i="16"/>
  <c r="F1548" i="16"/>
  <c r="F530" i="16"/>
  <c r="F371" i="16"/>
  <c r="F3198" i="16"/>
  <c r="F3279" i="16"/>
  <c r="F1431" i="16"/>
  <c r="F1086" i="16"/>
  <c r="F709" i="16"/>
  <c r="F463" i="16"/>
  <c r="F1557" i="16"/>
  <c r="F1809" i="16"/>
  <c r="F278" i="16"/>
  <c r="F1230" i="16"/>
  <c r="F238" i="16"/>
  <c r="F1848" i="16"/>
  <c r="F1498" i="16"/>
  <c r="F3194" i="16"/>
  <c r="F52" i="16"/>
  <c r="F2521" i="16"/>
  <c r="F2563" i="16"/>
  <c r="F1260" i="16"/>
  <c r="F1585" i="16"/>
  <c r="F356" i="16"/>
  <c r="F331" i="16"/>
  <c r="F1998" i="16"/>
  <c r="F992" i="16"/>
  <c r="F1402" i="16"/>
  <c r="F406" i="16"/>
  <c r="F240" i="16"/>
  <c r="F88" i="16"/>
  <c r="F783" i="16"/>
  <c r="F2734" i="16"/>
  <c r="F1438" i="16"/>
  <c r="F1027" i="16"/>
  <c r="F1555" i="16"/>
  <c r="F1840" i="16"/>
  <c r="F2157" i="16"/>
  <c r="F878" i="16"/>
  <c r="F2418" i="16"/>
  <c r="F2716" i="16"/>
  <c r="F3056" i="16"/>
  <c r="F3168" i="16"/>
  <c r="F2636" i="16"/>
  <c r="F2006" i="16"/>
  <c r="F1878" i="16"/>
  <c r="F1627" i="16"/>
  <c r="F246" i="16"/>
  <c r="F2151" i="16"/>
  <c r="F2392" i="16"/>
  <c r="F1729" i="16"/>
  <c r="F222" i="16"/>
  <c r="F599" i="16"/>
  <c r="F1566" i="16"/>
  <c r="F168" i="16"/>
  <c r="F156" i="16"/>
  <c r="F2070" i="16"/>
  <c r="F903" i="16"/>
  <c r="F1090" i="16"/>
  <c r="F89" i="16"/>
  <c r="F2917" i="16"/>
  <c r="F1267" i="16"/>
  <c r="F899" i="16"/>
  <c r="F1343" i="16"/>
  <c r="F3108" i="16"/>
  <c r="F493" i="16"/>
  <c r="F3053" i="16"/>
  <c r="F1978" i="16"/>
  <c r="F1310" i="16"/>
  <c r="F2491" i="16"/>
  <c r="F2193" i="16"/>
  <c r="F2045" i="16"/>
  <c r="F939" i="16"/>
  <c r="F2926" i="16"/>
  <c r="F666" i="16"/>
  <c r="F2271" i="16"/>
  <c r="F698" i="16"/>
  <c r="F523" i="16"/>
  <c r="F58" i="16"/>
  <c r="F270" i="16"/>
  <c r="F747" i="16"/>
  <c r="F1544" i="16"/>
  <c r="F60" i="16"/>
  <c r="F444" i="16"/>
  <c r="F980" i="16"/>
  <c r="F2268" i="16"/>
  <c r="F461" i="16"/>
  <c r="F126" i="16"/>
  <c r="F2509" i="16"/>
  <c r="F3125" i="16"/>
  <c r="F465" i="16"/>
  <c r="F628" i="16"/>
  <c r="F2755" i="16"/>
  <c r="F2996" i="16"/>
  <c r="F295" i="16"/>
  <c r="F1804" i="16"/>
  <c r="F2265" i="16"/>
  <c r="F2121" i="16"/>
  <c r="F1823" i="16"/>
  <c r="F3132" i="16"/>
  <c r="F2118" i="16"/>
  <c r="F1382" i="16"/>
  <c r="F2965" i="16"/>
  <c r="F3329" i="16"/>
  <c r="F1151" i="16"/>
  <c r="F2876" i="16"/>
  <c r="F2991" i="16"/>
  <c r="F211" i="16"/>
  <c r="F1182" i="16"/>
  <c r="F2021" i="16"/>
  <c r="F718" i="16"/>
  <c r="F1656" i="16"/>
  <c r="F2675" i="16"/>
  <c r="F59" i="16"/>
  <c r="F2454" i="16"/>
  <c r="F905" i="16"/>
  <c r="F712" i="16"/>
  <c r="F104" i="16"/>
  <c r="F569" i="16"/>
  <c r="F511" i="16"/>
  <c r="F2909" i="16"/>
  <c r="F322" i="16"/>
  <c r="F2319" i="16"/>
  <c r="F524" i="16"/>
  <c r="F1008" i="16"/>
  <c r="F2249" i="16"/>
  <c r="F1271" i="16"/>
  <c r="F258" i="16"/>
  <c r="F3003" i="16"/>
  <c r="F2448" i="16"/>
  <c r="F1081" i="16"/>
  <c r="F2638" i="16"/>
  <c r="F915" i="16"/>
  <c r="F2004" i="16"/>
  <c r="F2498" i="16"/>
  <c r="F1219" i="16"/>
  <c r="F2903" i="16"/>
  <c r="F2878" i="16"/>
  <c r="F1190" i="16"/>
  <c r="F274" i="16"/>
  <c r="F2186" i="16"/>
  <c r="F3146" i="16"/>
  <c r="F682" i="16"/>
  <c r="F319" i="16"/>
  <c r="F2560" i="16"/>
  <c r="F1564" i="16"/>
  <c r="F2298" i="16"/>
  <c r="F1169" i="16"/>
  <c r="F2130" i="16"/>
  <c r="F1030" i="16"/>
  <c r="F1050" i="16"/>
  <c r="F821" i="16"/>
  <c r="F452" i="16"/>
  <c r="F1911" i="16"/>
  <c r="F1533" i="16"/>
  <c r="F7" i="16"/>
  <c r="F856" i="16"/>
  <c r="F854" i="16"/>
  <c r="F1480" i="16"/>
  <c r="F259" i="16"/>
  <c r="F704" i="16"/>
  <c r="F8" i="16"/>
  <c r="F1853" i="16"/>
  <c r="F1867" i="16"/>
  <c r="F2323" i="16"/>
  <c r="F223" i="16"/>
  <c r="F2977" i="16"/>
  <c r="F1981" i="16"/>
  <c r="F2432" i="16"/>
  <c r="F1140" i="16"/>
  <c r="F1833" i="16"/>
  <c r="F2502" i="16"/>
  <c r="F426" i="16"/>
  <c r="F1925" i="16"/>
  <c r="F2488" i="16"/>
  <c r="F408" i="16"/>
  <c r="F2557" i="16"/>
  <c r="F276" i="16"/>
  <c r="F1235" i="16"/>
  <c r="F617" i="16"/>
  <c r="F49" i="16"/>
  <c r="F1870" i="16"/>
  <c r="F486" i="16"/>
  <c r="F2356" i="16"/>
  <c r="F1820" i="16"/>
  <c r="F1883" i="16"/>
  <c r="F2707" i="16"/>
  <c r="F1357" i="16"/>
  <c r="F489" i="16"/>
  <c r="F23" i="16"/>
  <c r="F411" i="16"/>
  <c r="F2522" i="16"/>
  <c r="F937" i="16"/>
  <c r="F1102" i="16"/>
  <c r="F2372" i="16"/>
  <c r="F57" i="16"/>
  <c r="F2321" i="16"/>
  <c r="F2843" i="16"/>
  <c r="F1360" i="16"/>
  <c r="F2714" i="16"/>
  <c r="F1398" i="16"/>
  <c r="F1909" i="16"/>
  <c r="F93" i="16"/>
  <c r="F2224" i="16"/>
  <c r="F1606" i="16"/>
  <c r="F2514" i="16"/>
  <c r="F20" i="16"/>
  <c r="F552" i="16"/>
  <c r="F1164" i="16"/>
  <c r="F1702" i="16"/>
  <c r="F2277" i="16"/>
  <c r="F336" i="16"/>
  <c r="F29" i="16"/>
  <c r="F1198" i="16"/>
  <c r="F1966" i="16"/>
  <c r="F778" i="16"/>
  <c r="F1120" i="16"/>
  <c r="F1399" i="16"/>
  <c r="F330" i="16"/>
  <c r="F2890" i="16"/>
  <c r="F918" i="16"/>
  <c r="F385" i="16"/>
  <c r="F604" i="16"/>
  <c r="F2932" i="16"/>
  <c r="F1427" i="16"/>
  <c r="F849" i="16"/>
  <c r="F3136" i="16"/>
  <c r="F2752" i="16"/>
  <c r="F2678" i="16"/>
  <c r="F137" i="16"/>
  <c r="F640" i="16"/>
  <c r="F3106" i="16"/>
  <c r="F2789" i="16"/>
  <c r="F2231" i="16"/>
  <c r="F2710" i="16"/>
  <c r="F983" i="16"/>
  <c r="F3093" i="16"/>
  <c r="F1567" i="16"/>
  <c r="F1882" i="16"/>
  <c r="F1995" i="16"/>
  <c r="F1329" i="16"/>
  <c r="F1556" i="16"/>
  <c r="F2383" i="16"/>
  <c r="F298" i="16"/>
  <c r="F288" i="16"/>
  <c r="F1218" i="16"/>
  <c r="F1563" i="16"/>
  <c r="F924" i="16"/>
  <c r="F1143" i="16"/>
  <c r="F237" i="16"/>
  <c r="F2519" i="16"/>
  <c r="F1018" i="16"/>
  <c r="F2413" i="16"/>
  <c r="F1392" i="16"/>
  <c r="F3195" i="16"/>
  <c r="F2014" i="16"/>
  <c r="F540" i="16"/>
  <c r="F1590" i="16"/>
  <c r="F2781" i="16"/>
  <c r="F576" i="16"/>
  <c r="F2662" i="16"/>
  <c r="F2373" i="16"/>
  <c r="F2048" i="16"/>
  <c r="F889" i="16"/>
  <c r="F735" i="16"/>
  <c r="F1782" i="16"/>
  <c r="F2891" i="16"/>
  <c r="F1781" i="16"/>
  <c r="F2427" i="16"/>
  <c r="F326" i="16"/>
  <c r="F184" i="16"/>
  <c r="F2751" i="16"/>
  <c r="F1693" i="16"/>
  <c r="F1841" i="16"/>
  <c r="F756" i="16"/>
  <c r="F1256" i="16"/>
  <c r="F715" i="16"/>
  <c r="F3330" i="16"/>
  <c r="F1295" i="16"/>
  <c r="F1624" i="16"/>
  <c r="F1440" i="16"/>
  <c r="F2456" i="16"/>
  <c r="F113" i="16"/>
  <c r="F43" i="16"/>
  <c r="F2534" i="16"/>
  <c r="F1006" i="16"/>
  <c r="F1700" i="16"/>
  <c r="F1449" i="16"/>
  <c r="F609" i="16"/>
  <c r="F3327" i="16"/>
  <c r="F41" i="16"/>
  <c r="F3012" i="16"/>
  <c r="F1746" i="16"/>
  <c r="F2556" i="16"/>
  <c r="F2171" i="16"/>
  <c r="F2484" i="16"/>
  <c r="F2795" i="16"/>
  <c r="F3251" i="16"/>
  <c r="F2388" i="16"/>
  <c r="F3043" i="16"/>
  <c r="F370" i="16"/>
  <c r="F390" i="16"/>
  <c r="F1717" i="16"/>
  <c r="F1939" i="16"/>
  <c r="F2742" i="16"/>
  <c r="F1217" i="16"/>
  <c r="F3113" i="16"/>
  <c r="F439" i="16"/>
  <c r="F1736" i="16"/>
  <c r="F705" i="16"/>
  <c r="F28" i="16"/>
  <c r="F3035" i="16"/>
  <c r="F2839" i="16"/>
  <c r="F2267" i="16"/>
  <c r="F2911" i="16"/>
  <c r="F1299" i="16"/>
  <c r="F2073" i="16"/>
  <c r="F1675" i="16"/>
  <c r="F1165" i="16"/>
  <c r="F3002" i="16"/>
  <c r="F1003" i="16"/>
  <c r="F2005" i="16"/>
  <c r="F2017" i="16"/>
  <c r="F1228" i="16"/>
  <c r="F2847" i="16"/>
  <c r="F133" i="16"/>
  <c r="F832" i="16"/>
  <c r="F3054" i="16"/>
  <c r="F111" i="16"/>
  <c r="F2114" i="16"/>
  <c r="F2601" i="16"/>
  <c r="F1618" i="16"/>
  <c r="F2410" i="16"/>
  <c r="F1663" i="16"/>
  <c r="F221" i="16"/>
  <c r="F1194" i="16"/>
  <c r="F3094" i="16"/>
  <c r="F1674" i="16"/>
  <c r="F1406" i="16"/>
  <c r="F2038" i="16"/>
  <c r="F813" i="16"/>
  <c r="F2826" i="16"/>
  <c r="F1436" i="16"/>
  <c r="F1199" i="16"/>
  <c r="F602" i="16"/>
  <c r="F2619" i="16"/>
  <c r="F997" i="16"/>
  <c r="F1106" i="16"/>
  <c r="F860" i="16"/>
  <c r="F2648" i="16"/>
  <c r="F3300" i="16"/>
  <c r="F2530" i="16"/>
  <c r="F2446" i="16"/>
  <c r="F3031" i="16"/>
  <c r="F780" i="16"/>
  <c r="F504" i="16"/>
  <c r="F3120" i="16"/>
  <c r="F2489" i="16"/>
  <c r="F1805" i="16"/>
  <c r="F1307" i="16"/>
  <c r="F1251" i="16"/>
  <c r="F1637" i="16"/>
  <c r="F2335" i="16"/>
  <c r="F2925" i="16"/>
  <c r="F2944" i="16"/>
  <c r="F863" i="16"/>
  <c r="F1330" i="16"/>
  <c r="F2041" i="16"/>
  <c r="F220" i="16"/>
  <c r="F1711" i="16"/>
  <c r="F936" i="16"/>
  <c r="F770" i="16"/>
  <c r="F1152" i="16"/>
  <c r="F2584" i="16"/>
  <c r="F3204" i="16"/>
  <c r="F1179" i="16"/>
  <c r="F800" i="16"/>
  <c r="F2883" i="16"/>
  <c r="F1831" i="16"/>
  <c r="F629" i="16"/>
  <c r="F1404" i="16"/>
  <c r="F2852" i="16"/>
  <c r="F793" i="16"/>
  <c r="F2482" i="16"/>
  <c r="F3265" i="16"/>
  <c r="F740" i="16"/>
  <c r="F244" i="16"/>
  <c r="F2595" i="16"/>
  <c r="F2174" i="16"/>
  <c r="F1191" i="16"/>
  <c r="F3214" i="16"/>
  <c r="F3206" i="16"/>
  <c r="F19" i="16"/>
  <c r="F786" i="16"/>
  <c r="F3160" i="16"/>
  <c r="F2129" i="16"/>
  <c r="F2181" i="16"/>
  <c r="F1728" i="16"/>
  <c r="F1259" i="16"/>
  <c r="F2059" i="16"/>
  <c r="F2885" i="16"/>
  <c r="F2149" i="16"/>
  <c r="F2493" i="16"/>
  <c r="F560" i="16"/>
  <c r="F2080" i="16"/>
  <c r="F953" i="16"/>
  <c r="F1405" i="16"/>
  <c r="F3005" i="16"/>
  <c r="F3181" i="16"/>
  <c r="F224" i="16"/>
  <c r="F1772" i="16"/>
  <c r="F2739" i="16"/>
  <c r="F2204" i="16"/>
  <c r="F2160" i="16"/>
  <c r="F3247" i="16"/>
  <c r="F1697" i="16"/>
  <c r="F2555" i="16"/>
  <c r="F1171" i="16"/>
  <c r="F178" i="16"/>
  <c r="F2037" i="16"/>
  <c r="F2449" i="16"/>
  <c r="F707" i="16"/>
  <c r="F1815" i="16"/>
  <c r="F1022" i="16"/>
  <c r="F1873" i="16"/>
  <c r="F2216" i="16"/>
  <c r="F1992" i="16"/>
  <c r="F1951" i="16"/>
  <c r="F684" i="16"/>
  <c r="F837" i="16"/>
  <c r="F2405" i="16"/>
  <c r="F280" i="16"/>
  <c r="F1813" i="16"/>
  <c r="F706" i="16"/>
  <c r="F502" i="16"/>
  <c r="F1974" i="16"/>
  <c r="F1476" i="16"/>
  <c r="F2605" i="16"/>
  <c r="F1007" i="16"/>
  <c r="F1581" i="16"/>
  <c r="F318" i="16"/>
  <c r="F699" i="16"/>
  <c r="F692" i="16"/>
  <c r="F235" i="16"/>
  <c r="F85" i="16"/>
  <c r="F2406" i="16"/>
  <c r="F1768" i="16"/>
  <c r="F2018" i="16"/>
  <c r="F3285" i="16"/>
  <c r="F2999" i="16"/>
  <c r="F1573" i="16"/>
  <c r="F1967" i="16"/>
  <c r="F140" i="16"/>
  <c r="F2812" i="16"/>
  <c r="F2177" i="16"/>
  <c r="F1510" i="16"/>
  <c r="F3252" i="16"/>
  <c r="F933" i="16"/>
  <c r="F824" i="16"/>
  <c r="F188" i="16"/>
  <c r="F209" i="16"/>
  <c r="F2000" i="16"/>
  <c r="F2686" i="16"/>
  <c r="F622" i="16"/>
  <c r="F1994" i="16"/>
  <c r="F594" i="16"/>
  <c r="F1391" i="16"/>
  <c r="F2879" i="16"/>
  <c r="F803" i="16"/>
  <c r="F1426" i="16"/>
  <c r="F3070" i="16"/>
  <c r="F2409" i="16"/>
  <c r="F970" i="16"/>
  <c r="F2143" i="16"/>
  <c r="F3039" i="16"/>
  <c r="F2610" i="16"/>
  <c r="F1642" i="16"/>
  <c r="F429" i="16"/>
  <c r="F2441" i="16"/>
  <c r="F2637" i="16"/>
  <c r="F71" i="16"/>
  <c r="F2656" i="16"/>
  <c r="F3159" i="16"/>
  <c r="F1450" i="16"/>
  <c r="F1315" i="16"/>
  <c r="F877" i="16"/>
  <c r="F1696" i="16"/>
  <c r="F487" i="16"/>
  <c r="F1571" i="16"/>
  <c r="F382" i="16"/>
  <c r="F2628" i="16"/>
  <c r="F1118" i="16"/>
  <c r="F2424" i="16"/>
  <c r="F2552" i="16"/>
  <c r="F612" i="16"/>
  <c r="F822" i="16"/>
  <c r="F711" i="16"/>
  <c r="F2554" i="16"/>
  <c r="F2104" i="16"/>
  <c r="F1024" i="16"/>
  <c r="F491" i="16"/>
  <c r="F1058" i="16"/>
  <c r="F139" i="16"/>
  <c r="F2900" i="16"/>
  <c r="F1586" i="16"/>
  <c r="F2466" i="16"/>
  <c r="F2142" i="16"/>
  <c r="F1412" i="16"/>
  <c r="F1083" i="16"/>
  <c r="F2083" i="16"/>
  <c r="F1158" i="16"/>
  <c r="F350" i="16"/>
  <c r="F1323" i="16"/>
  <c r="F3014" i="16"/>
  <c r="F2630" i="16"/>
  <c r="F1389" i="16"/>
  <c r="F2591" i="16"/>
  <c r="F53" i="16"/>
  <c r="F655" i="16"/>
  <c r="F2390" i="16"/>
  <c r="F1181" i="16"/>
  <c r="F579" i="16"/>
  <c r="F2497" i="16"/>
  <c r="F1905" i="16"/>
  <c r="F2257" i="16"/>
  <c r="F708" i="16"/>
  <c r="F1755" i="16"/>
  <c r="F1934" i="16"/>
  <c r="F2058" i="16"/>
  <c r="F2420" i="16"/>
  <c r="F613" i="16"/>
  <c r="F1524" i="16"/>
  <c r="F3172" i="16"/>
  <c r="F48" i="16"/>
  <c r="F834" i="16"/>
  <c r="F2792" i="16"/>
  <c r="F1561" i="16"/>
  <c r="F1838" i="16"/>
  <c r="F533" i="16"/>
  <c r="F3036" i="16"/>
  <c r="F730" i="16"/>
  <c r="F771" i="16"/>
  <c r="F2340" i="16"/>
  <c r="F2241" i="16"/>
  <c r="F2317" i="16"/>
  <c r="F1892" i="16"/>
  <c r="F1044" i="16"/>
  <c r="F1189" i="16"/>
  <c r="F144" i="16"/>
  <c r="F3133" i="16"/>
  <c r="F3023" i="16"/>
  <c r="F1015" i="16"/>
  <c r="F3079" i="16"/>
  <c r="F1680" i="16"/>
  <c r="F2504" i="16"/>
  <c r="F3143" i="16"/>
  <c r="F2221" i="16"/>
  <c r="F1032" i="16"/>
  <c r="F976" i="16"/>
  <c r="F2169" i="16"/>
  <c r="F2721" i="16"/>
  <c r="F1475" i="16"/>
  <c r="F1927" i="16"/>
  <c r="F1716" i="16"/>
  <c r="F164" i="16"/>
  <c r="F2923" i="16"/>
  <c r="F201" i="16"/>
  <c r="F1526" i="16"/>
  <c r="F1681" i="16"/>
  <c r="F689" i="16"/>
  <c r="F950" i="16"/>
  <c r="F1811" i="16"/>
  <c r="F2559" i="16"/>
  <c r="F1112" i="16"/>
  <c r="F2831" i="16"/>
  <c r="F557" i="16"/>
  <c r="F2312" i="16"/>
  <c r="F2359" i="16"/>
  <c r="F910" i="16"/>
  <c r="F1168" i="16"/>
  <c r="F1699" i="16"/>
  <c r="F1791" i="16"/>
  <c r="F15" i="16"/>
  <c r="F2786" i="16"/>
  <c r="F1602" i="16"/>
  <c r="F2748" i="16"/>
  <c r="F1659" i="16"/>
  <c r="F3027" i="16"/>
  <c r="F2951" i="16"/>
  <c r="F109" i="16"/>
  <c r="F44" i="16"/>
  <c r="F1192" i="16"/>
  <c r="F518" i="16"/>
  <c r="F467" i="16"/>
  <c r="F3295" i="16"/>
  <c r="F462" i="16"/>
  <c r="F2566" i="16"/>
  <c r="F2022" i="16"/>
  <c r="F1071" i="16"/>
  <c r="F2664" i="16"/>
  <c r="F1342" i="16"/>
  <c r="F1369" i="16"/>
  <c r="F1306" i="16"/>
  <c r="F1800" i="16"/>
  <c r="F1444" i="16"/>
  <c r="F2188" i="16"/>
  <c r="F187" i="16"/>
  <c r="F656" i="16"/>
  <c r="F603" i="16"/>
  <c r="F2478" i="16"/>
  <c r="F2077" i="16"/>
  <c r="F1631" i="16"/>
  <c r="F1507" i="16"/>
  <c r="F2974" i="16"/>
  <c r="F2253" i="16"/>
  <c r="F1639" i="16"/>
  <c r="F3280" i="16"/>
  <c r="F1775" i="16"/>
  <c r="F72" i="16"/>
  <c r="F64" i="16"/>
  <c r="F2683" i="16"/>
  <c r="F2587" i="16"/>
  <c r="F2032" i="16"/>
  <c r="F597" i="16"/>
  <c r="F1832" i="16"/>
  <c r="F431" i="16"/>
  <c r="F3112" i="16"/>
  <c r="F1620" i="16"/>
  <c r="F3129" i="16"/>
  <c r="F1046" i="16"/>
  <c r="F2203" i="16"/>
  <c r="F1425" i="16"/>
  <c r="F2724" i="16"/>
  <c r="F1034" i="16"/>
  <c r="F2846" i="16"/>
  <c r="F2994" i="16"/>
  <c r="F3098" i="16"/>
  <c r="F1248" i="16"/>
  <c r="F24" i="16"/>
  <c r="F2436" i="16"/>
  <c r="F3004" i="16"/>
  <c r="F303" i="16"/>
  <c r="F1839" i="16"/>
  <c r="F2809" i="16"/>
  <c r="F2674" i="16"/>
  <c r="F3211" i="16"/>
  <c r="F1348" i="16"/>
  <c r="F1689" i="16"/>
  <c r="F2020" i="16"/>
  <c r="F2028" i="16"/>
  <c r="F1045" i="16"/>
  <c r="F2954" i="16"/>
  <c r="F2176" i="16"/>
  <c r="F353" i="16"/>
  <c r="F1644" i="16"/>
  <c r="F219" i="16"/>
  <c r="F2797" i="16"/>
  <c r="F1482" i="16"/>
  <c r="F1261" i="16"/>
  <c r="F1941" i="16"/>
  <c r="F2444" i="16"/>
  <c r="F754" i="16"/>
  <c r="F1517" i="16"/>
  <c r="F1574" i="16"/>
  <c r="F2618" i="16"/>
  <c r="F1607" i="16"/>
  <c r="F1751" i="16"/>
  <c r="F1126" i="16"/>
  <c r="F2243" i="16"/>
  <c r="F199" i="16"/>
  <c r="F1895" i="16"/>
  <c r="F1632" i="16"/>
  <c r="F1361" i="16"/>
  <c r="F1012" i="16"/>
  <c r="F302" i="16"/>
  <c r="F3174" i="16"/>
  <c r="F1386" i="16"/>
  <c r="F3288" i="16"/>
  <c r="F252" i="16"/>
  <c r="F2570" i="16"/>
  <c r="F2681" i="16"/>
  <c r="F611" i="16"/>
  <c r="F2096" i="16"/>
  <c r="F2958" i="16"/>
  <c r="F1262" i="16"/>
  <c r="F855" i="16"/>
  <c r="F1721" i="16"/>
  <c r="F425" i="16"/>
  <c r="F1067" i="16"/>
  <c r="F1289" i="16"/>
  <c r="F2761" i="16"/>
  <c r="F535" i="16"/>
  <c r="F1993" i="16"/>
  <c r="F1424" i="16"/>
  <c r="F1949" i="16"/>
  <c r="F2524" i="16"/>
  <c r="F1738" i="16"/>
  <c r="F2964" i="16"/>
  <c r="F1936" i="16"/>
  <c r="F537" i="16"/>
  <c r="F2893" i="16"/>
  <c r="F2565" i="16"/>
  <c r="F531" i="16"/>
  <c r="F87" i="16"/>
  <c r="F3224" i="16"/>
  <c r="F2986" i="16"/>
  <c r="F2492" i="16"/>
  <c r="F76" i="16"/>
  <c r="F593" i="16"/>
  <c r="F1073" i="16"/>
  <c r="F2651" i="16"/>
  <c r="F873" i="16"/>
  <c r="F2366" i="16"/>
  <c r="F3059" i="16"/>
  <c r="F1477" i="16"/>
  <c r="F1648" i="16"/>
  <c r="F3115" i="16"/>
  <c r="F501" i="16"/>
  <c r="F725" i="16"/>
  <c r="F696" i="16"/>
  <c r="F2024" i="16"/>
  <c r="F3257" i="16"/>
  <c r="F2774" i="16"/>
  <c r="F340" i="16"/>
  <c r="F790" i="16"/>
  <c r="F292" i="16"/>
  <c r="F2749" i="16"/>
  <c r="F321" i="16"/>
  <c r="F1859" i="16"/>
  <c r="F1409" i="16"/>
  <c r="F887" i="16"/>
  <c r="F1469" i="16"/>
  <c r="F2609" i="16"/>
  <c r="F3050" i="16"/>
  <c r="F3250" i="16"/>
  <c r="F960" i="16"/>
  <c r="F3075" i="16"/>
  <c r="F1545" i="16"/>
  <c r="F839" i="16"/>
  <c r="F653" i="16"/>
  <c r="F1016" i="16"/>
  <c r="F1000" i="16"/>
  <c r="F774" i="16"/>
  <c r="F1078" i="16"/>
  <c r="F1148" i="16"/>
  <c r="F741" i="16"/>
  <c r="F2068" i="16"/>
  <c r="F2654" i="16"/>
  <c r="F2810" i="16"/>
  <c r="F3038" i="16"/>
  <c r="F2316" i="16"/>
  <c r="F14" i="16"/>
  <c r="F940" i="16"/>
  <c r="F2706" i="16"/>
  <c r="F1822" i="16"/>
  <c r="F1458" i="16"/>
  <c r="F180" i="16"/>
  <c r="F355" i="16"/>
  <c r="F166" i="16"/>
  <c r="F2179" i="16"/>
  <c r="F40" i="16"/>
  <c r="F279" i="16"/>
  <c r="F1288" i="16"/>
  <c r="F584" i="16"/>
  <c r="F3225" i="16"/>
  <c r="F3307" i="16"/>
  <c r="F2592" i="16"/>
  <c r="F2200" i="16"/>
  <c r="F2246" i="16"/>
  <c r="F868" i="16"/>
  <c r="F957" i="16"/>
  <c r="F2712" i="16"/>
  <c r="F358" i="16"/>
  <c r="F2310" i="16"/>
  <c r="F851" i="16"/>
  <c r="F2531" i="16"/>
  <c r="F472" i="16"/>
  <c r="F948" i="16"/>
  <c r="F2082" i="16"/>
  <c r="F1318" i="16"/>
  <c r="F2988" i="16"/>
  <c r="F928" i="16"/>
  <c r="F932" i="16"/>
  <c r="F703" i="16"/>
  <c r="F3315" i="16"/>
  <c r="F1123" i="16"/>
  <c r="F1231" i="16"/>
  <c r="F995" i="16"/>
  <c r="F1758" i="16"/>
  <c r="F490" i="16"/>
  <c r="F894" i="16"/>
  <c r="F500" i="16"/>
  <c r="F2940" i="16"/>
  <c r="F136" i="16"/>
  <c r="F927" i="16"/>
  <c r="F881" i="16"/>
  <c r="F2578" i="16"/>
  <c r="F2553" i="16"/>
  <c r="F1390" i="16"/>
  <c r="F2013" i="16"/>
  <c r="F1657" i="16"/>
  <c r="F480" i="16"/>
  <c r="F673" i="16"/>
  <c r="F2155" i="16"/>
  <c r="F1588" i="16"/>
  <c r="F1075" i="16"/>
  <c r="F744" i="16"/>
  <c r="F32" i="16"/>
  <c r="F2367" i="16"/>
  <c r="F1762" i="16"/>
  <c r="F395" i="16"/>
  <c r="F746" i="16"/>
  <c r="F2212" i="16"/>
  <c r="F842" i="16"/>
  <c r="F2460" i="16"/>
  <c r="F527" i="16"/>
  <c r="F1312" i="16"/>
  <c r="F2428" i="16"/>
  <c r="F794" i="16"/>
  <c r="F1921" i="16"/>
  <c r="F3281" i="16"/>
  <c r="F1414" i="16"/>
  <c r="F2280" i="16"/>
  <c r="F1364" i="16"/>
  <c r="F639" i="16"/>
  <c r="F3177" i="16"/>
  <c r="F1621" i="16"/>
  <c r="F115" i="16"/>
  <c r="F2924" i="16"/>
  <c r="F1890" i="16"/>
  <c r="F1542" i="16"/>
  <c r="F3019" i="16"/>
  <c r="F2061" i="16"/>
  <c r="F1380" i="16"/>
  <c r="F528" i="16"/>
  <c r="F1100" i="16"/>
  <c r="F2273" i="16"/>
  <c r="F1580" i="16"/>
  <c r="F1979" i="16"/>
  <c r="F80" i="16"/>
  <c r="F1603" i="16"/>
  <c r="F316" i="16"/>
  <c r="F432" i="16"/>
  <c r="F2242" i="16"/>
  <c r="F130" i="16"/>
  <c r="F2133" i="16"/>
  <c r="F2327" i="16"/>
  <c r="F1509" i="16"/>
  <c r="F2882" i="16"/>
  <c r="F2309" i="16"/>
  <c r="F1277" i="16"/>
  <c r="F721" i="16"/>
  <c r="F752" i="16"/>
  <c r="F2837" i="16"/>
  <c r="F2019" i="16"/>
  <c r="F45" i="16"/>
  <c r="F892" i="16"/>
  <c r="F882" i="16"/>
  <c r="F1365" i="16"/>
  <c r="F1174" i="16"/>
  <c r="F3097" i="16"/>
  <c r="F541" i="16"/>
  <c r="F1868" i="16"/>
  <c r="F634" i="16"/>
  <c r="F1582" i="16"/>
  <c r="F1001" i="16"/>
  <c r="F2861" i="16"/>
  <c r="F934" i="16"/>
  <c r="F2272" i="16"/>
  <c r="F618" i="16"/>
  <c r="F2127" i="16"/>
  <c r="F539" i="16"/>
  <c r="F2326" i="16"/>
  <c r="F3274" i="16"/>
  <c r="F2539" i="16"/>
  <c r="F2603" i="16"/>
  <c r="F3324" i="16"/>
  <c r="F1472" i="16"/>
  <c r="F2533" i="16"/>
  <c r="F636" i="16"/>
  <c r="F1560" i="16"/>
  <c r="F1714" i="16"/>
  <c r="F1332" i="16"/>
  <c r="F1976" i="16"/>
  <c r="F2905" i="16"/>
  <c r="F1960" i="16"/>
  <c r="F1886" i="16"/>
  <c r="F3242" i="16"/>
  <c r="F841" i="16"/>
  <c r="F638" i="16"/>
  <c r="F1695" i="16"/>
  <c r="F3325" i="16"/>
  <c r="F1646" i="16"/>
  <c r="F3180" i="16"/>
  <c r="F3173" i="16"/>
  <c r="F407" i="16"/>
  <c r="F2154" i="16"/>
  <c r="F2443" i="16"/>
  <c r="F1373" i="16"/>
  <c r="F2415" i="16"/>
  <c r="F2459" i="16"/>
  <c r="F522" i="16"/>
  <c r="F991" i="16"/>
  <c r="F1551" i="16"/>
  <c r="F2117" i="16"/>
  <c r="F1740" i="16"/>
  <c r="F2783" i="16"/>
  <c r="F424" i="16"/>
  <c r="F329" i="16"/>
  <c r="F517" i="16"/>
  <c r="F1474" i="16"/>
  <c r="F2703" i="16"/>
  <c r="F359" i="16"/>
  <c r="F2001" i="16"/>
  <c r="F1454" i="16"/>
  <c r="F61" i="16"/>
  <c r="F2931" i="16"/>
  <c r="F348" i="16"/>
  <c r="F764" i="16"/>
  <c r="F1943" i="16"/>
  <c r="F1137" i="16"/>
  <c r="F1210" i="16"/>
  <c r="F3048" i="16"/>
  <c r="F1932" i="16"/>
  <c r="F1349" i="16"/>
  <c r="F485" i="16"/>
  <c r="F1948" i="16"/>
  <c r="F433" i="16"/>
  <c r="F757" i="16"/>
  <c r="F929" i="16"/>
  <c r="F2223" i="16"/>
  <c r="F2574" i="16"/>
  <c r="F101" i="16"/>
  <c r="F1060" i="16"/>
  <c r="F2275" i="16"/>
  <c r="F1518" i="16"/>
  <c r="F2819" i="16"/>
  <c r="F2818" i="16"/>
  <c r="F2079" i="16"/>
  <c r="F3151" i="16"/>
  <c r="F3303" i="16"/>
  <c r="F861" i="16"/>
  <c r="F228" i="16"/>
  <c r="F1598" i="16"/>
  <c r="F1285" i="16"/>
  <c r="F1694" i="16"/>
  <c r="F631" i="16"/>
  <c r="F1969" i="16"/>
  <c r="F3255" i="16"/>
  <c r="F1437" i="16"/>
  <c r="F455" i="16"/>
  <c r="F2407" i="16"/>
  <c r="F2072" i="16"/>
  <c r="F817" i="16"/>
  <c r="F1166" i="16"/>
  <c r="F2259" i="16"/>
  <c r="F977" i="16"/>
  <c r="F2803" i="16"/>
  <c r="F3283" i="16"/>
  <c r="F1827" i="16"/>
  <c r="F1264" i="16"/>
  <c r="F1447" i="16"/>
  <c r="F2217" i="16"/>
  <c r="F1764" i="16"/>
  <c r="F1234" i="16"/>
  <c r="F2959" i="16"/>
  <c r="F267" i="16"/>
  <c r="F468" i="16"/>
  <c r="F2457" i="16"/>
  <c r="F1314" i="16"/>
  <c r="F158" i="16"/>
  <c r="F1413" i="16"/>
  <c r="F1184" i="16"/>
  <c r="F571" i="16"/>
  <c r="F3282" i="16"/>
  <c r="F2467" i="16"/>
  <c r="F1014" i="16"/>
  <c r="F2864" i="16"/>
  <c r="F2208" i="16"/>
  <c r="F1170" i="16"/>
  <c r="F2102" i="16"/>
  <c r="F804" i="16"/>
  <c r="F1679" i="16"/>
  <c r="F1591" i="16"/>
  <c r="F683" i="16"/>
  <c r="F135" i="16"/>
  <c r="F287" i="16"/>
  <c r="F466" i="16"/>
  <c r="F651" i="16"/>
  <c r="F1407" i="16"/>
  <c r="F1464" i="16"/>
  <c r="F2575" i="16"/>
  <c r="F1053" i="16"/>
  <c r="F3203" i="16"/>
  <c r="F510" i="16"/>
  <c r="F2545" i="16"/>
  <c r="F3273" i="16"/>
  <c r="F1418" i="16"/>
  <c r="F375" i="16"/>
  <c r="F1473" i="16"/>
  <c r="F1930" i="16"/>
  <c r="F1302" i="16"/>
  <c r="F3271" i="16"/>
  <c r="F2101" i="16"/>
  <c r="F1114" i="16"/>
  <c r="F2131" i="16"/>
  <c r="F2487" i="16"/>
  <c r="F556" i="16"/>
  <c r="F2248" i="16"/>
  <c r="F1488" i="16"/>
  <c r="F1092" i="16"/>
  <c r="F2233" i="16"/>
  <c r="F820" i="16"/>
  <c r="F450" i="16"/>
  <c r="F678" i="16"/>
  <c r="F2463" i="16"/>
  <c r="F716" i="16"/>
  <c r="F1180" i="16"/>
  <c r="F2817" i="16"/>
  <c r="F985" i="16"/>
  <c r="F3243" i="16"/>
  <c r="F729" i="16"/>
  <c r="F3058" i="16"/>
  <c r="F1798" i="16"/>
  <c r="F2153" i="16"/>
  <c r="F2361" i="16"/>
  <c r="F951" i="16"/>
  <c r="F2685" i="16"/>
  <c r="F1252" i="16"/>
  <c r="F2644" i="16"/>
  <c r="F826" i="16"/>
  <c r="F3187" i="16"/>
  <c r="F2007" i="16"/>
  <c r="F2353" i="16"/>
  <c r="F105" i="16"/>
  <c r="F1774" i="16"/>
  <c r="F2576" i="16"/>
  <c r="F2255" i="16"/>
  <c r="F3057" i="16"/>
  <c r="F1508" i="16"/>
  <c r="F250" i="16"/>
  <c r="F253" i="16"/>
  <c r="F1592" i="16"/>
  <c r="F2226" i="16"/>
  <c r="F1599" i="16"/>
  <c r="F2802" i="16"/>
  <c r="F174" i="16"/>
  <c r="F2942" i="16"/>
  <c r="F300" i="16"/>
  <c r="F132" i="16"/>
  <c r="F624" i="16"/>
  <c r="F831" i="16"/>
  <c r="F1393" i="16"/>
  <c r="F2639" i="16"/>
  <c r="F1029" i="16"/>
  <c r="F795" i="16"/>
  <c r="F3095" i="16"/>
  <c r="F339" i="16"/>
  <c r="F1505" i="16"/>
  <c r="F2089" i="16"/>
  <c r="F574" i="16"/>
  <c r="F1753" i="16"/>
  <c r="F1203" i="16"/>
  <c r="F2092" i="16"/>
  <c r="F1986" i="16"/>
  <c r="F200" i="16"/>
  <c r="F2451" i="16"/>
  <c r="F1730" i="16"/>
  <c r="F2513" i="16"/>
  <c r="F2239" i="16"/>
  <c r="F2453" i="16"/>
  <c r="F825" i="16"/>
  <c r="F2596" i="16"/>
  <c r="F1099" i="16"/>
  <c r="F3148" i="16"/>
  <c r="F1286" i="16"/>
  <c r="F1489" i="16"/>
  <c r="F181" i="16"/>
  <c r="F1698" i="16"/>
  <c r="F3156" i="16"/>
  <c r="F731" i="16"/>
  <c r="F3099" i="16"/>
  <c r="F2695" i="16"/>
  <c r="F2191" i="16"/>
  <c r="F1072" i="16"/>
  <c r="F583" i="16"/>
  <c r="F2767" i="16"/>
  <c r="F2701" i="16"/>
  <c r="F3078" i="16"/>
  <c r="F1416" i="16"/>
  <c r="F2520" i="16"/>
  <c r="F2907" i="16"/>
  <c r="F1025" i="16"/>
  <c r="F1649" i="16"/>
  <c r="F1410" i="16"/>
  <c r="F2270" i="16"/>
  <c r="F1554" i="16"/>
  <c r="F1614" i="16"/>
  <c r="F1861" i="16"/>
  <c r="F890" i="16"/>
  <c r="F2616" i="16"/>
  <c r="F384" i="16"/>
  <c r="F1255" i="16"/>
  <c r="F1327" i="16"/>
  <c r="F917" i="16"/>
  <c r="F1706" i="16"/>
  <c r="F1572" i="16"/>
  <c r="F2269" i="16"/>
  <c r="F1451" i="16"/>
  <c r="F1292" i="16"/>
  <c r="F142" i="16"/>
  <c r="F590" i="16"/>
  <c r="F1725" i="16"/>
  <c r="F2943" i="16"/>
  <c r="F3128" i="16"/>
  <c r="F2594" i="16"/>
  <c r="F2414" i="16"/>
  <c r="F475" i="16"/>
  <c r="F2325" i="16"/>
  <c r="F2805" i="16"/>
  <c r="F1281" i="16"/>
  <c r="F1359" i="16"/>
  <c r="F2806" i="16"/>
  <c r="F1500" i="16"/>
  <c r="F68" i="16"/>
  <c r="F880" i="16"/>
  <c r="F255" i="16"/>
  <c r="F1569" i="16"/>
  <c r="F2008" i="16"/>
  <c r="F1692" i="16"/>
  <c r="F2884" i="16"/>
  <c r="F2814" i="16"/>
  <c r="F2588" i="16"/>
  <c r="F469" i="16"/>
  <c r="F2708" i="16"/>
  <c r="F3096" i="16"/>
  <c r="F2626" i="16"/>
  <c r="F1355" i="16"/>
  <c r="F102" i="16"/>
  <c r="F367" i="16"/>
  <c r="F369" i="16"/>
  <c r="F1502" i="16"/>
  <c r="F742" i="16"/>
  <c r="F2296" i="16"/>
  <c r="F3141" i="16"/>
  <c r="F2735" i="16"/>
  <c r="F2370" i="16"/>
  <c r="F3060" i="16"/>
  <c r="F779" i="16"/>
  <c r="F2985" i="16"/>
  <c r="F150" i="16"/>
  <c r="F1156" i="16"/>
  <c r="F1368" i="16"/>
  <c r="F1463" i="16"/>
  <c r="F1899" i="16"/>
  <c r="F2302" i="16"/>
  <c r="F2759" i="16"/>
  <c r="F1042" i="16"/>
  <c r="F713" i="16"/>
  <c r="F2777" i="16"/>
  <c r="F2103" i="16"/>
  <c r="F263" i="16"/>
  <c r="F544" i="16"/>
  <c r="F2968" i="16"/>
  <c r="F1020" i="16"/>
  <c r="F589" i="16"/>
  <c r="F2769" i="16"/>
  <c r="F3199" i="16"/>
  <c r="F78" i="16"/>
  <c r="F1178" i="16"/>
  <c r="F1683" i="16"/>
  <c r="F1701" i="16"/>
  <c r="F1923" i="16"/>
  <c r="F2358" i="16"/>
  <c r="F621" i="16"/>
  <c r="F1134" i="16"/>
  <c r="F1973" i="16"/>
  <c r="F206" i="16"/>
  <c r="F3262" i="16"/>
  <c r="F2962" i="16"/>
  <c r="F118" i="16"/>
  <c r="F1069" i="16"/>
  <c r="F129" i="16"/>
  <c r="F835" i="16"/>
  <c r="F2344" i="16"/>
  <c r="F1938" i="16"/>
  <c r="F1127" i="16"/>
  <c r="F1673" i="16"/>
  <c r="F1377" i="16"/>
  <c r="F2412" i="16"/>
  <c r="F2834" i="16"/>
  <c r="F3269" i="16"/>
  <c r="F3051" i="16"/>
  <c r="F2334" i="16"/>
  <c r="F2043" i="16"/>
  <c r="F2163" i="16"/>
  <c r="F1457" i="16"/>
  <c r="F2247" i="16"/>
  <c r="F422" i="16"/>
  <c r="F1940" i="16"/>
  <c r="F1453" i="16"/>
  <c r="F1161" i="16"/>
  <c r="F2873" i="16"/>
  <c r="F1108" i="16"/>
  <c r="F1186" i="16"/>
  <c r="F1765" i="16"/>
  <c r="F978" i="16"/>
  <c r="F2237" i="16"/>
  <c r="F1096" i="16"/>
  <c r="F1837" i="16"/>
  <c r="F3188" i="16"/>
  <c r="F2331" i="16"/>
  <c r="F1575" i="16"/>
  <c r="F1019" i="16"/>
  <c r="F966" i="16"/>
  <c r="F1891" i="16"/>
  <c r="F3320" i="16"/>
  <c r="F961" i="16"/>
  <c r="F2261" i="16"/>
  <c r="F1340" i="16"/>
  <c r="F1439" i="16"/>
  <c r="F98" i="16"/>
  <c r="F582" i="16"/>
  <c r="F2627" i="16"/>
  <c r="F551" i="16"/>
  <c r="F2197" i="16"/>
  <c r="F2351" i="16"/>
  <c r="F3207" i="16"/>
  <c r="F2676" i="16"/>
  <c r="F2440" i="16"/>
  <c r="F443" i="16"/>
  <c r="F2549" i="16"/>
  <c r="F2849" i="16"/>
  <c r="F2324" i="16"/>
  <c r="F273" i="16"/>
  <c r="F1113" i="16"/>
  <c r="F1918" i="16"/>
  <c r="F1240" i="16"/>
  <c r="F446" i="16"/>
  <c r="F2433" i="16"/>
  <c r="F3201" i="16"/>
  <c r="F177" i="16"/>
  <c r="F525" i="16"/>
  <c r="F435" i="16"/>
  <c r="F2168" i="16"/>
  <c r="F2015" i="16"/>
  <c r="F3044" i="16"/>
  <c r="F1462" i="16"/>
  <c r="F1803" i="16"/>
  <c r="F2914" i="16"/>
  <c r="F2474" i="16"/>
  <c r="F2016" i="16"/>
  <c r="F1789" i="16"/>
  <c r="F2348" i="16"/>
  <c r="F1082" i="16"/>
  <c r="F1514" i="16"/>
  <c r="F2262" i="16"/>
  <c r="F686" i="16"/>
  <c r="F1460" i="16"/>
  <c r="F1335" i="16"/>
  <c r="F2808" i="16"/>
  <c r="F2541" i="16"/>
  <c r="F2650" i="16"/>
  <c r="F1914" i="16"/>
  <c r="F3167" i="16"/>
  <c r="F441" i="16"/>
  <c r="F1864" i="16"/>
  <c r="F3319" i="16"/>
  <c r="F1493" i="16"/>
  <c r="F585" i="16"/>
  <c r="F1065" i="16"/>
  <c r="F520" i="16"/>
  <c r="F2711" i="16"/>
  <c r="F1549" i="16"/>
  <c r="F3299" i="16"/>
  <c r="F765" i="16"/>
  <c r="F772" i="16"/>
  <c r="F479" i="16"/>
  <c r="F2720" i="16"/>
  <c r="F1732" i="16"/>
  <c r="F1836" i="16"/>
  <c r="F2729" i="16"/>
  <c r="F2829" i="16"/>
  <c r="F2589" i="16"/>
  <c r="F10" i="16"/>
  <c r="F1047" i="16"/>
  <c r="F1946" i="16"/>
  <c r="F3259" i="16"/>
  <c r="F547" i="16"/>
  <c r="F1442" i="16"/>
  <c r="F1963" i="16"/>
  <c r="F3034" i="16"/>
  <c r="F2860" i="16"/>
  <c r="F701" i="16"/>
  <c r="F1776" i="16"/>
  <c r="F2308" i="16"/>
  <c r="F2867" i="16"/>
  <c r="F17" i="16"/>
  <c r="F1744" i="16"/>
  <c r="F159" i="16"/>
  <c r="F1944" i="16"/>
  <c r="F1710" i="16"/>
  <c r="F1578" i="16"/>
  <c r="F1511" i="16"/>
  <c r="F2455" i="16"/>
  <c r="F1529" i="16"/>
  <c r="F1214" i="16"/>
  <c r="F789" i="16"/>
  <c r="F1589" i="16"/>
  <c r="F51" i="16"/>
  <c r="F775" i="16"/>
  <c r="F3150" i="16"/>
  <c r="F2034" i="16"/>
  <c r="F1531" i="16"/>
  <c r="F65" i="16"/>
  <c r="F608" i="16"/>
  <c r="F2535" i="16"/>
  <c r="F2360" i="16"/>
  <c r="F1010" i="16"/>
  <c r="F207" i="16"/>
  <c r="F2490" i="16"/>
  <c r="F2875" i="16"/>
  <c r="F2450" i="16"/>
  <c r="F1975" i="16"/>
  <c r="F1634" i="16"/>
  <c r="F633" i="16"/>
  <c r="F619" i="16"/>
  <c r="F373" i="16"/>
  <c r="F610" i="16"/>
  <c r="F1990" i="16"/>
  <c r="F2694" i="16"/>
  <c r="F1871" i="16"/>
  <c r="F724" i="16"/>
  <c r="F404" i="16"/>
  <c r="F317" i="16"/>
  <c r="F251" i="16"/>
  <c r="F1372" i="16"/>
  <c r="F3084" i="16"/>
  <c r="F1354" i="16"/>
  <c r="F1033" i="16"/>
  <c r="F2949" i="16"/>
  <c r="F2009" i="16"/>
  <c r="F3137" i="16"/>
  <c r="F2540" i="16"/>
  <c r="F2718" i="16"/>
  <c r="F1741" i="16"/>
  <c r="F1139" i="16"/>
  <c r="F2696" i="16"/>
  <c r="F2620" i="16"/>
  <c r="F1041" i="16"/>
  <c r="F1055" i="16"/>
  <c r="F1176" i="16"/>
  <c r="F909" i="16"/>
  <c r="F2611" i="16"/>
  <c r="F291" i="16"/>
  <c r="F2365" i="16"/>
  <c r="F1346" i="16"/>
  <c r="F727" i="16"/>
  <c r="F1395" i="16"/>
  <c r="F436" i="16"/>
  <c r="F1991" i="16"/>
  <c r="F649" i="16"/>
  <c r="F1834" i="16"/>
  <c r="F1490" i="16"/>
  <c r="F3103" i="16"/>
  <c r="F471" i="16"/>
  <c r="F328" i="16"/>
  <c r="F2256" i="16"/>
  <c r="F1066" i="16"/>
  <c r="F1351" i="16"/>
  <c r="F1919" i="16"/>
  <c r="F1828" i="16"/>
  <c r="F2921" i="16"/>
  <c r="F3063" i="16"/>
  <c r="F2657" i="16"/>
  <c r="F2495" i="16"/>
  <c r="F2355" i="16"/>
  <c r="F284" i="16"/>
  <c r="F1767" i="16"/>
  <c r="F2543" i="16"/>
  <c r="F1786" i="16"/>
  <c r="F1245" i="16"/>
  <c r="F930" i="16"/>
  <c r="F2820" i="16"/>
  <c r="F1107" i="16"/>
  <c r="F2148" i="16"/>
  <c r="F1687" i="16"/>
  <c r="F2031" i="16"/>
  <c r="F3073" i="16"/>
  <c r="F262" i="16"/>
  <c r="F2434" i="16"/>
  <c r="F1132" i="16"/>
  <c r="F3011" i="16"/>
  <c r="F268" i="16"/>
  <c r="F1077" i="16"/>
  <c r="F538" i="16"/>
  <c r="F2049" i="16"/>
  <c r="F2313" i="16"/>
  <c r="F714" i="16"/>
  <c r="F1193" i="16"/>
  <c r="F218" i="16"/>
  <c r="F1846" i="16"/>
  <c r="F3284" i="16"/>
  <c r="F437" i="16"/>
  <c r="F1049" i="16"/>
  <c r="F3245" i="16"/>
  <c r="F620" i="16"/>
  <c r="F2608" i="16"/>
  <c r="F3179" i="16"/>
  <c r="F1356" i="16"/>
  <c r="F1766" i="16"/>
  <c r="F2362" i="16"/>
  <c r="F3229" i="16"/>
  <c r="F575" i="16"/>
  <c r="F1880" i="16"/>
  <c r="F650" i="16"/>
  <c r="F1715" i="16"/>
  <c r="F3223" i="16"/>
  <c r="F1125" i="16"/>
  <c r="F1947" i="16"/>
  <c r="F3089" i="16"/>
  <c r="F3200" i="16"/>
  <c r="F578" i="16"/>
  <c r="F1519" i="16"/>
  <c r="F2898" i="16"/>
  <c r="F22" i="16"/>
  <c r="F2386" i="16"/>
  <c r="F2542" i="16"/>
  <c r="F1961" i="16"/>
  <c r="F1087" i="16"/>
  <c r="F526" i="16"/>
  <c r="F1924" i="16"/>
  <c r="F667" i="16"/>
  <c r="F2156" i="16"/>
  <c r="F3126" i="16"/>
  <c r="F2607" i="16"/>
  <c r="F3024" i="16"/>
  <c r="F2081" i="16"/>
  <c r="F416" i="16"/>
  <c r="F1085" i="16"/>
  <c r="F482" i="16"/>
  <c r="F661" i="16"/>
  <c r="F1388" i="16"/>
  <c r="F1419" i="16"/>
  <c r="F2704" i="16"/>
  <c r="F1999" i="16"/>
  <c r="F733" i="16"/>
  <c r="F982" i="16"/>
  <c r="F1709" i="16"/>
  <c r="F2486" i="16"/>
  <c r="F1347" i="16"/>
  <c r="F2515" i="16"/>
  <c r="F2979" i="16"/>
  <c r="F2738" i="16"/>
  <c r="F546" i="16"/>
  <c r="F2690" i="16"/>
  <c r="F297" i="16"/>
  <c r="F1797" i="16"/>
  <c r="F1971" i="16"/>
  <c r="F54" i="16"/>
  <c r="F2705" i="16"/>
  <c r="F3290" i="16"/>
  <c r="F829" i="16"/>
  <c r="F2398" i="16"/>
  <c r="F1771" i="16"/>
  <c r="F1103" i="16"/>
  <c r="F2586" i="16"/>
  <c r="F2776" i="16"/>
  <c r="F84" i="16"/>
  <c r="F456" i="16"/>
  <c r="F888" i="16"/>
  <c r="F420" i="16"/>
  <c r="F555" i="16"/>
  <c r="F2210" i="16"/>
  <c r="F2251" i="16"/>
  <c r="F1321" i="16"/>
  <c r="F2085" i="16"/>
  <c r="F427" i="16"/>
  <c r="F3109" i="16"/>
  <c r="F387" i="16"/>
  <c r="F1972" i="16"/>
  <c r="F1358" i="16"/>
  <c r="F630" i="16"/>
  <c r="F3107" i="16"/>
  <c r="F352" i="16"/>
  <c r="F2389" i="16"/>
  <c r="F2976" i="16"/>
  <c r="F1760" i="16"/>
  <c r="F179" i="16"/>
  <c r="F2423" i="16"/>
  <c r="F1597" i="16"/>
  <c r="F2100" i="16"/>
  <c r="F2624" i="16"/>
  <c r="F1225" i="16"/>
  <c r="F1929" i="16"/>
  <c r="F2623" i="16"/>
  <c r="F688" i="16"/>
  <c r="F3162" i="16"/>
  <c r="F993" i="16"/>
  <c r="F470" i="16"/>
  <c r="F2086" i="16"/>
  <c r="F2341" i="16"/>
  <c r="F1703" i="16"/>
  <c r="F400" i="16"/>
  <c r="F3144" i="16"/>
  <c r="F1942" i="16"/>
  <c r="F74" i="16"/>
  <c r="F325" i="16"/>
  <c r="F1761" i="16"/>
  <c r="F1795" i="16"/>
  <c r="F674" i="16"/>
  <c r="F2536" i="16"/>
  <c r="F70" i="16"/>
  <c r="F1429" i="16"/>
  <c r="F1807" i="16"/>
  <c r="F2368" i="16"/>
  <c r="F154" i="16"/>
  <c r="F1294" i="16"/>
  <c r="F412" i="16"/>
  <c r="F3287" i="16"/>
  <c r="F114" i="16"/>
  <c r="F1543" i="16"/>
  <c r="F2725" i="16"/>
  <c r="F2645" i="16"/>
  <c r="F1336" i="16"/>
  <c r="F2452" i="16"/>
  <c r="F1658" i="16"/>
  <c r="F2667" i="16"/>
  <c r="F38" i="16"/>
  <c r="F999" i="16"/>
  <c r="F2793" i="16"/>
  <c r="F2110" i="16"/>
  <c r="F2747" i="16"/>
  <c r="F2238" i="16"/>
  <c r="F2798" i="16"/>
  <c r="F1290" i="16"/>
  <c r="F2159" i="16"/>
  <c r="F1984" i="16"/>
  <c r="F818" i="16"/>
  <c r="F2285" i="16"/>
  <c r="F938" i="16"/>
  <c r="F2841" i="16"/>
  <c r="F1638" i="16"/>
  <c r="F1338" i="16"/>
  <c r="F738" i="16"/>
  <c r="F483" i="16"/>
  <c r="F3092" i="16"/>
  <c r="F1609" i="16"/>
  <c r="F2506" i="16"/>
  <c r="F1937" i="16"/>
  <c r="F1185" i="16"/>
  <c r="F2480" i="16"/>
  <c r="F1965" i="16"/>
  <c r="F1796" i="16"/>
  <c r="F2473" i="16"/>
  <c r="F1527" i="16"/>
  <c r="F1350" i="16"/>
  <c r="F1538" i="16"/>
  <c r="F1893" i="16"/>
  <c r="F652" i="16"/>
  <c r="F809" i="16"/>
  <c r="F1865" i="16"/>
  <c r="F1133" i="16"/>
  <c r="F1341" i="16"/>
  <c r="F3248" i="16"/>
  <c r="F743" i="16"/>
  <c r="F2063" i="16"/>
  <c r="F1540" i="16"/>
  <c r="F3189" i="16"/>
  <c r="F2403" i="16"/>
  <c r="F853" i="16"/>
  <c r="F3013" i="16"/>
  <c r="F898" i="16"/>
  <c r="F2250" i="16"/>
  <c r="F2935" i="16"/>
  <c r="F1328" i="16"/>
  <c r="F383" i="16"/>
  <c r="F792" i="16"/>
  <c r="F1400" i="16"/>
  <c r="F2090" i="16"/>
  <c r="F1138" i="16"/>
  <c r="F2465" i="16"/>
  <c r="F2764" i="16"/>
  <c r="F1445" i="16"/>
  <c r="F1894" i="16"/>
  <c r="F1172" i="16"/>
  <c r="F1587" i="16"/>
  <c r="F2350" i="16"/>
  <c r="F1284" i="16"/>
  <c r="F293" i="16"/>
  <c r="F2378" i="16"/>
  <c r="F335" i="16"/>
  <c r="F242" i="16"/>
  <c r="F261" i="16"/>
  <c r="F2908" i="16"/>
  <c r="F2357" i="16"/>
  <c r="F341" i="16"/>
  <c r="F542" i="16"/>
  <c r="F728" i="16"/>
  <c r="F1136" i="16"/>
  <c r="F2939" i="16"/>
  <c r="F1004" i="16"/>
  <c r="F1584" i="16"/>
  <c r="F2758" i="16"/>
  <c r="F1830" i="16"/>
  <c r="F1420" i="16"/>
  <c r="F2120" i="16"/>
  <c r="F3249" i="16"/>
  <c r="F2564" i="16"/>
  <c r="F1220" i="16"/>
  <c r="F2201" i="16"/>
  <c r="F2642" i="16"/>
  <c r="F893" i="16"/>
  <c r="F2469" i="16"/>
  <c r="F1633" i="16"/>
  <c r="F2762" i="16"/>
  <c r="F784" i="16"/>
  <c r="F1229" i="16"/>
  <c r="F1037" i="16"/>
  <c r="F949" i="16"/>
  <c r="F632" i="16"/>
  <c r="F189" i="16"/>
  <c r="F1311" i="16"/>
  <c r="F90" i="16"/>
  <c r="F900" i="16"/>
  <c r="F2971" i="16"/>
  <c r="F2728" i="16"/>
  <c r="F694" i="16"/>
  <c r="F405" i="16"/>
  <c r="F2791" i="16"/>
  <c r="F1105" i="16"/>
  <c r="F1119" i="16"/>
  <c r="F1788" i="16"/>
  <c r="F1902" i="16"/>
  <c r="F1153" i="16"/>
  <c r="F2030" i="16"/>
  <c r="F1515" i="16"/>
  <c r="F2928" i="16"/>
  <c r="F1959" i="16"/>
  <c r="F324" i="16"/>
  <c r="F1339" i="16"/>
  <c r="F2195" i="16"/>
  <c r="F2458" i="16"/>
  <c r="F3286" i="16"/>
  <c r="F2857" i="16"/>
  <c r="F160" i="16"/>
  <c r="F2192" i="16"/>
  <c r="F3176" i="16"/>
  <c r="F600" i="16"/>
  <c r="F1093" i="16"/>
  <c r="F1293" i="16"/>
  <c r="F1056" i="16"/>
  <c r="F810" i="16"/>
  <c r="F3149" i="16"/>
  <c r="F2438" i="16"/>
  <c r="F119" i="16"/>
  <c r="F1968" i="16"/>
  <c r="F1089" i="16"/>
  <c r="F1196" i="16"/>
  <c r="F2202" i="16"/>
  <c r="F3145" i="16"/>
  <c r="F2385" i="16"/>
  <c r="F2937" i="16"/>
  <c r="F1812" i="16"/>
  <c r="F2218" i="16"/>
  <c r="F217" i="16"/>
  <c r="F97" i="16"/>
  <c r="F1988" i="16"/>
  <c r="F417" i="16"/>
  <c r="F2322" i="16"/>
  <c r="F1622" i="16"/>
  <c r="F601" i="16"/>
  <c r="F365" i="16"/>
  <c r="F1459" i="16"/>
  <c r="F857" i="16"/>
  <c r="F232" i="16"/>
  <c r="F3131" i="16"/>
  <c r="F2158" i="16"/>
  <c r="F1512" i="16"/>
  <c r="F1547" i="16"/>
  <c r="F509" i="16"/>
  <c r="F62" i="16"/>
  <c r="F1570" i="16"/>
  <c r="F722" i="16"/>
  <c r="F2132" i="16"/>
  <c r="F1495" i="16"/>
  <c r="F958" i="16"/>
  <c r="F214" i="16"/>
  <c r="F478" i="16"/>
  <c r="F1268" i="16"/>
  <c r="F2371" i="16"/>
  <c r="F30" i="16"/>
  <c r="F2969" i="16"/>
  <c r="F3184" i="16"/>
  <c r="F2577" i="16"/>
  <c r="F2858" i="16"/>
  <c r="F2984" i="16"/>
  <c r="F572" i="16"/>
  <c r="F2134" i="16"/>
  <c r="F337" i="16"/>
  <c r="F685" i="16"/>
  <c r="F1291" i="16"/>
  <c r="F885" i="16"/>
  <c r="F1068" i="16"/>
  <c r="F2381" i="16"/>
  <c r="F308" i="16"/>
  <c r="F2538" i="16"/>
  <c r="F814" i="16"/>
  <c r="F739" i="16"/>
  <c r="F1655" i="16"/>
  <c r="F1719" i="16"/>
  <c r="F2525" i="16"/>
  <c r="F2933" i="16"/>
  <c r="F1131" i="16"/>
  <c r="F2633" i="16"/>
  <c r="F3080" i="16"/>
  <c r="F2697" i="16"/>
  <c r="F112" i="16"/>
  <c r="F3157" i="16"/>
  <c r="F1130" i="16"/>
  <c r="F998" i="16"/>
  <c r="F1101" i="16"/>
  <c r="F1325" i="16"/>
  <c r="F2099" i="16"/>
  <c r="F2320" i="16"/>
  <c r="F1801" i="16"/>
  <c r="F923" i="16"/>
  <c r="F788" i="16"/>
  <c r="F2125" i="16"/>
  <c r="F1173" i="16"/>
  <c r="F3169" i="16"/>
  <c r="F2240" i="16"/>
  <c r="F1720" i="16"/>
  <c r="F1790" i="16"/>
  <c r="F1513" i="16"/>
  <c r="F745" i="16"/>
  <c r="F913" i="16"/>
  <c r="F457" i="16"/>
  <c r="F2311" i="16"/>
  <c r="F931" i="16"/>
  <c r="F563" i="16"/>
  <c r="F2853" i="16"/>
  <c r="F2842" i="16"/>
  <c r="F310" i="16"/>
  <c r="F926" i="16"/>
  <c r="F1334" i="16"/>
  <c r="F1860" i="16"/>
  <c r="F3316" i="16"/>
  <c r="F2051" i="16"/>
  <c r="F1104" i="16"/>
  <c r="F3158" i="16"/>
  <c r="F1759" i="16"/>
  <c r="F1122" i="16"/>
  <c r="F3124" i="16"/>
  <c r="F1070" i="16"/>
  <c r="F1817" i="16"/>
  <c r="F2328" i="16"/>
  <c r="F149" i="16"/>
  <c r="F454" i="16"/>
  <c r="F2952" i="16"/>
  <c r="F2076" i="16"/>
  <c r="F447" i="16"/>
  <c r="F1272" i="16"/>
  <c r="F1897" i="16"/>
  <c r="F2029" i="16"/>
  <c r="F534" i="16"/>
  <c r="F3091" i="16"/>
  <c r="F1630" i="16"/>
  <c r="F234" i="16"/>
  <c r="F687" i="16"/>
  <c r="F2093" i="16"/>
  <c r="F2304" i="16"/>
  <c r="F1159" i="16"/>
  <c r="F3062" i="16"/>
  <c r="F1051" i="16"/>
  <c r="F1806" i="16"/>
  <c r="F3102" i="16"/>
  <c r="F2387" i="16"/>
  <c r="F173" i="16"/>
  <c r="F193" i="16"/>
  <c r="F301" i="16"/>
  <c r="F2084" i="16"/>
  <c r="F3163" i="16"/>
  <c r="F1852" i="16"/>
  <c r="F848" i="16"/>
  <c r="F1705" i="16"/>
  <c r="F871" i="16"/>
  <c r="F2010" i="16"/>
  <c r="F3101" i="16"/>
  <c r="F1401" i="16"/>
  <c r="F979" i="16"/>
  <c r="F1787" i="16"/>
  <c r="F625" i="16"/>
  <c r="F2303" i="16"/>
  <c r="F2289" i="16"/>
  <c r="F3302" i="16"/>
  <c r="F565" i="16"/>
  <c r="F2266" i="16"/>
  <c r="F3237" i="16"/>
  <c r="F357" i="16"/>
  <c r="F974" i="16"/>
  <c r="F2345" i="16"/>
  <c r="F1844" i="16"/>
  <c r="F2299" i="16"/>
  <c r="F249" i="16"/>
  <c r="F275" i="16"/>
  <c r="F799" i="16"/>
  <c r="F2036" i="16"/>
  <c r="F1002" i="16"/>
  <c r="F3193" i="16"/>
  <c r="F1747" i="16"/>
  <c r="F3228" i="16"/>
  <c r="F1688" i="16"/>
  <c r="F304" i="16"/>
  <c r="F1144" i="16"/>
  <c r="F1792" i="16"/>
  <c r="F2461" i="16"/>
  <c r="F680" i="16"/>
  <c r="F2569" i="16"/>
  <c r="F440" i="16"/>
  <c r="F521" i="16"/>
  <c r="F3100" i="16"/>
  <c r="F573" i="16"/>
  <c r="F347" i="16"/>
  <c r="F1559" i="16"/>
  <c r="F2170" i="16"/>
  <c r="F1842" i="16"/>
  <c r="F564" i="16"/>
  <c r="F2399" i="16"/>
  <c r="F3196" i="16"/>
  <c r="F1411" i="16"/>
  <c r="F464" i="16"/>
  <c r="F1763" i="16"/>
  <c r="F2732" i="16"/>
  <c r="F1954" i="16"/>
  <c r="F2731" i="16"/>
  <c r="F3110" i="16"/>
  <c r="F1371" i="16"/>
  <c r="F2162" i="16"/>
  <c r="F816" i="16"/>
  <c r="F1227" i="16"/>
  <c r="F559" i="16"/>
  <c r="F1097" i="16"/>
  <c r="F1317" i="16"/>
  <c r="F397" i="16"/>
  <c r="F327" i="16"/>
  <c r="F1433" i="16"/>
  <c r="F1297" i="16"/>
  <c r="F1850" i="16"/>
  <c r="F409" i="16"/>
  <c r="F296" i="16"/>
  <c r="F2859" i="16"/>
  <c r="F185" i="16"/>
  <c r="F1320" i="16"/>
  <c r="F122" i="16"/>
  <c r="F568" i="16"/>
  <c r="F1849" i="16"/>
  <c r="F2222" i="16"/>
  <c r="F823" i="16"/>
  <c r="F2234" i="16"/>
  <c r="F1676" i="16"/>
  <c r="F990" i="16"/>
  <c r="F354" i="16"/>
  <c r="F2382" i="16"/>
  <c r="F1520" i="16"/>
  <c r="F306" i="16"/>
  <c r="F1379" i="16"/>
  <c r="F2869" i="16"/>
  <c r="F2235" i="16"/>
  <c r="F2822" i="16"/>
  <c r="F2472" i="16"/>
  <c r="F1040" i="16"/>
  <c r="F3210" i="16"/>
  <c r="F2832" i="16"/>
  <c r="F719" i="16"/>
  <c r="F2011" i="16"/>
  <c r="F598" i="16"/>
  <c r="F2354" i="16"/>
  <c r="F2666" i="16"/>
  <c r="F1684" i="16"/>
  <c r="F962" i="16"/>
  <c r="F1565" i="16"/>
  <c r="F773" i="16"/>
  <c r="F1048" i="16"/>
  <c r="F1647" i="16"/>
  <c r="F2164" i="16"/>
  <c r="F516" i="16"/>
  <c r="F944" i="16"/>
  <c r="F2044" i="16"/>
  <c r="F2071" i="16"/>
  <c r="F3294" i="16"/>
  <c r="F1623" i="16"/>
  <c r="F2185" i="16"/>
  <c r="F859" i="16"/>
  <c r="F1417" i="16"/>
  <c r="F410" i="16"/>
  <c r="F700" i="16"/>
  <c r="F1009" i="16"/>
  <c r="F2838" i="16"/>
  <c r="F1036" i="16"/>
  <c r="F3298" i="16"/>
  <c r="F1222" i="16"/>
  <c r="F1145" i="16"/>
  <c r="F2641" i="16"/>
  <c r="F1076" i="16"/>
  <c r="F2347" i="16"/>
  <c r="F265" i="16"/>
  <c r="F2975" i="16"/>
  <c r="F1054" i="16"/>
  <c r="F2140" i="16"/>
  <c r="F2800" i="16"/>
  <c r="F2069" i="16"/>
  <c r="F1980" i="16"/>
  <c r="F2702" i="16"/>
  <c r="F127" i="16"/>
  <c r="F2281" i="16"/>
  <c r="F2411" i="16"/>
  <c r="F3226" i="16"/>
  <c r="F497" i="16"/>
  <c r="F1643" i="16"/>
  <c r="F2856" i="16"/>
  <c r="F1088" i="16"/>
  <c r="F2187" i="16"/>
  <c r="F896" i="16"/>
  <c r="F56" i="16"/>
  <c r="F3326" i="16"/>
  <c r="F2152" i="16"/>
  <c r="F3155" i="16"/>
  <c r="F3212" i="16"/>
  <c r="F2945" i="16"/>
  <c r="F2537" i="16"/>
  <c r="F2394" i="16"/>
  <c r="F2824" i="16"/>
  <c r="F2040" i="16"/>
  <c r="F807" i="16"/>
  <c r="F418" i="16"/>
  <c r="F3232" i="16"/>
  <c r="F281" i="16"/>
  <c r="F3104" i="16"/>
  <c r="F2260" i="16"/>
  <c r="F172" i="16"/>
  <c r="F3020" i="16"/>
  <c r="F82" i="16"/>
  <c r="F750" i="16"/>
  <c r="F2811" i="16"/>
  <c r="F3121" i="16"/>
  <c r="F645" i="16"/>
  <c r="F717" i="16"/>
  <c r="F1242" i="16"/>
  <c r="F566" i="16"/>
  <c r="F421" i="16"/>
  <c r="F605" i="16"/>
  <c r="F2973" i="16"/>
  <c r="F1885" i="16"/>
  <c r="F904" i="16"/>
  <c r="F1884" i="16"/>
  <c r="F120" i="16"/>
  <c r="F1226" i="16"/>
  <c r="F2551" i="16"/>
  <c r="F2057" i="16"/>
  <c r="F2599" i="16"/>
  <c r="F1742" i="16"/>
  <c r="F338" i="16"/>
  <c r="F1057" i="16"/>
  <c r="F1363" i="16"/>
  <c r="F671" i="16"/>
  <c r="F3236" i="16"/>
  <c r="F1452" i="16"/>
  <c r="F954" i="16"/>
  <c r="F2855" i="16"/>
  <c r="F947" i="16"/>
  <c r="F2198" i="16"/>
  <c r="F1686" i="16"/>
  <c r="F1305" i="16"/>
  <c r="F907" i="16"/>
  <c r="F3068" i="16"/>
  <c r="F1727" i="16"/>
  <c r="F2948" i="16"/>
  <c r="F2228" i="16"/>
  <c r="F838" i="16"/>
  <c r="F2593" i="16"/>
  <c r="F1275" i="16"/>
  <c r="F1912" i="16"/>
  <c r="F2687" i="16"/>
  <c r="F476" i="16"/>
  <c r="F1851" i="16"/>
  <c r="F381" i="16"/>
  <c r="F536" i="16"/>
  <c r="F346" i="16"/>
  <c r="F1367" i="16"/>
  <c r="F693" i="16"/>
  <c r="F2635" i="16"/>
  <c r="F1244" i="16"/>
  <c r="F1197" i="16"/>
  <c r="F1028" i="16"/>
  <c r="F401" i="16"/>
  <c r="F2950" i="16"/>
  <c r="F349" i="16"/>
  <c r="F2431" i="16"/>
  <c r="F1278" i="16"/>
  <c r="F1636" i="16"/>
  <c r="F1754" i="16"/>
  <c r="F2600" i="16"/>
  <c r="F2918" i="16"/>
  <c r="F2779" i="16"/>
  <c r="F394" i="16"/>
  <c r="F1970" i="16"/>
  <c r="F2056" i="16"/>
  <c r="F169" i="16"/>
  <c r="F1594" i="16"/>
  <c r="F1487" i="16"/>
  <c r="F453" i="16"/>
  <c r="F2232" i="16"/>
  <c r="F2225" i="16"/>
  <c r="F134" i="16"/>
  <c r="F545" i="16"/>
  <c r="F737" i="16"/>
  <c r="F865" i="16"/>
  <c r="F1629" i="16"/>
  <c r="F3164" i="16"/>
  <c r="F3312" i="16"/>
  <c r="F1669" i="16"/>
  <c r="F1061" i="16"/>
  <c r="F2391" i="16"/>
  <c r="F2035" i="16"/>
  <c r="F1522" i="16"/>
  <c r="F508" i="16"/>
  <c r="F2863" i="16"/>
  <c r="F975" i="16"/>
  <c r="F3114" i="16"/>
  <c r="F1484" i="16"/>
  <c r="F1916" i="16"/>
  <c r="F3186" i="16"/>
  <c r="F761" i="16"/>
  <c r="F311" i="16"/>
  <c r="F2919" i="16"/>
  <c r="F1904" i="16"/>
  <c r="F1964" i="16"/>
  <c r="F1205" i="16"/>
  <c r="F971" i="16"/>
  <c r="F989" i="16"/>
  <c r="F1987" i="16"/>
  <c r="F2496" i="16"/>
  <c r="F1660" i="16"/>
  <c r="F2505" i="16"/>
  <c r="F3197" i="16"/>
  <c r="F2417" i="16"/>
  <c r="F3260" i="16"/>
  <c r="F208" i="16"/>
  <c r="F1467" i="16"/>
  <c r="F872" i="16"/>
  <c r="F2736" i="16"/>
  <c r="F2419" i="16"/>
  <c r="F1337" i="16"/>
  <c r="F1080" i="16"/>
  <c r="F1478" i="16"/>
  <c r="F1283" i="16"/>
  <c r="F3266" i="16"/>
  <c r="F2078" i="16"/>
  <c r="F2692" i="16"/>
  <c r="F1215" i="16"/>
  <c r="F2462" i="16"/>
  <c r="F2632" i="16"/>
  <c r="F2097" i="16"/>
  <c r="F2995" i="16"/>
  <c r="F3074" i="16"/>
  <c r="F2901" i="16"/>
  <c r="F3081" i="16"/>
  <c r="F879" i="16"/>
  <c r="F3061" i="16"/>
  <c r="F2230" i="16"/>
  <c r="F2291" i="16"/>
  <c r="F2439" i="16"/>
  <c r="F1276" i="16"/>
  <c r="F2622" i="16"/>
  <c r="F2294" i="16"/>
  <c r="F1236" i="16"/>
  <c r="F257" i="16"/>
  <c r="F614" i="16"/>
  <c r="F607" i="16"/>
  <c r="F3010" i="16"/>
  <c r="F239" i="16"/>
  <c r="F3021" i="16"/>
  <c r="F2993" i="16"/>
  <c r="F2927" i="16"/>
  <c r="F1977" i="16"/>
  <c r="F2184" i="16"/>
  <c r="F1650" i="16"/>
  <c r="F981" i="16"/>
  <c r="F2740" i="16"/>
  <c r="F1074" i="16"/>
  <c r="F484" i="16"/>
  <c r="F1956" i="16"/>
  <c r="F272" i="16"/>
  <c r="F1922" i="16"/>
  <c r="F3296" i="16"/>
  <c r="F2737" i="16"/>
  <c r="F2571" i="16"/>
  <c r="F1550" i="16"/>
  <c r="F2137" i="16"/>
  <c r="F419" i="16"/>
  <c r="F916" i="16"/>
  <c r="F2532" i="16"/>
  <c r="F458" i="16"/>
  <c r="F2840" i="16"/>
  <c r="F1265" i="16"/>
  <c r="F378" i="16"/>
  <c r="F956" i="16"/>
  <c r="F2715" i="16"/>
  <c r="F2220" i="16"/>
  <c r="F194" i="16"/>
  <c r="F3253" i="16"/>
  <c r="F3183" i="16"/>
  <c r="F1872" i="16"/>
  <c r="F1095" i="16"/>
  <c r="F3077" i="16"/>
  <c r="F157" i="16"/>
  <c r="F2026" i="16"/>
  <c r="F941" i="16"/>
  <c r="F2815" i="16"/>
  <c r="F2126" i="16"/>
  <c r="F1530" i="16"/>
  <c r="F2282" i="16"/>
  <c r="F2306" i="16"/>
  <c r="F1353" i="16"/>
  <c r="F827" i="16"/>
  <c r="F333" i="16"/>
  <c r="F2862" i="16"/>
  <c r="F1735" i="16"/>
  <c r="F2442" i="16"/>
  <c r="F2284" i="16"/>
  <c r="F2352" i="16"/>
  <c r="F2065" i="16"/>
  <c r="F1013" i="16"/>
  <c r="F2581" i="16"/>
  <c r="F2088" i="16"/>
  <c r="F670" i="16"/>
  <c r="F2680" i="16"/>
  <c r="F1824" i="16"/>
  <c r="F1739" i="16"/>
  <c r="F2258" i="16"/>
  <c r="F445" i="16"/>
  <c r="F2679" i="16"/>
  <c r="F1756" i="16"/>
  <c r="F1135" i="16"/>
  <c r="F1232" i="16"/>
  <c r="F635" i="16"/>
  <c r="F3123" i="16"/>
  <c r="F285" i="16"/>
  <c r="F3111" i="16"/>
  <c r="F495" i="16"/>
  <c r="F2145" i="16"/>
  <c r="F963" i="16"/>
  <c r="F1316" i="16"/>
  <c r="F3161" i="16"/>
  <c r="F1246" i="16"/>
  <c r="F3305" i="16"/>
  <c r="F2166" i="16"/>
  <c r="F806" i="16"/>
  <c r="F782" i="16"/>
  <c r="F1504" i="16"/>
  <c r="F247" i="16"/>
  <c r="F2689" i="16"/>
  <c r="F1052" i="16"/>
  <c r="F3135" i="16"/>
  <c r="F1862" i="16"/>
  <c r="F63" i="16"/>
  <c r="F968" i="16"/>
  <c r="F702" i="16"/>
  <c r="F1982" i="16"/>
  <c r="F460" i="16"/>
  <c r="F1322" i="16"/>
  <c r="F314" i="16"/>
  <c r="F2833" i="16"/>
  <c r="F748" i="16"/>
  <c r="F755" i="16"/>
  <c r="F2889" i="16"/>
  <c r="F2785" i="16"/>
  <c r="F266" i="16"/>
  <c r="F2122" i="16"/>
  <c r="F2190" i="16"/>
  <c r="F313" i="16"/>
  <c r="F1525" i="16"/>
  <c r="F1898" i="16"/>
  <c r="F1903" i="16"/>
  <c r="F2027" i="16"/>
  <c r="F2236" i="16"/>
  <c r="F2987" i="16"/>
  <c r="F2874" i="16"/>
  <c r="F2744" i="16"/>
  <c r="F3276" i="16"/>
  <c r="F1448" i="16"/>
  <c r="F2821" i="16"/>
  <c r="F1889" i="16"/>
  <c r="F812" i="16"/>
  <c r="F2604" i="16"/>
  <c r="F2033" i="16"/>
  <c r="F195" i="16"/>
  <c r="F1802" i="16"/>
  <c r="F233" i="16"/>
  <c r="F388" i="16"/>
  <c r="F2816" i="16"/>
  <c r="F3142" i="16"/>
  <c r="F12" i="16"/>
  <c r="F1224" i="16"/>
  <c r="F3116" i="16"/>
  <c r="F1501" i="16"/>
  <c r="F1221" i="16"/>
  <c r="F225" i="16"/>
  <c r="F3042" i="16"/>
  <c r="F658" i="16"/>
  <c r="F2763" i="16"/>
  <c r="F344" i="16"/>
  <c r="F1612" i="16"/>
  <c r="F665" i="16"/>
  <c r="F988" i="16"/>
  <c r="F143" i="16"/>
  <c r="F1724" i="16"/>
  <c r="F2337" i="16"/>
  <c r="F1062" i="16"/>
  <c r="F2194" i="16"/>
  <c r="F2047" i="16"/>
  <c r="F2510" i="16"/>
  <c r="F11" i="16"/>
  <c r="F2568" i="16"/>
  <c r="F3085" i="16"/>
  <c r="F2813" i="16"/>
  <c r="F994" i="16"/>
  <c r="F1532" i="16"/>
  <c r="F1415" i="16"/>
  <c r="F732" i="16"/>
  <c r="F751" i="16"/>
  <c r="F94" i="16"/>
  <c r="F919" i="16"/>
  <c r="F1799" i="16"/>
  <c r="F2700" i="16"/>
  <c r="F2499" i="16"/>
  <c r="F606" i="16"/>
  <c r="F1613" i="16"/>
  <c r="F1481" i="16"/>
  <c r="F2050" i="16"/>
  <c r="F1422" i="16"/>
  <c r="F1858" i="16"/>
  <c r="F2138" i="16"/>
  <c r="F1366" i="16"/>
  <c r="F1546" i="16"/>
  <c r="F1917" i="16"/>
  <c r="F3007" i="16"/>
  <c r="F1200" i="16"/>
  <c r="F2053" i="16"/>
  <c r="F2548" i="16"/>
  <c r="F3032" i="16"/>
  <c r="F1223" i="16"/>
  <c r="F3208" i="16"/>
  <c r="F646" i="16"/>
  <c r="F145" i="16"/>
  <c r="F2757" i="16"/>
  <c r="F473" i="16"/>
  <c r="F205" i="16"/>
  <c r="F2494" i="16"/>
  <c r="F3055" i="16"/>
  <c r="F2180" i="16"/>
  <c r="F677" i="16"/>
  <c r="F3018" i="16"/>
  <c r="F3119" i="16"/>
  <c r="F623" i="16"/>
  <c r="F1059" i="16"/>
  <c r="F1492" i="16"/>
  <c r="F561" i="16"/>
  <c r="F2161" i="16"/>
  <c r="F720" i="16"/>
  <c r="F31" i="16"/>
  <c r="F2196" i="16"/>
  <c r="F399" i="16"/>
  <c r="F1691" i="16"/>
  <c r="F1309" i="16"/>
  <c r="F213" i="16"/>
  <c r="F1664" i="16"/>
  <c r="F243" i="16"/>
  <c r="F2770" i="16"/>
  <c r="F2652" i="16"/>
  <c r="F1662" i="16"/>
  <c r="F2978" i="16"/>
  <c r="F3322" i="16"/>
  <c r="F2046" i="16"/>
  <c r="F1250" i="16"/>
  <c r="F2123" i="16"/>
  <c r="F912" i="16"/>
  <c r="F581" i="16"/>
  <c r="F2672" i="16"/>
  <c r="F2723" i="16"/>
  <c r="F451" i="16"/>
  <c r="F1611" i="16"/>
  <c r="F1374" i="16"/>
  <c r="F648" i="16"/>
  <c r="F911" i="16"/>
  <c r="F1376" i="16"/>
  <c r="F1434" i="16"/>
  <c r="F2583" i="16"/>
  <c r="F3213" i="16"/>
  <c r="F3165" i="16"/>
  <c r="F2211" i="16"/>
  <c r="F846" i="16"/>
  <c r="F3175" i="16"/>
  <c r="F1258" i="16"/>
  <c r="F1345" i="16"/>
  <c r="F402" i="16"/>
  <c r="F3292" i="16"/>
  <c r="F776" i="16"/>
  <c r="F198" i="16"/>
  <c r="F1808" i="16"/>
  <c r="F965" i="16"/>
  <c r="F2778" i="16"/>
  <c r="F828" i="16"/>
  <c r="F2060" i="16"/>
  <c r="F141" i="16"/>
  <c r="F26" i="16"/>
  <c r="F1770" i="16"/>
  <c r="F1783" i="16"/>
  <c r="F3072" i="16"/>
  <c r="F1441" i="16"/>
  <c r="F2421" i="16"/>
  <c r="F3278" i="16"/>
  <c r="F2784" i="16"/>
  <c r="F519" i="16"/>
  <c r="F1915" i="16"/>
  <c r="F2244" i="16"/>
  <c r="F1888" i="16"/>
  <c r="F1110" i="16"/>
  <c r="F2518" i="16"/>
  <c r="F83" i="16"/>
  <c r="F1263" i="16"/>
  <c r="F2730" i="16"/>
  <c r="F1734" i="16"/>
  <c r="F668" i="16"/>
  <c r="F2144" i="16"/>
  <c r="F413" i="16"/>
  <c r="F676" i="16"/>
  <c r="F3306" i="16"/>
  <c r="F1906" i="16"/>
  <c r="F277" i="16"/>
  <c r="F2150" i="16"/>
  <c r="F1506" i="16"/>
  <c r="F647" i="16"/>
  <c r="F1856" i="16"/>
  <c r="F1605" i="16"/>
  <c r="F1668" i="16"/>
  <c r="F18" i="16"/>
  <c r="F1201" i="16"/>
  <c r="F3264" i="16"/>
  <c r="F1468" i="16"/>
  <c r="F1362" i="16"/>
  <c r="F364" i="16"/>
  <c r="F9" i="16"/>
  <c r="F643" i="16"/>
  <c r="F1396" i="16"/>
  <c r="F1794" i="16"/>
  <c r="F3071" i="16"/>
  <c r="F2477" i="16"/>
  <c r="F2401" i="16"/>
  <c r="F1167" i="16"/>
  <c r="F1935" i="16"/>
  <c r="F2992" i="16"/>
  <c r="F2215" i="16"/>
  <c r="F1908" i="16"/>
  <c r="F1876" i="16"/>
  <c r="F654" i="16"/>
  <c r="F2865" i="16"/>
  <c r="F3040" i="16"/>
  <c r="F2653" i="16"/>
  <c r="F151" i="16"/>
  <c r="F1866" i="16"/>
  <c r="F3153" i="16"/>
  <c r="F766" i="16"/>
  <c r="F2396" i="16"/>
  <c r="F2112" i="16"/>
  <c r="F1211" i="16"/>
  <c r="F1023" i="16"/>
  <c r="F345" i="16"/>
  <c r="F92" i="16"/>
  <c r="F2913" i="16"/>
  <c r="F2315" i="16"/>
  <c r="F3227" i="16"/>
  <c r="F753" i="16"/>
  <c r="F1237" i="16"/>
  <c r="F1933" i="16"/>
  <c r="F3301" i="16"/>
  <c r="F1461" i="16"/>
  <c r="F2585" i="16"/>
  <c r="F1142" i="16"/>
  <c r="F1352" i="16"/>
  <c r="F2547" i="16"/>
  <c r="F2062" i="16"/>
  <c r="F1303" i="16"/>
  <c r="F1553" i="16"/>
  <c r="F2295" i="16"/>
  <c r="F1690" i="16"/>
  <c r="F2614" i="16"/>
  <c r="F196" i="16"/>
  <c r="F2953" i="16"/>
  <c r="F906" i="16"/>
  <c r="F2023" i="16"/>
  <c r="F1421" i="16"/>
  <c r="F3219" i="16"/>
  <c r="F1726" i="16"/>
  <c r="F2336" i="16"/>
  <c r="F3235" i="16"/>
  <c r="F805" i="16"/>
  <c r="F769" i="16"/>
  <c r="F2982" i="16"/>
  <c r="F2922" i="16"/>
  <c r="F815" i="16"/>
  <c r="F1435" i="16"/>
  <c r="F1432" i="16"/>
  <c r="F862" i="16"/>
  <c r="F474" i="16"/>
  <c r="F6" i="16"/>
  <c r="F3001" i="16"/>
  <c r="F1528" i="16"/>
  <c r="F1682" i="16"/>
  <c r="F2612" i="16"/>
  <c r="F442" i="16"/>
  <c r="F1743" i="16"/>
  <c r="F1666" i="16"/>
  <c r="F952" i="16"/>
  <c r="F2580" i="16"/>
  <c r="F2617" i="16"/>
  <c r="F2523" i="16"/>
  <c r="F260" i="16"/>
  <c r="F1026" i="16"/>
  <c r="F3277" i="16"/>
  <c r="F2516" i="16"/>
  <c r="F3138" i="16"/>
  <c r="F2172" i="16"/>
  <c r="F1625" i="16"/>
  <c r="F787" i="16"/>
  <c r="F499" i="16"/>
  <c r="F1079" i="16"/>
  <c r="F1043" i="16"/>
  <c r="F1233" i="16"/>
  <c r="F843" i="16"/>
  <c r="F2141" i="16"/>
  <c r="F131" i="16"/>
  <c r="F642" i="16"/>
  <c r="F1671" i="16"/>
  <c r="F1183" i="16"/>
  <c r="F183" i="16"/>
  <c r="F2400" i="16"/>
  <c r="F3134" i="16"/>
  <c r="F1577" i="16"/>
  <c r="F1901" i="16"/>
  <c r="F2870" i="16"/>
  <c r="F2464" i="16"/>
  <c r="F2741" i="16"/>
  <c r="F315" i="16"/>
  <c r="F1955" i="16"/>
  <c r="F1685" i="16"/>
  <c r="F414" i="16"/>
  <c r="F2115" i="16"/>
  <c r="F3239" i="16"/>
  <c r="F2916" i="16"/>
  <c r="F973" i="16"/>
  <c r="F2775" i="16"/>
  <c r="F1116" i="16"/>
  <c r="F662" i="16"/>
  <c r="F2346" i="16"/>
  <c r="F2393" i="16"/>
  <c r="F1162" i="16"/>
  <c r="F2363" i="16"/>
  <c r="F1983" i="16"/>
  <c r="F2845" i="16"/>
  <c r="F891" i="16"/>
  <c r="F1651" i="16"/>
  <c r="F1672" i="16"/>
  <c r="F796" i="16"/>
  <c r="F229" i="16"/>
  <c r="F2074" i="16"/>
  <c r="F256" i="16"/>
  <c r="F361" i="16"/>
  <c r="F660" i="16"/>
  <c r="F110" i="16"/>
  <c r="F2178" i="16"/>
  <c r="F148" i="16"/>
  <c r="F925" i="16"/>
  <c r="F2684" i="16"/>
  <c r="F830" i="16"/>
  <c r="F459" i="16"/>
  <c r="F870" i="16"/>
  <c r="F182" i="16"/>
  <c r="F1731" i="16"/>
  <c r="F1619" i="16"/>
  <c r="F1084" i="16"/>
  <c r="F3140" i="16"/>
  <c r="F2655" i="16"/>
  <c r="F2713" i="16"/>
  <c r="F1568" i="16"/>
  <c r="F1005" i="16"/>
  <c r="F3268" i="16"/>
  <c r="F2621" i="16"/>
  <c r="F2868" i="16"/>
  <c r="F3066" i="16"/>
  <c r="F3318" i="16"/>
  <c r="F874" i="16"/>
  <c r="F1810" i="16"/>
  <c r="F2374" i="16"/>
  <c r="F2613" i="16"/>
  <c r="F1617" i="16"/>
  <c r="F791" i="16"/>
  <c r="F1704" i="16"/>
  <c r="F1829" i="16"/>
  <c r="F3086" i="16"/>
  <c r="F2989" i="16"/>
  <c r="F935" i="16"/>
  <c r="F3178" i="16"/>
  <c r="F2823" i="16"/>
  <c r="F2422" i="16"/>
  <c r="F2640" i="16"/>
  <c r="F153" i="16"/>
  <c r="F2904" i="16"/>
  <c r="F2468" i="16"/>
  <c r="F2209" i="16"/>
  <c r="F1216" i="16"/>
  <c r="F2745" i="16"/>
  <c r="F3220" i="16"/>
  <c r="F1748" i="16"/>
  <c r="F2892" i="16"/>
  <c r="F289" i="16"/>
  <c r="F2719" i="16"/>
  <c r="F2342" i="16"/>
  <c r="F1722" i="16"/>
  <c r="F1737" i="16"/>
  <c r="F2314" i="16"/>
  <c r="F864" i="16"/>
  <c r="F1121" i="16"/>
  <c r="F2435" i="16"/>
  <c r="F3270" i="16"/>
  <c r="F726" i="16"/>
  <c r="F2263" i="16"/>
  <c r="F2756" i="16"/>
  <c r="F2688" i="16"/>
  <c r="F248" i="16"/>
  <c r="F942" i="16"/>
  <c r="F663" i="16"/>
  <c r="F3170" i="16"/>
  <c r="F1641" i="16"/>
  <c r="F2963" i="16"/>
  <c r="F2305" i="16"/>
  <c r="F984" i="16"/>
  <c r="F2135" i="16"/>
  <c r="F1296" i="16"/>
  <c r="F2214" i="16"/>
  <c r="F1652" i="16"/>
  <c r="F1825" i="16"/>
  <c r="F2109" i="16"/>
  <c r="F2479" i="16"/>
  <c r="F553" i="16"/>
  <c r="F922" i="16"/>
  <c r="F2920" i="16"/>
  <c r="F3065" i="16"/>
  <c r="F2794" i="16"/>
  <c r="F3317" i="16"/>
  <c r="F2773" i="16"/>
  <c r="F2529" i="16"/>
  <c r="F2512" i="16"/>
  <c r="F334" i="16"/>
  <c r="F2663" i="16"/>
  <c r="F2733" i="16"/>
  <c r="F2929" i="16"/>
  <c r="F2213" i="16"/>
  <c r="F3246" i="16"/>
  <c r="F3017" i="16"/>
  <c r="F3309" i="16"/>
  <c r="F1115" i="16"/>
  <c r="F562" i="16"/>
  <c r="F1300" i="16"/>
  <c r="F2699" i="16"/>
  <c r="F161" i="16"/>
  <c r="F2293" i="16"/>
  <c r="F2888" i="16"/>
  <c r="F797" i="16"/>
  <c r="F897" i="16"/>
  <c r="F1324" i="16"/>
  <c r="F675" i="16"/>
  <c r="F1645" i="16"/>
  <c r="F3147" i="16"/>
  <c r="F2788" i="16"/>
  <c r="F681" i="16"/>
  <c r="F513" i="16"/>
  <c r="F2881" i="16"/>
  <c r="F2960" i="16"/>
  <c r="F1926" i="16"/>
  <c r="F1608" i="16"/>
  <c r="F1499" i="16"/>
  <c r="F669" i="16"/>
  <c r="F3006" i="16"/>
  <c r="F2760" i="16"/>
  <c r="F2801" i="16"/>
  <c r="F1819" i="16"/>
  <c r="F2946" i="16"/>
  <c r="F3261" i="16"/>
  <c r="F3275" i="16"/>
  <c r="F3267" i="16"/>
  <c r="F3009" i="16"/>
  <c r="F2787" i="16"/>
  <c r="F3083" i="16"/>
  <c r="F3008" i="16"/>
  <c r="F3000" i="16"/>
  <c r="F3152" i="16"/>
  <c r="F1887" i="16"/>
  <c r="F3314" i="16"/>
  <c r="F2146" i="16"/>
  <c r="F3067" i="16"/>
  <c r="F2606" i="16"/>
  <c r="F2558" i="16"/>
  <c r="F2972" i="16"/>
  <c r="F2961" i="16"/>
  <c r="F3328" i="16"/>
  <c r="F3090" i="16"/>
  <c r="F3030" i="16"/>
  <c r="F2782" i="16"/>
</calcChain>
</file>

<file path=xl/sharedStrings.xml><?xml version="1.0" encoding="utf-8"?>
<sst xmlns="http://schemas.openxmlformats.org/spreadsheetml/2006/main" count="31634" uniqueCount="4932">
  <si>
    <t>aakb-1</t>
  </si>
  <si>
    <t>abl-1</t>
  </si>
  <si>
    <t>aass-1</t>
  </si>
  <si>
    <t>acsd-1</t>
  </si>
  <si>
    <t>AC3.5</t>
  </si>
  <si>
    <t>arp-11</t>
  </si>
  <si>
    <t>abts-1</t>
  </si>
  <si>
    <t>aldo-2</t>
  </si>
  <si>
    <t>akt-2</t>
  </si>
  <si>
    <t>acbp-3</t>
  </si>
  <si>
    <t>B0511.12</t>
  </si>
  <si>
    <t>ark-1</t>
  </si>
  <si>
    <t>afd-1</t>
  </si>
  <si>
    <t>acin-1</t>
  </si>
  <si>
    <t>acl-5</t>
  </si>
  <si>
    <t>nap-1</t>
  </si>
  <si>
    <t>B0361.3</t>
  </si>
  <si>
    <t>C01C10.2</t>
  </si>
  <si>
    <t>best-3</t>
  </si>
  <si>
    <t>aipr-1</t>
  </si>
  <si>
    <t>acs-2</t>
  </si>
  <si>
    <t>acox-1.2</t>
  </si>
  <si>
    <t>ZC247.1</t>
  </si>
  <si>
    <t>alfa-1</t>
  </si>
  <si>
    <t>bcmo-2</t>
  </si>
  <si>
    <t>C05C8.7</t>
  </si>
  <si>
    <t>F25B5.6</t>
  </si>
  <si>
    <t>aka-1</t>
  </si>
  <si>
    <t>ash-2</t>
  </si>
  <si>
    <t>acox-1.5</t>
  </si>
  <si>
    <t>mua-6</t>
  </si>
  <si>
    <t>alh-11</t>
  </si>
  <si>
    <t>best-14</t>
  </si>
  <si>
    <t>cdkr-3</t>
  </si>
  <si>
    <t>F41E6.5</t>
  </si>
  <si>
    <t>alh-9</t>
  </si>
  <si>
    <t>baz-2</t>
  </si>
  <si>
    <t>acs-7</t>
  </si>
  <si>
    <t>rpn-11</t>
  </si>
  <si>
    <t>alx-1</t>
  </si>
  <si>
    <t>brap-2</t>
  </si>
  <si>
    <t>cest-35.1</t>
  </si>
  <si>
    <t>F45D11.15</t>
  </si>
  <si>
    <t>arf-1.1</t>
  </si>
  <si>
    <t>C03G6.17</t>
  </si>
  <si>
    <t>ain-2</t>
  </si>
  <si>
    <t>F46H5.7</t>
  </si>
  <si>
    <t>ampd-1</t>
  </si>
  <si>
    <t>cdc-37</t>
  </si>
  <si>
    <t>cogc-6</t>
  </si>
  <si>
    <t>F54C9.9</t>
  </si>
  <si>
    <t>athp-1</t>
  </si>
  <si>
    <t>C09B9.2</t>
  </si>
  <si>
    <t>apg-1</t>
  </si>
  <si>
    <t>hip-1</t>
  </si>
  <si>
    <t>anc-1</t>
  </si>
  <si>
    <t>che-10</t>
  </si>
  <si>
    <t>dnj-11</t>
  </si>
  <si>
    <t>hlh-30</t>
  </si>
  <si>
    <t>bas-1</t>
  </si>
  <si>
    <t>C23G10.2</t>
  </si>
  <si>
    <t>C08E3.1</t>
  </si>
  <si>
    <t>arrd-25</t>
  </si>
  <si>
    <t>clp-1</t>
  </si>
  <si>
    <t>eif-3.j</t>
  </si>
  <si>
    <t>jmjc-1</t>
  </si>
  <si>
    <t>best-17</t>
  </si>
  <si>
    <t>C24A11.1</t>
  </si>
  <si>
    <t>clec-15</t>
  </si>
  <si>
    <t>eef-1B.2</t>
  </si>
  <si>
    <t>atg-2</t>
  </si>
  <si>
    <t>dcap-1</t>
  </si>
  <si>
    <t>exoc-7</t>
  </si>
  <si>
    <t>let-716</t>
  </si>
  <si>
    <t>bicd-1</t>
  </si>
  <si>
    <t>C34E10.10</t>
  </si>
  <si>
    <t>cogc-3</t>
  </si>
  <si>
    <t>atx-2</t>
  </si>
  <si>
    <t>dnc-3</t>
  </si>
  <si>
    <t>F20D1.3</t>
  </si>
  <si>
    <t>mct-3</t>
  </si>
  <si>
    <t>C06E1.9</t>
  </si>
  <si>
    <t>C48B4.6</t>
  </si>
  <si>
    <t>D1054.8</t>
  </si>
  <si>
    <t>inx-12</t>
  </si>
  <si>
    <t>bcc-1</t>
  </si>
  <si>
    <t>dnc-4</t>
  </si>
  <si>
    <t>F26G1.1</t>
  </si>
  <si>
    <t>met-1</t>
  </si>
  <si>
    <t>C08A9.10</t>
  </si>
  <si>
    <t>cdc-5l</t>
  </si>
  <si>
    <t>daf-22</t>
  </si>
  <si>
    <t>C39D10.8</t>
  </si>
  <si>
    <t>bpnt-1</t>
  </si>
  <si>
    <t>eak-7</t>
  </si>
  <si>
    <t>F38A1.8</t>
  </si>
  <si>
    <t>nhr-17</t>
  </si>
  <si>
    <t>C23H3.2</t>
  </si>
  <si>
    <t>cdk-12</t>
  </si>
  <si>
    <t>dhp-1</t>
  </si>
  <si>
    <t>ifb-1</t>
  </si>
  <si>
    <t>C01B10.3</t>
  </si>
  <si>
    <t>F10G2.1</t>
  </si>
  <si>
    <t>F52E4.5</t>
  </si>
  <si>
    <t>ZK470.2</t>
  </si>
  <si>
    <t>C24H11.5</t>
  </si>
  <si>
    <t>cebp-1</t>
  </si>
  <si>
    <t>ech-8</t>
  </si>
  <si>
    <t>C07A12.7</t>
  </si>
  <si>
    <t>gck-3</t>
  </si>
  <si>
    <t>F54B8.4</t>
  </si>
  <si>
    <t>ZK686.2</t>
  </si>
  <si>
    <t>C27A7.5</t>
  </si>
  <si>
    <t>dbt-1</t>
  </si>
  <si>
    <t>ekl-1</t>
  </si>
  <si>
    <t>itsn-1</t>
  </si>
  <si>
    <t>C18C4.7</t>
  </si>
  <si>
    <t>hprt-1</t>
  </si>
  <si>
    <t>F56C9.10</t>
  </si>
  <si>
    <t>C39E9.8</t>
  </si>
  <si>
    <t>dhs-17</t>
  </si>
  <si>
    <t>F10G7.10</t>
  </si>
  <si>
    <t>vha-9</t>
  </si>
  <si>
    <t>larp-1</t>
  </si>
  <si>
    <t>fat-6</t>
  </si>
  <si>
    <t>C50F4.16</t>
  </si>
  <si>
    <t>dpy-10</t>
  </si>
  <si>
    <t>F17A9.5</t>
  </si>
  <si>
    <t>rla-0</t>
  </si>
  <si>
    <t>cash-1</t>
  </si>
  <si>
    <t>lfi-1</t>
  </si>
  <si>
    <t>fmo-3</t>
  </si>
  <si>
    <t>C51G7.4</t>
  </si>
  <si>
    <t>elo-1</t>
  </si>
  <si>
    <t>fmo-2</t>
  </si>
  <si>
    <t>lea-1</t>
  </si>
  <si>
    <t>clic-1</t>
  </si>
  <si>
    <t>magu-4</t>
  </si>
  <si>
    <t>gcn-2</t>
  </si>
  <si>
    <t>C53B7.2</t>
  </si>
  <si>
    <t>F32B5.6</t>
  </si>
  <si>
    <t>lgl-1</t>
  </si>
  <si>
    <t>clp-7</t>
  </si>
  <si>
    <t>maph-1.2</t>
  </si>
  <si>
    <t>gon-2</t>
  </si>
  <si>
    <t>C54G4.9</t>
  </si>
  <si>
    <t>F36A2.14</t>
  </si>
  <si>
    <t>mai-2</t>
  </si>
  <si>
    <t>ZK1307.1</t>
  </si>
  <si>
    <t>cogc-5</t>
  </si>
  <si>
    <t>mdt-4</t>
  </si>
  <si>
    <t>kin-9</t>
  </si>
  <si>
    <t>cas-1</t>
  </si>
  <si>
    <t>F40F8.11</t>
  </si>
  <si>
    <t>nhr-64</t>
  </si>
  <si>
    <t>erfa-3</t>
  </si>
  <si>
    <t>cogc-8</t>
  </si>
  <si>
    <t>mom-4</t>
  </si>
  <si>
    <t>mel-46</t>
  </si>
  <si>
    <t>catp-3</t>
  </si>
  <si>
    <t>F42A9.7</t>
  </si>
  <si>
    <t>pch-2</t>
  </si>
  <si>
    <t>Y71F9AL.9</t>
  </si>
  <si>
    <t>comt-3</t>
  </si>
  <si>
    <t>nucl-1</t>
  </si>
  <si>
    <t>metr-1</t>
  </si>
  <si>
    <t>cct-8</t>
  </si>
  <si>
    <t>F53F4.11</t>
  </si>
  <si>
    <t>R10F2.5</t>
  </si>
  <si>
    <t>copz-1</t>
  </si>
  <si>
    <t>nud-1</t>
  </si>
  <si>
    <t>nekl-2</t>
  </si>
  <si>
    <t>chil-24</t>
  </si>
  <si>
    <t>frm-1</t>
  </si>
  <si>
    <t>trpp-3</t>
  </si>
  <si>
    <t>tdo-2</t>
  </si>
  <si>
    <t>cpin-1</t>
  </si>
  <si>
    <t>pezo-1</t>
  </si>
  <si>
    <t>nhl-2</t>
  </si>
  <si>
    <t>chn-1</t>
  </si>
  <si>
    <t>frm-4</t>
  </si>
  <si>
    <t>ttr-6</t>
  </si>
  <si>
    <t>cst-1</t>
  </si>
  <si>
    <t>prx-19</t>
  </si>
  <si>
    <t>par-3</t>
  </si>
  <si>
    <t>chp-1</t>
  </si>
  <si>
    <t>gid-7</t>
  </si>
  <si>
    <t>Y62E10A.13</t>
  </si>
  <si>
    <t>czw-1</t>
  </si>
  <si>
    <t>R11D1.10 / ZFYV-19</t>
  </si>
  <si>
    <t>pfkb-1.1</t>
  </si>
  <si>
    <t>cids-1</t>
  </si>
  <si>
    <t>gln-6</t>
  </si>
  <si>
    <t>Y79H2A.3</t>
  </si>
  <si>
    <t>dbn-1</t>
  </si>
  <si>
    <t>ret-1</t>
  </si>
  <si>
    <t>piki-1</t>
  </si>
  <si>
    <t>cls-2</t>
  </si>
  <si>
    <t>hil-1</t>
  </si>
  <si>
    <t>T20B12.7</t>
  </si>
  <si>
    <t>ddl-2</t>
  </si>
  <si>
    <t>sir-2.1</t>
  </si>
  <si>
    <t>prx-14</t>
  </si>
  <si>
    <t>col-142</t>
  </si>
  <si>
    <t>hsp-12.3</t>
  </si>
  <si>
    <t>pfd-2</t>
  </si>
  <si>
    <t>did-2</t>
  </si>
  <si>
    <t>sna-2</t>
  </si>
  <si>
    <t>R04B5.5</t>
  </si>
  <si>
    <t>col-176</t>
  </si>
  <si>
    <t>imp-3</t>
  </si>
  <si>
    <t>gln-3</t>
  </si>
  <si>
    <t>dnbp-1</t>
  </si>
  <si>
    <t>sos-1</t>
  </si>
  <si>
    <t>R05H10.1</t>
  </si>
  <si>
    <t>col-178</t>
  </si>
  <si>
    <t>inx-5</t>
  </si>
  <si>
    <t>nbet-1</t>
  </si>
  <si>
    <t>dpyd-1</t>
  </si>
  <si>
    <t>T13H5.6</t>
  </si>
  <si>
    <t>ras-2</t>
  </si>
  <si>
    <t>col-95</t>
  </si>
  <si>
    <t>istr-1</t>
  </si>
  <si>
    <t>edc-4</t>
  </si>
  <si>
    <t>T24H7.3</t>
  </si>
  <si>
    <t>rhi-1</t>
  </si>
  <si>
    <t>ctg-1</t>
  </si>
  <si>
    <t>K04C2.2</t>
  </si>
  <si>
    <t>haly-1</t>
  </si>
  <si>
    <t>eea-1</t>
  </si>
  <si>
    <t>tbc-17</t>
  </si>
  <si>
    <t>sec-16a.2</t>
  </si>
  <si>
    <t>cyld-1</t>
  </si>
  <si>
    <t>let-363</t>
  </si>
  <si>
    <t>R12E2.11</t>
  </si>
  <si>
    <t>egl-8</t>
  </si>
  <si>
    <t>ttc-36</t>
  </si>
  <si>
    <t>sec-5</t>
  </si>
  <si>
    <t>cyn-13</t>
  </si>
  <si>
    <t>M05D6.2</t>
  </si>
  <si>
    <t>ivns-1</t>
  </si>
  <si>
    <t>elks-1</t>
  </si>
  <si>
    <t>vab-19</t>
  </si>
  <si>
    <t>smgl-1</t>
  </si>
  <si>
    <t>D1014.4</t>
  </si>
  <si>
    <t>mct-4</t>
  </si>
  <si>
    <t>rsd-3</t>
  </si>
  <si>
    <t>wdfy-2</t>
  </si>
  <si>
    <t>snx-6</t>
  </si>
  <si>
    <t>daf-25</t>
  </si>
  <si>
    <t>mec-2</t>
  </si>
  <si>
    <t>F54C8.7</t>
  </si>
  <si>
    <t>exc-15</t>
  </si>
  <si>
    <t>Y82E9BR.14</t>
  </si>
  <si>
    <t>soc-1</t>
  </si>
  <si>
    <t>del-6</t>
  </si>
  <si>
    <t>mrpl-35</t>
  </si>
  <si>
    <t>pah-1</t>
  </si>
  <si>
    <t>F07F6.4</t>
  </si>
  <si>
    <t>yap-1</t>
  </si>
  <si>
    <t>srgp-1</t>
  </si>
  <si>
    <t>dnj-13</t>
  </si>
  <si>
    <t>nath-10</t>
  </si>
  <si>
    <t>pck-2</t>
  </si>
  <si>
    <t>F13E6.1</t>
  </si>
  <si>
    <t>syx-18</t>
  </si>
  <si>
    <t>dnj-16</t>
  </si>
  <si>
    <t>ngp-1</t>
  </si>
  <si>
    <t>F15G9.1</t>
  </si>
  <si>
    <t>unc-23</t>
  </si>
  <si>
    <t>dnj-19</t>
  </si>
  <si>
    <t>nhr-35</t>
  </si>
  <si>
    <t>F17C11.11</t>
  </si>
  <si>
    <t>unc-57</t>
  </si>
  <si>
    <t>dys-1</t>
  </si>
  <si>
    <t>nnt-1</t>
  </si>
  <si>
    <t>pmt-2</t>
  </si>
  <si>
    <t>F21C10.9</t>
  </si>
  <si>
    <t>vha-7</t>
  </si>
  <si>
    <t>ears-1</t>
  </si>
  <si>
    <t>npp-14</t>
  </si>
  <si>
    <t>F27D4.4</t>
  </si>
  <si>
    <t>vps-28</t>
  </si>
  <si>
    <t>efhd-1</t>
  </si>
  <si>
    <t>npp-9</t>
  </si>
  <si>
    <t>F35A5.8</t>
  </si>
  <si>
    <t>Y39A3CL.4</t>
  </si>
  <si>
    <t>efk-1</t>
  </si>
  <si>
    <t>osm-10</t>
  </si>
  <si>
    <t>F42A10.5</t>
  </si>
  <si>
    <t>Y50D4A.4</t>
  </si>
  <si>
    <t>egal-1</t>
  </si>
  <si>
    <t>pac-1</t>
  </si>
  <si>
    <t>fln-2</t>
  </si>
  <si>
    <t>F46F11.1</t>
  </si>
  <si>
    <t>Y55F3AM.13</t>
  </si>
  <si>
    <t>elpc-4</t>
  </si>
  <si>
    <t>phm-2</t>
  </si>
  <si>
    <t>uba-1</t>
  </si>
  <si>
    <t>ZC196.2</t>
  </si>
  <si>
    <t>epn-1</t>
  </si>
  <si>
    <t>pro-3</t>
  </si>
  <si>
    <t>F56B3.4</t>
  </si>
  <si>
    <t>znf-598</t>
  </si>
  <si>
    <t>eppl-1</t>
  </si>
  <si>
    <t>prpf-4</t>
  </si>
  <si>
    <t>mog-4</t>
  </si>
  <si>
    <t>F57B9.1</t>
  </si>
  <si>
    <t>zyg-12</t>
  </si>
  <si>
    <t>eri-12</t>
  </si>
  <si>
    <t>R07E5.1</t>
  </si>
  <si>
    <t>rpn-8</t>
  </si>
  <si>
    <t>F09B12.3</t>
  </si>
  <si>
    <t>R102.2</t>
  </si>
  <si>
    <t>frl-1</t>
  </si>
  <si>
    <t>F22G12.4</t>
  </si>
  <si>
    <t>R148.5</t>
  </si>
  <si>
    <t>xrn-1</t>
  </si>
  <si>
    <t>frm-5.1</t>
  </si>
  <si>
    <t>F25E5.5</t>
  </si>
  <si>
    <t>rab-3</t>
  </si>
  <si>
    <t>fubl-3</t>
  </si>
  <si>
    <t>F36A2.3</t>
  </si>
  <si>
    <t>rsp-7</t>
  </si>
  <si>
    <t>tth-1</t>
  </si>
  <si>
    <t>gad-3</t>
  </si>
  <si>
    <t>F37C4.5</t>
  </si>
  <si>
    <t>rtfo-1</t>
  </si>
  <si>
    <t>gakh-1</t>
  </si>
  <si>
    <t>F44E5.4</t>
  </si>
  <si>
    <t>sipa-1</t>
  </si>
  <si>
    <t>B0280.9</t>
  </si>
  <si>
    <t>F53A10.2</t>
  </si>
  <si>
    <t>sma-4</t>
  </si>
  <si>
    <t>Y53G8AR.6</t>
  </si>
  <si>
    <t>glna-1</t>
  </si>
  <si>
    <t>F55G11.4</t>
  </si>
  <si>
    <t>snf-11</t>
  </si>
  <si>
    <t>hpd-1</t>
  </si>
  <si>
    <t>golg-2</t>
  </si>
  <si>
    <t>F57H12.6</t>
  </si>
  <si>
    <t>snr-1</t>
  </si>
  <si>
    <t>golg-4</t>
  </si>
  <si>
    <t>fah-1</t>
  </si>
  <si>
    <t>sta-1</t>
  </si>
  <si>
    <t>ssb-1</t>
  </si>
  <si>
    <t>gyf-1</t>
  </si>
  <si>
    <t>fat-3</t>
  </si>
  <si>
    <t>sto-4</t>
  </si>
  <si>
    <t>H03A11.2</t>
  </si>
  <si>
    <t>fbxc-58</t>
  </si>
  <si>
    <t>sumv-1</t>
  </si>
  <si>
    <t>rml-5</t>
  </si>
  <si>
    <t>fkb-6</t>
  </si>
  <si>
    <t>syx-5</t>
  </si>
  <si>
    <t>C29F7.2</t>
  </si>
  <si>
    <t>hda-2</t>
  </si>
  <si>
    <t>glna-2</t>
  </si>
  <si>
    <t>tag-322</t>
  </si>
  <si>
    <t>hgrs-1</t>
  </si>
  <si>
    <t>glrx-3</t>
  </si>
  <si>
    <t>tbb-1</t>
  </si>
  <si>
    <t>gst-4</t>
  </si>
  <si>
    <t>tpan-1</t>
  </si>
  <si>
    <t>ifa-3</t>
  </si>
  <si>
    <t>H35B03.1</t>
  </si>
  <si>
    <t>tra-4</t>
  </si>
  <si>
    <t>hcp-1</t>
  </si>
  <si>
    <t>unc-18</t>
  </si>
  <si>
    <t>hgo-1</t>
  </si>
  <si>
    <t>unc-52</t>
  </si>
  <si>
    <t>hmr-1</t>
  </si>
  <si>
    <t>unc-70</t>
  </si>
  <si>
    <t>rla-1</t>
  </si>
  <si>
    <t>vha-11</t>
  </si>
  <si>
    <t>prdx-2</t>
  </si>
  <si>
    <t>K02B12.7</t>
  </si>
  <si>
    <t>hsp-1</t>
  </si>
  <si>
    <t>Y52B11A.10</t>
  </si>
  <si>
    <t>cnnm-1</t>
  </si>
  <si>
    <t>K09G1.1</t>
  </si>
  <si>
    <t>hsp-16.48</t>
  </si>
  <si>
    <t>Y75B8A.7</t>
  </si>
  <si>
    <t>pud-2.1</t>
  </si>
  <si>
    <t>lact-1</t>
  </si>
  <si>
    <t>hsp-17</t>
  </si>
  <si>
    <t>ZC412.5</t>
  </si>
  <si>
    <t>hsp-43</t>
  </si>
  <si>
    <t>ZK1010.2</t>
  </si>
  <si>
    <t>kmo-1</t>
  </si>
  <si>
    <t>lmd-3</t>
  </si>
  <si>
    <t>ints-11</t>
  </si>
  <si>
    <t>zoo-1</t>
  </si>
  <si>
    <t>teg-4</t>
  </si>
  <si>
    <t>M01B12.4</t>
  </si>
  <si>
    <t>jac-1</t>
  </si>
  <si>
    <t>M01H9.3</t>
  </si>
  <si>
    <t>K07E3.1</t>
  </si>
  <si>
    <t>natc-1</t>
  </si>
  <si>
    <t>mdt-6</t>
  </si>
  <si>
    <t>K09F6.3</t>
  </si>
  <si>
    <t>mlt-2</t>
  </si>
  <si>
    <t>klc-2</t>
  </si>
  <si>
    <t>mlt-3</t>
  </si>
  <si>
    <t>klf-1</t>
  </si>
  <si>
    <t>icd-1</t>
  </si>
  <si>
    <t>mlt-4</t>
  </si>
  <si>
    <t>lec-10</t>
  </si>
  <si>
    <t>moc-1</t>
  </si>
  <si>
    <t>let-805</t>
  </si>
  <si>
    <t>mbf-1</t>
  </si>
  <si>
    <t>lin-2</t>
  </si>
  <si>
    <t>mtm-1</t>
  </si>
  <si>
    <t>lin-33</t>
  </si>
  <si>
    <t>lrp-1</t>
  </si>
  <si>
    <t>imb-3</t>
  </si>
  <si>
    <t>M116.5</t>
  </si>
  <si>
    <t>maa-1</t>
  </si>
  <si>
    <t>mag-1</t>
  </si>
  <si>
    <t>inx-13</t>
  </si>
  <si>
    <t>nekl-3</t>
  </si>
  <si>
    <t>mak-2</t>
  </si>
  <si>
    <t>C07D8.6</t>
  </si>
  <si>
    <t>pat-12</t>
  </si>
  <si>
    <t>mrp-1</t>
  </si>
  <si>
    <t>patr-1</t>
  </si>
  <si>
    <t>mtm-10</t>
  </si>
  <si>
    <t>skr-3</t>
  </si>
  <si>
    <t>mua-3</t>
  </si>
  <si>
    <t>nas-11</t>
  </si>
  <si>
    <t>pix-1</t>
  </si>
  <si>
    <t>nex-1</t>
  </si>
  <si>
    <t>T02G5.7</t>
  </si>
  <si>
    <t>ppfr-4</t>
  </si>
  <si>
    <t>nex-2</t>
  </si>
  <si>
    <t>pqn-59</t>
  </si>
  <si>
    <t>nex-3</t>
  </si>
  <si>
    <t>lbp-6</t>
  </si>
  <si>
    <t>ptrn-1</t>
  </si>
  <si>
    <t>nft-1</t>
  </si>
  <si>
    <t>puf-9</t>
  </si>
  <si>
    <t>pacs-1</t>
  </si>
  <si>
    <t>saps-1</t>
  </si>
  <si>
    <t>ran-2</t>
  </si>
  <si>
    <t>parg-2</t>
  </si>
  <si>
    <t>ric-8</t>
  </si>
  <si>
    <t>pck-1</t>
  </si>
  <si>
    <t>pes-7</t>
  </si>
  <si>
    <t>rpl-31</t>
  </si>
  <si>
    <t>pfn-2</t>
  </si>
  <si>
    <t>plpp-1.1</t>
  </si>
  <si>
    <t>eftu-2</t>
  </si>
  <si>
    <t>rsf-1</t>
  </si>
  <si>
    <t>ppm-1.G</t>
  </si>
  <si>
    <t>snap-29</t>
  </si>
  <si>
    <t>qdpr-1</t>
  </si>
  <si>
    <t>sec-10</t>
  </si>
  <si>
    <t>acly-2</t>
  </si>
  <si>
    <t>sec-6</t>
  </si>
  <si>
    <t>R74.7</t>
  </si>
  <si>
    <t>rbx-2</t>
  </si>
  <si>
    <t>skr-16</t>
  </si>
  <si>
    <t>sma-1</t>
  </si>
  <si>
    <t>npp-16</t>
  </si>
  <si>
    <t>smap-1</t>
  </si>
  <si>
    <t>sago-1</t>
  </si>
  <si>
    <t>tes-1</t>
  </si>
  <si>
    <t>smcr-8</t>
  </si>
  <si>
    <t>Y39G8B.1</t>
  </si>
  <si>
    <t>srp-2</t>
  </si>
  <si>
    <t>snb-1</t>
  </si>
  <si>
    <t>F58B3.4</t>
  </si>
  <si>
    <t>stim-1</t>
  </si>
  <si>
    <t>snx-1</t>
  </si>
  <si>
    <t>txl-1</t>
  </si>
  <si>
    <t>T04A11.2</t>
  </si>
  <si>
    <t>spk-1</t>
  </si>
  <si>
    <t>eef-1B.1</t>
  </si>
  <si>
    <t>T04F3.1</t>
  </si>
  <si>
    <t>srp-7</t>
  </si>
  <si>
    <t>ZK550.6</t>
  </si>
  <si>
    <t>T08G11.1</t>
  </si>
  <si>
    <t>T01H3.2</t>
  </si>
  <si>
    <t>T19B10.2</t>
  </si>
  <si>
    <t>ufd-3</t>
  </si>
  <si>
    <t>T27E9.2</t>
  </si>
  <si>
    <t>T19C3.4</t>
  </si>
  <si>
    <t>pwp-1</t>
  </si>
  <si>
    <t>tap-1</t>
  </si>
  <si>
    <t>T28A11.2</t>
  </si>
  <si>
    <t>Y92H12BM.1</t>
  </si>
  <si>
    <t>tbb-6</t>
  </si>
  <si>
    <t>T28C6.7</t>
  </si>
  <si>
    <t>cec-1</t>
  </si>
  <si>
    <t>tbc-11</t>
  </si>
  <si>
    <t>tald-1</t>
  </si>
  <si>
    <t>argk-1</t>
  </si>
  <si>
    <t>tcc-1</t>
  </si>
  <si>
    <t>tbc-2</t>
  </si>
  <si>
    <t>tcer-1</t>
  </si>
  <si>
    <t>tbc-6</t>
  </si>
  <si>
    <t>bli-3</t>
  </si>
  <si>
    <t>tbcc-1</t>
  </si>
  <si>
    <t>tmed-10</t>
  </si>
  <si>
    <t>tps-1</t>
  </si>
  <si>
    <t>tomm-40</t>
  </si>
  <si>
    <t>tps-2</t>
  </si>
  <si>
    <t>C05D11.8</t>
  </si>
  <si>
    <t>trpp-8</t>
  </si>
  <si>
    <t>T22D1.3</t>
  </si>
  <si>
    <t>ubc-19</t>
  </si>
  <si>
    <t>ttc-1</t>
  </si>
  <si>
    <t>C37A2.7</t>
  </si>
  <si>
    <t>ubxn-2</t>
  </si>
  <si>
    <t>ttc-4</t>
  </si>
  <si>
    <t>tyr-4</t>
  </si>
  <si>
    <t>unc-16</t>
  </si>
  <si>
    <t>ugt-25</t>
  </si>
  <si>
    <t>erm-1</t>
  </si>
  <si>
    <t>unc-44</t>
  </si>
  <si>
    <t>ugt-29</t>
  </si>
  <si>
    <t>cap-2</t>
  </si>
  <si>
    <t>unk-1</t>
  </si>
  <si>
    <t>unc-33</t>
  </si>
  <si>
    <t>vab-10</t>
  </si>
  <si>
    <t>unc-45</t>
  </si>
  <si>
    <t>eif-2A</t>
  </si>
  <si>
    <t>VF13D12L.3</t>
  </si>
  <si>
    <t>vhp-1</t>
  </si>
  <si>
    <t>vms-1</t>
  </si>
  <si>
    <t>rml-4</t>
  </si>
  <si>
    <t>W05B5.1</t>
  </si>
  <si>
    <t>vsra-1</t>
  </si>
  <si>
    <t>W07E11.1</t>
  </si>
  <si>
    <t>Y32F6A.5</t>
  </si>
  <si>
    <t>C36A4.4</t>
  </si>
  <si>
    <t>Y32H12A.8</t>
  </si>
  <si>
    <t>vgln-1</t>
  </si>
  <si>
    <t>Y110A7A.9</t>
  </si>
  <si>
    <t>Y37D8A.25</t>
  </si>
  <si>
    <t>Y39A1A.3</t>
  </si>
  <si>
    <t>Y38E10A.22</t>
  </si>
  <si>
    <t>sly-1</t>
  </si>
  <si>
    <t>Y39G10AR.9</t>
  </si>
  <si>
    <t>Y38F2AR.12</t>
  </si>
  <si>
    <t>Y56A3A.7</t>
  </si>
  <si>
    <t>Y45G5AM.3</t>
  </si>
  <si>
    <t>Y47H10A.5</t>
  </si>
  <si>
    <t>Y92H12BL.7</t>
  </si>
  <si>
    <t>Y49E10.21</t>
  </si>
  <si>
    <t>Y53G8B.1</t>
  </si>
  <si>
    <t>Y57G11B.5</t>
  </si>
  <si>
    <t>ZK353.9</t>
  </si>
  <si>
    <t>Y58A7A.4</t>
  </si>
  <si>
    <t>ZK909.3</t>
  </si>
  <si>
    <t>Y92H12A.2</t>
  </si>
  <si>
    <t>ZC373.5</t>
  </si>
  <si>
    <t>ckb-2</t>
  </si>
  <si>
    <t>cey-1</t>
  </si>
  <si>
    <t>lem-2</t>
  </si>
  <si>
    <t>usp-48</t>
  </si>
  <si>
    <t>maoc-1</t>
  </si>
  <si>
    <t>aqp-8</t>
  </si>
  <si>
    <t>F25H8.2</t>
  </si>
  <si>
    <t>K07E3.4</t>
  </si>
  <si>
    <t>pgl-1</t>
  </si>
  <si>
    <t>taap-1</t>
  </si>
  <si>
    <t>sams-1</t>
  </si>
  <si>
    <t>C37C3.2</t>
  </si>
  <si>
    <t>tfg-1</t>
  </si>
  <si>
    <t>vha-12</t>
  </si>
  <si>
    <t>cap-1</t>
  </si>
  <si>
    <t>cth-2</t>
  </si>
  <si>
    <t>Y55F3AM.9</t>
  </si>
  <si>
    <t>vps-32.1</t>
  </si>
  <si>
    <t>dnc-1</t>
  </si>
  <si>
    <t>R31.2</t>
  </si>
  <si>
    <t>T05H10.1</t>
  </si>
  <si>
    <t>npp-21</t>
  </si>
  <si>
    <t>acly-1</t>
  </si>
  <si>
    <t>cpf-2</t>
  </si>
  <si>
    <t>rde-4</t>
  </si>
  <si>
    <t>vha-13</t>
  </si>
  <si>
    <t>hsp-110</t>
  </si>
  <si>
    <t>tomm-20</t>
  </si>
  <si>
    <t>dcs-1</t>
  </si>
  <si>
    <t>rps-21</t>
  </si>
  <si>
    <t>rps-0</t>
  </si>
  <si>
    <t>mtrr-1</t>
  </si>
  <si>
    <t>eef-1G</t>
  </si>
  <si>
    <t>vha-8</t>
  </si>
  <si>
    <t>ubc-7</t>
  </si>
  <si>
    <t>sld-5</t>
  </si>
  <si>
    <t>fbxa-65</t>
  </si>
  <si>
    <t>Y18H1A.4</t>
  </si>
  <si>
    <t>vha-10</t>
  </si>
  <si>
    <t>tct-1</t>
  </si>
  <si>
    <t>znf-622</t>
  </si>
  <si>
    <t>Y48G10A.1</t>
  </si>
  <si>
    <t>ifg-1</t>
  </si>
  <si>
    <t>qars-1</t>
  </si>
  <si>
    <t>usp-5</t>
  </si>
  <si>
    <t>vha-14</t>
  </si>
  <si>
    <t>dhs-3</t>
  </si>
  <si>
    <t>mel-32</t>
  </si>
  <si>
    <t>Y116A8C.27</t>
  </si>
  <si>
    <t>oma-1</t>
  </si>
  <si>
    <t>icd-2</t>
  </si>
  <si>
    <t>tiar-1</t>
  </si>
  <si>
    <t>F53F1.2</t>
  </si>
  <si>
    <t>ipla-1</t>
  </si>
  <si>
    <t>acs-13</t>
  </si>
  <si>
    <t>map-2</t>
  </si>
  <si>
    <t>C30F12.5</t>
  </si>
  <si>
    <t>R08E3.3</t>
  </si>
  <si>
    <t>ZK632.4</t>
  </si>
  <si>
    <t>C44H4.4</t>
  </si>
  <si>
    <t>haao-1</t>
  </si>
  <si>
    <t>lbp-7</t>
  </si>
  <si>
    <t>luc-7l3</t>
  </si>
  <si>
    <t>cbl-1</t>
  </si>
  <si>
    <t>C44B7.7</t>
  </si>
  <si>
    <t>T01B7.5</t>
  </si>
  <si>
    <t>znf-207</t>
  </si>
  <si>
    <t>T28F4.5</t>
  </si>
  <si>
    <t>scb-1</t>
  </si>
  <si>
    <t>Y94H6A.10</t>
  </si>
  <si>
    <t>yop-1</t>
  </si>
  <si>
    <t>F07B7.2</t>
  </si>
  <si>
    <t>lbp-2</t>
  </si>
  <si>
    <t>allo-1</t>
  </si>
  <si>
    <t>col-160</t>
  </si>
  <si>
    <t>stip-1</t>
  </si>
  <si>
    <t>dnc-2</t>
  </si>
  <si>
    <t>Y51A2D.13</t>
  </si>
  <si>
    <t>ule-4</t>
  </si>
  <si>
    <t>parg-1</t>
  </si>
  <si>
    <t>ctf-4</t>
  </si>
  <si>
    <t>cey-2</t>
  </si>
  <si>
    <t>skr-2</t>
  </si>
  <si>
    <t>ect-2</t>
  </si>
  <si>
    <t>hpo-32</t>
  </si>
  <si>
    <t>repo-1</t>
  </si>
  <si>
    <t>T09B9.4</t>
  </si>
  <si>
    <t>ugt-65</t>
  </si>
  <si>
    <t>Y39E4B.5</t>
  </si>
  <si>
    <t>sas-6</t>
  </si>
  <si>
    <t>vit-3</t>
  </si>
  <si>
    <t>vit-5</t>
  </si>
  <si>
    <t>lys-7</t>
  </si>
  <si>
    <t>vit-4</t>
  </si>
  <si>
    <t>vit-1</t>
  </si>
  <si>
    <t>C10G8.4</t>
  </si>
  <si>
    <t>vit-6</t>
  </si>
  <si>
    <t>ule-3</t>
  </si>
  <si>
    <t>vit-2</t>
  </si>
  <si>
    <t>far-2</t>
  </si>
  <si>
    <t>ZK813.3</t>
  </si>
  <si>
    <t>T22B7.7</t>
  </si>
  <si>
    <t>C39D10.7</t>
  </si>
  <si>
    <t>C30G12.2</t>
  </si>
  <si>
    <t>Y62H9A.3</t>
  </si>
  <si>
    <t>ule-5</t>
  </si>
  <si>
    <t>mdh-1</t>
  </si>
  <si>
    <t>D1054.10</t>
  </si>
  <si>
    <t>hsp-16.2</t>
  </si>
  <si>
    <t>ttr-51</t>
  </si>
  <si>
    <t>W05F2.3</t>
  </si>
  <si>
    <t>F55B11.2</t>
  </si>
  <si>
    <t>Y45F10C.4</t>
  </si>
  <si>
    <t>nmy-2</t>
  </si>
  <si>
    <t>spn-4</t>
  </si>
  <si>
    <t>ech-9</t>
  </si>
  <si>
    <t>ule-1</t>
  </si>
  <si>
    <t>ZK813.1</t>
  </si>
  <si>
    <t>nasp-2</t>
  </si>
  <si>
    <t>hsp-16.49</t>
  </si>
  <si>
    <t>ttr-14</t>
  </si>
  <si>
    <t>hsp-16.11</t>
  </si>
  <si>
    <t>Y39B6A.10</t>
  </si>
  <si>
    <t>brp-1</t>
  </si>
  <si>
    <t>ZC373.2</t>
  </si>
  <si>
    <t>cpn-1</t>
  </si>
  <si>
    <t>spd-5</t>
  </si>
  <si>
    <t>cbd-1</t>
  </si>
  <si>
    <t>klp-18</t>
  </si>
  <si>
    <t>let-99</t>
  </si>
  <si>
    <t>pqn-22</t>
  </si>
  <si>
    <t>ttr-42</t>
  </si>
  <si>
    <t>pgl-3</t>
  </si>
  <si>
    <t>sip-1</t>
  </si>
  <si>
    <t>glh-4</t>
  </si>
  <si>
    <t>ctl-2</t>
  </si>
  <si>
    <t>cth-1</t>
  </si>
  <si>
    <t>ttr-2</t>
  </si>
  <si>
    <t>nmy-1</t>
  </si>
  <si>
    <t>cyp-31a</t>
  </si>
  <si>
    <t>cpg-2</t>
  </si>
  <si>
    <t>wago-1</t>
  </si>
  <si>
    <t>rod-1</t>
  </si>
  <si>
    <t>zwl-1</t>
  </si>
  <si>
    <t>cept-1</t>
  </si>
  <si>
    <t>ima-2</t>
  </si>
  <si>
    <t>klp-15</t>
  </si>
  <si>
    <t>ZK105.1</t>
  </si>
  <si>
    <t>Y62H9A.5</t>
  </si>
  <si>
    <t>rla-2</t>
  </si>
  <si>
    <t>zen-4</t>
  </si>
  <si>
    <t>sti-1</t>
  </si>
  <si>
    <t>cey-3</t>
  </si>
  <si>
    <t>ani-1</t>
  </si>
  <si>
    <t>F36D3.4</t>
  </si>
  <si>
    <t>plk-1</t>
  </si>
  <si>
    <t>ZC434.8</t>
  </si>
  <si>
    <t>sao-1</t>
  </si>
  <si>
    <t>cyp-35a3</t>
  </si>
  <si>
    <t>acox-1.4</t>
  </si>
  <si>
    <t>inx-8</t>
  </si>
  <si>
    <t>T05F1.2</t>
  </si>
  <si>
    <t>C08E8.4</t>
  </si>
  <si>
    <t>Y45F10C.2</t>
  </si>
  <si>
    <t>sup-36</t>
  </si>
  <si>
    <t>mup-4</t>
  </si>
  <si>
    <t>lin-5</t>
  </si>
  <si>
    <t>C08F8.3</t>
  </si>
  <si>
    <t>H17B01.2</t>
  </si>
  <si>
    <t>tofu-6</t>
  </si>
  <si>
    <t>rmd-1</t>
  </si>
  <si>
    <t>cyn-7</t>
  </si>
  <si>
    <t>csr-1</t>
  </si>
  <si>
    <t>ketn-1</t>
  </si>
  <si>
    <t>pdi-3</t>
  </si>
  <si>
    <t>immt-2</t>
  </si>
  <si>
    <t>sahd-1</t>
  </si>
  <si>
    <t>glh-1</t>
  </si>
  <si>
    <t>cpr-9</t>
  </si>
  <si>
    <t>ugt-49</t>
  </si>
  <si>
    <t>tat-1</t>
  </si>
  <si>
    <t>gld-1</t>
  </si>
  <si>
    <t>oma-2</t>
  </si>
  <si>
    <t>rme-2</t>
  </si>
  <si>
    <t>ifa-1</t>
  </si>
  <si>
    <t>perm-4</t>
  </si>
  <si>
    <t>Y50D4B.4</t>
  </si>
  <si>
    <t>W08E12.7</t>
  </si>
  <si>
    <t>R03G8.6</t>
  </si>
  <si>
    <t>pfn-1</t>
  </si>
  <si>
    <t>puf-5</t>
  </si>
  <si>
    <t>eif-2beta</t>
  </si>
  <si>
    <t>tag-225</t>
  </si>
  <si>
    <t>sdha-2</t>
  </si>
  <si>
    <t>T05E12.3</t>
  </si>
  <si>
    <t>cas-2</t>
  </si>
  <si>
    <t>tep-1</t>
  </si>
  <si>
    <t>ttr-5</t>
  </si>
  <si>
    <t>lec-6</t>
  </si>
  <si>
    <t>W02D7.5</t>
  </si>
  <si>
    <t>ifet-1</t>
  </si>
  <si>
    <t>R07E5.15</t>
  </si>
  <si>
    <t>pfn-3</t>
  </si>
  <si>
    <t>perm-2</t>
  </si>
  <si>
    <t>cht-3</t>
  </si>
  <si>
    <t>rad-51</t>
  </si>
  <si>
    <t>mcm-3</t>
  </si>
  <si>
    <t>mct-2</t>
  </si>
  <si>
    <t>aspm-1</t>
  </si>
  <si>
    <t>spch-1</t>
  </si>
  <si>
    <t>sago-2</t>
  </si>
  <si>
    <t>txdc-12.2</t>
  </si>
  <si>
    <t>vha-2</t>
  </si>
  <si>
    <t>rnr-1</t>
  </si>
  <si>
    <t>rbx-1</t>
  </si>
  <si>
    <t>puf-3</t>
  </si>
  <si>
    <t>icmt-1</t>
  </si>
  <si>
    <t>retr-1</t>
  </si>
  <si>
    <t>mcm-7</t>
  </si>
  <si>
    <t>ife-3</t>
  </si>
  <si>
    <t>pdi-1</t>
  </si>
  <si>
    <t>asp-3</t>
  </si>
  <si>
    <t>hmt-1</t>
  </si>
  <si>
    <t>F13D12.5</t>
  </si>
  <si>
    <t>gfat-2</t>
  </si>
  <si>
    <t>cpg-1</t>
  </si>
  <si>
    <t>air-1</t>
  </si>
  <si>
    <t>mlh-1</t>
  </si>
  <si>
    <t>unc-87</t>
  </si>
  <si>
    <t>gale-1</t>
  </si>
  <si>
    <t>cyk-4</t>
  </si>
  <si>
    <t>lotr-1</t>
  </si>
  <si>
    <t>pssy-2</t>
  </si>
  <si>
    <t>plk-2</t>
  </si>
  <si>
    <t>rpl-29</t>
  </si>
  <si>
    <t>F41G3.6</t>
  </si>
  <si>
    <t>pas-5</t>
  </si>
  <si>
    <t>inx-9</t>
  </si>
  <si>
    <t>skpo-1</t>
  </si>
  <si>
    <t>F42A8.1</t>
  </si>
  <si>
    <t>ifa-4</t>
  </si>
  <si>
    <t>enpl-1</t>
  </si>
  <si>
    <t>daf-21</t>
  </si>
  <si>
    <t>such-1</t>
  </si>
  <si>
    <t>Y26E6A.3</t>
  </si>
  <si>
    <t>mcm-2</t>
  </si>
  <si>
    <t>mlc-4</t>
  </si>
  <si>
    <t>rmd-2</t>
  </si>
  <si>
    <t>rpa-2</t>
  </si>
  <si>
    <t>T21H3.1</t>
  </si>
  <si>
    <t>F23D12.11</t>
  </si>
  <si>
    <t>cest-32</t>
  </si>
  <si>
    <t>brc-2</t>
  </si>
  <si>
    <t>ZK512.7</t>
  </si>
  <si>
    <t>npp-11</t>
  </si>
  <si>
    <t>skr-8</t>
  </si>
  <si>
    <t>cytb-5.2</t>
  </si>
  <si>
    <t>inx-22</t>
  </si>
  <si>
    <t>sup-17</t>
  </si>
  <si>
    <t>fbxa-60</t>
  </si>
  <si>
    <t>Y97E10AR.6</t>
  </si>
  <si>
    <t>ppat-1</t>
  </si>
  <si>
    <t>nas-20</t>
  </si>
  <si>
    <t>usp-33</t>
  </si>
  <si>
    <t>ugt-50</t>
  </si>
  <si>
    <t>lipl-5</t>
  </si>
  <si>
    <t>rin-1</t>
  </si>
  <si>
    <t>F02A9.10</t>
  </si>
  <si>
    <t>lys-4</t>
  </si>
  <si>
    <t>F25E2.2</t>
  </si>
  <si>
    <t>Y47G6A.33</t>
  </si>
  <si>
    <t>Y7A5A.1</t>
  </si>
  <si>
    <t>ugt-22</t>
  </si>
  <si>
    <t>cyp-31a2;cyp-31a3</t>
  </si>
  <si>
    <t>aqp-11</t>
  </si>
  <si>
    <t>col-93</t>
  </si>
  <si>
    <t>cyp-13A2</t>
  </si>
  <si>
    <t>C42C1.8</t>
  </si>
  <si>
    <t>C44C1.1</t>
  </si>
  <si>
    <t>ugt-41</t>
  </si>
  <si>
    <t>fat-2</t>
  </si>
  <si>
    <t>F07F6.8</t>
  </si>
  <si>
    <t>hpo-8</t>
  </si>
  <si>
    <t>csn-6</t>
  </si>
  <si>
    <t>T19B4.3</t>
  </si>
  <si>
    <t>dsc-4</t>
  </si>
  <si>
    <t>asp-2</t>
  </si>
  <si>
    <t>hyl-1</t>
  </si>
  <si>
    <t>folt-2</t>
  </si>
  <si>
    <t>phdh-1</t>
  </si>
  <si>
    <t>F25E2.3</t>
  </si>
  <si>
    <t>ptr-21</t>
  </si>
  <si>
    <t>fbxa-156</t>
  </si>
  <si>
    <t>elo-2</t>
  </si>
  <si>
    <t>fat-1</t>
  </si>
  <si>
    <t>nstp-4</t>
  </si>
  <si>
    <t>fbxc-50</t>
  </si>
  <si>
    <t>mboa-2</t>
  </si>
  <si>
    <t>Y43C5B.3</t>
  </si>
  <si>
    <t>ostb-1</t>
  </si>
  <si>
    <t>gly-8</t>
  </si>
  <si>
    <t>cct-5</t>
  </si>
  <si>
    <t>mboa-6</t>
  </si>
  <si>
    <t>K05C4.2</t>
  </si>
  <si>
    <t>Y41D4A.4</t>
  </si>
  <si>
    <t>F10A3.17</t>
  </si>
  <si>
    <t>D2005.4</t>
  </si>
  <si>
    <t>pmt-1</t>
  </si>
  <si>
    <t>daf-36</t>
  </si>
  <si>
    <t>K12D12.5</t>
  </si>
  <si>
    <t>fbxa-4</t>
  </si>
  <si>
    <t>Y51A2D.18</t>
  </si>
  <si>
    <t>glt-1</t>
  </si>
  <si>
    <t>gstk-1</t>
  </si>
  <si>
    <t>yif-1</t>
  </si>
  <si>
    <t>atx-3</t>
  </si>
  <si>
    <t>fat-4</t>
  </si>
  <si>
    <t>C01G10.9</t>
  </si>
  <si>
    <t>itr-1</t>
  </si>
  <si>
    <t>rpn-9</t>
  </si>
  <si>
    <t>str-176</t>
  </si>
  <si>
    <t>ZK686.3</t>
  </si>
  <si>
    <t>sqv-4</t>
  </si>
  <si>
    <t>cct-2</t>
  </si>
  <si>
    <t>him-4</t>
  </si>
  <si>
    <t>cgh-1</t>
  </si>
  <si>
    <t>gst-27</t>
  </si>
  <si>
    <t>asp-1</t>
  </si>
  <si>
    <t>ZK829.7</t>
  </si>
  <si>
    <t>bmk-1</t>
  </si>
  <si>
    <t>Y59C2A.2</t>
  </si>
  <si>
    <t>mrp-6</t>
  </si>
  <si>
    <t>aagr-1</t>
  </si>
  <si>
    <t>lipl-2</t>
  </si>
  <si>
    <t>pud-3</t>
  </si>
  <si>
    <t>pud-4</t>
  </si>
  <si>
    <t>far-1</t>
  </si>
  <si>
    <t>col-164</t>
  </si>
  <si>
    <t>osm-1</t>
  </si>
  <si>
    <t>nlp-77</t>
  </si>
  <si>
    <t>F45D11.15;F45D11.14</t>
  </si>
  <si>
    <t>algn-12</t>
  </si>
  <si>
    <t>drd-5</t>
  </si>
  <si>
    <t>tnt-2</t>
  </si>
  <si>
    <t>vps-35</t>
  </si>
  <si>
    <t>aqp-10</t>
  </si>
  <si>
    <t>C18G1.9</t>
  </si>
  <si>
    <t>dhs-20</t>
  </si>
  <si>
    <t>kdp-1</t>
  </si>
  <si>
    <t>sodh-1</t>
  </si>
  <si>
    <t>mtch-1</t>
  </si>
  <si>
    <t>T10B10.4</t>
  </si>
  <si>
    <t>rpl-39</t>
  </si>
  <si>
    <t>cyp-34a2</t>
  </si>
  <si>
    <t>W10C8.5</t>
  </si>
  <si>
    <t>got-2.2</t>
  </si>
  <si>
    <t>rps-30</t>
  </si>
  <si>
    <t>scm-1</t>
  </si>
  <si>
    <t>tpi-1</t>
  </si>
  <si>
    <t>let-767</t>
  </si>
  <si>
    <t>acl-1</t>
  </si>
  <si>
    <t>B0495.7</t>
  </si>
  <si>
    <t>C36B7.6</t>
  </si>
  <si>
    <t>atp-5</t>
  </si>
  <si>
    <t>trap-1</t>
  </si>
  <si>
    <t>F46H5.3</t>
  </si>
  <si>
    <t>him-10</t>
  </si>
  <si>
    <t>fbxa-182</t>
  </si>
  <si>
    <t>usip-1</t>
  </si>
  <si>
    <t>Y37E11AM.3</t>
  </si>
  <si>
    <t>cisd-1</t>
  </si>
  <si>
    <t>mrpl-14</t>
  </si>
  <si>
    <t>col-160;col-159</t>
  </si>
  <si>
    <t>ZK180.6</t>
  </si>
  <si>
    <t>F32B6.4</t>
  </si>
  <si>
    <t>C05C12.5</t>
  </si>
  <si>
    <t>prp-38</t>
  </si>
  <si>
    <t>C38C10.3</t>
  </si>
  <si>
    <t>C31H1.1</t>
  </si>
  <si>
    <t>K01H12.4</t>
  </si>
  <si>
    <t>F35E12.2</t>
  </si>
  <si>
    <t>F21H7.5</t>
  </si>
  <si>
    <t>Y53F4B.9</t>
  </si>
  <si>
    <t>Y54E2A.7</t>
  </si>
  <si>
    <t>ZK354.2</t>
  </si>
  <si>
    <t>noah-2</t>
  </si>
  <si>
    <t>fbf-2</t>
  </si>
  <si>
    <t>B0273.1</t>
  </si>
  <si>
    <t>F17B5.1</t>
  </si>
  <si>
    <t>T05E7.1</t>
  </si>
  <si>
    <t>mut-7</t>
  </si>
  <si>
    <t>gcy-13</t>
  </si>
  <si>
    <t>F59B1.8</t>
  </si>
  <si>
    <t>decr-1.3</t>
  </si>
  <si>
    <t>tba-4</t>
  </si>
  <si>
    <t>ttbk-8.2</t>
  </si>
  <si>
    <t>F28H1.4</t>
  </si>
  <si>
    <t>str-115</t>
  </si>
  <si>
    <t>mes-2</t>
  </si>
  <si>
    <t>tag-343</t>
  </si>
  <si>
    <t>ttc-17</t>
  </si>
  <si>
    <t>cut-1</t>
  </si>
  <si>
    <t>pes-8</t>
  </si>
  <si>
    <t>ifc-2</t>
  </si>
  <si>
    <t>ifb-2</t>
  </si>
  <si>
    <t>Y42H9AR.1</t>
  </si>
  <si>
    <t>grl-25</t>
  </si>
  <si>
    <t>pqn-52</t>
  </si>
  <si>
    <t>H17B01.2;Y51H7C.1</t>
  </si>
  <si>
    <t>hpo-9</t>
  </si>
  <si>
    <t>apc-17</t>
  </si>
  <si>
    <t>ttr-25</t>
  </si>
  <si>
    <t>col-167</t>
  </si>
  <si>
    <t>pmp-2</t>
  </si>
  <si>
    <t>epi-1</t>
  </si>
  <si>
    <t>tba-8</t>
  </si>
  <si>
    <t>ppw-1</t>
  </si>
  <si>
    <t>sco-1</t>
  </si>
  <si>
    <t>clec-7</t>
  </si>
  <si>
    <t>T07E3.3</t>
  </si>
  <si>
    <t>cope-1</t>
  </si>
  <si>
    <t>mccc-1</t>
  </si>
  <si>
    <t>spt-16</t>
  </si>
  <si>
    <t>Y54G2A.40</t>
  </si>
  <si>
    <t>gldi-7</t>
  </si>
  <si>
    <t>Y76A2B.5</t>
  </si>
  <si>
    <t>T10G3.3</t>
  </si>
  <si>
    <t>unc-25</t>
  </si>
  <si>
    <t>F53C11.5</t>
  </si>
  <si>
    <t>unc-94</t>
  </si>
  <si>
    <t>pud-1.2</t>
  </si>
  <si>
    <t>ubc-3</t>
  </si>
  <si>
    <t>ndub-10</t>
  </si>
  <si>
    <t>C48B6.2</t>
  </si>
  <si>
    <t>egl-15</t>
  </si>
  <si>
    <t>rpap-2</t>
  </si>
  <si>
    <t>coel-1</t>
  </si>
  <si>
    <t>flor-1</t>
  </si>
  <si>
    <t>ZK822.1</t>
  </si>
  <si>
    <t>upp-1</t>
  </si>
  <si>
    <t>deb-1</t>
  </si>
  <si>
    <t>tbb-4</t>
  </si>
  <si>
    <t>cpn-2</t>
  </si>
  <si>
    <t>nhr-10</t>
  </si>
  <si>
    <t>skr-1</t>
  </si>
  <si>
    <t>mask-1</t>
  </si>
  <si>
    <t>T24B1.1</t>
  </si>
  <si>
    <t>lec-1</t>
  </si>
  <si>
    <t>rle-1</t>
  </si>
  <si>
    <t>flu-2</t>
  </si>
  <si>
    <t>R09E10.5</t>
  </si>
  <si>
    <t>dcap-2</t>
  </si>
  <si>
    <t>enol-1</t>
  </si>
  <si>
    <t>fli-1</t>
  </si>
  <si>
    <t>ccnk-1</t>
  </si>
  <si>
    <t>pxf-1</t>
  </si>
  <si>
    <t>aakg-2</t>
  </si>
  <si>
    <t>lec-2</t>
  </si>
  <si>
    <t>spe-5</t>
  </si>
  <si>
    <t>ZK1321.4</t>
  </si>
  <si>
    <t>T04B8.5</t>
  </si>
  <si>
    <t>xpd-1</t>
  </si>
  <si>
    <t>F55A12.5</t>
  </si>
  <si>
    <t>pptr-2</t>
  </si>
  <si>
    <t>acox-1.1</t>
  </si>
  <si>
    <t>C09E8.1</t>
  </si>
  <si>
    <t>kin-29</t>
  </si>
  <si>
    <t>ech-1.1</t>
  </si>
  <si>
    <t>alh-6</t>
  </si>
  <si>
    <t>met-2</t>
  </si>
  <si>
    <t>pho-7</t>
  </si>
  <si>
    <t>panl-3</t>
  </si>
  <si>
    <t>spc-1</t>
  </si>
  <si>
    <t>hacl-1</t>
  </si>
  <si>
    <t>CTEL55X.1</t>
  </si>
  <si>
    <t>daf-18</t>
  </si>
  <si>
    <t>odr-4</t>
  </si>
  <si>
    <t>hpo-13</t>
  </si>
  <si>
    <t>hmp-1</t>
  </si>
  <si>
    <t>K05C4.7</t>
  </si>
  <si>
    <t>Y47G6A.18</t>
  </si>
  <si>
    <t>lab-2</t>
  </si>
  <si>
    <t>ctc-2</t>
  </si>
  <si>
    <t>mthf-1</t>
  </si>
  <si>
    <t>ttll-5</t>
  </si>
  <si>
    <t>F09E5.3</t>
  </si>
  <si>
    <t>lam-1</t>
  </si>
  <si>
    <t>sir-2.4</t>
  </si>
  <si>
    <t>cyc-2.1</t>
  </si>
  <si>
    <t>nhr-7</t>
  </si>
  <si>
    <t>gsp-1</t>
  </si>
  <si>
    <t>abts-4</t>
  </si>
  <si>
    <t>C29F7.3</t>
  </si>
  <si>
    <t>F20D6.6</t>
  </si>
  <si>
    <t>catp-4</t>
  </si>
  <si>
    <t>T19C4.1</t>
  </si>
  <si>
    <t>aco-1</t>
  </si>
  <si>
    <t>ZK856.7</t>
  </si>
  <si>
    <t>sqt-2</t>
  </si>
  <si>
    <t>cht-1</t>
  </si>
  <si>
    <t>iff-1</t>
  </si>
  <si>
    <t>myo-3</t>
  </si>
  <si>
    <t>eas-1</t>
  </si>
  <si>
    <t>snrp-40.1</t>
  </si>
  <si>
    <t>act-2</t>
  </si>
  <si>
    <t>T01H3.3</t>
  </si>
  <si>
    <t>emb-9</t>
  </si>
  <si>
    <t>let-2</t>
  </si>
  <si>
    <t>unc-54</t>
  </si>
  <si>
    <t>myo-5</t>
  </si>
  <si>
    <t>F26E4.3</t>
  </si>
  <si>
    <t>B0205.10</t>
  </si>
  <si>
    <t>ape-1</t>
  </si>
  <si>
    <t>hum-5</t>
  </si>
  <si>
    <t>nola-3</t>
  </si>
  <si>
    <t>dlg-1</t>
  </si>
  <si>
    <t>F53B3.6</t>
  </si>
  <si>
    <t>hil-4</t>
  </si>
  <si>
    <t>NEKL-2_1 (301)</t>
  </si>
  <si>
    <t>nhr-37</t>
  </si>
  <si>
    <t>Y48G8AL.15</t>
  </si>
  <si>
    <t>col-181</t>
  </si>
  <si>
    <t>ubc-26</t>
  </si>
  <si>
    <t>col-117</t>
  </si>
  <si>
    <t>sup-35</t>
  </si>
  <si>
    <t>npp-27</t>
  </si>
  <si>
    <t>tbc-3</t>
  </si>
  <si>
    <t>suox-1</t>
  </si>
  <si>
    <t>nadk-2</t>
  </si>
  <si>
    <t>T25B9.1</t>
  </si>
  <si>
    <t>tag-175</t>
  </si>
  <si>
    <t>mig-22</t>
  </si>
  <si>
    <t>paqr-1</t>
  </si>
  <si>
    <t>T22D1.5</t>
  </si>
  <si>
    <t>eif-3.l</t>
  </si>
  <si>
    <t>lgc-22</t>
  </si>
  <si>
    <t>K12H6.9</t>
  </si>
  <si>
    <t>Y73E7A.1</t>
  </si>
  <si>
    <t>E02H9.9</t>
  </si>
  <si>
    <t>skpt-1</t>
  </si>
  <si>
    <t>cah-2</t>
  </si>
  <si>
    <t>W05H9.4</t>
  </si>
  <si>
    <t>Y48C3A.18</t>
  </si>
  <si>
    <t>cdc-25.1</t>
  </si>
  <si>
    <t>F46C5.6</t>
  </si>
  <si>
    <t>eri-6/7</t>
  </si>
  <si>
    <t>nop-1</t>
  </si>
  <si>
    <t>cest-5.2</t>
  </si>
  <si>
    <t>F56D2.2</t>
  </si>
  <si>
    <t>tag-153</t>
  </si>
  <si>
    <t>ZK1053.4</t>
  </si>
  <si>
    <t>F26F12.3</t>
  </si>
  <si>
    <t>cyb-2.1</t>
  </si>
  <si>
    <t>C32D5.11</t>
  </si>
  <si>
    <t>citk-2</t>
  </si>
  <si>
    <t>C35D10.1</t>
  </si>
  <si>
    <t>cyy-1</t>
  </si>
  <si>
    <t>rmd-3</t>
  </si>
  <si>
    <t>crld-1</t>
  </si>
  <si>
    <t>gpr-1</t>
  </si>
  <si>
    <t>xrep-4</t>
  </si>
  <si>
    <t>rab-19</t>
  </si>
  <si>
    <t>adah-1</t>
  </si>
  <si>
    <t>Y110A2AR.1</t>
  </si>
  <si>
    <t>B0001.3</t>
  </si>
  <si>
    <t>Y17G7B.20</t>
  </si>
  <si>
    <t>mrpl-48</t>
  </si>
  <si>
    <t>algn-3</t>
  </si>
  <si>
    <t>D1086.6</t>
  </si>
  <si>
    <t>C16C10.1</t>
  </si>
  <si>
    <t>F36F2.1</t>
  </si>
  <si>
    <t>inso-1</t>
  </si>
  <si>
    <t>trpp-10</t>
  </si>
  <si>
    <t>eor-2</t>
  </si>
  <si>
    <t>ced-3</t>
  </si>
  <si>
    <t>cul-6</t>
  </si>
  <si>
    <t>acy-4</t>
  </si>
  <si>
    <t>G3MVE8</t>
  </si>
  <si>
    <t>daf-9</t>
  </si>
  <si>
    <t>ced-11</t>
  </si>
  <si>
    <t>C38H2.2</t>
  </si>
  <si>
    <t>mrpl-17</t>
  </si>
  <si>
    <t>gck-2</t>
  </si>
  <si>
    <t>B0207.5</t>
  </si>
  <si>
    <t>unc-51</t>
  </si>
  <si>
    <t>mop-25.3</t>
  </si>
  <si>
    <t>F47G3.3</t>
  </si>
  <si>
    <t>acs-20</t>
  </si>
  <si>
    <t>rege-1</t>
  </si>
  <si>
    <t>argn-1</t>
  </si>
  <si>
    <t>acdh-1</t>
  </si>
  <si>
    <t>Y57A10A.8</t>
  </si>
  <si>
    <t>acbp-5</t>
  </si>
  <si>
    <t>haf-7</t>
  </si>
  <si>
    <t>T28H10.2</t>
  </si>
  <si>
    <t>F56A11.5</t>
  </si>
  <si>
    <t>tag-281</t>
  </si>
  <si>
    <t>F08F3.4</t>
  </si>
  <si>
    <t>prx-11</t>
  </si>
  <si>
    <t>spch-2</t>
  </si>
  <si>
    <t>C33A12.1</t>
  </si>
  <si>
    <t>mca-1</t>
  </si>
  <si>
    <t>flh-1</t>
  </si>
  <si>
    <t>T20D3.6</t>
  </si>
  <si>
    <t>clec-266</t>
  </si>
  <si>
    <t>pid-5</t>
  </si>
  <si>
    <t>C55A6.12</t>
  </si>
  <si>
    <t>cec-2</t>
  </si>
  <si>
    <t>evl-18</t>
  </si>
  <si>
    <t>ltah-1.1</t>
  </si>
  <si>
    <t>nprl-3</t>
  </si>
  <si>
    <t>elo-5</t>
  </si>
  <si>
    <t>pygl-1</t>
  </si>
  <si>
    <t>ZK177.8</t>
  </si>
  <si>
    <t>grd-3</t>
  </si>
  <si>
    <t>ltah-1.2</t>
  </si>
  <si>
    <t>ubl-1</t>
  </si>
  <si>
    <t>gyg-1</t>
  </si>
  <si>
    <t>DY3.8</t>
  </si>
  <si>
    <t>fasn-1</t>
  </si>
  <si>
    <t>puf-11</t>
  </si>
  <si>
    <t>K08B12.3</t>
  </si>
  <si>
    <t>gphr-1</t>
  </si>
  <si>
    <t>slc-25a26</t>
  </si>
  <si>
    <t>T10C6.6</t>
  </si>
  <si>
    <t>pid-3</t>
  </si>
  <si>
    <t>ugt-23</t>
  </si>
  <si>
    <t>F33D4.4</t>
  </si>
  <si>
    <t>cyp-31a2</t>
  </si>
  <si>
    <t>inx-14</t>
  </si>
  <si>
    <t>vps-8</t>
  </si>
  <si>
    <t>cdr-2</t>
  </si>
  <si>
    <t>ucr-2.3</t>
  </si>
  <si>
    <t>C35E7.6</t>
  </si>
  <si>
    <t>Y54E5A.5</t>
  </si>
  <si>
    <t>map-1</t>
  </si>
  <si>
    <t>prmt-6</t>
  </si>
  <si>
    <t>skpo-2</t>
  </si>
  <si>
    <t>dnj-29</t>
  </si>
  <si>
    <t>ptc-1</t>
  </si>
  <si>
    <t>cgt-3</t>
  </si>
  <si>
    <t>ivd-1</t>
  </si>
  <si>
    <t>gld-3</t>
  </si>
  <si>
    <t>acs-1</t>
  </si>
  <si>
    <t>swt-7</t>
  </si>
  <si>
    <t>rps-26</t>
  </si>
  <si>
    <t>rpl-35</t>
  </si>
  <si>
    <t>ugt-60</t>
  </si>
  <si>
    <t>Y10G11A.1</t>
  </si>
  <si>
    <t>sur-5</t>
  </si>
  <si>
    <t>rps-29</t>
  </si>
  <si>
    <t>hach-1</t>
  </si>
  <si>
    <t>C17G1.2</t>
  </si>
  <si>
    <t>R102.4</t>
  </si>
  <si>
    <t>cyp-14a5</t>
  </si>
  <si>
    <t>dhs-13</t>
  </si>
  <si>
    <t>ech-1.2</t>
  </si>
  <si>
    <t>ech-6</t>
  </si>
  <si>
    <t>pgam-5</t>
  </si>
  <si>
    <t>spl-1</t>
  </si>
  <si>
    <t>mrps-30</t>
  </si>
  <si>
    <t>gldc-1</t>
  </si>
  <si>
    <t>Y73B6BL.27</t>
  </si>
  <si>
    <t>cct-6</t>
  </si>
  <si>
    <t>atln-1</t>
  </si>
  <si>
    <t>dhs-25</t>
  </si>
  <si>
    <t>rpl-13</t>
  </si>
  <si>
    <t>K02F6.7</t>
  </si>
  <si>
    <t>F23F1.5</t>
  </si>
  <si>
    <t>R05D3.9/R05D3.10</t>
  </si>
  <si>
    <t>gfat-1</t>
  </si>
  <si>
    <t>sec-61.G</t>
  </si>
  <si>
    <t>cyk-7</t>
  </si>
  <si>
    <t>W06B4.1</t>
  </si>
  <si>
    <t>Y97E10AR.1</t>
  </si>
  <si>
    <t>ctps-1</t>
  </si>
  <si>
    <t>ego-1</t>
  </si>
  <si>
    <t>hsp-75</t>
  </si>
  <si>
    <t>mcm-5</t>
  </si>
  <si>
    <t>ZK899.2</t>
  </si>
  <si>
    <t>C01B10.8</t>
  </si>
  <si>
    <t>T05B9.1</t>
  </si>
  <si>
    <t>hyl-2</t>
  </si>
  <si>
    <t>crn-2</t>
  </si>
  <si>
    <t>acp-6</t>
  </si>
  <si>
    <t>cdr-4</t>
  </si>
  <si>
    <t>C25G4.3</t>
  </si>
  <si>
    <t>mcm-4</t>
  </si>
  <si>
    <t>trap-2</t>
  </si>
  <si>
    <t>fmo-4</t>
  </si>
  <si>
    <t>eif-3.C</t>
  </si>
  <si>
    <t>dif-1</t>
  </si>
  <si>
    <t>K07A12.1</t>
  </si>
  <si>
    <t>nhr-31</t>
  </si>
  <si>
    <t>tomm-70</t>
  </si>
  <si>
    <t>gst-26</t>
  </si>
  <si>
    <t>T25B9.9</t>
  </si>
  <si>
    <t>F58B4.5</t>
  </si>
  <si>
    <t>amdh-1</t>
  </si>
  <si>
    <t>cct-7</t>
  </si>
  <si>
    <t>capg-2</t>
  </si>
  <si>
    <t>rpl-15</t>
  </si>
  <si>
    <t>mcm-6</t>
  </si>
  <si>
    <t>dyf-3</t>
  </si>
  <si>
    <t>sql-1</t>
  </si>
  <si>
    <t>gsnl-1</t>
  </si>
  <si>
    <t>vha-5</t>
  </si>
  <si>
    <t>C17C3.1</t>
  </si>
  <si>
    <t>uba-5</t>
  </si>
  <si>
    <t>R11D1.10</t>
  </si>
  <si>
    <t>C01A2.4</t>
  </si>
  <si>
    <t>pld-1</t>
  </si>
  <si>
    <t>Y75B8A.24</t>
  </si>
  <si>
    <t>T04G9.4</t>
  </si>
  <si>
    <t>sec-15</t>
  </si>
  <si>
    <t>upb-1</t>
  </si>
  <si>
    <t>pptr-1</t>
  </si>
  <si>
    <t>B0303.11</t>
  </si>
  <si>
    <t>dnj-25</t>
  </si>
  <si>
    <t>hsp-25</t>
  </si>
  <si>
    <t>ZK370.4</t>
  </si>
  <si>
    <t>Y71H2AM.6</t>
  </si>
  <si>
    <t>D1069.3</t>
  </si>
  <si>
    <t>sax-7</t>
  </si>
  <si>
    <t>vha-1</t>
  </si>
  <si>
    <t>ttr-45</t>
  </si>
  <si>
    <t>smn-1</t>
  </si>
  <si>
    <t>maph-1.3</t>
  </si>
  <si>
    <t>ttr-15</t>
  </si>
  <si>
    <t>tag-325</t>
  </si>
  <si>
    <t>K11H12.8</t>
  </si>
  <si>
    <t>T01G9.2</t>
  </si>
  <si>
    <t>ppfr-1</t>
  </si>
  <si>
    <t>vps-45</t>
  </si>
  <si>
    <t>Y6D1A.2</t>
  </si>
  <si>
    <t>sec-16A.1</t>
  </si>
  <si>
    <t>mab-10</t>
  </si>
  <si>
    <t>F48E3.4</t>
  </si>
  <si>
    <t>ehbp-1</t>
  </si>
  <si>
    <t>rabn-5</t>
  </si>
  <si>
    <t>R03H10.1</t>
  </si>
  <si>
    <t>F22G12.5</t>
  </si>
  <si>
    <t>ctl-1</t>
  </si>
  <si>
    <t>agef-1</t>
  </si>
  <si>
    <t>tpa-1</t>
  </si>
  <si>
    <t>Y54H5A.2</t>
  </si>
  <si>
    <t>rme-6</t>
  </si>
  <si>
    <t>vps-2</t>
  </si>
  <si>
    <t>cdap-2</t>
  </si>
  <si>
    <t>T24B8.7</t>
  </si>
  <si>
    <t>C55A6.4</t>
  </si>
  <si>
    <t>F55A11.6</t>
  </si>
  <si>
    <t>C35B1.5</t>
  </si>
  <si>
    <t>phy-2</t>
  </si>
  <si>
    <t>ggtb-1</t>
  </si>
  <si>
    <t>sec-22</t>
  </si>
  <si>
    <t>hsp-16.41</t>
  </si>
  <si>
    <t>acds-10</t>
  </si>
  <si>
    <t>Y48C3A.12</t>
  </si>
  <si>
    <t>vha-16</t>
  </si>
  <si>
    <t>rpl-25.1</t>
  </si>
  <si>
    <t>kdin-1</t>
  </si>
  <si>
    <t>maph-1.1</t>
  </si>
  <si>
    <t>C31C9.2</t>
  </si>
  <si>
    <t>plc-4</t>
  </si>
  <si>
    <t>B0205.13</t>
  </si>
  <si>
    <t>copb-1</t>
  </si>
  <si>
    <t>unc-116</t>
  </si>
  <si>
    <t>ego-2</t>
  </si>
  <si>
    <t>rab-11.1</t>
  </si>
  <si>
    <t>lpd-3</t>
  </si>
  <si>
    <t>Y69A2AR.16</t>
  </si>
  <si>
    <t>ykt-6</t>
  </si>
  <si>
    <t>hsp-16.1</t>
  </si>
  <si>
    <t>hum-1</t>
  </si>
  <si>
    <t>atg-18</t>
  </si>
  <si>
    <t>clp-4</t>
  </si>
  <si>
    <t>rpl-25.2</t>
  </si>
  <si>
    <t>egl-4</t>
  </si>
  <si>
    <t>unc-73</t>
  </si>
  <si>
    <t>fcho-1</t>
  </si>
  <si>
    <t>R186.3</t>
  </si>
  <si>
    <t>clik-1</t>
  </si>
  <si>
    <t>plin-1</t>
  </si>
  <si>
    <t>Y22D7AL.10</t>
  </si>
  <si>
    <t>comt-1</t>
  </si>
  <si>
    <t>DC2.5</t>
  </si>
  <si>
    <t>Y54G11A.7</t>
  </si>
  <si>
    <t>eif-2bdelta</t>
  </si>
  <si>
    <t>aak-2</t>
  </si>
  <si>
    <t>mca-2</t>
  </si>
  <si>
    <t>ebp-3</t>
  </si>
  <si>
    <t>kcc-1</t>
  </si>
  <si>
    <t>ttx-7</t>
  </si>
  <si>
    <t>tln-1</t>
  </si>
  <si>
    <t>yars-1</t>
  </si>
  <si>
    <t>sto-1</t>
  </si>
  <si>
    <t>Y58A7A.3</t>
  </si>
  <si>
    <t>lem-4</t>
  </si>
  <si>
    <t>C01B10.11</t>
  </si>
  <si>
    <t>djr-1.1</t>
  </si>
  <si>
    <t>aakg-1</t>
  </si>
  <si>
    <t>Y48A6B.9</t>
  </si>
  <si>
    <t>dnj-9</t>
  </si>
  <si>
    <t>mars-1</t>
  </si>
  <si>
    <t>gpdh-3</t>
  </si>
  <si>
    <t>edc-3</t>
  </si>
  <si>
    <t>moma-1</t>
  </si>
  <si>
    <t>rps-12</t>
  </si>
  <si>
    <t>kin-2</t>
  </si>
  <si>
    <t>ttr-18</t>
  </si>
  <si>
    <t>rme-1</t>
  </si>
  <si>
    <t>cah-4</t>
  </si>
  <si>
    <t>rpn-2</t>
  </si>
  <si>
    <t>dab-1</t>
  </si>
  <si>
    <t>rbc-1</t>
  </si>
  <si>
    <t>rskn-2</t>
  </si>
  <si>
    <t>pad-1</t>
  </si>
  <si>
    <t>exoc-8</t>
  </si>
  <si>
    <t>tppp-1</t>
  </si>
  <si>
    <t>rps-20</t>
  </si>
  <si>
    <t>copa-1</t>
  </si>
  <si>
    <t>vps-4</t>
  </si>
  <si>
    <t>natc-2</t>
  </si>
  <si>
    <t>Y47G6A.21</t>
  </si>
  <si>
    <t>chc-1</t>
  </si>
  <si>
    <t>NEKL-2_3 (290)</t>
  </si>
  <si>
    <t>NEKL-2_E6 (227)</t>
  </si>
  <si>
    <t>NEKL-2_E7 (90)</t>
  </si>
  <si>
    <t>sep-1</t>
  </si>
  <si>
    <t>col-41</t>
  </si>
  <si>
    <t>sem-5</t>
  </si>
  <si>
    <t>lbp-9</t>
  </si>
  <si>
    <t>lys-1</t>
  </si>
  <si>
    <t>lbp-1</t>
  </si>
  <si>
    <t>ech-4</t>
  </si>
  <si>
    <t>myo-6</t>
  </si>
  <si>
    <t>ctsa-2</t>
  </si>
  <si>
    <t>let-504</t>
  </si>
  <si>
    <t>cri-3</t>
  </si>
  <si>
    <t>F10E7.9</t>
  </si>
  <si>
    <t>cnx-1</t>
  </si>
  <si>
    <t>F55D12.2</t>
  </si>
  <si>
    <t>gst-20</t>
  </si>
  <si>
    <t>dpf-5</t>
  </si>
  <si>
    <t>cpr-6</t>
  </si>
  <si>
    <t>ger-1</t>
  </si>
  <si>
    <t>C05C8.1</t>
  </si>
  <si>
    <t>asna-1</t>
  </si>
  <si>
    <t>aagr-4</t>
  </si>
  <si>
    <t>rad-23</t>
  </si>
  <si>
    <t>mnp-1</t>
  </si>
  <si>
    <t>ndub-11</t>
  </si>
  <si>
    <t>gfi-2</t>
  </si>
  <si>
    <t>alh-5</t>
  </si>
  <si>
    <t>smk-1</t>
  </si>
  <si>
    <t>nhr-49</t>
  </si>
  <si>
    <t>lap-1</t>
  </si>
  <si>
    <t>cah-6</t>
  </si>
  <si>
    <t>tli-1</t>
  </si>
  <si>
    <t>ogdh-2</t>
  </si>
  <si>
    <t>T16G1.9</t>
  </si>
  <si>
    <t>ddo-2</t>
  </si>
  <si>
    <t>pdi-2</t>
  </si>
  <si>
    <t>col-90</t>
  </si>
  <si>
    <t>vdac-1</t>
  </si>
  <si>
    <t>let-721</t>
  </si>
  <si>
    <t>sqt-1</t>
  </si>
  <si>
    <t>icl-1</t>
  </si>
  <si>
    <t>pbs-2</t>
  </si>
  <si>
    <t>ndk-1</t>
  </si>
  <si>
    <t>W04G3.5</t>
  </si>
  <si>
    <t>lmn-1</t>
  </si>
  <si>
    <t>fecl-1</t>
  </si>
  <si>
    <t>gdh-1</t>
  </si>
  <si>
    <t>hrpf-1</t>
  </si>
  <si>
    <t>gta-1</t>
  </si>
  <si>
    <t>gsr-1</t>
  </si>
  <si>
    <t>aagr-3</t>
  </si>
  <si>
    <t>men-1</t>
  </si>
  <si>
    <t>cpt-2</t>
  </si>
  <si>
    <t>ipgm-1</t>
  </si>
  <si>
    <t>alh-4</t>
  </si>
  <si>
    <t>T24H7.2</t>
  </si>
  <si>
    <t>ncbp-1</t>
  </si>
  <si>
    <t>tpp-2</t>
  </si>
  <si>
    <t>asp-6</t>
  </si>
  <si>
    <t>fib-1</t>
  </si>
  <si>
    <t>cysl-2</t>
  </si>
  <si>
    <t>romo-1</t>
  </si>
  <si>
    <t>nrfl-1</t>
  </si>
  <si>
    <t>gst-1</t>
  </si>
  <si>
    <t>irg-8</t>
  </si>
  <si>
    <t>fce-1</t>
  </si>
  <si>
    <t>mpk-1</t>
  </si>
  <si>
    <t>hpo-35</t>
  </si>
  <si>
    <t>sdz-24</t>
  </si>
  <si>
    <t>atg-3</t>
  </si>
  <si>
    <t>F56A8.3</t>
  </si>
  <si>
    <t>dnj-12</t>
  </si>
  <si>
    <t>let-19</t>
  </si>
  <si>
    <t>F07A11.4</t>
  </si>
  <si>
    <t>crt-1</t>
  </si>
  <si>
    <t>lec-4</t>
  </si>
  <si>
    <t>cox-4</t>
  </si>
  <si>
    <t>unc-15</t>
  </si>
  <si>
    <t>rpl-12</t>
  </si>
  <si>
    <t>myo-1</t>
  </si>
  <si>
    <t>eps-8</t>
  </si>
  <si>
    <t>myo-2</t>
  </si>
  <si>
    <t>lec-5</t>
  </si>
  <si>
    <t>pdi-6</t>
  </si>
  <si>
    <t>ndub-3</t>
  </si>
  <si>
    <t>irg-7</t>
  </si>
  <si>
    <t>pbs-3</t>
  </si>
  <si>
    <t>nuo-4</t>
  </si>
  <si>
    <t>mdh-2</t>
  </si>
  <si>
    <t>his-1</t>
  </si>
  <si>
    <t>nep-17</t>
  </si>
  <si>
    <t>atad-3</t>
  </si>
  <si>
    <t>alh-7</t>
  </si>
  <si>
    <t>alh-1</t>
  </si>
  <si>
    <t>T12B3.3</t>
  </si>
  <si>
    <t>prp-19</t>
  </si>
  <si>
    <t>lgc-34</t>
  </si>
  <si>
    <t>got-2.1</t>
  </si>
  <si>
    <t>adss-1</t>
  </si>
  <si>
    <t>pam-1</t>
  </si>
  <si>
    <t>dim-1</t>
  </si>
  <si>
    <t>ndua-1</t>
  </si>
  <si>
    <t>his-11</t>
  </si>
  <si>
    <t>his-40</t>
  </si>
  <si>
    <t>K12H4.5</t>
  </si>
  <si>
    <t>dpy-11</t>
  </si>
  <si>
    <t>K12C11.1</t>
  </si>
  <si>
    <t>K07C5.2</t>
  </si>
  <si>
    <t>rps-13</t>
  </si>
  <si>
    <t>nuo-6</t>
  </si>
  <si>
    <t>hsp-6</t>
  </si>
  <si>
    <t>rps-10</t>
  </si>
  <si>
    <t>unc-97</t>
  </si>
  <si>
    <t>atp-3</t>
  </si>
  <si>
    <t>fkb-2</t>
  </si>
  <si>
    <t>pbs-5</t>
  </si>
  <si>
    <t>cox-6c</t>
  </si>
  <si>
    <t>cts-1</t>
  </si>
  <si>
    <t>srr-4</t>
  </si>
  <si>
    <t>ZK84.1</t>
  </si>
  <si>
    <t>dcar-1</t>
  </si>
  <si>
    <t>plpr-1</t>
  </si>
  <si>
    <t>clec-87</t>
  </si>
  <si>
    <t>Y39B6A.1</t>
  </si>
  <si>
    <t>wht-2</t>
  </si>
  <si>
    <t>col-8</t>
  </si>
  <si>
    <t>ifc-1</t>
  </si>
  <si>
    <t>grl-16</t>
  </si>
  <si>
    <t>aqp-2</t>
  </si>
  <si>
    <t>dpy-17</t>
  </si>
  <si>
    <t>F20B10.3</t>
  </si>
  <si>
    <t>T21B6.3</t>
  </si>
  <si>
    <t>ifp-1</t>
  </si>
  <si>
    <t>dpy-14</t>
  </si>
  <si>
    <t>phat-7</t>
  </si>
  <si>
    <t>phat-1</t>
  </si>
  <si>
    <t>grl-15</t>
  </si>
  <si>
    <t>F10D11.6</t>
  </si>
  <si>
    <t>ajm-1</t>
  </si>
  <si>
    <t>dur-1</t>
  </si>
  <si>
    <t>C18H7.1</t>
  </si>
  <si>
    <t>T25E4.1</t>
  </si>
  <si>
    <t>dpy-4</t>
  </si>
  <si>
    <t>ifd-2</t>
  </si>
  <si>
    <t>dlst-1</t>
  </si>
  <si>
    <t>phat-4</t>
  </si>
  <si>
    <t>appg-1</t>
  </si>
  <si>
    <t>ifd-1</t>
  </si>
  <si>
    <t>nlp-31</t>
  </si>
  <si>
    <t>lam-2</t>
  </si>
  <si>
    <t>cav-1</t>
  </si>
  <si>
    <t>act-5</t>
  </si>
  <si>
    <t>feh-1</t>
  </si>
  <si>
    <t>ifo-1</t>
  </si>
  <si>
    <t>Y38F1A.1</t>
  </si>
  <si>
    <t>lys-8</t>
  </si>
  <si>
    <t>atgp-1</t>
  </si>
  <si>
    <t>lec-3</t>
  </si>
  <si>
    <t>hsp-12.2</t>
  </si>
  <si>
    <t>hrp-1</t>
  </si>
  <si>
    <t>vha-6</t>
  </si>
  <si>
    <t>act-1</t>
  </si>
  <si>
    <t>pccb-1</t>
  </si>
  <si>
    <t>mlc-2</t>
  </si>
  <si>
    <t>gpi-1</t>
  </si>
  <si>
    <t>nova-1</t>
  </si>
  <si>
    <t>F17A9.2</t>
  </si>
  <si>
    <t>vha-19</t>
  </si>
  <si>
    <t>unc-1</t>
  </si>
  <si>
    <t>wdr-12</t>
  </si>
  <si>
    <t>let-60</t>
  </si>
  <si>
    <t>ncx-2</t>
  </si>
  <si>
    <t>kin-1</t>
  </si>
  <si>
    <t>gpa-7</t>
  </si>
  <si>
    <t>Y87G2A.19</t>
  </si>
  <si>
    <t>tric-1B.1</t>
  </si>
  <si>
    <t>sqst-2</t>
  </si>
  <si>
    <t>T20B3.1</t>
  </si>
  <si>
    <t>egl-30</t>
  </si>
  <si>
    <t>unc-27</t>
  </si>
  <si>
    <t>goa-1</t>
  </si>
  <si>
    <t>ppk-2</t>
  </si>
  <si>
    <t>srd-8</t>
  </si>
  <si>
    <t>R12C12.5</t>
  </si>
  <si>
    <t>F42H10.3</t>
  </si>
  <si>
    <t>dhs-19</t>
  </si>
  <si>
    <t>amph-1</t>
  </si>
  <si>
    <t>alh-10</t>
  </si>
  <si>
    <t>C05G5.2</t>
  </si>
  <si>
    <t>reps-1</t>
  </si>
  <si>
    <t>pdzd-8</t>
  </si>
  <si>
    <t>C54E4.5</t>
  </si>
  <si>
    <t>atgp-2</t>
  </si>
  <si>
    <t>T26H5.8</t>
  </si>
  <si>
    <t>cpi-2</t>
  </si>
  <si>
    <t>Y45F10A.7</t>
  </si>
  <si>
    <t>B0432.7</t>
  </si>
  <si>
    <t>max-2</t>
  </si>
  <si>
    <t>gop-2</t>
  </si>
  <si>
    <t>atg-4.1</t>
  </si>
  <si>
    <t>tbcb-1</t>
  </si>
  <si>
    <t>szy-2</t>
  </si>
  <si>
    <t>nit-1</t>
  </si>
  <si>
    <t>daf-15</t>
  </si>
  <si>
    <t>C06E4.3</t>
  </si>
  <si>
    <t>ckc-1</t>
  </si>
  <si>
    <t>F17A9.4</t>
  </si>
  <si>
    <t>clip-1</t>
  </si>
  <si>
    <t>eif-2Bgamma</t>
  </si>
  <si>
    <t>C06A6.4</t>
  </si>
  <si>
    <t>rbg-2</t>
  </si>
  <si>
    <t>plx-1</t>
  </si>
  <si>
    <t>ttr-31</t>
  </si>
  <si>
    <t>F54F2.9</t>
  </si>
  <si>
    <t>T03F6.3</t>
  </si>
  <si>
    <t>dgk-4</t>
  </si>
  <si>
    <t>W09B6.4</t>
  </si>
  <si>
    <t>vha-4</t>
  </si>
  <si>
    <t>W04E12.7</t>
  </si>
  <si>
    <t>pals-26</t>
  </si>
  <si>
    <t>ttr-46</t>
  </si>
  <si>
    <t>denn-4</t>
  </si>
  <si>
    <t>C14A11.6</t>
  </si>
  <si>
    <t>C01H6.4</t>
  </si>
  <si>
    <t>R151.6</t>
  </si>
  <si>
    <t>F09F7.5</t>
  </si>
  <si>
    <t>cdh-4</t>
  </si>
  <si>
    <t>B0303.7</t>
  </si>
  <si>
    <t>fbxa-115</t>
  </si>
  <si>
    <t>cmd-1</t>
  </si>
  <si>
    <t>ddx-19</t>
  </si>
  <si>
    <t>klp-12</t>
  </si>
  <si>
    <t>ttr-41</t>
  </si>
  <si>
    <t>hbs-1</t>
  </si>
  <si>
    <t>W09G3.7</t>
  </si>
  <si>
    <t>scyl-1</t>
  </si>
  <si>
    <t>F21D5.7</t>
  </si>
  <si>
    <t>nubp-1</t>
  </si>
  <si>
    <t>gpd-2</t>
  </si>
  <si>
    <t>copb-2</t>
  </si>
  <si>
    <t>ubxn-6</t>
  </si>
  <si>
    <t>iars-1</t>
  </si>
  <si>
    <t>B0416.5</t>
  </si>
  <si>
    <t>fgt-1</t>
  </si>
  <si>
    <t>gpx-2</t>
  </si>
  <si>
    <t>unc-43</t>
  </si>
  <si>
    <t>EEED8.10</t>
  </si>
  <si>
    <t>ttr-59</t>
  </si>
  <si>
    <t>semo-1</t>
  </si>
  <si>
    <t>K02C4.3</t>
  </si>
  <si>
    <t>ptp-2</t>
  </si>
  <si>
    <t>ima-3</t>
  </si>
  <si>
    <t>sec-31</t>
  </si>
  <si>
    <t>gcs-1</t>
  </si>
  <si>
    <t>csn-3</t>
  </si>
  <si>
    <t>Y39A3CL.1</t>
  </si>
  <si>
    <t>cogc-4</t>
  </si>
  <si>
    <t>copd-1</t>
  </si>
  <si>
    <t>apb-1</t>
  </si>
  <si>
    <t>spas-1</t>
  </si>
  <si>
    <t>Y54E2A.4</t>
  </si>
  <si>
    <t>npp-4</t>
  </si>
  <si>
    <t>C53D6.7</t>
  </si>
  <si>
    <t>tbc-14</t>
  </si>
  <si>
    <t>oxy-5</t>
  </si>
  <si>
    <t>glp-4</t>
  </si>
  <si>
    <t>raga-1</t>
  </si>
  <si>
    <t>obr-4</t>
  </si>
  <si>
    <t>Y37H9A.3</t>
  </si>
  <si>
    <t>idh-1</t>
  </si>
  <si>
    <t>slc-25a10</t>
  </si>
  <si>
    <t>dlat-1</t>
  </si>
  <si>
    <t>drp-1</t>
  </si>
  <si>
    <t>F39B2.3</t>
  </si>
  <si>
    <t>gspd-1</t>
  </si>
  <si>
    <t>trip-4</t>
  </si>
  <si>
    <t>pnk-1</t>
  </si>
  <si>
    <t>nars-1</t>
  </si>
  <si>
    <t>gcn-1</t>
  </si>
  <si>
    <t>Y45G5AL.1</t>
  </si>
  <si>
    <t>ldh-1</t>
  </si>
  <si>
    <t>alh-8</t>
  </si>
  <si>
    <t>sel-5</t>
  </si>
  <si>
    <t>ZK1073.1</t>
  </si>
  <si>
    <t>csn-1</t>
  </si>
  <si>
    <t>catp-8</t>
  </si>
  <si>
    <t>rme-8</t>
  </si>
  <si>
    <t>ttr-47</t>
  </si>
  <si>
    <t>dli-1</t>
  </si>
  <si>
    <t>gst-28</t>
  </si>
  <si>
    <t>rab-1</t>
  </si>
  <si>
    <t>fbp-1</t>
  </si>
  <si>
    <t>npp-10</t>
  </si>
  <si>
    <t>vha-15</t>
  </si>
  <si>
    <t>abcf-1</t>
  </si>
  <si>
    <t>alh-12</t>
  </si>
  <si>
    <t>sars-1</t>
  </si>
  <si>
    <t>M106.3</t>
  </si>
  <si>
    <t>M04C9.3</t>
  </si>
  <si>
    <t>thoc-7</t>
  </si>
  <si>
    <t>sel-2</t>
  </si>
  <si>
    <t>soc-2</t>
  </si>
  <si>
    <t>ppm-2</t>
  </si>
  <si>
    <t>npl-4.1</t>
  </si>
  <si>
    <t>C28H8.3</t>
  </si>
  <si>
    <t>mca-3</t>
  </si>
  <si>
    <t>mvk-1</t>
  </si>
  <si>
    <t>dhs-9</t>
  </si>
  <si>
    <t>ctsa-1.1</t>
  </si>
  <si>
    <t>misc-1</t>
  </si>
  <si>
    <t>apa-2</t>
  </si>
  <si>
    <t>hxk-2</t>
  </si>
  <si>
    <t>F22B8.7</t>
  </si>
  <si>
    <t>ahcy-1</t>
  </si>
  <si>
    <t>R05F9.6</t>
  </si>
  <si>
    <t>nlp-26</t>
  </si>
  <si>
    <t>pgk-1</t>
  </si>
  <si>
    <t>fln-1</t>
  </si>
  <si>
    <t>dig-1</t>
  </si>
  <si>
    <t>tsg-101</t>
  </si>
  <si>
    <t>egl-45</t>
  </si>
  <si>
    <t>sdz-8</t>
  </si>
  <si>
    <t>cdc-48.2</t>
  </si>
  <si>
    <t>eft-1</t>
  </si>
  <si>
    <t>pars-1</t>
  </si>
  <si>
    <t>gdi-1</t>
  </si>
  <si>
    <t>adk-1</t>
  </si>
  <si>
    <t>Y43F4B.5</t>
  </si>
  <si>
    <t>stam-1</t>
  </si>
  <si>
    <t>unc-89</t>
  </si>
  <si>
    <t>mct-6</t>
  </si>
  <si>
    <t>thoc-5</t>
  </si>
  <si>
    <t>arf-1.2</t>
  </si>
  <si>
    <t>unc-112</t>
  </si>
  <si>
    <t>hsp-3</t>
  </si>
  <si>
    <t>abcf-3</t>
  </si>
  <si>
    <t>dyn-1</t>
  </si>
  <si>
    <t>copg-1</t>
  </si>
  <si>
    <t>F42C5.9</t>
  </si>
  <si>
    <t>gst-36</t>
  </si>
  <si>
    <t>rpt-6</t>
  </si>
  <si>
    <t>spat-2</t>
  </si>
  <si>
    <t>F37B4.10</t>
  </si>
  <si>
    <t>Y37H2A.14</t>
  </si>
  <si>
    <t>F56C9.3</t>
  </si>
  <si>
    <t>srx-105</t>
  </si>
  <si>
    <t>lir-2</t>
  </si>
  <si>
    <t>nhr-46</t>
  </si>
  <si>
    <t>ent-6</t>
  </si>
  <si>
    <t>simr-1</t>
  </si>
  <si>
    <t>nduf-6</t>
  </si>
  <si>
    <t>F55G1.6</t>
  </si>
  <si>
    <t>slmp-1</t>
  </si>
  <si>
    <t>nhr-80</t>
  </si>
  <si>
    <t>F19B10.10</t>
  </si>
  <si>
    <t>nipi-4</t>
  </si>
  <si>
    <t>nhr-41</t>
  </si>
  <si>
    <t>M01A8.1</t>
  </si>
  <si>
    <t>C36B7.2</t>
  </si>
  <si>
    <t>M04B2.4</t>
  </si>
  <si>
    <t>acdh-13</t>
  </si>
  <si>
    <t>R107.2</t>
  </si>
  <si>
    <t>C47D12.2</t>
  </si>
  <si>
    <t>Y14H12B.2</t>
  </si>
  <si>
    <t>ceh-92</t>
  </si>
  <si>
    <t>dct-6</t>
  </si>
  <si>
    <t>F52B5.3</t>
  </si>
  <si>
    <t>acdh-12</t>
  </si>
  <si>
    <t>parp-1</t>
  </si>
  <si>
    <t>ced-12</t>
  </si>
  <si>
    <t>T23H2.3</t>
  </si>
  <si>
    <t>suca-1</t>
  </si>
  <si>
    <t>R74.8</t>
  </si>
  <si>
    <t>B0334.5</t>
  </si>
  <si>
    <t>lin-41</t>
  </si>
  <si>
    <t>imph-1</t>
  </si>
  <si>
    <t>R05D3.12</t>
  </si>
  <si>
    <t>H04M03.3</t>
  </si>
  <si>
    <t>math-14</t>
  </si>
  <si>
    <t>C05C10.2</t>
  </si>
  <si>
    <t>hmg-3</t>
  </si>
  <si>
    <t>sir-2.2</t>
  </si>
  <si>
    <t>cdl-1</t>
  </si>
  <si>
    <t>Y53G8AR.8</t>
  </si>
  <si>
    <t>F54E12.2</t>
  </si>
  <si>
    <t>D1044.1</t>
  </si>
  <si>
    <t>vwa-8</t>
  </si>
  <si>
    <t>ncl-1</t>
  </si>
  <si>
    <t>set-18</t>
  </si>
  <si>
    <t>F41H10.3</t>
  </si>
  <si>
    <t>fusm-2</t>
  </si>
  <si>
    <t>iffb-1</t>
  </si>
  <si>
    <t>rnp-8</t>
  </si>
  <si>
    <t>lec-8</t>
  </si>
  <si>
    <t>wars-2</t>
  </si>
  <si>
    <t>prp-9</t>
  </si>
  <si>
    <t>rpac-19</t>
  </si>
  <si>
    <t>rpb-10</t>
  </si>
  <si>
    <t>far-6</t>
  </si>
  <si>
    <t>rol-6</t>
  </si>
  <si>
    <t>srv-24</t>
  </si>
  <si>
    <t>D1086.3</t>
  </si>
  <si>
    <t>ddl-3</t>
  </si>
  <si>
    <t>C02B10.6</t>
  </si>
  <si>
    <t>H40L08.9</t>
  </si>
  <si>
    <t>T10D4.6</t>
  </si>
  <si>
    <t>Y62H9A.4</t>
  </si>
  <si>
    <t>pyc-1</t>
  </si>
  <si>
    <t>fbxa-101</t>
  </si>
  <si>
    <t>dnj-1</t>
  </si>
  <si>
    <t>tram-1</t>
  </si>
  <si>
    <t>F54F7.3</t>
  </si>
  <si>
    <t>rips-1</t>
  </si>
  <si>
    <t>W02D7.4</t>
  </si>
  <si>
    <t>pks-1</t>
  </si>
  <si>
    <t>aak-1</t>
  </si>
  <si>
    <t>F26D2.16</t>
  </si>
  <si>
    <t>metl-9</t>
  </si>
  <si>
    <t>oatr-1</t>
  </si>
  <si>
    <t>bgal-1</t>
  </si>
  <si>
    <t>dpy-18</t>
  </si>
  <si>
    <t>cyp-35b1</t>
  </si>
  <si>
    <t>pcp-5</t>
  </si>
  <si>
    <t>srh-25</t>
  </si>
  <si>
    <t>ceeh-1</t>
  </si>
  <si>
    <t>Y54G11A.3</t>
  </si>
  <si>
    <t>spp-10</t>
  </si>
  <si>
    <t>slc-25a18.1</t>
  </si>
  <si>
    <t>ani-2</t>
  </si>
  <si>
    <t>bub-1</t>
  </si>
  <si>
    <t>Y110A7A.15</t>
  </si>
  <si>
    <t>pcca-1</t>
  </si>
  <si>
    <t>H20J04.9</t>
  </si>
  <si>
    <t>B0513.4</t>
  </si>
  <si>
    <t>edg-1</t>
  </si>
  <si>
    <t>ooc-3</t>
  </si>
  <si>
    <t>H40L08.1</t>
  </si>
  <si>
    <t>lgmn-1</t>
  </si>
  <si>
    <t>air-2</t>
  </si>
  <si>
    <t>pole-1</t>
  </si>
  <si>
    <t>elo-3</t>
  </si>
  <si>
    <t>hsp-4</t>
  </si>
  <si>
    <t>hpo-40</t>
  </si>
  <si>
    <t>F42F12.3</t>
  </si>
  <si>
    <t>C33F10.11</t>
  </si>
  <si>
    <t>let-502</t>
  </si>
  <si>
    <t>F43H9.4</t>
  </si>
  <si>
    <t>hnd-1</t>
  </si>
  <si>
    <t>car-1</t>
  </si>
  <si>
    <t>dscc-1</t>
  </si>
  <si>
    <t>mpc-2</t>
  </si>
  <si>
    <t>rad-54.b</t>
  </si>
  <si>
    <t>acox-3</t>
  </si>
  <si>
    <t>egg-4</t>
  </si>
  <si>
    <t>rnst-2</t>
  </si>
  <si>
    <t>Y57A10A.31</t>
  </si>
  <si>
    <t>sfxn-1.1</t>
  </si>
  <si>
    <t>Y47G6A.22</t>
  </si>
  <si>
    <t>sqv-7</t>
  </si>
  <si>
    <t>algn-11</t>
  </si>
  <si>
    <t>perm-1</t>
  </si>
  <si>
    <t>T19H12.2</t>
  </si>
  <si>
    <t>mmaa-1</t>
  </si>
  <si>
    <t>chk-1</t>
  </si>
  <si>
    <t>ife-1</t>
  </si>
  <si>
    <t>C27D8.4</t>
  </si>
  <si>
    <t>C40H1.7</t>
  </si>
  <si>
    <t>msh-2</t>
  </si>
  <si>
    <t>ucp-4</t>
  </si>
  <si>
    <t>cdk-1</t>
  </si>
  <si>
    <t>lonp-2</t>
  </si>
  <si>
    <t>T10F2.2</t>
  </si>
  <si>
    <t>slc-25a18.2</t>
  </si>
  <si>
    <t>Y111B2A.3</t>
  </si>
  <si>
    <t>usp-3</t>
  </si>
  <si>
    <t>tag-307</t>
  </si>
  <si>
    <t>F35F10.1</t>
  </si>
  <si>
    <t>fbxa-63</t>
  </si>
  <si>
    <t>smc-4</t>
  </si>
  <si>
    <t>acs-22</t>
  </si>
  <si>
    <t>ned-8</t>
  </si>
  <si>
    <t>algn-1</t>
  </si>
  <si>
    <t>Y87G2A.13</t>
  </si>
  <si>
    <t>klp-7</t>
  </si>
  <si>
    <t>D2023.6</t>
  </si>
  <si>
    <t>C27B7.5</t>
  </si>
  <si>
    <t>sams-5</t>
  </si>
  <si>
    <t>egg-5</t>
  </si>
  <si>
    <t>sun-1</t>
  </si>
  <si>
    <t>zyg-11</t>
  </si>
  <si>
    <t>rnh-2</t>
  </si>
  <si>
    <t>F53B1.2</t>
  </si>
  <si>
    <t>rif-1.1</t>
  </si>
  <si>
    <t>top-1</t>
  </si>
  <si>
    <t>gna-2</t>
  </si>
  <si>
    <t>pod-2</t>
  </si>
  <si>
    <t>timm-23</t>
  </si>
  <si>
    <t>sptl-3</t>
  </si>
  <si>
    <t>cpr-5</t>
  </si>
  <si>
    <t>rps-22</t>
  </si>
  <si>
    <t>ceh-32</t>
  </si>
  <si>
    <t>gst-42</t>
  </si>
  <si>
    <t>ugt-9</t>
  </si>
  <si>
    <t>prg-1</t>
  </si>
  <si>
    <t>rps-24</t>
  </si>
  <si>
    <t>cox-10</t>
  </si>
  <si>
    <t>plp-1</t>
  </si>
  <si>
    <t>ecps-1</t>
  </si>
  <si>
    <t>smc-5</t>
  </si>
  <si>
    <t>col-166</t>
  </si>
  <si>
    <t>rpl-33</t>
  </si>
  <si>
    <t>apy-1</t>
  </si>
  <si>
    <t>acs-3</t>
  </si>
  <si>
    <t>rpl-24.1</t>
  </si>
  <si>
    <t>mrpl-21</t>
  </si>
  <si>
    <t>rpl-5</t>
  </si>
  <si>
    <t>rpl-1</t>
  </si>
  <si>
    <t>mfn-1</t>
  </si>
  <si>
    <t>K11H3.3</t>
  </si>
  <si>
    <t>vbh-1</t>
  </si>
  <si>
    <t>fask-1</t>
  </si>
  <si>
    <t>C16C10.3</t>
  </si>
  <si>
    <t>wago-4</t>
  </si>
  <si>
    <t>sec-61.a</t>
  </si>
  <si>
    <t>hphd-1</t>
  </si>
  <si>
    <t>eif-3.K</t>
  </si>
  <si>
    <t>rpl-26</t>
  </si>
  <si>
    <t>T26C12.1</t>
  </si>
  <si>
    <t>ugt-46</t>
  </si>
  <si>
    <t>C27B7.9</t>
  </si>
  <si>
    <t>rpl-6</t>
  </si>
  <si>
    <t>rps-27</t>
  </si>
  <si>
    <t>C11D2.4</t>
  </si>
  <si>
    <t>rpl-22</t>
  </si>
  <si>
    <t>T25G3.3</t>
  </si>
  <si>
    <t>ugt-26</t>
  </si>
  <si>
    <t>F33H2.6</t>
  </si>
  <si>
    <t>rps-9</t>
  </si>
  <si>
    <t>spd-2</t>
  </si>
  <si>
    <t>nuo-2</t>
  </si>
  <si>
    <t>rpl-11.1</t>
  </si>
  <si>
    <t>K08F4.3</t>
  </si>
  <si>
    <t>tbcd-1</t>
  </si>
  <si>
    <t>ugt-58</t>
  </si>
  <si>
    <t>ipla-7</t>
  </si>
  <si>
    <t>Y38A10A.7</t>
  </si>
  <si>
    <t>rpl-20</t>
  </si>
  <si>
    <t>glh-2</t>
  </si>
  <si>
    <t>rpl-38</t>
  </si>
  <si>
    <t>lact-9</t>
  </si>
  <si>
    <t>rpl-2</t>
  </si>
  <si>
    <t>abcf-2</t>
  </si>
  <si>
    <t>abhd-3.1</t>
  </si>
  <si>
    <t>nhr-207</t>
  </si>
  <si>
    <t>fard-1</t>
  </si>
  <si>
    <t>Y82E9BR.19</t>
  </si>
  <si>
    <t>F09E5.11</t>
  </si>
  <si>
    <t>bre-1</t>
  </si>
  <si>
    <t>trd-1</t>
  </si>
  <si>
    <t>rpl-17</t>
  </si>
  <si>
    <t>srdh-1</t>
  </si>
  <si>
    <t>Y55F3AM.5</t>
  </si>
  <si>
    <t>rpl-43</t>
  </si>
  <si>
    <t>ekl-6</t>
  </si>
  <si>
    <t>eif-3.F</t>
  </si>
  <si>
    <t>acdh-9</t>
  </si>
  <si>
    <t>cul-1</t>
  </si>
  <si>
    <t>F49E8.7</t>
  </si>
  <si>
    <t>orc-3</t>
  </si>
  <si>
    <t>rps-1</t>
  </si>
  <si>
    <t>rps-11</t>
  </si>
  <si>
    <t>bus-5</t>
  </si>
  <si>
    <t>ccdc-47</t>
  </si>
  <si>
    <t>rps-14</t>
  </si>
  <si>
    <t>cars-1</t>
  </si>
  <si>
    <t>mogs-1</t>
  </si>
  <si>
    <t>hpo-15</t>
  </si>
  <si>
    <t>R144.13</t>
  </si>
  <si>
    <t>mbk-2</t>
  </si>
  <si>
    <t>alh-13</t>
  </si>
  <si>
    <t>F59G1.3</t>
  </si>
  <si>
    <t>trap-3</t>
  </si>
  <si>
    <t>Y17G9B.5</t>
  </si>
  <si>
    <t>mrpl-23</t>
  </si>
  <si>
    <t>mrps-22</t>
  </si>
  <si>
    <t>NEKL-3_1 (191)</t>
  </si>
  <si>
    <t>NEKL-3_2 (256)</t>
  </si>
  <si>
    <t>NEKL-3_3 (573)</t>
  </si>
  <si>
    <t>NEKL-3_6 (245)</t>
  </si>
  <si>
    <t>NEKL-3_7 (74)</t>
  </si>
  <si>
    <t>MLT-2_2 (279)</t>
  </si>
  <si>
    <t>MLT-2_4 (15)</t>
  </si>
  <si>
    <t>MLT-2_6 (134)</t>
  </si>
  <si>
    <t>MLT-3_1 (161)</t>
  </si>
  <si>
    <t>MLT-3_2 (385)</t>
  </si>
  <si>
    <t>MLT-3_3 (77)</t>
  </si>
  <si>
    <t>MLT-3_7 (142)</t>
  </si>
  <si>
    <t>All 4 (3)</t>
  </si>
  <si>
    <t>3 of 4 (11)</t>
  </si>
  <si>
    <t>2 of 4 (75)</t>
  </si>
  <si>
    <t>1 of 4 (566)</t>
  </si>
  <si>
    <t>MLT-4_2 (138)</t>
  </si>
  <si>
    <t>MLT-4_4 (37)</t>
  </si>
  <si>
    <t>MLT-4_6 (127)</t>
  </si>
  <si>
    <t>NEKL-2_2 (292)</t>
  </si>
  <si>
    <t>All 5 (3)</t>
  </si>
  <si>
    <t>4 of 5 (8)</t>
  </si>
  <si>
    <t>3 of 5 (48)</t>
  </si>
  <si>
    <t>2 of 5 (161)</t>
  </si>
  <si>
    <t>1 of 5 (684)</t>
  </si>
  <si>
    <t>All 5 (4)</t>
  </si>
  <si>
    <t>4 of 5 (11)</t>
  </si>
  <si>
    <t>3 of 5 (35)</t>
  </si>
  <si>
    <t>2 of 5 (157)</t>
  </si>
  <si>
    <t>All 3 (1)</t>
  </si>
  <si>
    <t>2 of 3 (54)</t>
  </si>
  <si>
    <t>1 of 3 (317)</t>
  </si>
  <si>
    <t>All 3 (3)</t>
  </si>
  <si>
    <t>2 of 3 (24)</t>
  </si>
  <si>
    <t>1 of 3 (245)</t>
  </si>
  <si>
    <t>gene_symbol</t>
  </si>
  <si>
    <t>pfkb-1.2</t>
  </si>
  <si>
    <t>K07C11.7</t>
  </si>
  <si>
    <t>pelo-1</t>
  </si>
  <si>
    <t>rnp-3</t>
  </si>
  <si>
    <t>idhb-1</t>
  </si>
  <si>
    <t>smo-1</t>
  </si>
  <si>
    <t>gmps-1</t>
  </si>
  <si>
    <t>lin-36</t>
  </si>
  <si>
    <t>T21C9.6</t>
  </si>
  <si>
    <t>Y45G12B.3</t>
  </si>
  <si>
    <t>cpr-1</t>
  </si>
  <si>
    <t>cpsf-1</t>
  </si>
  <si>
    <t>fubl-1</t>
  </si>
  <si>
    <t>F53B1.8</t>
  </si>
  <si>
    <t>F45H10.2</t>
  </si>
  <si>
    <t>B0464.9</t>
  </si>
  <si>
    <t>rps-2</t>
  </si>
  <si>
    <t>C44B7.5</t>
  </si>
  <si>
    <t>ZK637.12</t>
  </si>
  <si>
    <t>pqn-87</t>
  </si>
  <si>
    <t>ZK822.5</t>
  </si>
  <si>
    <t>snfc-5</t>
  </si>
  <si>
    <t>mrg-1</t>
  </si>
  <si>
    <t>tmem-120</t>
  </si>
  <si>
    <t>mab-31</t>
  </si>
  <si>
    <t>cox-18</t>
  </si>
  <si>
    <t>Y75B8A.19</t>
  </si>
  <si>
    <t>sel-9</t>
  </si>
  <si>
    <t>ATP6</t>
  </si>
  <si>
    <t>Y41C4A.9</t>
  </si>
  <si>
    <t>H35B03.2</t>
  </si>
  <si>
    <t>kin-20</t>
  </si>
  <si>
    <t>pab-2</t>
  </si>
  <si>
    <t>F55B11.3</t>
  </si>
  <si>
    <t>tbb-2</t>
  </si>
  <si>
    <t>vig-1</t>
  </si>
  <si>
    <t>rbm-5</t>
  </si>
  <si>
    <t>prp-3</t>
  </si>
  <si>
    <t>anat-1</t>
  </si>
  <si>
    <t>ints-1</t>
  </si>
  <si>
    <t>mlcd-1</t>
  </si>
  <si>
    <t>ubq-1</t>
  </si>
  <si>
    <t>eft-3</t>
  </si>
  <si>
    <t>F17C8.9</t>
  </si>
  <si>
    <t>Y38C1AA.1</t>
  </si>
  <si>
    <t>vps-22</t>
  </si>
  <si>
    <t>F54A3.5</t>
  </si>
  <si>
    <t>xrn-2</t>
  </si>
  <si>
    <t>rml-1</t>
  </si>
  <si>
    <t>sna-3</t>
  </si>
  <si>
    <t>cyp-34a9</t>
  </si>
  <si>
    <t>vps-39</t>
  </si>
  <si>
    <t>W10C8.4</t>
  </si>
  <si>
    <t>F33A8.4</t>
  </si>
  <si>
    <t>hrpk-1</t>
  </si>
  <si>
    <t>Y71H10B.1</t>
  </si>
  <si>
    <t>Y66H1A.4</t>
  </si>
  <si>
    <t>rab-35</t>
  </si>
  <si>
    <t>sec-24.2</t>
  </si>
  <si>
    <t>hpo-29</t>
  </si>
  <si>
    <t>snrp-200</t>
  </si>
  <si>
    <t>tag-72</t>
  </si>
  <si>
    <t>arf-3</t>
  </si>
  <si>
    <t>T10B11.6</t>
  </si>
  <si>
    <t>frm-2</t>
  </si>
  <si>
    <t>wah-1</t>
  </si>
  <si>
    <t>spg-20</t>
  </si>
  <si>
    <t>rbd-1</t>
  </si>
  <si>
    <t>T28B4.1</t>
  </si>
  <si>
    <t>ran-1</t>
  </si>
  <si>
    <t>F54E2.1</t>
  </si>
  <si>
    <t>F36A2.7</t>
  </si>
  <si>
    <t>epg-3</t>
  </si>
  <si>
    <t>F08G12.1</t>
  </si>
  <si>
    <t>srab-14</t>
  </si>
  <si>
    <t>ctns-1</t>
  </si>
  <si>
    <t>pfk-1.1</t>
  </si>
  <si>
    <t>smg-9</t>
  </si>
  <si>
    <t>Y87G2A.1</t>
  </si>
  <si>
    <t>H20J04.6</t>
  </si>
  <si>
    <t>pdp-1</t>
  </si>
  <si>
    <t>T13H5.8</t>
  </si>
  <si>
    <t>ldp-1</t>
  </si>
  <si>
    <t>F29B9.1</t>
  </si>
  <si>
    <t>dkf-1</t>
  </si>
  <si>
    <t>cku-80</t>
  </si>
  <si>
    <t>mrps-35</t>
  </si>
  <si>
    <t>math-33</t>
  </si>
  <si>
    <t>tba-5</t>
  </si>
  <si>
    <t>usp-46</t>
  </si>
  <si>
    <t>sptl-1</t>
  </si>
  <si>
    <t>F14B8.5</t>
  </si>
  <si>
    <t>gpaa-1</t>
  </si>
  <si>
    <t>vars-1</t>
  </si>
  <si>
    <t>emc-3</t>
  </si>
  <si>
    <t>rps-3</t>
  </si>
  <si>
    <t>lpin-1</t>
  </si>
  <si>
    <t>wdfy-3</t>
  </si>
  <si>
    <t>F58F9.3</t>
  </si>
  <si>
    <t>R07E4.5</t>
  </si>
  <si>
    <t>Y53F4B.13</t>
  </si>
  <si>
    <t>D2030.4</t>
  </si>
  <si>
    <t>ama-1</t>
  </si>
  <si>
    <t>bcat-1</t>
  </si>
  <si>
    <t>F32A11.1</t>
  </si>
  <si>
    <t>hxk-3</t>
  </si>
  <si>
    <t>asns-2</t>
  </si>
  <si>
    <t>grld-1</t>
  </si>
  <si>
    <t>F30F8.9</t>
  </si>
  <si>
    <t>tbc-9</t>
  </si>
  <si>
    <t>pcyt-2.1</t>
  </si>
  <si>
    <t>eif-2gamma</t>
  </si>
  <si>
    <t>ddx-17</t>
  </si>
  <si>
    <t>scpl-4</t>
  </si>
  <si>
    <t>hpo-34</t>
  </si>
  <si>
    <t>pnk-4</t>
  </si>
  <si>
    <t>mek-2</t>
  </si>
  <si>
    <t>nra-4</t>
  </si>
  <si>
    <t>rho-1</t>
  </si>
  <si>
    <t>rab-18</t>
  </si>
  <si>
    <t>unc-22</t>
  </si>
  <si>
    <t>ocrl-1</t>
  </si>
  <si>
    <t>C05C10.3</t>
  </si>
  <si>
    <t>let-92</t>
  </si>
  <si>
    <t>laat-1</t>
  </si>
  <si>
    <t>npp-15</t>
  </si>
  <si>
    <t>calu-1</t>
  </si>
  <si>
    <t>vps-33.1</t>
  </si>
  <si>
    <t>eat-3</t>
  </si>
  <si>
    <t>F56B3.11</t>
  </si>
  <si>
    <t>eif-3.H</t>
  </si>
  <si>
    <t>nemp-1</t>
  </si>
  <si>
    <t>smc-3</t>
  </si>
  <si>
    <t>npp-24</t>
  </si>
  <si>
    <t>tlk-1</t>
  </si>
  <si>
    <t>cbp-1</t>
  </si>
  <si>
    <t>crn-3</t>
  </si>
  <si>
    <t>hpo-19</t>
  </si>
  <si>
    <t>acs-4</t>
  </si>
  <si>
    <t>R05H10.3</t>
  </si>
  <si>
    <t>ymel-1</t>
  </si>
  <si>
    <t>nstp-5</t>
  </si>
  <si>
    <t>noa-1</t>
  </si>
  <si>
    <t>Y45F10D.7</t>
  </si>
  <si>
    <t>ZK550.3</t>
  </si>
  <si>
    <t>F27C1.2</t>
  </si>
  <si>
    <t>cls-3</t>
  </si>
  <si>
    <t>cid-1</t>
  </si>
  <si>
    <t>grk-2</t>
  </si>
  <si>
    <t>srpa-68</t>
  </si>
  <si>
    <t>cul-5</t>
  </si>
  <si>
    <t>hecd-1</t>
  </si>
  <si>
    <t>K09C4.1</t>
  </si>
  <si>
    <t>R04F11.5</t>
  </si>
  <si>
    <t>nsun-2</t>
  </si>
  <si>
    <t>lin-45</t>
  </si>
  <si>
    <t>hipr-1</t>
  </si>
  <si>
    <t>apm-1</t>
  </si>
  <si>
    <t>dcaf-1</t>
  </si>
  <si>
    <t>sek-4</t>
  </si>
  <si>
    <t>W01D2.1</t>
  </si>
  <si>
    <t>npa-1</t>
  </si>
  <si>
    <t>rpb-4</t>
  </si>
  <si>
    <t>dhs-4</t>
  </si>
  <si>
    <t>F37C4.6</t>
  </si>
  <si>
    <t>F59B1.2</t>
  </si>
  <si>
    <t>cox-6A</t>
  </si>
  <si>
    <t>exl-1</t>
  </si>
  <si>
    <t>mms-19</t>
  </si>
  <si>
    <t>C09E7.7</t>
  </si>
  <si>
    <t>ulp-1</t>
  </si>
  <si>
    <t>pkc-3</t>
  </si>
  <si>
    <t>ZC204.12</t>
  </si>
  <si>
    <t>pes-4</t>
  </si>
  <si>
    <t>sbp-1</t>
  </si>
  <si>
    <t>arx-6</t>
  </si>
  <si>
    <t>nol-6</t>
  </si>
  <si>
    <t>glrx-5</t>
  </si>
  <si>
    <t>figo-1</t>
  </si>
  <si>
    <t>rab-6.2</t>
  </si>
  <si>
    <t>ari-1.1</t>
  </si>
  <si>
    <t>nsun-1</t>
  </si>
  <si>
    <t>cand-1</t>
  </si>
  <si>
    <t>sec-24.1</t>
  </si>
  <si>
    <t>mct-5</t>
  </si>
  <si>
    <t>F20G2.2</t>
  </si>
  <si>
    <t>cisd-3.2</t>
  </si>
  <si>
    <t>ran-5</t>
  </si>
  <si>
    <t>C04C11.1</t>
  </si>
  <si>
    <t>gpa-17</t>
  </si>
  <si>
    <t>hgap-1</t>
  </si>
  <si>
    <t>Y82E9BR.16</t>
  </si>
  <si>
    <t>mev-1</t>
  </si>
  <si>
    <t>Y15E3A.4</t>
  </si>
  <si>
    <t>npp-3</t>
  </si>
  <si>
    <t>wts-1</t>
  </si>
  <si>
    <t>ndub-6</t>
  </si>
  <si>
    <t>emb-4</t>
  </si>
  <si>
    <t>cnnm-3</t>
  </si>
  <si>
    <t>acl-14</t>
  </si>
  <si>
    <t>lsm-7</t>
  </si>
  <si>
    <t>pcbd-1</t>
  </si>
  <si>
    <t>mec-8</t>
  </si>
  <si>
    <t>cpz-2</t>
  </si>
  <si>
    <t>acs-14</t>
  </si>
  <si>
    <t>bgnt-1.1</t>
  </si>
  <si>
    <t>rga-3</t>
  </si>
  <si>
    <t>asb-1</t>
  </si>
  <si>
    <t>tsn-1</t>
  </si>
  <si>
    <t>cpt-5</t>
  </si>
  <si>
    <t>algn-2</t>
  </si>
  <si>
    <t>Y82E9BR.18</t>
  </si>
  <si>
    <t>C39B5.6</t>
  </si>
  <si>
    <t>F26A1.1</t>
  </si>
  <si>
    <t>F30A10.9</t>
  </si>
  <si>
    <t>F43B10.1</t>
  </si>
  <si>
    <t>hmg-11</t>
  </si>
  <si>
    <t>pno-1</t>
  </si>
  <si>
    <t>rpl-19</t>
  </si>
  <si>
    <t>Y57A10A.27</t>
  </si>
  <si>
    <t>acl-8</t>
  </si>
  <si>
    <t>dis-3</t>
  </si>
  <si>
    <t>dtmk-1</t>
  </si>
  <si>
    <t>atg9</t>
  </si>
  <si>
    <t>xpc-1</t>
  </si>
  <si>
    <t>ant-1.4</t>
  </si>
  <si>
    <t>lin-15B</t>
  </si>
  <si>
    <t>crml-1</t>
  </si>
  <si>
    <t>eif-3.D</t>
  </si>
  <si>
    <t>C26E6.12</t>
  </si>
  <si>
    <t>rbm-3.2</t>
  </si>
  <si>
    <t>sec-3</t>
  </si>
  <si>
    <t>K07C5.6</t>
  </si>
  <si>
    <t>cogc-1</t>
  </si>
  <si>
    <t>ears-2</t>
  </si>
  <si>
    <t>dkf-2</t>
  </si>
  <si>
    <t>algn-5</t>
  </si>
  <si>
    <t>eif-3.I</t>
  </si>
  <si>
    <t>ZK1058.9</t>
  </si>
  <si>
    <t>sax-1</t>
  </si>
  <si>
    <t>ath-1</t>
  </si>
  <si>
    <t>ndx-4</t>
  </si>
  <si>
    <t>rab-5</t>
  </si>
  <si>
    <t>spcs-1</t>
  </si>
  <si>
    <t>ent-1</t>
  </si>
  <si>
    <t>Y39B6A.27</t>
  </si>
  <si>
    <t>npp-18</t>
  </si>
  <si>
    <t>elpc-2</t>
  </si>
  <si>
    <t>stdh-3</t>
  </si>
  <si>
    <t>Y47G6A.15</t>
  </si>
  <si>
    <t>ccr-4</t>
  </si>
  <si>
    <t>math-20</t>
  </si>
  <si>
    <t>coq-5</t>
  </si>
  <si>
    <t>D1022.4</t>
  </si>
  <si>
    <t>sgt-1</t>
  </si>
  <si>
    <t>ints-2</t>
  </si>
  <si>
    <t>rad-50</t>
  </si>
  <si>
    <t>hgap-2</t>
  </si>
  <si>
    <t>mif-2</t>
  </si>
  <si>
    <t>B0001.2</t>
  </si>
  <si>
    <t>C29F5.1</t>
  </si>
  <si>
    <t>npp-22</t>
  </si>
  <si>
    <t>src-1</t>
  </si>
  <si>
    <t>hpo-10</t>
  </si>
  <si>
    <t>grd-14</t>
  </si>
  <si>
    <t>rps-18</t>
  </si>
  <si>
    <t>T07A9.8</t>
  </si>
  <si>
    <t>F25B4.7</t>
  </si>
  <si>
    <t>hsr-9</t>
  </si>
  <si>
    <t>nurf-1</t>
  </si>
  <si>
    <t>idh-2</t>
  </si>
  <si>
    <t>arx-2</t>
  </si>
  <si>
    <t>ttn-1</t>
  </si>
  <si>
    <t>nhr-4</t>
  </si>
  <si>
    <t>msp-19</t>
  </si>
  <si>
    <t>rpl-27</t>
  </si>
  <si>
    <t>kars-1</t>
  </si>
  <si>
    <t>cerk-1</t>
  </si>
  <si>
    <t>nuaf-1</t>
  </si>
  <si>
    <t>cab-1</t>
  </si>
  <si>
    <t>tufm-1</t>
  </si>
  <si>
    <t>F53F1.3</t>
  </si>
  <si>
    <t>rpc-2</t>
  </si>
  <si>
    <t>slc-25a46</t>
  </si>
  <si>
    <t>spt-5</t>
  </si>
  <si>
    <t>dpy-23</t>
  </si>
  <si>
    <t>lrs-2</t>
  </si>
  <si>
    <t>C39D10.11</t>
  </si>
  <si>
    <t>C09G9.1</t>
  </si>
  <si>
    <t>F36A2.9</t>
  </si>
  <si>
    <t>slc-36.1</t>
  </si>
  <si>
    <t>C53H9.2</t>
  </si>
  <si>
    <t>dlat-2</t>
  </si>
  <si>
    <t>pek-1</t>
  </si>
  <si>
    <t>mrps-18C</t>
  </si>
  <si>
    <t>ints-5</t>
  </si>
  <si>
    <t>inx-3</t>
  </si>
  <si>
    <t>clc-5</t>
  </si>
  <si>
    <t>atic-1</t>
  </si>
  <si>
    <t>arx-4</t>
  </si>
  <si>
    <t>plst-1</t>
  </si>
  <si>
    <t>F49C12.7</t>
  </si>
  <si>
    <t>nhx-4</t>
  </si>
  <si>
    <t>rpl-18</t>
  </si>
  <si>
    <t>pssy-1</t>
  </si>
  <si>
    <t>dhs-24</t>
  </si>
  <si>
    <t>tba-2</t>
  </si>
  <si>
    <t>vrk-1</t>
  </si>
  <si>
    <t>npp-6</t>
  </si>
  <si>
    <t>Y53F4B.18</t>
  </si>
  <si>
    <t>E01A2.1</t>
  </si>
  <si>
    <t>wars-1</t>
  </si>
  <si>
    <t>scc-2</t>
  </si>
  <si>
    <t>E04F6.8</t>
  </si>
  <si>
    <t>eif-3.E</t>
  </si>
  <si>
    <t>ZK1098.2</t>
  </si>
  <si>
    <t>dhs-28</t>
  </si>
  <si>
    <t>Y57A10A.13</t>
  </si>
  <si>
    <t>Y50D4C.3</t>
  </si>
  <si>
    <t>rps-25</t>
  </si>
  <si>
    <t>slc-25a21</t>
  </si>
  <si>
    <t>F02D8.4</t>
  </si>
  <si>
    <t>attf-2</t>
  </si>
  <si>
    <t>sor-1</t>
  </si>
  <si>
    <t>dylt-3</t>
  </si>
  <si>
    <t>sdha-1</t>
  </si>
  <si>
    <t>gss-1</t>
  </si>
  <si>
    <t>ints-7</t>
  </si>
  <si>
    <t>fut-8</t>
  </si>
  <si>
    <t>imb-2</t>
  </si>
  <si>
    <t>emb-27</t>
  </si>
  <si>
    <t>dpy-26</t>
  </si>
  <si>
    <t>ZK1236.1</t>
  </si>
  <si>
    <t>lmp-1</t>
  </si>
  <si>
    <t>npp-5</t>
  </si>
  <si>
    <t>sec-11</t>
  </si>
  <si>
    <t>spg-7</t>
  </si>
  <si>
    <t>wht-7</t>
  </si>
  <si>
    <t>nduf-9</t>
  </si>
  <si>
    <t>asg-2</t>
  </si>
  <si>
    <t>tftc-1</t>
  </si>
  <si>
    <t>coa-4</t>
  </si>
  <si>
    <t>Y87G2A.2</t>
  </si>
  <si>
    <t>cul-4</t>
  </si>
  <si>
    <t>lin-35</t>
  </si>
  <si>
    <t>hpo-27</t>
  </si>
  <si>
    <t>Y48G10A.3</t>
  </si>
  <si>
    <t>wrt-1</t>
  </si>
  <si>
    <t>oac-59</t>
  </si>
  <si>
    <t>aakg-4</t>
  </si>
  <si>
    <t>nmrk-1</t>
  </si>
  <si>
    <t>ubh-2</t>
  </si>
  <si>
    <t>gtf-2h1</t>
  </si>
  <si>
    <t>tag-18</t>
  </si>
  <si>
    <t>rpb-11</t>
  </si>
  <si>
    <t>nhr-70</t>
  </si>
  <si>
    <t>aly-3</t>
  </si>
  <si>
    <t>F33G12.3</t>
  </si>
  <si>
    <t>apm-3</t>
  </si>
  <si>
    <t>sec-23</t>
  </si>
  <si>
    <t>adr-2</t>
  </si>
  <si>
    <t>ucr-2.1</t>
  </si>
  <si>
    <t>F10D2.10</t>
  </si>
  <si>
    <t>haf-6</t>
  </si>
  <si>
    <t>gtf-2H4</t>
  </si>
  <si>
    <t>hrpf-2</t>
  </si>
  <si>
    <t>C15A11.7</t>
  </si>
  <si>
    <t>uba-2</t>
  </si>
  <si>
    <t>F52C9.3</t>
  </si>
  <si>
    <t>arx-3</t>
  </si>
  <si>
    <t>mlc-3</t>
  </si>
  <si>
    <t>F22B5.10</t>
  </si>
  <si>
    <t>krr-1</t>
  </si>
  <si>
    <t>F13D11.4</t>
  </si>
  <si>
    <t>ragc-1</t>
  </si>
  <si>
    <t>F25G6.8</t>
  </si>
  <si>
    <t>gpb-1</t>
  </si>
  <si>
    <t>nstp-10</t>
  </si>
  <si>
    <t>dhs-21</t>
  </si>
  <si>
    <t>Y69A2AR.18</t>
  </si>
  <si>
    <t>ipmk-1</t>
  </si>
  <si>
    <t>Q17350</t>
  </si>
  <si>
    <t>aos-1</t>
  </si>
  <si>
    <t>xpo-1</t>
  </si>
  <si>
    <t>R148.3</t>
  </si>
  <si>
    <t>acs-21</t>
  </si>
  <si>
    <t>sid-3</t>
  </si>
  <si>
    <t>Y51F10.11</t>
  </si>
  <si>
    <t>gsp-3</t>
  </si>
  <si>
    <t>rab-8</t>
  </si>
  <si>
    <t>T05H10.6</t>
  </si>
  <si>
    <t>hum-6</t>
  </si>
  <si>
    <t>F55F8.3</t>
  </si>
  <si>
    <t>tag-340</t>
  </si>
  <si>
    <t>rpn-3</t>
  </si>
  <si>
    <t>oxa-1</t>
  </si>
  <si>
    <t>lonp-1</t>
  </si>
  <si>
    <t>cyp-29a2</t>
  </si>
  <si>
    <t>cpn-3</t>
  </si>
  <si>
    <t>F33D11.10</t>
  </si>
  <si>
    <t>ugt-13</t>
  </si>
  <si>
    <t>elpc-3</t>
  </si>
  <si>
    <t>C54G4.7</t>
  </si>
  <si>
    <t>ufc-1</t>
  </si>
  <si>
    <t>C27A7.6</t>
  </si>
  <si>
    <t>phat-5</t>
  </si>
  <si>
    <t>lars-1</t>
  </si>
  <si>
    <t>eif-3.G</t>
  </si>
  <si>
    <t>acl-4</t>
  </si>
  <si>
    <t>F52A8.1</t>
  </si>
  <si>
    <t>gpa-16</t>
  </si>
  <si>
    <t>F44G4.2</t>
  </si>
  <si>
    <t>E02H1.1</t>
  </si>
  <si>
    <t>K08D12.3</t>
  </si>
  <si>
    <t>cdk-9</t>
  </si>
  <si>
    <t>ztf-4</t>
  </si>
  <si>
    <t>F58B3.6</t>
  </si>
  <si>
    <t>clpp-1</t>
  </si>
  <si>
    <t>F53H8.3</t>
  </si>
  <si>
    <t>R13H4.2</t>
  </si>
  <si>
    <t>cah-5</t>
  </si>
  <si>
    <t>rars-1</t>
  </si>
  <si>
    <t>F21C10.10</t>
  </si>
  <si>
    <t>mel-28</t>
  </si>
  <si>
    <t>unc-132</t>
  </si>
  <si>
    <t>Y57A10A.26</t>
  </si>
  <si>
    <t>smu-1</t>
  </si>
  <si>
    <t>gpb-2</t>
  </si>
  <si>
    <t>F53H4.2</t>
  </si>
  <si>
    <t>rps-28</t>
  </si>
  <si>
    <t>fmo-1</t>
  </si>
  <si>
    <t>col-98</t>
  </si>
  <si>
    <t>idha-1</t>
  </si>
  <si>
    <t>glf-1</t>
  </si>
  <si>
    <t>W07E6.2</t>
  </si>
  <si>
    <t>ND5</t>
  </si>
  <si>
    <t>snr-3</t>
  </si>
  <si>
    <t>pgp-1</t>
  </si>
  <si>
    <t>srpa-72</t>
  </si>
  <si>
    <t>cif-1</t>
  </si>
  <si>
    <t>hum-8</t>
  </si>
  <si>
    <t>pkn-1</t>
  </si>
  <si>
    <t>mtx-1</t>
  </si>
  <si>
    <t>F53C11.3</t>
  </si>
  <si>
    <t>nrde-2</t>
  </si>
  <si>
    <t>cup-2</t>
  </si>
  <si>
    <t>trpp-11</t>
  </si>
  <si>
    <t>T04A11.1</t>
  </si>
  <si>
    <t>pdpr-1</t>
  </si>
  <si>
    <t>Y92H12A.5</t>
  </si>
  <si>
    <t>fkb-1</t>
  </si>
  <si>
    <t>aps-1</t>
  </si>
  <si>
    <t>rpl-9</t>
  </si>
  <si>
    <t>C50B6.3</t>
  </si>
  <si>
    <t>cdc-14</t>
  </si>
  <si>
    <t>sinh-1</t>
  </si>
  <si>
    <t>immt-1</t>
  </si>
  <si>
    <t>F53F4.16</t>
  </si>
  <si>
    <t>sfxn-5</t>
  </si>
  <si>
    <t>mig-14</t>
  </si>
  <si>
    <t>cacn-1</t>
  </si>
  <si>
    <t>unc-101</t>
  </si>
  <si>
    <t>cyp-44A1</t>
  </si>
  <si>
    <t>unc-32</t>
  </si>
  <si>
    <t>C27F2.4</t>
  </si>
  <si>
    <t>acl-9</t>
  </si>
  <si>
    <t>cdk-7</t>
  </si>
  <si>
    <t>glb-1</t>
  </si>
  <si>
    <t>npp-13</t>
  </si>
  <si>
    <t>C10E2.1</t>
  </si>
  <si>
    <t>mec-7</t>
  </si>
  <si>
    <t>sir-2.3</t>
  </si>
  <si>
    <t>cut-3</t>
  </si>
  <si>
    <t>dcr-1</t>
  </si>
  <si>
    <t>acp-5</t>
  </si>
  <si>
    <t>dolk-1</t>
  </si>
  <si>
    <t>rpoa-49</t>
  </si>
  <si>
    <t>ZC412.3</t>
  </si>
  <si>
    <t>ND4</t>
  </si>
  <si>
    <t>tufm-2</t>
  </si>
  <si>
    <t>eef-2</t>
  </si>
  <si>
    <t>swsn-1</t>
  </si>
  <si>
    <t>gpa-2</t>
  </si>
  <si>
    <t>pxl-1</t>
  </si>
  <si>
    <t>sec-12</t>
  </si>
  <si>
    <t>ZK792.5</t>
  </si>
  <si>
    <t>exc-4</t>
  </si>
  <si>
    <t>rbg-1</t>
  </si>
  <si>
    <t>K05C4.5</t>
  </si>
  <si>
    <t>hpo-31</t>
  </si>
  <si>
    <t>cept-2</t>
  </si>
  <si>
    <t>ver-3</t>
  </si>
  <si>
    <t>par-1</t>
  </si>
  <si>
    <t>ubc-12</t>
  </si>
  <si>
    <t>tbc-7</t>
  </si>
  <si>
    <t>F12F6.1</t>
  </si>
  <si>
    <t>bpl-1</t>
  </si>
  <si>
    <t>pdhk-2</t>
  </si>
  <si>
    <t>sfxn-2</t>
  </si>
  <si>
    <t>prp-4</t>
  </si>
  <si>
    <t>F41D9.2</t>
  </si>
  <si>
    <t>T09F3.2</t>
  </si>
  <si>
    <t>abts-2</t>
  </si>
  <si>
    <t>gyg-2</t>
  </si>
  <si>
    <t>dog-1</t>
  </si>
  <si>
    <t>ncs-2</t>
  </si>
  <si>
    <t>sart-3</t>
  </si>
  <si>
    <t>ftt-2</t>
  </si>
  <si>
    <t>sgk-1</t>
  </si>
  <si>
    <t>msp-78</t>
  </si>
  <si>
    <t>ttc-37</t>
  </si>
  <si>
    <t>bath-40</t>
  </si>
  <si>
    <t>Y49E10.4</t>
  </si>
  <si>
    <t>acdh-2</t>
  </si>
  <si>
    <t>ZK795.3</t>
  </si>
  <si>
    <t>T24H7.9</t>
  </si>
  <si>
    <t>Y55F3AR.2</t>
  </si>
  <si>
    <t>daf-4</t>
  </si>
  <si>
    <t>emb-5</t>
  </si>
  <si>
    <t>C45G9.5</t>
  </si>
  <si>
    <t>R04B3.3</t>
  </si>
  <si>
    <t>B0464.6</t>
  </si>
  <si>
    <t>ebp-1</t>
  </si>
  <si>
    <t>laf-1</t>
  </si>
  <si>
    <t>F17C11.12</t>
  </si>
  <si>
    <t>gas-1</t>
  </si>
  <si>
    <t>ula-1</t>
  </si>
  <si>
    <t>Y48G9A.9</t>
  </si>
  <si>
    <t>zig-12</t>
  </si>
  <si>
    <t>atp-1</t>
  </si>
  <si>
    <t>nhr-1</t>
  </si>
  <si>
    <t>vav-1</t>
  </si>
  <si>
    <t>C25D7.10</t>
  </si>
  <si>
    <t>xpo-3</t>
  </si>
  <si>
    <t>rpl-32</t>
  </si>
  <si>
    <t>dhs-18</t>
  </si>
  <si>
    <t>ttr-16</t>
  </si>
  <si>
    <t>F58F12.1</t>
  </si>
  <si>
    <t>nprt-1</t>
  </si>
  <si>
    <t>coq-8</t>
  </si>
  <si>
    <t>cpsf-3</t>
  </si>
  <si>
    <t>htz-1</t>
  </si>
  <si>
    <t>ctn-1</t>
  </si>
  <si>
    <t>F33H2.2</t>
  </si>
  <si>
    <t>F21D5.5</t>
  </si>
  <si>
    <t>cdc-73</t>
  </si>
  <si>
    <t>dhhc-6</t>
  </si>
  <si>
    <t>clec-91</t>
  </si>
  <si>
    <t>ttr-17</t>
  </si>
  <si>
    <t>F44B9.5</t>
  </si>
  <si>
    <t>rap-2</t>
  </si>
  <si>
    <t>lin-40</t>
  </si>
  <si>
    <t>tra-3</t>
  </si>
  <si>
    <t>adr-1</t>
  </si>
  <si>
    <t>iff-2</t>
  </si>
  <si>
    <t>cysl-1</t>
  </si>
  <si>
    <t>epg-7</t>
  </si>
  <si>
    <t>C50D2.7</t>
  </si>
  <si>
    <t>rde-12</t>
  </si>
  <si>
    <t>F31E3.4</t>
  </si>
  <si>
    <t>nxf-1</t>
  </si>
  <si>
    <t>nsun-4</t>
  </si>
  <si>
    <t>M01G5.1</t>
  </si>
  <si>
    <t>F25H2.6</t>
  </si>
  <si>
    <t>C08F8.6</t>
  </si>
  <si>
    <t>cdc-42</t>
  </si>
  <si>
    <t>F58H1.8</t>
  </si>
  <si>
    <t>rpl-23</t>
  </si>
  <si>
    <t>rps-6</t>
  </si>
  <si>
    <t>acl-11</t>
  </si>
  <si>
    <t>his-57</t>
  </si>
  <si>
    <t>C14C10.5</t>
  </si>
  <si>
    <t>ndua-8</t>
  </si>
  <si>
    <t>alp-1</t>
  </si>
  <si>
    <t>gpa-12</t>
  </si>
  <si>
    <t>mcrs-1</t>
  </si>
  <si>
    <t>sfxn-1.5</t>
  </si>
  <si>
    <t>Y56A3A.31</t>
  </si>
  <si>
    <t>fipr-21</t>
  </si>
  <si>
    <t>lact-3</t>
  </si>
  <si>
    <t>M60.4</t>
  </si>
  <si>
    <t>nol-9</t>
  </si>
  <si>
    <t>eif-2bbeta</t>
  </si>
  <si>
    <t>W03D8.9</t>
  </si>
  <si>
    <t>miga-1</t>
  </si>
  <si>
    <t>tag-131</t>
  </si>
  <si>
    <t>phf-5</t>
  </si>
  <si>
    <t>C18B2.5</t>
  </si>
  <si>
    <t>skih-2</t>
  </si>
  <si>
    <t>vha-20</t>
  </si>
  <si>
    <t>ppk-3</t>
  </si>
  <si>
    <t>csn-2</t>
  </si>
  <si>
    <t>rpl-7</t>
  </si>
  <si>
    <t>A5HJZ7</t>
  </si>
  <si>
    <t>xpo-2</t>
  </si>
  <si>
    <t>cox-11</t>
  </si>
  <si>
    <t>stdh-1</t>
  </si>
  <si>
    <t>rpl-36</t>
  </si>
  <si>
    <t>bca-1</t>
  </si>
  <si>
    <t>CYTB</t>
  </si>
  <si>
    <t>coq-6</t>
  </si>
  <si>
    <t>gip-1</t>
  </si>
  <si>
    <t>C02F5.3</t>
  </si>
  <si>
    <t>phb-2</t>
  </si>
  <si>
    <t>arl-6</t>
  </si>
  <si>
    <t>F54D1.6</t>
  </si>
  <si>
    <t>cni-1</t>
  </si>
  <si>
    <t>prp-31</t>
  </si>
  <si>
    <t>kin-10</t>
  </si>
  <si>
    <t>ttll-12</t>
  </si>
  <si>
    <t>ugt-62</t>
  </si>
  <si>
    <t>acbp-1</t>
  </si>
  <si>
    <t>C53C9.2</t>
  </si>
  <si>
    <t>Y53G8B.2</t>
  </si>
  <si>
    <t>riok-2</t>
  </si>
  <si>
    <t>4D656</t>
  </si>
  <si>
    <t>pyk-1</t>
  </si>
  <si>
    <t>efr-3</t>
  </si>
  <si>
    <t>nra-2</t>
  </si>
  <si>
    <t>ints-6</t>
  </si>
  <si>
    <t>F55F10.1</t>
  </si>
  <si>
    <t>mdt-17</t>
  </si>
  <si>
    <t>hpx-2</t>
  </si>
  <si>
    <t>Y66D12A.24</t>
  </si>
  <si>
    <t>jmjd-5</t>
  </si>
  <si>
    <t>rpb-2</t>
  </si>
  <si>
    <t>eif-3.B</t>
  </si>
  <si>
    <t>C39H7.4</t>
  </si>
  <si>
    <t>serr-1</t>
  </si>
  <si>
    <t>tut-1</t>
  </si>
  <si>
    <t>hcf-1</t>
  </si>
  <si>
    <t>D1086.10</t>
  </si>
  <si>
    <t>snap-1</t>
  </si>
  <si>
    <t>rps-4</t>
  </si>
  <si>
    <t>pmp-4</t>
  </si>
  <si>
    <t>ints-3</t>
  </si>
  <si>
    <t>rps-5</t>
  </si>
  <si>
    <t>tbc-18</t>
  </si>
  <si>
    <t>popl-5</t>
  </si>
  <si>
    <t>Y48E1C.4</t>
  </si>
  <si>
    <t>capg-1</t>
  </si>
  <si>
    <t>T28D6.6</t>
  </si>
  <si>
    <t>haf-2</t>
  </si>
  <si>
    <t>cul-2</t>
  </si>
  <si>
    <t>dpm-1</t>
  </si>
  <si>
    <t>clik-3</t>
  </si>
  <si>
    <t>tag-335</t>
  </si>
  <si>
    <t>K09A9.6</t>
  </si>
  <si>
    <t>iars-2</t>
  </si>
  <si>
    <t>clu-1</t>
  </si>
  <si>
    <t>smg-3</t>
  </si>
  <si>
    <t>gtbp-1</t>
  </si>
  <si>
    <t>ldb-1</t>
  </si>
  <si>
    <t>csn-4</t>
  </si>
  <si>
    <t>cel-1</t>
  </si>
  <si>
    <t>trap-4</t>
  </si>
  <si>
    <t>H14E04.2</t>
  </si>
  <si>
    <t>W01B6.6</t>
  </si>
  <si>
    <t>catp-5</t>
  </si>
  <si>
    <t>tba-1</t>
  </si>
  <si>
    <t>rab-6.1</t>
  </si>
  <si>
    <t>nsf-1</t>
  </si>
  <si>
    <t>Y71H2AM.11</t>
  </si>
  <si>
    <t>cpt-1</t>
  </si>
  <si>
    <t>rpl-14</t>
  </si>
  <si>
    <t>hda-1</t>
  </si>
  <si>
    <t>rab-39</t>
  </si>
  <si>
    <t>ile-1</t>
  </si>
  <si>
    <t>cnep-1</t>
  </si>
  <si>
    <t>C15H9.9</t>
  </si>
  <si>
    <t>F44E2.8</t>
  </si>
  <si>
    <t>F39H12.3</t>
  </si>
  <si>
    <t>rheb-1</t>
  </si>
  <si>
    <t>npp-2</t>
  </si>
  <si>
    <t>C50D2.5</t>
  </si>
  <si>
    <t>C49C3.10</t>
  </si>
  <si>
    <t>ubr-5</t>
  </si>
  <si>
    <t>mog-5</t>
  </si>
  <si>
    <t>rha-1</t>
  </si>
  <si>
    <t>pig-1</t>
  </si>
  <si>
    <t>efa-6</t>
  </si>
  <si>
    <t>C49A9.9</t>
  </si>
  <si>
    <t>ZK688.5</t>
  </si>
  <si>
    <t>npp-12</t>
  </si>
  <si>
    <t>tag-123</t>
  </si>
  <si>
    <t>Y39A1A.14</t>
  </si>
  <si>
    <t>tmed-12</t>
  </si>
  <si>
    <t>popl-1</t>
  </si>
  <si>
    <t>pmp-1</t>
  </si>
  <si>
    <t>wdr-46</t>
  </si>
  <si>
    <t>fzo-1</t>
  </si>
  <si>
    <t>ept-1</t>
  </si>
  <si>
    <t>nduf-7</t>
  </si>
  <si>
    <t>pdr-1</t>
  </si>
  <si>
    <t>F45G2.9</t>
  </si>
  <si>
    <t>kin-3</t>
  </si>
  <si>
    <t>catp-6</t>
  </si>
  <si>
    <t>mig-5</t>
  </si>
  <si>
    <t>R144.12</t>
  </si>
  <si>
    <t>mrp-3</t>
  </si>
  <si>
    <t>R02E12.12</t>
  </si>
  <si>
    <t>let-711</t>
  </si>
  <si>
    <t>smg-1</t>
  </si>
  <si>
    <t>tdp-1</t>
  </si>
  <si>
    <t>lam-3</t>
  </si>
  <si>
    <t>swsn-6</t>
  </si>
  <si>
    <t>clh-5</t>
  </si>
  <si>
    <t>ZK632.12</t>
  </si>
  <si>
    <t>T26C5.3</t>
  </si>
  <si>
    <t>mter-4</t>
  </si>
  <si>
    <t>nduf-11</t>
  </si>
  <si>
    <t>lcmt-1</t>
  </si>
  <si>
    <t>F47B7.2</t>
  </si>
  <si>
    <t>mop-25.2</t>
  </si>
  <si>
    <t>lev-11</t>
  </si>
  <si>
    <t>Y37E3.17</t>
  </si>
  <si>
    <t>twk-18</t>
  </si>
  <si>
    <t>rpl-7A</t>
  </si>
  <si>
    <t>ham-3</t>
  </si>
  <si>
    <t>sbds-1</t>
  </si>
  <si>
    <t>rfl-1</t>
  </si>
  <si>
    <t>mob-3</t>
  </si>
  <si>
    <t>rps-8</t>
  </si>
  <si>
    <t>sod-1</t>
  </si>
  <si>
    <t>moag-4</t>
  </si>
  <si>
    <t>W05H9.1</t>
  </si>
  <si>
    <t>C45B2.2</t>
  </si>
  <si>
    <t>glrx-10</t>
  </si>
  <si>
    <t>klp-4</t>
  </si>
  <si>
    <t>set-26</t>
  </si>
  <si>
    <t>hpo-12</t>
  </si>
  <si>
    <t>unc-82</t>
  </si>
  <si>
    <t>rpom-1</t>
  </si>
  <si>
    <t>dve-1</t>
  </si>
  <si>
    <t>elpc-1</t>
  </si>
  <si>
    <t>ben-1</t>
  </si>
  <si>
    <t>vps-36</t>
  </si>
  <si>
    <t>F28B3.10</t>
  </si>
  <si>
    <t>rsks-1</t>
  </si>
  <si>
    <t>lin-66</t>
  </si>
  <si>
    <t>T04C9.1</t>
  </si>
  <si>
    <t>acl-2</t>
  </si>
  <si>
    <t>ntl-4</t>
  </si>
  <si>
    <t>cey-4</t>
  </si>
  <si>
    <t>dap-3</t>
  </si>
  <si>
    <t>rpl-16</t>
  </si>
  <si>
    <t>pabp-2</t>
  </si>
  <si>
    <t>sap-140</t>
  </si>
  <si>
    <t>Y73C8B.3</t>
  </si>
  <si>
    <t>ntl-11</t>
  </si>
  <si>
    <t>vps-18</t>
  </si>
  <si>
    <t>C51E3.9</t>
  </si>
  <si>
    <t>imb-1</t>
  </si>
  <si>
    <t>Y48B6A.13</t>
  </si>
  <si>
    <t>spcs-3</t>
  </si>
  <si>
    <t>mac-1</t>
  </si>
  <si>
    <t>M142.5</t>
  </si>
  <si>
    <t>ced-5</t>
  </si>
  <si>
    <t>C10G11.8</t>
  </si>
  <si>
    <t>rsp-1</t>
  </si>
  <si>
    <t>Y39A1A.22</t>
  </si>
  <si>
    <t>col-184</t>
  </si>
  <si>
    <t>R02F2.7</t>
  </si>
  <si>
    <t>pas-3</t>
  </si>
  <si>
    <t>sig-7</t>
  </si>
  <si>
    <t>W02G9.3</t>
  </si>
  <si>
    <t>elc-1</t>
  </si>
  <si>
    <t>rom-5</t>
  </si>
  <si>
    <t>atp-4</t>
  </si>
  <si>
    <t>dnj-8</t>
  </si>
  <si>
    <t>cdr-6</t>
  </si>
  <si>
    <t>C49A9.5</t>
  </si>
  <si>
    <t>lsm-4</t>
  </si>
  <si>
    <t>uso-1</t>
  </si>
  <si>
    <t>jhdm-1</t>
  </si>
  <si>
    <t>rnp-6</t>
  </si>
  <si>
    <t>mrpl-30</t>
  </si>
  <si>
    <t>Y71H2AM.3</t>
  </si>
  <si>
    <t>C35A5.8</t>
  </si>
  <si>
    <t>nsun-5</t>
  </si>
  <si>
    <t>ZK1098.11</t>
  </si>
  <si>
    <t>pro-1</t>
  </si>
  <si>
    <t>apd-3</t>
  </si>
  <si>
    <t>gbf-1</t>
  </si>
  <si>
    <t>ntl-2</t>
  </si>
  <si>
    <t>crls-1</t>
  </si>
  <si>
    <t>F53H1.4</t>
  </si>
  <si>
    <t>rpia-1</t>
  </si>
  <si>
    <t>prcc-1</t>
  </si>
  <si>
    <t>cgp-1</t>
  </si>
  <si>
    <t>mmcm-1</t>
  </si>
  <si>
    <t>dnj-10</t>
  </si>
  <si>
    <t>xpb-1</t>
  </si>
  <si>
    <t>T21B10.3</t>
  </si>
  <si>
    <t>C08B6.8</t>
  </si>
  <si>
    <t>set-13</t>
  </si>
  <si>
    <t>twf-2</t>
  </si>
  <si>
    <t>C37H5.13</t>
  </si>
  <si>
    <t>R01H10.7</t>
  </si>
  <si>
    <t>T07D3.9</t>
  </si>
  <si>
    <t>swsn-2.2</t>
  </si>
  <si>
    <t>esyt-2</t>
  </si>
  <si>
    <t>dpy-31</t>
  </si>
  <si>
    <t>ZK484.3</t>
  </si>
  <si>
    <t>dhs-1</t>
  </si>
  <si>
    <t>glo-4</t>
  </si>
  <si>
    <t>F36G3.2</t>
  </si>
  <si>
    <t>R151.8A</t>
  </si>
  <si>
    <t>T08B1.1</t>
  </si>
  <si>
    <t>pmk-1</t>
  </si>
  <si>
    <t>gip-2</t>
  </si>
  <si>
    <t>ucr-11</t>
  </si>
  <si>
    <t>vps-34</t>
  </si>
  <si>
    <t>glo-1</t>
  </si>
  <si>
    <t>pqn-27</t>
  </si>
  <si>
    <t>F13G3.7</t>
  </si>
  <si>
    <t>emc-1</t>
  </si>
  <si>
    <t>gck-1</t>
  </si>
  <si>
    <t>C14H10.3</t>
  </si>
  <si>
    <t>msp-10</t>
  </si>
  <si>
    <t>B0361.6</t>
  </si>
  <si>
    <t>mma-1</t>
  </si>
  <si>
    <t>sax-2</t>
  </si>
  <si>
    <t>msp-3</t>
  </si>
  <si>
    <t>E01A2.2</t>
  </si>
  <si>
    <t>aqp-7</t>
  </si>
  <si>
    <t>alg-1</t>
  </si>
  <si>
    <t>F37F2.2</t>
  </si>
  <si>
    <t>T23G5.2</t>
  </si>
  <si>
    <t>mtr-4</t>
  </si>
  <si>
    <t>isp-1</t>
  </si>
  <si>
    <t>erfa-1</t>
  </si>
  <si>
    <t>rpl-21</t>
  </si>
  <si>
    <t>F11D5.1</t>
  </si>
  <si>
    <t>rbm-12</t>
  </si>
  <si>
    <t>Y43F8B.1</t>
  </si>
  <si>
    <t>Y47G6A.5</t>
  </si>
  <si>
    <t>sec-8</t>
  </si>
  <si>
    <t>rpn-7</t>
  </si>
  <si>
    <t>T24H10.4</t>
  </si>
  <si>
    <t>rad-26</t>
  </si>
  <si>
    <t>F19B6.1</t>
  </si>
  <si>
    <t>R166.2</t>
  </si>
  <si>
    <t>gcy-28</t>
  </si>
  <si>
    <t>cpz-1</t>
  </si>
  <si>
    <t>K01G5.5</t>
  </si>
  <si>
    <t>gfm-1</t>
  </si>
  <si>
    <t>C47E12.2</t>
  </si>
  <si>
    <t>Y105E8A.20</t>
  </si>
  <si>
    <t>mdt-1.2</t>
  </si>
  <si>
    <t>ZK418.5</t>
  </si>
  <si>
    <t>B0395.3</t>
  </si>
  <si>
    <t>pmr-1</t>
  </si>
  <si>
    <t>guk-1</t>
  </si>
  <si>
    <t>apb-3</t>
  </si>
  <si>
    <t>cogc-2</t>
  </si>
  <si>
    <t>Y47D9A.1</t>
  </si>
  <si>
    <t>K02F3.2</t>
  </si>
  <si>
    <t>pyp-1</t>
  </si>
  <si>
    <t>Y54F10AM.8</t>
  </si>
  <si>
    <t>sca-1</t>
  </si>
  <si>
    <t>mat-1</t>
  </si>
  <si>
    <t>B0495.5</t>
  </si>
  <si>
    <t>smg-2</t>
  </si>
  <si>
    <t>ostd-1</t>
  </si>
  <si>
    <t>pqn-53</t>
  </si>
  <si>
    <t>skpo-3</t>
  </si>
  <si>
    <t>sup-1</t>
  </si>
  <si>
    <t>idhg-1</t>
  </si>
  <si>
    <t>cyc-1</t>
  </si>
  <si>
    <t>riok-1</t>
  </si>
  <si>
    <t>T05G5.5</t>
  </si>
  <si>
    <t>rab-14</t>
  </si>
  <si>
    <t>ads-1</t>
  </si>
  <si>
    <t>shc-1</t>
  </si>
  <si>
    <t>rpl-34</t>
  </si>
  <si>
    <t>T23B3.2</t>
  </si>
  <si>
    <t>glt-3</t>
  </si>
  <si>
    <t>mak-1</t>
  </si>
  <si>
    <t>SCRM-4</t>
  </si>
  <si>
    <t>metl-17</t>
  </si>
  <si>
    <t>dhod-1</t>
  </si>
  <si>
    <t>W09D10.4</t>
  </si>
  <si>
    <t>H24K24.3</t>
  </si>
  <si>
    <t>rpl-3</t>
  </si>
  <si>
    <t>R151.2</t>
  </si>
  <si>
    <t>dcaf-13</t>
  </si>
  <si>
    <t>spl-3</t>
  </si>
  <si>
    <t>drh-1</t>
  </si>
  <si>
    <t>trr-1</t>
  </si>
  <si>
    <t>ubr-1</t>
  </si>
  <si>
    <t>gpcp-1</t>
  </si>
  <si>
    <t>ubc-9</t>
  </si>
  <si>
    <t>cyn-4</t>
  </si>
  <si>
    <t>dao-3</t>
  </si>
  <si>
    <t>mrps-14</t>
  </si>
  <si>
    <t>dhs-30</t>
  </si>
  <si>
    <t>cest-25</t>
  </si>
  <si>
    <t>ndua-7</t>
  </si>
  <si>
    <t>mek-1</t>
  </si>
  <si>
    <t>anmt-3</t>
  </si>
  <si>
    <t>npp-8</t>
  </si>
  <si>
    <t>sup-26</t>
  </si>
  <si>
    <t>clec-63</t>
  </si>
  <si>
    <t>asah-1</t>
  </si>
  <si>
    <t>pct-1</t>
  </si>
  <si>
    <t>cnp-2</t>
  </si>
  <si>
    <t>ccf-1</t>
  </si>
  <si>
    <t>hel-1</t>
  </si>
  <si>
    <t>Y69H2.3</t>
  </si>
  <si>
    <t>C49A9.3</t>
  </si>
  <si>
    <t>sar-1</t>
  </si>
  <si>
    <t>ate-1</t>
  </si>
  <si>
    <t>Y50D7A.3</t>
  </si>
  <si>
    <t>tre-2</t>
  </si>
  <si>
    <t>Y17G7B.18</t>
  </si>
  <si>
    <t>M04B2.2</t>
  </si>
  <si>
    <t>chdp-1</t>
  </si>
  <si>
    <t>Y54E5B.2</t>
  </si>
  <si>
    <t>fitm-2</t>
  </si>
  <si>
    <t>lig-1</t>
  </si>
  <si>
    <t>T22B7.3</t>
  </si>
  <si>
    <t>lim-8</t>
  </si>
  <si>
    <t>pes-9</t>
  </si>
  <si>
    <t>mrps-5</t>
  </si>
  <si>
    <t>C39B5.5</t>
  </si>
  <si>
    <t>uncp-18</t>
  </si>
  <si>
    <t>cnt-1</t>
  </si>
  <si>
    <t>got-1.2</t>
  </si>
  <si>
    <t>haf-9</t>
  </si>
  <si>
    <t>ddx-10</t>
  </si>
  <si>
    <t>wapl-1</t>
  </si>
  <si>
    <t>byn-1</t>
  </si>
  <si>
    <t>Y71G12B.10</t>
  </si>
  <si>
    <t>Y53G8AR.9</t>
  </si>
  <si>
    <t>agl-1</t>
  </si>
  <si>
    <t>pat-2</t>
  </si>
  <si>
    <t>dars-1</t>
  </si>
  <si>
    <t>tba-7</t>
  </si>
  <si>
    <t>rars-2</t>
  </si>
  <si>
    <t>F32A5.4</t>
  </si>
  <si>
    <t>hmp-2</t>
  </si>
  <si>
    <t>vps-33.2</t>
  </si>
  <si>
    <t>far-3</t>
  </si>
  <si>
    <t>T23E7.2</t>
  </si>
  <si>
    <t>R11H6.5</t>
  </si>
  <si>
    <t>R10E4.1</t>
  </si>
  <si>
    <t>F10C2.4</t>
  </si>
  <si>
    <t>kgb-1</t>
  </si>
  <si>
    <t>sta-2</t>
  </si>
  <si>
    <t>eral-1</t>
  </si>
  <si>
    <t>cyn-15</t>
  </si>
  <si>
    <t>T23F2.2</t>
  </si>
  <si>
    <t>Y53C12A.10</t>
  </si>
  <si>
    <t>cdk-5</t>
  </si>
  <si>
    <t>epg-5</t>
  </si>
  <si>
    <t>F46C5.9</t>
  </si>
  <si>
    <t>par-5</t>
  </si>
  <si>
    <t>rps-23</t>
  </si>
  <si>
    <t>pars-2</t>
  </si>
  <si>
    <t>unc-26</t>
  </si>
  <si>
    <t>mlp-1</t>
  </si>
  <si>
    <t>T06E6.1</t>
  </si>
  <si>
    <t>mrps-16</t>
  </si>
  <si>
    <t>C29H12.2</t>
  </si>
  <si>
    <t>mrps-2</t>
  </si>
  <si>
    <t>dhcr-7</t>
  </si>
  <si>
    <t>hmg-12</t>
  </si>
  <si>
    <t>F44E7.9</t>
  </si>
  <si>
    <t>eat-16</t>
  </si>
  <si>
    <t>rde-2</t>
  </si>
  <si>
    <t>F16B12.6</t>
  </si>
  <si>
    <t>R05D11.9</t>
  </si>
  <si>
    <t>Y75B8A.25</t>
  </si>
  <si>
    <t>K06G5.1</t>
  </si>
  <si>
    <t>scp-1</t>
  </si>
  <si>
    <t>F23F1.6</t>
  </si>
  <si>
    <t>set-29</t>
  </si>
  <si>
    <t>Y71H2AM.1</t>
  </si>
  <si>
    <t>cest-2.1</t>
  </si>
  <si>
    <t>mup-2</t>
  </si>
  <si>
    <t>T16G12.6</t>
  </si>
  <si>
    <t>faah-4</t>
  </si>
  <si>
    <t>pyr-1</t>
  </si>
  <si>
    <t>mop-25.1</t>
  </si>
  <si>
    <t>Y105E8A.25</t>
  </si>
  <si>
    <t>egrh-3</t>
  </si>
  <si>
    <t>atg-13</t>
  </si>
  <si>
    <t>epg-6</t>
  </si>
  <si>
    <t>rpac-40</t>
  </si>
  <si>
    <t>ZK1098.4</t>
  </si>
  <si>
    <t>vps-29</t>
  </si>
  <si>
    <t>ftn-2</t>
  </si>
  <si>
    <t>ints-4</t>
  </si>
  <si>
    <t>atg-7</t>
  </si>
  <si>
    <t>ndub-5</t>
  </si>
  <si>
    <t>Y51H7C.13</t>
  </si>
  <si>
    <t>set-16</t>
  </si>
  <si>
    <t>T09B4.8</t>
  </si>
  <si>
    <t>wdr-48</t>
  </si>
  <si>
    <t>gsk-3</t>
  </si>
  <si>
    <t>cir-1</t>
  </si>
  <si>
    <t>sftb-2</t>
  </si>
  <si>
    <t>C25F9.4</t>
  </si>
  <si>
    <t>acs-11</t>
  </si>
  <si>
    <t>mon-2</t>
  </si>
  <si>
    <t>ceh-18</t>
  </si>
  <si>
    <t>ogdh-1</t>
  </si>
  <si>
    <t>ttbk-8.1</t>
  </si>
  <si>
    <t>F32D8.12</t>
  </si>
  <si>
    <t>tgs-1</t>
  </si>
  <si>
    <t>bra-2</t>
  </si>
  <si>
    <t>sod-2</t>
  </si>
  <si>
    <t>T02H6.1</t>
  </si>
  <si>
    <t>ssl-1</t>
  </si>
  <si>
    <t>E02H9.3</t>
  </si>
  <si>
    <t>Y54F10AL.1</t>
  </si>
  <si>
    <t>F57C9.4</t>
  </si>
  <si>
    <t>ola-1</t>
  </si>
  <si>
    <t>F54G2.1</t>
  </si>
  <si>
    <t>Y105E8A.21</t>
  </si>
  <si>
    <t>hil-5</t>
  </si>
  <si>
    <t>cra-1</t>
  </si>
  <si>
    <t>sel-11</t>
  </si>
  <si>
    <t>F54D11.4</t>
  </si>
  <si>
    <t>F49D11.10</t>
  </si>
  <si>
    <t>eri-1</t>
  </si>
  <si>
    <t>nkb-3</t>
  </si>
  <si>
    <t>wdr-4</t>
  </si>
  <si>
    <t>F38B6.4</t>
  </si>
  <si>
    <t>par-4</t>
  </si>
  <si>
    <t>stl-1</t>
  </si>
  <si>
    <t>rpl-30</t>
  </si>
  <si>
    <t>kin-19</t>
  </si>
  <si>
    <t>rpb-5</t>
  </si>
  <si>
    <t>trm-2a</t>
  </si>
  <si>
    <t>T07C4.3</t>
  </si>
  <si>
    <t>mrp-5</t>
  </si>
  <si>
    <t>F53E10.1</t>
  </si>
  <si>
    <t>fbxa-59</t>
  </si>
  <si>
    <t>nceh-1</t>
  </si>
  <si>
    <t>taf-1</t>
  </si>
  <si>
    <t>unc-50</t>
  </si>
  <si>
    <t>dcn-1</t>
  </si>
  <si>
    <t>acs-5</t>
  </si>
  <si>
    <t>C46G7.2</t>
  </si>
  <si>
    <t>coq-3</t>
  </si>
  <si>
    <t>imp-2</t>
  </si>
  <si>
    <t>rpap-3</t>
  </si>
  <si>
    <t>nkat-3</t>
  </si>
  <si>
    <t>F22E12.1</t>
  </si>
  <si>
    <t>dars-2</t>
  </si>
  <si>
    <t>aly-1</t>
  </si>
  <si>
    <t>eif-2alpha</t>
  </si>
  <si>
    <t>hars-1</t>
  </si>
  <si>
    <t>art-1</t>
  </si>
  <si>
    <t>nhr-45</t>
  </si>
  <si>
    <t>mpdu-1</t>
  </si>
  <si>
    <t>tspo-1</t>
  </si>
  <si>
    <t>rps-19</t>
  </si>
  <si>
    <t>mog-1</t>
  </si>
  <si>
    <t>F33H1.4</t>
  </si>
  <si>
    <t>sacy-1</t>
  </si>
  <si>
    <t>msi-1</t>
  </si>
  <si>
    <t>isw-1</t>
  </si>
  <si>
    <t>T09F3.5</t>
  </si>
  <si>
    <t>morc-1</t>
  </si>
  <si>
    <t>C32D5.8</t>
  </si>
  <si>
    <t>his-24</t>
  </si>
  <si>
    <t>ran-3</t>
  </si>
  <si>
    <t>zfr-1</t>
  </si>
  <si>
    <t>hut-1</t>
  </si>
  <si>
    <t>prmt-1</t>
  </si>
  <si>
    <t>F20D12.2</t>
  </si>
  <si>
    <t>Y37E11B.10</t>
  </si>
  <si>
    <t>wago-5</t>
  </si>
  <si>
    <t>vps-16</t>
  </si>
  <si>
    <t>nlt-1</t>
  </si>
  <si>
    <t>nmt-1</t>
  </si>
  <si>
    <t>rfc-1</t>
  </si>
  <si>
    <t>gcst-1</t>
  </si>
  <si>
    <t>ppgn-1</t>
  </si>
  <si>
    <t>rpoa-2</t>
  </si>
  <si>
    <t>Y48C3A.14</t>
  </si>
  <si>
    <t>ruvb-1</t>
  </si>
  <si>
    <t>sek-3</t>
  </si>
  <si>
    <t>fat-5</t>
  </si>
  <si>
    <t>Y45F10B.13</t>
  </si>
  <si>
    <t>dhrs-4</t>
  </si>
  <si>
    <t>aps-2</t>
  </si>
  <si>
    <t>cdgs-1</t>
  </si>
  <si>
    <t>BE0003N10.1</t>
  </si>
  <si>
    <t>ribo-1</t>
  </si>
  <si>
    <t>acox-1.6</t>
  </si>
  <si>
    <t>ent-2</t>
  </si>
  <si>
    <t>math-38</t>
  </si>
  <si>
    <t>tat-5</t>
  </si>
  <si>
    <t>etc-1</t>
  </si>
  <si>
    <t>psd-1</t>
  </si>
  <si>
    <t>C27F2.10</t>
  </si>
  <si>
    <t>rab-10</t>
  </si>
  <si>
    <t>Y57G11C.31</t>
  </si>
  <si>
    <t>oig-2</t>
  </si>
  <si>
    <t>T18D3.1</t>
  </si>
  <si>
    <t>ntl-3</t>
  </si>
  <si>
    <t>Y71H2B.5</t>
  </si>
  <si>
    <t>aex-6</t>
  </si>
  <si>
    <t>spe-15</t>
  </si>
  <si>
    <t>nhl-1</t>
  </si>
  <si>
    <t>mlst-8</t>
  </si>
  <si>
    <t>rpl-4</t>
  </si>
  <si>
    <t>C16A3.5</t>
  </si>
  <si>
    <t>R10E9.2</t>
  </si>
  <si>
    <t>umps-1</t>
  </si>
  <si>
    <t>mig-6</t>
  </si>
  <si>
    <t>ulp-3</t>
  </si>
  <si>
    <t>smg-4</t>
  </si>
  <si>
    <t>fcp-1</t>
  </si>
  <si>
    <t>mrpl-13</t>
  </si>
  <si>
    <t>lex-1</t>
  </si>
  <si>
    <t>Y75B8A.14</t>
  </si>
  <si>
    <t>inf-1</t>
  </si>
  <si>
    <t>ZK1320.9</t>
  </si>
  <si>
    <t>msra-1</t>
  </si>
  <si>
    <t>T05H4.10</t>
  </si>
  <si>
    <t>B0379.1</t>
  </si>
  <si>
    <t>T24H10.1</t>
  </si>
  <si>
    <t>Y65B4A.8</t>
  </si>
  <si>
    <t>asg-1</t>
  </si>
  <si>
    <t>fbxa-64</t>
  </si>
  <si>
    <t>ZK1128.1</t>
  </si>
  <si>
    <t>rsp-5</t>
  </si>
  <si>
    <t>ugt-8</t>
  </si>
  <si>
    <t>F28C6.8</t>
  </si>
  <si>
    <t>Y56A3A.16</t>
  </si>
  <si>
    <t>soap-1</t>
  </si>
  <si>
    <t>Y32H12A.7</t>
  </si>
  <si>
    <t>C17H12.12</t>
  </si>
  <si>
    <t>ufd-2</t>
  </si>
  <si>
    <t>rsd-6</t>
  </si>
  <si>
    <t>arl-8</t>
  </si>
  <si>
    <t>exos-1</t>
  </si>
  <si>
    <t>gex-2</t>
  </si>
  <si>
    <t>pigk-1</t>
  </si>
  <si>
    <t>mat-3</t>
  </si>
  <si>
    <t>gst-43</t>
  </si>
  <si>
    <t>C47B2.2</t>
  </si>
  <si>
    <t>ZK512.2</t>
  </si>
  <si>
    <t>nuo-3</t>
  </si>
  <si>
    <t>ekl-4</t>
  </si>
  <si>
    <t>C04E6.11</t>
  </si>
  <si>
    <t>dhc-1</t>
  </si>
  <si>
    <t>endu-1</t>
  </si>
  <si>
    <t>gst-7</t>
  </si>
  <si>
    <t>tyr-2</t>
  </si>
  <si>
    <t>Y92H12BL.1</t>
  </si>
  <si>
    <t>wwp-1</t>
  </si>
  <si>
    <t>lsy-13</t>
  </si>
  <si>
    <t>sdhb-1</t>
  </si>
  <si>
    <t>atg-16.1</t>
  </si>
  <si>
    <t>uggt-1</t>
  </si>
  <si>
    <t>Y61A9LA.10</t>
  </si>
  <si>
    <t>C14F11.4</t>
  </si>
  <si>
    <t>rps-17</t>
  </si>
  <si>
    <t>arl-1</t>
  </si>
  <si>
    <t>aprt-1</t>
  </si>
  <si>
    <t>Y71H2AM.20</t>
  </si>
  <si>
    <t>rab-7</t>
  </si>
  <si>
    <t>ruvb-2</t>
  </si>
  <si>
    <t>Y57G11C.14</t>
  </si>
  <si>
    <t>atp-2</t>
  </si>
  <si>
    <t>lst-6</t>
  </si>
  <si>
    <t>csq-1</t>
  </si>
  <si>
    <t>rsp-2</t>
  </si>
  <si>
    <t>usp-4</t>
  </si>
  <si>
    <t>F13H6.3</t>
  </si>
  <si>
    <t>taf-5</t>
  </si>
  <si>
    <t>C17G10.1</t>
  </si>
  <si>
    <t>rbm-25</t>
  </si>
  <si>
    <t>anmt-1</t>
  </si>
  <si>
    <t>pcf-11</t>
  </si>
  <si>
    <t>mrps-24</t>
  </si>
  <si>
    <t>Y39A1A.20</t>
  </si>
  <si>
    <t>tir-1</t>
  </si>
  <si>
    <t>sars-2</t>
  </si>
  <si>
    <t>cct-3</t>
  </si>
  <si>
    <t>dhcr-24</t>
  </si>
  <si>
    <t>ddx-15</t>
  </si>
  <si>
    <t>pdk-1</t>
  </si>
  <si>
    <t>dpf-3</t>
  </si>
  <si>
    <t>W04D2.4</t>
  </si>
  <si>
    <t>dph-5</t>
  </si>
  <si>
    <t>sft-4</t>
  </si>
  <si>
    <t>sec-61.b</t>
  </si>
  <si>
    <t>farl-11</t>
  </si>
  <si>
    <t>vacl-14</t>
  </si>
  <si>
    <t>K08D8.4</t>
  </si>
  <si>
    <t>nduf-5</t>
  </si>
  <si>
    <t>T05A12.4</t>
  </si>
  <si>
    <t>rpt-2</t>
  </si>
  <si>
    <t>vpr-1</t>
  </si>
  <si>
    <t>mec-17</t>
  </si>
  <si>
    <t>R53.4</t>
  </si>
  <si>
    <t>hrpl-1</t>
  </si>
  <si>
    <t>arp-1</t>
  </si>
  <si>
    <t>fbxa-29</t>
  </si>
  <si>
    <t>tut-2</t>
  </si>
  <si>
    <t>gop-3</t>
  </si>
  <si>
    <t>chch-3</t>
  </si>
  <si>
    <t>dip-2</t>
  </si>
  <si>
    <t>arid-1</t>
  </si>
  <si>
    <t>cdf-2</t>
  </si>
  <si>
    <t>dnpp-1</t>
  </si>
  <si>
    <t>pkhm-2</t>
  </si>
  <si>
    <t>noca-1</t>
  </si>
  <si>
    <t>ucr-2.2</t>
  </si>
  <si>
    <t>rps-7</t>
  </si>
  <si>
    <t>rps-15</t>
  </si>
  <si>
    <t>Q06AY5</t>
  </si>
  <si>
    <t>flad-1</t>
  </si>
  <si>
    <t>let-858</t>
  </si>
  <si>
    <t>rbm-34</t>
  </si>
  <si>
    <t>C44E4.5</t>
  </si>
  <si>
    <t>sel-1</t>
  </si>
  <si>
    <t>dad-1</t>
  </si>
  <si>
    <t>mob-2</t>
  </si>
  <si>
    <t>abhd-12</t>
  </si>
  <si>
    <t>sup-46</t>
  </si>
  <si>
    <t>ero-1</t>
  </si>
  <si>
    <t>usp-50</t>
  </si>
  <si>
    <t>K03B8.6</t>
  </si>
  <si>
    <t>spe-46</t>
  </si>
  <si>
    <t>C56A3.5</t>
  </si>
  <si>
    <t>M01F1.3</t>
  </si>
  <si>
    <t>hpo-18</t>
  </si>
  <si>
    <t>rnp-1</t>
  </si>
  <si>
    <t>ubxn-3</t>
  </si>
  <si>
    <t>ogt-1</t>
  </si>
  <si>
    <t>nuo-1</t>
  </si>
  <si>
    <t>K08D9.4</t>
  </si>
  <si>
    <t>mrpl-15</t>
  </si>
  <si>
    <t>C06B3.6</t>
  </si>
  <si>
    <t>T20B12.3</t>
  </si>
  <si>
    <t>aldo-1</t>
  </si>
  <si>
    <t>cyp-13A5</t>
  </si>
  <si>
    <t>appg-2</t>
  </si>
  <si>
    <t>T14B4.1</t>
  </si>
  <si>
    <t>acl-7</t>
  </si>
  <si>
    <t>cpn-4</t>
  </si>
  <si>
    <t>ZK1127.5</t>
  </si>
  <si>
    <t>vps-11</t>
  </si>
  <si>
    <t>mrp-4</t>
  </si>
  <si>
    <t>tmem-24</t>
  </si>
  <si>
    <t>T13F3.6</t>
  </si>
  <si>
    <t>tbp-1</t>
  </si>
  <si>
    <t>marb-1</t>
  </si>
  <si>
    <t>C14B9.10</t>
  </si>
  <si>
    <t>pigt-1</t>
  </si>
  <si>
    <t>acs-17</t>
  </si>
  <si>
    <t>gex-3</t>
  </si>
  <si>
    <t>C53A5.17</t>
  </si>
  <si>
    <t>pod-1</t>
  </si>
  <si>
    <t>let-418</t>
  </si>
  <si>
    <t>ufl-1</t>
  </si>
  <si>
    <t>exos-2</t>
  </si>
  <si>
    <t>F10G7.5</t>
  </si>
  <si>
    <t>rpb-7</t>
  </si>
  <si>
    <t>letm-1</t>
  </si>
  <si>
    <t>nol-10</t>
  </si>
  <si>
    <t>gpdh-2</t>
  </si>
  <si>
    <t>uaf-1</t>
  </si>
  <si>
    <t>nrf-6</t>
  </si>
  <si>
    <t>tag-196</t>
  </si>
  <si>
    <t>lap-2</t>
  </si>
  <si>
    <t>aho-3</t>
  </si>
  <si>
    <t>Y57G11C.33</t>
  </si>
  <si>
    <t>T22F3.2</t>
  </si>
  <si>
    <t>cec-4</t>
  </si>
  <si>
    <t>B0001.4</t>
  </si>
  <si>
    <t>sumv-2</t>
  </si>
  <si>
    <t>bath-47</t>
  </si>
  <si>
    <t>Y57G11C.3</t>
  </si>
  <si>
    <t>zig-11</t>
  </si>
  <si>
    <t>ttc-7</t>
  </si>
  <si>
    <t>Y92H12BR.3</t>
  </si>
  <si>
    <t>miz-1</t>
  </si>
  <si>
    <t>Y41D4A.6</t>
  </si>
  <si>
    <t>csnk-1</t>
  </si>
  <si>
    <t>F49E2.5</t>
  </si>
  <si>
    <t>F26F4.2</t>
  </si>
  <si>
    <t>obr-1</t>
  </si>
  <si>
    <t>pus-1</t>
  </si>
  <si>
    <t>uaf-2</t>
  </si>
  <si>
    <t>unc-68</t>
  </si>
  <si>
    <t>F25G6.9</t>
  </si>
  <si>
    <t>acdh-8</t>
  </si>
  <si>
    <t>mrps-12</t>
  </si>
  <si>
    <t>fdps-1</t>
  </si>
  <si>
    <t>Y54E10A.6</t>
  </si>
  <si>
    <t>cee-1</t>
  </si>
  <si>
    <t>dpy-28</t>
  </si>
  <si>
    <t>hrpr-1</t>
  </si>
  <si>
    <t>rpn-6.1</t>
  </si>
  <si>
    <t>mix-1</t>
  </si>
  <si>
    <t>rol-1</t>
  </si>
  <si>
    <t>C08F8.2</t>
  </si>
  <si>
    <t>gsp-2</t>
  </si>
  <si>
    <t>epg-9</t>
  </si>
  <si>
    <t>Y54E10A.10</t>
  </si>
  <si>
    <t>ptr-23</t>
  </si>
  <si>
    <t>ctnb-1</t>
  </si>
  <si>
    <t>ddi-1</t>
  </si>
  <si>
    <t>F21C10.7</t>
  </si>
  <si>
    <t>vps-15</t>
  </si>
  <si>
    <t>slc-25a42</t>
  </si>
  <si>
    <t>aco-2</t>
  </si>
  <si>
    <t>par-6</t>
  </si>
  <si>
    <t>gars-1</t>
  </si>
  <si>
    <t>unc-78</t>
  </si>
  <si>
    <t>set-3</t>
  </si>
  <si>
    <t>C31H5.6</t>
  </si>
  <si>
    <t>hum-7</t>
  </si>
  <si>
    <t>acy-1</t>
  </si>
  <si>
    <t>syf-1</t>
  </si>
  <si>
    <t>acer-1</t>
  </si>
  <si>
    <t>saeg-2</t>
  </si>
  <si>
    <t>pat-10</t>
  </si>
  <si>
    <t>tbc-16</t>
  </si>
  <si>
    <t>emc-6</t>
  </si>
  <si>
    <t>obr-3</t>
  </si>
  <si>
    <t>C47G2.3</t>
  </si>
  <si>
    <t>eng-1</t>
  </si>
  <si>
    <t>nrd-1</t>
  </si>
  <si>
    <t>phat-2</t>
  </si>
  <si>
    <t>rpoa-1</t>
  </si>
  <si>
    <t>epg-2</t>
  </si>
  <si>
    <t>acdh-7</t>
  </si>
  <si>
    <t>dhs-22</t>
  </si>
  <si>
    <t>F37H8.5</t>
  </si>
  <si>
    <t>hacd-1</t>
  </si>
  <si>
    <t>C33F10.12</t>
  </si>
  <si>
    <t>atn-1</t>
  </si>
  <si>
    <t>cbs-1</t>
  </si>
  <si>
    <t>unc-84</t>
  </si>
  <si>
    <t>COX2</t>
  </si>
  <si>
    <t>zipt-11</t>
  </si>
  <si>
    <t>gfi-1</t>
  </si>
  <si>
    <t>rpb-8</t>
  </si>
  <si>
    <t>R02F2.9</t>
  </si>
  <si>
    <t>acdh-10</t>
  </si>
  <si>
    <t>hil-3</t>
  </si>
  <si>
    <t>chin-1</t>
  </si>
  <si>
    <t>eif-2bepsilon</t>
  </si>
  <si>
    <t>grk-1</t>
  </si>
  <si>
    <t>F44B9.2</t>
  </si>
  <si>
    <t>him-17</t>
  </si>
  <si>
    <t>rps-16</t>
  </si>
  <si>
    <t>alkb-8</t>
  </si>
  <si>
    <t>Y69E1A.5</t>
  </si>
  <si>
    <t>idhg-2</t>
  </si>
  <si>
    <t>R10E4.9</t>
  </si>
  <si>
    <t>spe-39</t>
  </si>
  <si>
    <t>adsl-1</t>
  </si>
  <si>
    <t>ttr-48</t>
  </si>
  <si>
    <t>F29B9.8</t>
  </si>
  <si>
    <t>Y52B11A.4</t>
  </si>
  <si>
    <t>drr-2</t>
  </si>
  <si>
    <t>gsy-1</t>
  </si>
  <si>
    <t>jmjd-1.2</t>
  </si>
  <si>
    <t>tin-44</t>
  </si>
  <si>
    <t>chd-1</t>
  </si>
  <si>
    <t>arrd-17</t>
  </si>
  <si>
    <t>sqd-1</t>
  </si>
  <si>
    <t>cox-6b</t>
  </si>
  <si>
    <t>F46B6.4</t>
  </si>
  <si>
    <t>erv-46</t>
  </si>
  <si>
    <t>C32F10.8</t>
  </si>
  <si>
    <t>tbg-1</t>
  </si>
  <si>
    <t>nxt-1</t>
  </si>
  <si>
    <t>mpc-1</t>
  </si>
  <si>
    <t>dlc-1</t>
  </si>
  <si>
    <t>ten-1</t>
  </si>
  <si>
    <t>ND1</t>
  </si>
  <si>
    <t>mog-3</t>
  </si>
  <si>
    <t>ife-2</t>
  </si>
  <si>
    <t>pcaf-1</t>
  </si>
  <si>
    <t>prp-8</t>
  </si>
  <si>
    <t>cpna-2</t>
  </si>
  <si>
    <t>let-70</t>
  </si>
  <si>
    <t>aakb-2</t>
  </si>
  <si>
    <t>D2030.3</t>
  </si>
  <si>
    <t>Y71F9B.2</t>
  </si>
  <si>
    <t>C30F12.2</t>
  </si>
  <si>
    <t>C49H3.3</t>
  </si>
  <si>
    <t>rpn-5</t>
  </si>
  <si>
    <t>ced-10</t>
  </si>
  <si>
    <t>R12C12.9</t>
  </si>
  <si>
    <t>swsn-7</t>
  </si>
  <si>
    <t>hda-3</t>
  </si>
  <si>
    <t>eif-2d</t>
  </si>
  <si>
    <t>xpf-1</t>
  </si>
  <si>
    <t>tsr-1</t>
  </si>
  <si>
    <t>wdr-5.1</t>
  </si>
  <si>
    <t>C45B2.6</t>
  </si>
  <si>
    <t>cest-5.1</t>
  </si>
  <si>
    <t>asp-5</t>
  </si>
  <si>
    <t>drh-3</t>
  </si>
  <si>
    <t>cpi-1</t>
  </si>
  <si>
    <t>hid-1</t>
  </si>
  <si>
    <t>set-27</t>
  </si>
  <si>
    <t>endu-2</t>
  </si>
  <si>
    <t>fum-1</t>
  </si>
  <si>
    <t>ND4L</t>
  </si>
  <si>
    <t>tax-6</t>
  </si>
  <si>
    <t>F35G12.12</t>
  </si>
  <si>
    <t>Y18H1A.2</t>
  </si>
  <si>
    <t>set-9</t>
  </si>
  <si>
    <t>sucl-1</t>
  </si>
  <si>
    <t>COX1</t>
  </si>
  <si>
    <t>ncap-1</t>
  </si>
  <si>
    <t>B0272.3</t>
  </si>
  <si>
    <t>C02D5.4</t>
  </si>
  <si>
    <t>hsp-60</t>
  </si>
  <si>
    <t>fip-5</t>
  </si>
  <si>
    <t>cdc-48.3</t>
  </si>
  <si>
    <t>fust-1</t>
  </si>
  <si>
    <t>K09F5.6</t>
  </si>
  <si>
    <t>K10C3.5</t>
  </si>
  <si>
    <t>ant-1.1</t>
  </si>
  <si>
    <t>C50D2.9</t>
  </si>
  <si>
    <t>fcd-2</t>
  </si>
  <si>
    <t>png-1</t>
  </si>
  <si>
    <t>pat-6</t>
  </si>
  <si>
    <t>arf-6</t>
  </si>
  <si>
    <t>strd-1</t>
  </si>
  <si>
    <t>R06F6.8</t>
  </si>
  <si>
    <t>let-630</t>
  </si>
  <si>
    <t>inx-11</t>
  </si>
  <si>
    <t>rrf-1</t>
  </si>
  <si>
    <t>tag-151</t>
  </si>
  <si>
    <t>rpl-10</t>
  </si>
  <si>
    <t>ZK973.11</t>
  </si>
  <si>
    <t>kin-18</t>
  </si>
  <si>
    <t>pmk-3</t>
  </si>
  <si>
    <t>yars-2</t>
  </si>
  <si>
    <t>rap-1</t>
  </si>
  <si>
    <t>F01G4.6</t>
  </si>
  <si>
    <t>mrpl-4</t>
  </si>
  <si>
    <t>mvb-12</t>
  </si>
  <si>
    <t>snf-3</t>
  </si>
  <si>
    <t>nono-1</t>
  </si>
  <si>
    <t>tfbm-1</t>
  </si>
  <si>
    <t>mrps-18b</t>
  </si>
  <si>
    <t>zyg-9</t>
  </si>
  <si>
    <t>cox-15</t>
  </si>
  <si>
    <t>aha-1</t>
  </si>
  <si>
    <t>symk-1</t>
  </si>
  <si>
    <t>ung-1</t>
  </si>
  <si>
    <t>Y59E9AL.36</t>
  </si>
  <si>
    <t>scc-3</t>
  </si>
  <si>
    <t>F38E9.1</t>
  </si>
  <si>
    <t>ahsa-1</t>
  </si>
  <si>
    <t>dyci-1</t>
  </si>
  <si>
    <t>sek-1</t>
  </si>
  <si>
    <t>ida-1</t>
  </si>
  <si>
    <t>herc-1</t>
  </si>
  <si>
    <t>Y54E10A.11</t>
  </si>
  <si>
    <t>cnt-2</t>
  </si>
  <si>
    <t>rsbp-1</t>
  </si>
  <si>
    <t>sur-7</t>
  </si>
  <si>
    <t>exc-7</t>
  </si>
  <si>
    <t>chd-3</t>
  </si>
  <si>
    <t>immp-2</t>
  </si>
  <si>
    <t>Y54F10AR.2</t>
  </si>
  <si>
    <t>F48C1.6</t>
  </si>
  <si>
    <t>mrpl-19</t>
  </si>
  <si>
    <t>cle-1</t>
  </si>
  <si>
    <t>spe-51</t>
  </si>
  <si>
    <t>pgap-1</t>
  </si>
  <si>
    <t>hda-4</t>
  </si>
  <si>
    <t>nduf-2.2</t>
  </si>
  <si>
    <t>asb-2</t>
  </si>
  <si>
    <t>paa-1</t>
  </si>
  <si>
    <t>Y39E4B.10</t>
  </si>
  <si>
    <t>swsn-4</t>
  </si>
  <si>
    <t>hil-2</t>
  </si>
  <si>
    <t>F01F1.11</t>
  </si>
  <si>
    <t>prdx-3</t>
  </si>
  <si>
    <t>mek-5</t>
  </si>
  <si>
    <t>miro-1</t>
  </si>
  <si>
    <t>Y62E10A.6</t>
  </si>
  <si>
    <t>mrpl-18</t>
  </si>
  <si>
    <t>kcc-2</t>
  </si>
  <si>
    <t>elb-1</t>
  </si>
  <si>
    <t>ZK180.5</t>
  </si>
  <si>
    <t>rab-33</t>
  </si>
  <si>
    <t>chd-7</t>
  </si>
  <si>
    <t>M03C11.1</t>
  </si>
  <si>
    <t>pap-1</t>
  </si>
  <si>
    <t>npp-1</t>
  </si>
  <si>
    <t>cka-1</t>
  </si>
  <si>
    <t>T23F11.2</t>
  </si>
  <si>
    <t>G5EF72</t>
  </si>
  <si>
    <t>ctg-2</t>
  </si>
  <si>
    <t>T10F2.5</t>
  </si>
  <si>
    <t>pbrm-1</t>
  </si>
  <si>
    <t>cct-1</t>
  </si>
  <si>
    <t>mrps-11</t>
  </si>
  <si>
    <t>mcu-1</t>
  </si>
  <si>
    <t>psr-1</t>
  </si>
  <si>
    <t>rpl-28</t>
  </si>
  <si>
    <t>pisy-1</t>
  </si>
  <si>
    <t>FKBP-2</t>
  </si>
  <si>
    <t>ain-1</t>
  </si>
  <si>
    <t>stc-1</t>
  </si>
  <si>
    <t>rict-1</t>
  </si>
  <si>
    <t>prp-6</t>
  </si>
  <si>
    <t>mtm-3</t>
  </si>
  <si>
    <t>gna-1</t>
  </si>
  <si>
    <t>arx-1</t>
  </si>
  <si>
    <t>M01E5.2</t>
  </si>
  <si>
    <t>rpl-36.A</t>
  </si>
  <si>
    <t>C46F11.4</t>
  </si>
  <si>
    <t>T25C12.3</t>
  </si>
  <si>
    <t>pkc-1</t>
  </si>
  <si>
    <t>mrpl-45</t>
  </si>
  <si>
    <t>mrp-7</t>
  </si>
  <si>
    <t>xdh-1</t>
  </si>
  <si>
    <t>henn-1</t>
  </si>
  <si>
    <t>ipp-5</t>
  </si>
  <si>
    <t>dld-1</t>
  </si>
  <si>
    <t>abce-1</t>
  </si>
  <si>
    <t>aly-2</t>
  </si>
  <si>
    <t>pak-1</t>
  </si>
  <si>
    <t>vps-41</t>
  </si>
  <si>
    <t>K09E9.3</t>
  </si>
  <si>
    <t>M01G12.9</t>
  </si>
  <si>
    <t>rnp-7</t>
  </si>
  <si>
    <t>tgt-2</t>
  </si>
  <si>
    <t>unc-115</t>
  </si>
  <si>
    <t>citk-1</t>
  </si>
  <si>
    <t>pafo-1</t>
  </si>
  <si>
    <t>rsp-3</t>
  </si>
  <si>
    <t>cyp-34a8</t>
  </si>
  <si>
    <t>ascc-1</t>
  </si>
  <si>
    <t>T20F7.1</t>
  </si>
  <si>
    <t>F49H6.5</t>
  </si>
  <si>
    <t>H05C05.1</t>
  </si>
  <si>
    <t>nish-1</t>
  </si>
  <si>
    <t>daf-1</t>
  </si>
  <si>
    <t>tns-1</t>
  </si>
  <si>
    <t>mrpl-1</t>
  </si>
  <si>
    <t>ptpn-22</t>
  </si>
  <si>
    <t>K12H4.3</t>
  </si>
  <si>
    <t>sma-9</t>
  </si>
  <si>
    <t>lin-61</t>
  </si>
  <si>
    <t>tbc-1</t>
  </si>
  <si>
    <t>cchl-1</t>
  </si>
  <si>
    <t>npp-25</t>
  </si>
  <si>
    <t>swan-1</t>
  </si>
  <si>
    <t>gly-4</t>
  </si>
  <si>
    <t>F45F2.10</t>
  </si>
  <si>
    <t>mrps-18a</t>
  </si>
  <si>
    <t>asp-13</t>
  </si>
  <si>
    <t>C18E9.2</t>
  </si>
  <si>
    <t>apc-1</t>
  </si>
  <si>
    <t>W03F8.4</t>
  </si>
  <si>
    <t>F13H8.2</t>
  </si>
  <si>
    <t>ZK643.5</t>
  </si>
  <si>
    <t>chdh-1</t>
  </si>
  <si>
    <t>unc-61</t>
  </si>
  <si>
    <t>rop-1</t>
  </si>
  <si>
    <t>ucr-1</t>
  </si>
  <si>
    <t>rpt-1</t>
  </si>
  <si>
    <t>dnj-17</t>
  </si>
  <si>
    <t>T04A8.7</t>
  </si>
  <si>
    <t>lis-1</t>
  </si>
  <si>
    <t>C49A9.2</t>
  </si>
  <si>
    <t>ZK512.4</t>
  </si>
  <si>
    <t>lrk-1</t>
  </si>
  <si>
    <t>haf-3</t>
  </si>
  <si>
    <t>C25A11.2</t>
  </si>
  <si>
    <t>F53G2.12</t>
  </si>
  <si>
    <t>ubr-4</t>
  </si>
  <si>
    <t>git-1</t>
  </si>
  <si>
    <t>Y37E3.8</t>
  </si>
  <si>
    <t>W02D9.2</t>
  </si>
  <si>
    <t>F32D8.4</t>
  </si>
  <si>
    <t>mrps-34</t>
  </si>
  <si>
    <t>ech-2</t>
  </si>
  <si>
    <t>T12D8.9</t>
  </si>
  <si>
    <t>mig-15</t>
  </si>
  <si>
    <t>ddx-27</t>
  </si>
  <si>
    <t>aipl-1</t>
  </si>
  <si>
    <t>lid-1</t>
  </si>
  <si>
    <t>pkc-2</t>
  </si>
  <si>
    <t>haf-4</t>
  </si>
  <si>
    <t>cec-3</t>
  </si>
  <si>
    <t>odr-8</t>
  </si>
  <si>
    <t>rgr-1</t>
  </si>
  <si>
    <t>Q18907</t>
  </si>
  <si>
    <t>rfc-4</t>
  </si>
  <si>
    <t>cyk-1</t>
  </si>
  <si>
    <t>npp-19</t>
  </si>
  <si>
    <t>ncbp-2</t>
  </si>
  <si>
    <t>alh-3</t>
  </si>
  <si>
    <t>praf-3</t>
  </si>
  <si>
    <t>cul-3</t>
  </si>
  <si>
    <t>sms-1</t>
  </si>
  <si>
    <t>acp-1</t>
  </si>
  <si>
    <t>ccar-1</t>
  </si>
  <si>
    <t>tbc-20</t>
  </si>
  <si>
    <t>pde-6</t>
  </si>
  <si>
    <t>F44E7.4</t>
  </si>
  <si>
    <t>smg-6</t>
  </si>
  <si>
    <t>ndua-2</t>
  </si>
  <si>
    <t>F38B2.4</t>
  </si>
  <si>
    <t>K03B4.1</t>
  </si>
  <si>
    <t>tag-52</t>
  </si>
  <si>
    <t>prp-40</t>
  </si>
  <si>
    <t>ZK546.2</t>
  </si>
  <si>
    <t>pas-1</t>
  </si>
  <si>
    <t>Y94H6A.5</t>
  </si>
  <si>
    <t>lntl-1</t>
  </si>
  <si>
    <t>let-355</t>
  </si>
  <si>
    <t>nuo-5</t>
  </si>
  <si>
    <t>F39H2.3</t>
  </si>
  <si>
    <t>aars-2</t>
  </si>
  <si>
    <t>cyn-5</t>
  </si>
  <si>
    <t>B0511.6</t>
  </si>
  <si>
    <t>zag-1</t>
  </si>
  <si>
    <t>prdh-1</t>
  </si>
  <si>
    <t>T05F1.11</t>
  </si>
  <si>
    <t>pbo-4</t>
  </si>
  <si>
    <t>C09F5.1</t>
  </si>
  <si>
    <t>prp-39</t>
  </si>
  <si>
    <t>sor-3</t>
  </si>
  <si>
    <t>ZK524.4</t>
  </si>
  <si>
    <t>nfs-1</t>
  </si>
  <si>
    <t>C32E12.1</t>
  </si>
  <si>
    <t>cyk-3</t>
  </si>
  <si>
    <t>atg-5</t>
  </si>
  <si>
    <t>D2030.2</t>
  </si>
  <si>
    <t>B0252.5</t>
  </si>
  <si>
    <t>eel-1</t>
  </si>
  <si>
    <t>eif-6</t>
  </si>
  <si>
    <t>gob-1</t>
  </si>
  <si>
    <t>rbpl-1</t>
  </si>
  <si>
    <t>pigs-1</t>
  </si>
  <si>
    <t>M57.2</t>
  </si>
  <si>
    <t>pbs-1</t>
  </si>
  <si>
    <t>ltd-1</t>
  </si>
  <si>
    <t>cyp-25a2</t>
  </si>
  <si>
    <t>ipla-6</t>
  </si>
  <si>
    <t>F37A4.1</t>
  </si>
  <si>
    <t>num-1</t>
  </si>
  <si>
    <t>C05D11.1</t>
  </si>
  <si>
    <t>rsd-2</t>
  </si>
  <si>
    <t>F23H11.4</t>
  </si>
  <si>
    <t>pqn-39</t>
  </si>
  <si>
    <t>C46C11.3</t>
  </si>
  <si>
    <t>cct-4</t>
  </si>
  <si>
    <t>ttr-50</t>
  </si>
  <si>
    <t>slc-36.2</t>
  </si>
  <si>
    <t>pqn-15</t>
  </si>
  <si>
    <t>Y50D7A.10</t>
  </si>
  <si>
    <t>rfth-1</t>
  </si>
  <si>
    <t>mau-2</t>
  </si>
  <si>
    <t>zig-9</t>
  </si>
  <si>
    <t>mppa-1</t>
  </si>
  <si>
    <t>Y92H12BL.4</t>
  </si>
  <si>
    <t>cgr-1</t>
  </si>
  <si>
    <t>pycr-1</t>
  </si>
  <si>
    <t>F38A5.2</t>
  </si>
  <si>
    <t>C27H6.9</t>
  </si>
  <si>
    <t>top-2</t>
  </si>
  <si>
    <t>ethe-1</t>
  </si>
  <si>
    <t>ztf-7</t>
  </si>
  <si>
    <t>akap-1</t>
  </si>
  <si>
    <t>F44G4.1</t>
  </si>
  <si>
    <t>mmab-1</t>
  </si>
  <si>
    <t>phat-3</t>
  </si>
  <si>
    <t>pgp-10</t>
  </si>
  <si>
    <t>him-1</t>
  </si>
  <si>
    <t>eat-6</t>
  </si>
  <si>
    <t>puf-12</t>
  </si>
  <si>
    <t>rpn-12</t>
  </si>
  <si>
    <t>asps-1</t>
  </si>
  <si>
    <t>M03C11.8</t>
  </si>
  <si>
    <t>rack-1</t>
  </si>
  <si>
    <t>exc-1</t>
  </si>
  <si>
    <t>nta-1</t>
  </si>
  <si>
    <t>ptp-1</t>
  </si>
  <si>
    <t>sds-22</t>
  </si>
  <si>
    <t>R166.3</t>
  </si>
  <si>
    <t>prdx-6</t>
  </si>
  <si>
    <t>hrpu-2</t>
  </si>
  <si>
    <t>mrpl-37</t>
  </si>
  <si>
    <t>stt-3</t>
  </si>
  <si>
    <t>mec-12</t>
  </si>
  <si>
    <t>F25B5.5</t>
  </si>
  <si>
    <t>C50F4.1</t>
  </si>
  <si>
    <t>cav-2</t>
  </si>
  <si>
    <t>dgn-1</t>
  </si>
  <si>
    <t>agxt-1</t>
  </si>
  <si>
    <t>spr-5</t>
  </si>
  <si>
    <t>pdhb-1</t>
  </si>
  <si>
    <t>cyp-37b1</t>
  </si>
  <si>
    <t>F54D5.7</t>
  </si>
  <si>
    <t>mrpl-44</t>
  </si>
  <si>
    <t>lin-24</t>
  </si>
  <si>
    <t>ard-1</t>
  </si>
  <si>
    <t>cor-1</t>
  </si>
  <si>
    <t>snr-2</t>
  </si>
  <si>
    <t>lpd-6</t>
  </si>
  <si>
    <t>taf-3</t>
  </si>
  <si>
    <t>kat-1</t>
  </si>
  <si>
    <t>nst-1</t>
  </si>
  <si>
    <t>dpy-22</t>
  </si>
  <si>
    <t>rnp-4</t>
  </si>
  <si>
    <t>prmt-9</t>
  </si>
  <si>
    <t>T24B8.3</t>
  </si>
  <si>
    <t>C03A3.2</t>
  </si>
  <si>
    <t>ccg-1</t>
  </si>
  <si>
    <t>pgp-2</t>
  </si>
  <si>
    <t>rpn-13</t>
  </si>
  <si>
    <t>madd-3</t>
  </si>
  <si>
    <t>let-413</t>
  </si>
  <si>
    <t>ZK742.4</t>
  </si>
  <si>
    <t>snr-6</t>
  </si>
  <si>
    <t>ppm-1.A</t>
  </si>
  <si>
    <t>mbk-1</t>
  </si>
  <si>
    <t>ppk-1</t>
  </si>
  <si>
    <t>T09B4.5</t>
  </si>
  <si>
    <t>pas-6</t>
  </si>
  <si>
    <t>fbxc-52</t>
  </si>
  <si>
    <t>let-754</t>
  </si>
  <si>
    <t>T22C1.6</t>
  </si>
  <si>
    <t>Y38C1AA.7</t>
  </si>
  <si>
    <t>nfx-1</t>
  </si>
  <si>
    <t>coh-1</t>
  </si>
  <si>
    <t>cyn-11</t>
  </si>
  <si>
    <t>D1005.2</t>
  </si>
  <si>
    <t>epg-4</t>
  </si>
  <si>
    <t>F53B6.4</t>
  </si>
  <si>
    <t>F42A6.6</t>
  </si>
  <si>
    <t>hpk-1</t>
  </si>
  <si>
    <t>rpn-1</t>
  </si>
  <si>
    <t>abtm-1</t>
  </si>
  <si>
    <t>gld-2</t>
  </si>
  <si>
    <t>T03F7.7</t>
  </si>
  <si>
    <t>rpt-4</t>
  </si>
  <si>
    <t>F55H12.4</t>
  </si>
  <si>
    <t>dpy-27</t>
  </si>
  <si>
    <t>F13E9.11</t>
  </si>
  <si>
    <t>top-3</t>
  </si>
  <si>
    <t>H06I04.3</t>
  </si>
  <si>
    <t>ttr-24</t>
  </si>
  <si>
    <t>T12G3.2</t>
  </si>
  <si>
    <t>lpd-5</t>
  </si>
  <si>
    <t>disl-2</t>
  </si>
  <si>
    <t>M01F1.9</t>
  </si>
  <si>
    <t>hmg-4</t>
  </si>
  <si>
    <t>C24H12.4</t>
  </si>
  <si>
    <t>mrps-6</t>
  </si>
  <si>
    <t>pat-4</t>
  </si>
  <si>
    <t>W09H1.5</t>
  </si>
  <si>
    <t>Y48B6A.1</t>
  </si>
  <si>
    <t>mig-32</t>
  </si>
  <si>
    <t>utp-20</t>
  </si>
  <si>
    <t>Y50D4A.1</t>
  </si>
  <si>
    <t>T24C12.3</t>
  </si>
  <si>
    <t>C14B9.8</t>
  </si>
  <si>
    <t>dpl-1</t>
  </si>
  <si>
    <t>tag-250</t>
  </si>
  <si>
    <t>F13D11.3</t>
  </si>
  <si>
    <t>npp-20</t>
  </si>
  <si>
    <t>mppb-1</t>
  </si>
  <si>
    <t>ubc-20</t>
  </si>
  <si>
    <t>bckd-1b</t>
  </si>
  <si>
    <t>trxr-2</t>
  </si>
  <si>
    <t>ctr-9</t>
  </si>
  <si>
    <t>cla-1</t>
  </si>
  <si>
    <t>fars-3</t>
  </si>
  <si>
    <t>R04F11.2</t>
  </si>
  <si>
    <t>unc-108</t>
  </si>
  <si>
    <t>pmlr-1</t>
  </si>
  <si>
    <t>evl-14</t>
  </si>
  <si>
    <t>T13C2.6</t>
  </si>
  <si>
    <t>cpna-3</t>
  </si>
  <si>
    <t>ril-1</t>
  </si>
  <si>
    <t>eif-1</t>
  </si>
  <si>
    <t>Y67D8A.2</t>
  </si>
  <si>
    <t>dhs-2</t>
  </si>
  <si>
    <t>C02C2.6</t>
  </si>
  <si>
    <t>acs-19</t>
  </si>
  <si>
    <t>gbh-1</t>
  </si>
  <si>
    <t>K04G7.1</t>
  </si>
  <si>
    <t>asp-4</t>
  </si>
  <si>
    <t>ddx-23</t>
  </si>
  <si>
    <t>clh-1</t>
  </si>
  <si>
    <t>mrpl-46</t>
  </si>
  <si>
    <t>tag-96</t>
  </si>
  <si>
    <t>sftb-1</t>
  </si>
  <si>
    <t>tkt-1</t>
  </si>
  <si>
    <t>daf-31</t>
  </si>
  <si>
    <t>K09H9.5</t>
  </si>
  <si>
    <t>mog-2</t>
  </si>
  <si>
    <t>akt-1</t>
  </si>
  <si>
    <t>sap-49</t>
  </si>
  <si>
    <t>fubl-2</t>
  </si>
  <si>
    <t>C45G9.9</t>
  </si>
  <si>
    <t>dhhc-10</t>
  </si>
  <si>
    <t>F54C8.4</t>
  </si>
  <si>
    <t>tads-1</t>
  </si>
  <si>
    <t>xnp-1</t>
  </si>
  <si>
    <t>ras-1</t>
  </si>
  <si>
    <t>rsp-8</t>
  </si>
  <si>
    <t>abhd-11.2</t>
  </si>
  <si>
    <t>R144.11</t>
  </si>
  <si>
    <t>rrp-1</t>
  </si>
  <si>
    <t>2O16</t>
  </si>
  <si>
    <t>C09D4.1</t>
  </si>
  <si>
    <t>dohh-1</t>
  </si>
  <si>
    <t>ech-5</t>
  </si>
  <si>
    <t>D2092.4</t>
  </si>
  <si>
    <t>F53F4.10</t>
  </si>
  <si>
    <t>nol-56</t>
  </si>
  <si>
    <t>cpsf-2</t>
  </si>
  <si>
    <t>mrp-2</t>
  </si>
  <si>
    <t>aat-3</t>
  </si>
  <si>
    <t>sqrd-1</t>
  </si>
  <si>
    <t>mtk-1</t>
  </si>
  <si>
    <t>F55F8.2</t>
  </si>
  <si>
    <t>clec-1</t>
  </si>
  <si>
    <t>pis-1</t>
  </si>
  <si>
    <t>acl-6</t>
  </si>
  <si>
    <t>B0303.3</t>
  </si>
  <si>
    <t>acdh-3</t>
  </si>
  <si>
    <t>Y34B4A.4</t>
  </si>
  <si>
    <t>wnk-1</t>
  </si>
  <si>
    <t>ndg-4</t>
  </si>
  <si>
    <t>rbm-39</t>
  </si>
  <si>
    <t>rpt-3</t>
  </si>
  <si>
    <t>M106.2</t>
  </si>
  <si>
    <t>toe-1</t>
  </si>
  <si>
    <t>rad-8</t>
  </si>
  <si>
    <t>fars-2</t>
  </si>
  <si>
    <t>R05G6.4</t>
  </si>
  <si>
    <t>nsy-1</t>
  </si>
  <si>
    <t>rpt-5</t>
  </si>
  <si>
    <t>lin-53</t>
  </si>
  <si>
    <t>pmp-5</t>
  </si>
  <si>
    <t>lbp-3</t>
  </si>
  <si>
    <t>mrpl-39</t>
  </si>
  <si>
    <t>lpd-7</t>
  </si>
  <si>
    <t>B0024.11</t>
  </si>
  <si>
    <t>rha-2</t>
  </si>
  <si>
    <t>F52B5.2</t>
  </si>
  <si>
    <t>hum-4</t>
  </si>
  <si>
    <t>coa-6</t>
  </si>
  <si>
    <t>mdf-2</t>
  </si>
  <si>
    <t>pept-1</t>
  </si>
  <si>
    <t>pak-2</t>
  </si>
  <si>
    <t>tsfm-1</t>
  </si>
  <si>
    <t>rnp-5</t>
  </si>
  <si>
    <t>nhx-2</t>
  </si>
  <si>
    <t>F44E5.1</t>
  </si>
  <si>
    <t>sams-3</t>
  </si>
  <si>
    <t>tars-1</t>
  </si>
  <si>
    <t>npp-23</t>
  </si>
  <si>
    <t>nlp-82</t>
  </si>
  <si>
    <t>rbmx-2</t>
  </si>
  <si>
    <t>Y69H2.7</t>
  </si>
  <si>
    <t>gls-1</t>
  </si>
  <si>
    <t>Y47D3A.21</t>
  </si>
  <si>
    <t>F40G9.17</t>
  </si>
  <si>
    <t>F40E10.6</t>
  </si>
  <si>
    <t>cysl-3</t>
  </si>
  <si>
    <t>fem-2</t>
  </si>
  <si>
    <t>thoc-2</t>
  </si>
  <si>
    <t>nkb-1</t>
  </si>
  <si>
    <t>Y106G6D.3</t>
  </si>
  <si>
    <t>acaa-2</t>
  </si>
  <si>
    <t>jnk-1</t>
  </si>
  <si>
    <t>poml-3</t>
  </si>
  <si>
    <t>mrpl-20</t>
  </si>
  <si>
    <t>ZK673.2</t>
  </si>
  <si>
    <t>tftc-3</t>
  </si>
  <si>
    <t>ncx-3</t>
  </si>
  <si>
    <t>F25H2.4</t>
  </si>
  <si>
    <t>K10C3.4</t>
  </si>
  <si>
    <t>mboa-7</t>
  </si>
  <si>
    <t>adpr-1</t>
  </si>
  <si>
    <t>K02H11.4</t>
  </si>
  <si>
    <t>act-4</t>
  </si>
  <si>
    <t>vps-26</t>
  </si>
  <si>
    <t>tomm-22</t>
  </si>
  <si>
    <t>D1054.3</t>
  </si>
  <si>
    <t>mrpl-38</t>
  </si>
  <si>
    <t>C01B4.7</t>
  </si>
  <si>
    <t>F53F8.5</t>
  </si>
  <si>
    <t>T20F5.7</t>
  </si>
  <si>
    <t>nasp-1</t>
  </si>
  <si>
    <t>fars-1</t>
  </si>
  <si>
    <t>W09C5.1</t>
  </si>
  <si>
    <t>D2021.4</t>
  </si>
  <si>
    <t>pgp-9</t>
  </si>
  <si>
    <t>gly-3</t>
  </si>
  <si>
    <t>Y48A6B.3</t>
  </si>
  <si>
    <t>lec-9</t>
  </si>
  <si>
    <t>T22B7.4</t>
  </si>
  <si>
    <t>hum-2</t>
  </si>
  <si>
    <t>cyl-1</t>
  </si>
  <si>
    <t>B0403.3</t>
  </si>
  <si>
    <t>mrpl-49</t>
  </si>
  <si>
    <t>emb-8</t>
  </si>
  <si>
    <t>tbc-8</t>
  </si>
  <si>
    <t>nse-1</t>
  </si>
  <si>
    <t>B0495.8</t>
  </si>
  <si>
    <t>acdh-11</t>
  </si>
  <si>
    <t>app-1</t>
  </si>
  <si>
    <t>txdc-9</t>
  </si>
  <si>
    <t>unc-60</t>
  </si>
  <si>
    <t>cec-5</t>
  </si>
  <si>
    <t>R119.3</t>
  </si>
  <si>
    <t>3E324</t>
  </si>
  <si>
    <t>pro-2</t>
  </si>
  <si>
    <t>lipt-1</t>
  </si>
  <si>
    <t>mei-1</t>
  </si>
  <si>
    <t>A0T1Y0</t>
  </si>
  <si>
    <t>sth-1</t>
  </si>
  <si>
    <t>bckd-1A</t>
  </si>
  <si>
    <t>rba-1</t>
  </si>
  <si>
    <t>W03F9.1</t>
  </si>
  <si>
    <t>Y62E10A.20</t>
  </si>
  <si>
    <t>ubc-13</t>
  </si>
  <si>
    <t>fnip-2</t>
  </si>
  <si>
    <t>F02E9.3</t>
  </si>
  <si>
    <t>gst-5</t>
  </si>
  <si>
    <t>msh-6</t>
  </si>
  <si>
    <t>B0250.5</t>
  </si>
  <si>
    <t>F17E9.4</t>
  </si>
  <si>
    <t>mrpl-16</t>
  </si>
  <si>
    <t>mpz-1</t>
  </si>
  <si>
    <t>pas-7</t>
  </si>
  <si>
    <t>rfc-3</t>
  </si>
  <si>
    <t>ZK1127.4</t>
  </si>
  <si>
    <t>unc-104</t>
  </si>
  <si>
    <t>mrps-31</t>
  </si>
  <si>
    <t>nifk-1</t>
  </si>
  <si>
    <t>dhs-12</t>
  </si>
  <si>
    <t>pph-5</t>
  </si>
  <si>
    <t>ulp-2</t>
  </si>
  <si>
    <t>C49A9.6</t>
  </si>
  <si>
    <t>R05D3.6</t>
  </si>
  <si>
    <t>mex-5</t>
  </si>
  <si>
    <t>T12G3.4</t>
  </si>
  <si>
    <t>Y39B6A.3</t>
  </si>
  <si>
    <t>F56F11.4</t>
  </si>
  <si>
    <t>cyn-3</t>
  </si>
  <si>
    <t>ddx-52</t>
  </si>
  <si>
    <t>pyk-2</t>
  </si>
  <si>
    <t>inx-15</t>
  </si>
  <si>
    <t>dgk-1</t>
  </si>
  <si>
    <t>C18B2.3</t>
  </si>
  <si>
    <t>cyn-1</t>
  </si>
  <si>
    <t>syf-3</t>
  </si>
  <si>
    <t>myrf-2</t>
  </si>
  <si>
    <t>F35C8.5</t>
  </si>
  <si>
    <t>Y37D8A.2</t>
  </si>
  <si>
    <t>fld-1</t>
  </si>
  <si>
    <t>ral-1</t>
  </si>
  <si>
    <t>C38C10.2</t>
  </si>
  <si>
    <t>F46B6.6</t>
  </si>
  <si>
    <t>Y46E12BL.2</t>
  </si>
  <si>
    <t>tank-1</t>
  </si>
  <si>
    <t>F40G9.5</t>
  </si>
  <si>
    <t>ZC262.2</t>
  </si>
  <si>
    <t>F21D5.1</t>
  </si>
  <si>
    <t>T09A5.5</t>
  </si>
  <si>
    <t>cdc-48.1</t>
  </si>
  <si>
    <t>ubh-4</t>
  </si>
  <si>
    <t>let-526</t>
  </si>
  <si>
    <t>W02H5.2</t>
  </si>
  <si>
    <t>Y77E11A.7</t>
  </si>
  <si>
    <t>D2023.4</t>
  </si>
  <si>
    <t>mut-14</t>
  </si>
  <si>
    <t>osgl-1</t>
  </si>
  <si>
    <t>ipla-3</t>
  </si>
  <si>
    <t>pcn-1</t>
  </si>
  <si>
    <t>mrps-9</t>
  </si>
  <si>
    <t>B0035.3</t>
  </si>
  <si>
    <t>phb-1</t>
  </si>
  <si>
    <t>fbxl-1</t>
  </si>
  <si>
    <t>dhs-6</t>
  </si>
  <si>
    <t>nol-58</t>
  </si>
  <si>
    <t>usp-14</t>
  </si>
  <si>
    <t>C01G6.5</t>
  </si>
  <si>
    <t>uev-1</t>
  </si>
  <si>
    <t>rpn-10</t>
  </si>
  <si>
    <t>ule-2</t>
  </si>
  <si>
    <t>inx-17</t>
  </si>
  <si>
    <t>ints-8</t>
  </si>
  <si>
    <t>T26G10.1</t>
  </si>
  <si>
    <t>ddx-46</t>
  </si>
  <si>
    <t>deps-1</t>
  </si>
  <si>
    <t>cuc-1</t>
  </si>
  <si>
    <t>lin-38</t>
  </si>
  <si>
    <t>W01F3.2</t>
  </si>
  <si>
    <t>F49C12.9</t>
  </si>
  <si>
    <t>unc-59</t>
  </si>
  <si>
    <t>mrpl-34</t>
  </si>
  <si>
    <t>dhfr-1</t>
  </si>
  <si>
    <t>R186.8</t>
  </si>
  <si>
    <t>mrps-27</t>
  </si>
  <si>
    <t>ttr-36</t>
  </si>
  <si>
    <t>mcd-1</t>
  </si>
  <si>
    <t>mpst-1</t>
  </si>
  <si>
    <t>nog-1</t>
  </si>
  <si>
    <t>cpl-1</t>
  </si>
  <si>
    <t>hat-1</t>
  </si>
  <si>
    <t>ntl-9</t>
  </si>
  <si>
    <t>C18B2.4</t>
  </si>
  <si>
    <t>mrpl-22</t>
  </si>
  <si>
    <t>mrck-1</t>
  </si>
  <si>
    <t>npp-7</t>
  </si>
  <si>
    <t>dod-19</t>
  </si>
  <si>
    <t>F40F4.7</t>
  </si>
  <si>
    <t>F55D12.1</t>
  </si>
  <si>
    <t>pfas-1</t>
  </si>
  <si>
    <t>R53.5</t>
  </si>
  <si>
    <t>taco-1</t>
  </si>
  <si>
    <t>aex-3</t>
  </si>
  <si>
    <t>inx-16</t>
  </si>
  <si>
    <t>dylt-1</t>
  </si>
  <si>
    <t>gst-10</t>
  </si>
  <si>
    <t>gpd-1</t>
  </si>
  <si>
    <t>ebp-2</t>
  </si>
  <si>
    <t>H01G02.1</t>
  </si>
  <si>
    <t>C47B2.9</t>
  </si>
  <si>
    <t>sqst-1</t>
  </si>
  <si>
    <t>gpd-4</t>
  </si>
  <si>
    <t>rbc-2</t>
  </si>
  <si>
    <t>srp-6</t>
  </si>
  <si>
    <t>ZK355.2</t>
  </si>
  <si>
    <t>K09E4.3</t>
  </si>
  <si>
    <t>pgp-6</t>
  </si>
  <si>
    <t>pas-2</t>
  </si>
  <si>
    <t>lin-23</t>
  </si>
  <si>
    <t>ubc-18</t>
  </si>
  <si>
    <t>wdr-5.3</t>
  </si>
  <si>
    <t>mrps-17</t>
  </si>
  <si>
    <t>F23B12.7</t>
  </si>
  <si>
    <t>F28F5.6</t>
  </si>
  <si>
    <t>rfc-2</t>
  </si>
  <si>
    <t>F27D4.1</t>
  </si>
  <si>
    <t>eol-1</t>
  </si>
  <si>
    <t>F23C8.5</t>
  </si>
  <si>
    <t>rpa-1</t>
  </si>
  <si>
    <t>pri-1</t>
  </si>
  <si>
    <t>mrps-28</t>
  </si>
  <si>
    <t>sucg-1</t>
  </si>
  <si>
    <t>dpf-4</t>
  </si>
  <si>
    <t>otub-1</t>
  </si>
  <si>
    <t>sucl-2</t>
  </si>
  <si>
    <t>F10E7.5</t>
  </si>
  <si>
    <t>acl-3</t>
  </si>
  <si>
    <t>fntb-1</t>
  </si>
  <si>
    <t>azyx-1</t>
  </si>
  <si>
    <t>F42G10.1</t>
  </si>
  <si>
    <t>ZK1055.7</t>
  </si>
  <si>
    <t>nuc-1</t>
  </si>
  <si>
    <t>gmpr-1</t>
  </si>
  <si>
    <t>cyp-31a3</t>
  </si>
  <si>
    <t>dut-1</t>
  </si>
  <si>
    <t>pas-4</t>
  </si>
  <si>
    <t>pbs-6</t>
  </si>
  <si>
    <t>tbh-1</t>
  </si>
  <si>
    <t>tag-296</t>
  </si>
  <si>
    <t>sin-3</t>
  </si>
  <si>
    <t>prx-1</t>
  </si>
  <si>
    <t>pri-2</t>
  </si>
  <si>
    <t>T13H5.1</t>
  </si>
  <si>
    <t>sur-6</t>
  </si>
  <si>
    <t>srf-3</t>
  </si>
  <si>
    <t>erp-44.1</t>
  </si>
  <si>
    <t>syp-1</t>
  </si>
  <si>
    <t>cpna-1</t>
  </si>
  <si>
    <t>txt-6</t>
  </si>
  <si>
    <t>lbp-5</t>
  </si>
  <si>
    <t>gsto-3</t>
  </si>
  <si>
    <t>dapk-1</t>
  </si>
  <si>
    <t>osm-11</t>
  </si>
  <si>
    <t>emb-30</t>
  </si>
  <si>
    <t>K12H4.7</t>
  </si>
  <si>
    <t>C43E11.9</t>
  </si>
  <si>
    <t>T03F1.11</t>
  </si>
  <si>
    <t>B0228.1</t>
  </si>
  <si>
    <t>lin-13</t>
  </si>
  <si>
    <t>prx-3</t>
  </si>
  <si>
    <t>ugt-57</t>
  </si>
  <si>
    <t>F07A11.5</t>
  </si>
  <si>
    <t>cpf-1</t>
  </si>
  <si>
    <t>thn-1</t>
  </si>
  <si>
    <t>grl-4</t>
  </si>
  <si>
    <t>R05H5.3</t>
  </si>
  <si>
    <t>T14G8.3</t>
  </si>
  <si>
    <t>trm-1</t>
  </si>
  <si>
    <t>daf-3</t>
  </si>
  <si>
    <t>Y69A2AR.28</t>
  </si>
  <si>
    <t>rep-1</t>
  </si>
  <si>
    <t>phf-14</t>
  </si>
  <si>
    <t>Y9C9A.8</t>
  </si>
  <si>
    <t>F28H6.4</t>
  </si>
  <si>
    <t>Control_01_rep1</t>
  </si>
  <si>
    <t>Control_01_rep2</t>
  </si>
  <si>
    <t>Control_01_rep3</t>
  </si>
  <si>
    <t>NEK3_01_rep1</t>
  </si>
  <si>
    <t>NEK3_01_rep2</t>
  </si>
  <si>
    <t>NEK3_01_rep3</t>
  </si>
  <si>
    <t>Avg</t>
  </si>
  <si>
    <t>E6 N2</t>
  </si>
  <si>
    <t>ugt-21</t>
  </si>
  <si>
    <t>Y50D4B.1</t>
  </si>
  <si>
    <t>picd-1</t>
  </si>
  <si>
    <t>mlk-1</t>
  </si>
  <si>
    <t>utx-1</t>
  </si>
  <si>
    <t>dhs-11</t>
  </si>
  <si>
    <t>ZC581.9</t>
  </si>
  <si>
    <t>C25H3.11</t>
  </si>
  <si>
    <t>C34F6.10</t>
  </si>
  <si>
    <t>frm-5.2</t>
  </si>
  <si>
    <t>cdh-12</t>
  </si>
  <si>
    <t>tnt-3</t>
  </si>
  <si>
    <t>H11E01.3</t>
  </si>
  <si>
    <t>Y52B11A.3</t>
  </si>
  <si>
    <t>T26A5.6</t>
  </si>
  <si>
    <t>Y49E10.29</t>
  </si>
  <si>
    <t>cids-2</t>
  </si>
  <si>
    <t>F49E2.2</t>
  </si>
  <si>
    <t>rcs-1</t>
  </si>
  <si>
    <t>trpp-1</t>
  </si>
  <si>
    <t>ZK858.6</t>
  </si>
  <si>
    <t>pals-39</t>
  </si>
  <si>
    <t>pqn-41</t>
  </si>
  <si>
    <t>Y116A8C.10</t>
  </si>
  <si>
    <t>F45E1.4</t>
  </si>
  <si>
    <t>B0507.6</t>
  </si>
  <si>
    <t>R13D11.4</t>
  </si>
  <si>
    <t>F35D2.1</t>
  </si>
  <si>
    <t>pmp-3</t>
  </si>
  <si>
    <t>ZC434.9</t>
  </si>
  <si>
    <t>pign-1</t>
  </si>
  <si>
    <t>mtg-1</t>
  </si>
  <si>
    <t>mig-2</t>
  </si>
  <si>
    <t>pef-1</t>
  </si>
  <si>
    <t>tre-1</t>
  </si>
  <si>
    <t>csk-1</t>
  </si>
  <si>
    <t>F17H10.1</t>
  </si>
  <si>
    <t>dpt-1</t>
  </si>
  <si>
    <t>hpo-11</t>
  </si>
  <si>
    <t>Y66A7A.4</t>
  </si>
  <si>
    <t>tim-1</t>
  </si>
  <si>
    <t>aap-1</t>
  </si>
  <si>
    <t>exos-7</t>
  </si>
  <si>
    <t>eor-1</t>
  </si>
  <si>
    <t>E01G4.6</t>
  </si>
  <si>
    <t>cua-1</t>
  </si>
  <si>
    <t>osr-1</t>
  </si>
  <si>
    <t>F57G12.2</t>
  </si>
  <si>
    <t>cnk-1</t>
  </si>
  <si>
    <t>btf-1</t>
  </si>
  <si>
    <t>efl-1</t>
  </si>
  <si>
    <t>asd-2</t>
  </si>
  <si>
    <t>sem-4</t>
  </si>
  <si>
    <t>idi-1</t>
  </si>
  <si>
    <t>tag-297</t>
  </si>
  <si>
    <t>gldr-2</t>
  </si>
  <si>
    <t>rsa-2</t>
  </si>
  <si>
    <t>vps-52</t>
  </si>
  <si>
    <t>pgp-8</t>
  </si>
  <si>
    <t>egl-20</t>
  </si>
  <si>
    <t>pgp-14</t>
  </si>
  <si>
    <t>fbxc-2</t>
  </si>
  <si>
    <t>fat-7</t>
  </si>
  <si>
    <t>W02B12.11</t>
  </si>
  <si>
    <t>C16A11.2</t>
  </si>
  <si>
    <t>C06A6.2</t>
  </si>
  <si>
    <t>cgef-1</t>
  </si>
  <si>
    <t>pkg-2</t>
  </si>
  <si>
    <t>T25B2.2</t>
  </si>
  <si>
    <t>nhr-88</t>
  </si>
  <si>
    <t>toe-2</t>
  </si>
  <si>
    <t>Y37E11AL.3</t>
  </si>
  <si>
    <t>F36D4.5</t>
  </si>
  <si>
    <t>unc-96</t>
  </si>
  <si>
    <t>svh-2</t>
  </si>
  <si>
    <t>mex-3</t>
  </si>
  <si>
    <t>prhg-1</t>
  </si>
  <si>
    <t>Y119D3B.12</t>
  </si>
  <si>
    <t>nkcc-1</t>
  </si>
  <si>
    <t>kin-4</t>
  </si>
  <si>
    <t>cup-14</t>
  </si>
  <si>
    <t>gtf-2h4</t>
  </si>
  <si>
    <t>fre-1</t>
  </si>
  <si>
    <t>T20D3.5</t>
  </si>
  <si>
    <t>drsh-1</t>
  </si>
  <si>
    <t>B0207.6</t>
  </si>
  <si>
    <t>vep-1</t>
  </si>
  <si>
    <t>B0261.7</t>
  </si>
  <si>
    <t>nhr-189</t>
  </si>
  <si>
    <t>F48A9.2</t>
  </si>
  <si>
    <t>F20H11.1</t>
  </si>
  <si>
    <t>glh-3</t>
  </si>
  <si>
    <t>vps-51</t>
  </si>
  <si>
    <t>T05E7.3</t>
  </si>
  <si>
    <t>tmem-39</t>
  </si>
  <si>
    <t>bli-2</t>
  </si>
  <si>
    <t>F59E12.1</t>
  </si>
  <si>
    <t>ari-1.3</t>
  </si>
  <si>
    <t>acs-9</t>
  </si>
  <si>
    <t>nhr-62</t>
  </si>
  <si>
    <t>T23D8.3</t>
  </si>
  <si>
    <t>cyp-35a2</t>
  </si>
  <si>
    <t>djr-1.2</t>
  </si>
  <si>
    <t>F32D1.5</t>
  </si>
  <si>
    <t>C05C8.5</t>
  </si>
  <si>
    <t>ugt-64</t>
  </si>
  <si>
    <t>nhr-134</t>
  </si>
  <si>
    <t>urb-1</t>
  </si>
  <si>
    <t>T05H4.4</t>
  </si>
  <si>
    <t>mtq-2</t>
  </si>
  <si>
    <t>B0281.3</t>
  </si>
  <si>
    <t>alg-2</t>
  </si>
  <si>
    <t>F59E11.5</t>
  </si>
  <si>
    <t>pqbp-1.1</t>
  </si>
  <si>
    <t>ttb-1</t>
  </si>
  <si>
    <t>lido-9</t>
  </si>
  <si>
    <t>math-24</t>
  </si>
  <si>
    <t>math-22</t>
  </si>
  <si>
    <t>K10B4.3</t>
  </si>
  <si>
    <t>F52H2.6</t>
  </si>
  <si>
    <t>BE10.1</t>
  </si>
  <si>
    <t>fbxa-157</t>
  </si>
  <si>
    <t>C29F3.7</t>
  </si>
  <si>
    <t>C55A6.6</t>
  </si>
  <si>
    <t>egl-21</t>
  </si>
  <si>
    <t>maea-1</t>
  </si>
  <si>
    <t>mat-2</t>
  </si>
  <si>
    <t>Y53C12B.1</t>
  </si>
  <si>
    <t>C02B10.4</t>
  </si>
  <si>
    <t>ints-13</t>
  </si>
  <si>
    <t>moc-3</t>
  </si>
  <si>
    <t>cyp-35b2</t>
  </si>
  <si>
    <t>prp-17</t>
  </si>
  <si>
    <t>usp-39</t>
  </si>
  <si>
    <t>F14D2.11</t>
  </si>
  <si>
    <t>nep-2</t>
  </si>
  <si>
    <t>col-49</t>
  </si>
  <si>
    <t>F53H1.3</t>
  </si>
  <si>
    <t>mrpl-2</t>
  </si>
  <si>
    <t>mfb-1</t>
  </si>
  <si>
    <t>arl-3</t>
  </si>
  <si>
    <t>cpr-2</t>
  </si>
  <si>
    <t>klp-19</t>
  </si>
  <si>
    <t>iscu-1</t>
  </si>
  <si>
    <t>F39C12.1</t>
  </si>
  <si>
    <t>R119.2</t>
  </si>
  <si>
    <t>suco-1</t>
  </si>
  <si>
    <t>cdk-2</t>
  </si>
  <si>
    <t>ergo-1</t>
  </si>
  <si>
    <t>dach-1</t>
  </si>
  <si>
    <t>pgap-3</t>
  </si>
  <si>
    <t>mut-16</t>
  </si>
  <si>
    <t>C37A5.7</t>
  </si>
  <si>
    <t>F57C2.5</t>
  </si>
  <si>
    <t>smg-8</t>
  </si>
  <si>
    <t>rbm-28</t>
  </si>
  <si>
    <t>fbxa-135</t>
  </si>
  <si>
    <t>crp-1</t>
  </si>
  <si>
    <t>Y45F10D.6</t>
  </si>
  <si>
    <t>eelo-2</t>
  </si>
  <si>
    <t>phyh-1</t>
  </si>
  <si>
    <t>ccpp-1</t>
  </si>
  <si>
    <t>T10B5.3</t>
  </si>
  <si>
    <t>math-41</t>
  </si>
  <si>
    <t>T19D12.4</t>
  </si>
  <si>
    <t>his-44</t>
  </si>
  <si>
    <t>his-68</t>
  </si>
  <si>
    <t>lin-12</t>
  </si>
  <si>
    <t>mlc-1</t>
  </si>
  <si>
    <t>sdc-1</t>
  </si>
  <si>
    <t>nduo-1</t>
  </si>
  <si>
    <t>atp-6</t>
  </si>
  <si>
    <t>ctb-1</t>
  </si>
  <si>
    <t>nduo-4</t>
  </si>
  <si>
    <t>nduo-5</t>
  </si>
  <si>
    <t>R08D7.1</t>
  </si>
  <si>
    <t>acdh-6</t>
  </si>
  <si>
    <t>C13G5.2</t>
  </si>
  <si>
    <t>kle-2</t>
  </si>
  <si>
    <t>ced-7</t>
  </si>
  <si>
    <t>F10E9.4</t>
  </si>
  <si>
    <t>dpy-19</t>
  </si>
  <si>
    <t>cit-1.2</t>
  </si>
  <si>
    <t>F44B9.8</t>
  </si>
  <si>
    <t>F59B2.3</t>
  </si>
  <si>
    <t>mtss-1</t>
  </si>
  <si>
    <t>grp-1</t>
  </si>
  <si>
    <t>rfp-1</t>
  </si>
  <si>
    <t>ZC262.5</t>
  </si>
  <si>
    <t>mtx-2</t>
  </si>
  <si>
    <t>ZK1098.1</t>
  </si>
  <si>
    <t>ubxn-4</t>
  </si>
  <si>
    <t>riok-3</t>
  </si>
  <si>
    <t>pgp-3</t>
  </si>
  <si>
    <t>ost-1</t>
  </si>
  <si>
    <t>mrps-23</t>
  </si>
  <si>
    <t>gop-1</t>
  </si>
  <si>
    <t>clk-1</t>
  </si>
  <si>
    <t>erd-2.1</t>
  </si>
  <si>
    <t>F08C6.2</t>
  </si>
  <si>
    <t>sams-4</t>
  </si>
  <si>
    <t>rer-1</t>
  </si>
  <si>
    <t>eft-4</t>
  </si>
  <si>
    <t>mspn-1</t>
  </si>
  <si>
    <t>hmgs-1</t>
  </si>
  <si>
    <t>his-67</t>
  </si>
  <si>
    <t>C09B9.7</t>
  </si>
  <si>
    <t>rtcb-1</t>
  </si>
  <si>
    <t>cox-5b</t>
  </si>
  <si>
    <t>R13H4.5</t>
  </si>
  <si>
    <t>csn-5</t>
  </si>
  <si>
    <t>C17H11.2</t>
  </si>
  <si>
    <t>C37H5.5</t>
  </si>
  <si>
    <t>ndx-7</t>
  </si>
  <si>
    <t>cdc-6</t>
  </si>
  <si>
    <t>dnj-7</t>
  </si>
  <si>
    <t>ppfr-2</t>
  </si>
  <si>
    <t>col-73</t>
  </si>
  <si>
    <t>pxmp-4</t>
  </si>
  <si>
    <t>F25F8.1</t>
  </si>
  <si>
    <t>ubl-5</t>
  </si>
  <si>
    <t>F59A3.12</t>
  </si>
  <si>
    <t>fubl-4</t>
  </si>
  <si>
    <t>fbxb-37</t>
  </si>
  <si>
    <t>W09C3.4</t>
  </si>
  <si>
    <t>nhr-69</t>
  </si>
  <si>
    <t>tba-6</t>
  </si>
  <si>
    <t>sma-2</t>
  </si>
  <si>
    <t>tax-4</t>
  </si>
  <si>
    <t>C45G9.6</t>
  </si>
  <si>
    <t>C56G2.3</t>
  </si>
  <si>
    <t>fzy-1</t>
  </si>
  <si>
    <t>R07G3.8</t>
  </si>
  <si>
    <t>atg-16.2</t>
  </si>
  <si>
    <t>C08B11.3</t>
  </si>
  <si>
    <t>dph-2</t>
  </si>
  <si>
    <t>C16C10.8</t>
  </si>
  <si>
    <t>ire-1</t>
  </si>
  <si>
    <t>E02H1.6</t>
  </si>
  <si>
    <t>nhr-19</t>
  </si>
  <si>
    <t>F34H10.3</t>
  </si>
  <si>
    <t>hira-1</t>
  </si>
  <si>
    <t>ZC506.1</t>
  </si>
  <si>
    <t>drn-1</t>
  </si>
  <si>
    <t>gpcp-2</t>
  </si>
  <si>
    <t>pqe-1</t>
  </si>
  <si>
    <t>sur-2</t>
  </si>
  <si>
    <t>lgg-3</t>
  </si>
  <si>
    <t>nhr-47</t>
  </si>
  <si>
    <t>faah-1</t>
  </si>
  <si>
    <t>F33C8.4</t>
  </si>
  <si>
    <t>pept-2</t>
  </si>
  <si>
    <t>ccm-3</t>
  </si>
  <si>
    <t>C14B1.3</t>
  </si>
  <si>
    <t>C14C10.2</t>
  </si>
  <si>
    <t>C18E9.9</t>
  </si>
  <si>
    <t>spp-8</t>
  </si>
  <si>
    <t>rsp-6</t>
  </si>
  <si>
    <t>odr-3</t>
  </si>
  <si>
    <t>C34D4.4</t>
  </si>
  <si>
    <t>C35D10.12</t>
  </si>
  <si>
    <t>vps-50</t>
  </si>
  <si>
    <t>bar-1</t>
  </si>
  <si>
    <t>C56A3.6</t>
  </si>
  <si>
    <t>F02C12.1</t>
  </si>
  <si>
    <t>kbrl-1</t>
  </si>
  <si>
    <t>rpl-11.2</t>
  </si>
  <si>
    <t>pole-2</t>
  </si>
  <si>
    <t>unc-98</t>
  </si>
  <si>
    <t>F11A10.5</t>
  </si>
  <si>
    <t>F12F6.7</t>
  </si>
  <si>
    <t>srlf-11</t>
  </si>
  <si>
    <t>ndx-9</t>
  </si>
  <si>
    <t>F17E5.2</t>
  </si>
  <si>
    <t>wrn-1</t>
  </si>
  <si>
    <t>papl-1</t>
  </si>
  <si>
    <t>F22B5.4</t>
  </si>
  <si>
    <t>nonu-1</t>
  </si>
  <si>
    <t>rgl-1</t>
  </si>
  <si>
    <t>suf-1</t>
  </si>
  <si>
    <t>cyp-25a3</t>
  </si>
  <si>
    <t>F13H10.8</t>
  </si>
  <si>
    <t>ZK669.5</t>
  </si>
  <si>
    <t>F35D11.4</t>
  </si>
  <si>
    <t>F35D11.3</t>
  </si>
  <si>
    <t>tbce-1</t>
  </si>
  <si>
    <t>pifk-1</t>
  </si>
  <si>
    <t>mus-101</t>
  </si>
  <si>
    <t>tba-9</t>
  </si>
  <si>
    <t>sptl-2</t>
  </si>
  <si>
    <t>F43H9.3</t>
  </si>
  <si>
    <t>egg-3</t>
  </si>
  <si>
    <t>tbc-13</t>
  </si>
  <si>
    <t>gei-1</t>
  </si>
  <si>
    <t>rrc-1</t>
  </si>
  <si>
    <t>ipla-2</t>
  </si>
  <si>
    <t>mtcu-2</t>
  </si>
  <si>
    <t>saeg-1</t>
  </si>
  <si>
    <t>F55A11.4</t>
  </si>
  <si>
    <t>F55C10.4</t>
  </si>
  <si>
    <t>aman-1</t>
  </si>
  <si>
    <t>F58A6.1</t>
  </si>
  <si>
    <t>syd-2</t>
  </si>
  <si>
    <t>slc-25a32</t>
  </si>
  <si>
    <t>K02A6.3</t>
  </si>
  <si>
    <t>ttll-15</t>
  </si>
  <si>
    <t>ctf-18</t>
  </si>
  <si>
    <t>nhr-32</t>
  </si>
  <si>
    <t>lin-14</t>
  </si>
  <si>
    <t>M01F1.4</t>
  </si>
  <si>
    <t>mep-1</t>
  </si>
  <si>
    <t>gbh-2</t>
  </si>
  <si>
    <t>M176.4</t>
  </si>
  <si>
    <t>M18.3</t>
  </si>
  <si>
    <t>inpp-4B</t>
  </si>
  <si>
    <t>nrde-3</t>
  </si>
  <si>
    <t>rskn-1</t>
  </si>
  <si>
    <t>R07E3.1</t>
  </si>
  <si>
    <t>ebax-1</t>
  </si>
  <si>
    <t>rfk-1</t>
  </si>
  <si>
    <t>pde-4</t>
  </si>
  <si>
    <t>rab-21</t>
  </si>
  <si>
    <t>trcs-2</t>
  </si>
  <si>
    <t>plc-3</t>
  </si>
  <si>
    <t>nhr-40</t>
  </si>
  <si>
    <t>T04A8.8</t>
  </si>
  <si>
    <t>T04F8.7</t>
  </si>
  <si>
    <t>atl-1</t>
  </si>
  <si>
    <t>lgc-32</t>
  </si>
  <si>
    <t>T20H4.5</t>
  </si>
  <si>
    <t>pigu-1</t>
  </si>
  <si>
    <t>glt-4</t>
  </si>
  <si>
    <t>samp-1</t>
  </si>
  <si>
    <t>T24G10.2</t>
  </si>
  <si>
    <t>lelo-1</t>
  </si>
  <si>
    <t>T28B11.1</t>
  </si>
  <si>
    <t>otpl-4</t>
  </si>
  <si>
    <t>cest-34</t>
  </si>
  <si>
    <t>R09F10.1</t>
  </si>
  <si>
    <t>rga-1</t>
  </si>
  <si>
    <t>atat-2</t>
  </si>
  <si>
    <t>ZK287.7</t>
  </si>
  <si>
    <t>lars-2</t>
  </si>
  <si>
    <t>rbr-2</t>
  </si>
  <si>
    <t>unc-31</t>
  </si>
  <si>
    <t>cyp-32a1</t>
  </si>
  <si>
    <t>cah-3</t>
  </si>
  <si>
    <t>T25B9.2</t>
  </si>
  <si>
    <t>mrpl-47</t>
  </si>
  <si>
    <t>H20J04.4</t>
  </si>
  <si>
    <t>slc-30a9</t>
  </si>
  <si>
    <t>C33F10.14</t>
  </si>
  <si>
    <t>ceh-99</t>
  </si>
  <si>
    <t>dot-1.1</t>
  </si>
  <si>
    <t>cbp-3</t>
  </si>
  <si>
    <t>gldi-2</t>
  </si>
  <si>
    <t>gsa-1</t>
  </si>
  <si>
    <t>C38C3.4</t>
  </si>
  <si>
    <t>C26C6.9</t>
  </si>
  <si>
    <t>ttr-7</t>
  </si>
  <si>
    <t>fnci-1</t>
  </si>
  <si>
    <t>slc-17.4</t>
  </si>
  <si>
    <t>let-611</t>
  </si>
  <si>
    <t>mcat-1</t>
  </si>
  <si>
    <t>F25B4.8</t>
  </si>
  <si>
    <t>C25H3.7</t>
  </si>
  <si>
    <t>snn-1</t>
  </si>
  <si>
    <t>cup-5</t>
  </si>
  <si>
    <t>aps-3</t>
  </si>
  <si>
    <t>slc-30a5</t>
  </si>
  <si>
    <t>C31E10.6</t>
  </si>
  <si>
    <t>cytb-5.1</t>
  </si>
  <si>
    <t>rpb-3</t>
  </si>
  <si>
    <t>F15D4.5</t>
  </si>
  <si>
    <t>F16B12.1</t>
  </si>
  <si>
    <t>sac-1</t>
  </si>
  <si>
    <t>tatn-1</t>
  </si>
  <si>
    <t>gfi-3</t>
  </si>
  <si>
    <t>hlb-1</t>
  </si>
  <si>
    <t>age-1</t>
  </si>
  <si>
    <t>stau-1</t>
  </si>
  <si>
    <t>mel-26</t>
  </si>
  <si>
    <t>ooc-5</t>
  </si>
  <si>
    <t>tbx-7</t>
  </si>
  <si>
    <t>Y66D12A.8</t>
  </si>
  <si>
    <t>mrps-7</t>
  </si>
  <si>
    <t>lfe-2</t>
  </si>
  <si>
    <t>zyg-8</t>
  </si>
  <si>
    <t>F13H8.11</t>
  </si>
  <si>
    <t>eif-3.L</t>
  </si>
  <si>
    <t>cdf-1</t>
  </si>
  <si>
    <t>C03B1.14</t>
  </si>
  <si>
    <t>gap-3</t>
  </si>
  <si>
    <t>fbxa-19</t>
  </si>
  <si>
    <t>ppm-1.d</t>
  </si>
  <si>
    <t>fbxa-39</t>
  </si>
  <si>
    <t>Y71G12B.25</t>
  </si>
  <si>
    <t>rcor-1</t>
  </si>
  <si>
    <t>bet-1</t>
  </si>
  <si>
    <t>hcp-6</t>
  </si>
  <si>
    <t>M04F3.4</t>
  </si>
  <si>
    <t>lig-4</t>
  </si>
  <si>
    <t>sqv-6</t>
  </si>
  <si>
    <t>ubh-3</t>
  </si>
  <si>
    <t>nhr-86</t>
  </si>
  <si>
    <t>mtm-9</t>
  </si>
  <si>
    <t>akir-1</t>
  </si>
  <si>
    <t>daf-2</t>
  </si>
  <si>
    <t>trmt-10C.1</t>
  </si>
  <si>
    <t>gpa-4</t>
  </si>
  <si>
    <t>ddx-35</t>
  </si>
  <si>
    <t>Y48G8AL.13</t>
  </si>
  <si>
    <t>eif-4a3</t>
  </si>
  <si>
    <t>Y55F3BR.1</t>
  </si>
  <si>
    <t>oxy-4</t>
  </si>
  <si>
    <t>nol-14</t>
  </si>
  <si>
    <t>Y73C8B.1</t>
  </si>
  <si>
    <t>perm-3</t>
  </si>
  <si>
    <t>exos-4.2</t>
  </si>
  <si>
    <t>Y40C7B.4</t>
  </si>
  <si>
    <t>thoc-1</t>
  </si>
  <si>
    <t>athp-2</t>
  </si>
  <si>
    <t>parn-2</t>
  </si>
  <si>
    <t>Y53F4B.21</t>
  </si>
  <si>
    <t>Y59A8B.8</t>
  </si>
  <si>
    <t>ech-7</t>
  </si>
  <si>
    <t>ced-2</t>
  </si>
  <si>
    <t>msp-79</t>
  </si>
  <si>
    <t>ubxn-1</t>
  </si>
  <si>
    <t>ccm-2</t>
  </si>
  <si>
    <t>cmk-1</t>
  </si>
  <si>
    <t>atg-9</t>
  </si>
  <si>
    <t>srw-95</t>
  </si>
  <si>
    <t>Y37E11B.5</t>
  </si>
  <si>
    <t>mys-1</t>
  </si>
  <si>
    <t>gldi-1</t>
  </si>
  <si>
    <t>gbas-1</t>
  </si>
  <si>
    <t>Y6B3B.9</t>
  </si>
  <si>
    <t>skr-4</t>
  </si>
  <si>
    <t>melo-1</t>
  </si>
  <si>
    <t>Y48C3A.20</t>
  </si>
  <si>
    <t>cku-70</t>
  </si>
  <si>
    <t>tiar-2</t>
  </si>
  <si>
    <t>crh-1</t>
  </si>
  <si>
    <t>nep-23</t>
  </si>
  <si>
    <t>snx-13</t>
  </si>
  <si>
    <t>Y106G6H.6</t>
  </si>
  <si>
    <t>pab-1</t>
  </si>
  <si>
    <t>T16G1.7</t>
  </si>
  <si>
    <t>lit-1</t>
  </si>
  <si>
    <t>F13A7.7</t>
  </si>
  <si>
    <t>mtcu-1</t>
  </si>
  <si>
    <t>trpp-6</t>
  </si>
  <si>
    <t>F56G4.6</t>
  </si>
  <si>
    <t>cyp-37a1</t>
  </si>
  <si>
    <t>immp-1</t>
  </si>
  <si>
    <t>F36A2.2</t>
  </si>
  <si>
    <t>F36A2.10</t>
  </si>
  <si>
    <t>Y54G11A.4</t>
  </si>
  <si>
    <t>attf-6</t>
  </si>
  <si>
    <t>prmt-7</t>
  </si>
  <si>
    <t>tmem-189</t>
  </si>
  <si>
    <t>gex-4</t>
  </si>
  <si>
    <t>Y49A3A.3</t>
  </si>
  <si>
    <t>Y113G7C.1</t>
  </si>
  <si>
    <t>bub-3</t>
  </si>
  <si>
    <t>Y48A6C.4</t>
  </si>
  <si>
    <t>Y5F2A.4</t>
  </si>
  <si>
    <t>rab-28</t>
  </si>
  <si>
    <t>Y106G6H.16</t>
  </si>
  <si>
    <t>arx-5</t>
  </si>
  <si>
    <t>mrps-10</t>
  </si>
  <si>
    <t>cec-7</t>
  </si>
  <si>
    <t>Y39A1A.21</t>
  </si>
  <si>
    <t>Y32B12B.2</t>
  </si>
  <si>
    <t>oxi-1</t>
  </si>
  <si>
    <t>Y19D2B.1</t>
  </si>
  <si>
    <t>Y17G7B.12</t>
  </si>
  <si>
    <t>ZK1025.3</t>
  </si>
  <si>
    <t>nepr-1</t>
  </si>
  <si>
    <t>lys-3</t>
  </si>
  <si>
    <t>nhr-8</t>
  </si>
  <si>
    <t>unc-11</t>
  </si>
  <si>
    <t>eat-17</t>
  </si>
  <si>
    <t>twk-1</t>
  </si>
  <si>
    <t>lip-1</t>
  </si>
  <si>
    <t>Y48G1C.8</t>
  </si>
  <si>
    <t>W04C9.9</t>
  </si>
  <si>
    <t>F38A5.22</t>
  </si>
  <si>
    <t>F33D4.6</t>
  </si>
  <si>
    <t>exc-5</t>
  </si>
  <si>
    <t>F14F7.5</t>
  </si>
  <si>
    <t>N2_1</t>
  </si>
  <si>
    <t>N2_2</t>
  </si>
  <si>
    <t>N2_3</t>
  </si>
  <si>
    <t>NEKL3_1</t>
  </si>
  <si>
    <t>NEKL3_2</t>
  </si>
  <si>
    <t>NEKL3_3</t>
  </si>
  <si>
    <t>N2 Avg</t>
  </si>
  <si>
    <t>MLT4_1</t>
  </si>
  <si>
    <t>MLT4_2</t>
  </si>
  <si>
    <t>MLT4_3</t>
  </si>
  <si>
    <t>W07G4.2</t>
  </si>
  <si>
    <t>ins-18</t>
  </si>
  <si>
    <t>Y54E2A.8</t>
  </si>
  <si>
    <t>unc-2</t>
  </si>
  <si>
    <t>Y73C8C.3</t>
  </si>
  <si>
    <t>Y39B6A.33</t>
  </si>
  <si>
    <t>pei-2</t>
  </si>
  <si>
    <t>Q21057</t>
  </si>
  <si>
    <t>snrp-27</t>
  </si>
  <si>
    <t>F46B6.5</t>
  </si>
  <si>
    <t>C26B2.2</t>
  </si>
  <si>
    <t>abt-2</t>
  </si>
  <si>
    <t>F59E12.9</t>
  </si>
  <si>
    <t>nol-16</t>
  </si>
  <si>
    <t>F10E9.11</t>
  </si>
  <si>
    <t>C27D8.2</t>
  </si>
  <si>
    <t>pinn-1</t>
  </si>
  <si>
    <t>hrg-9</t>
  </si>
  <si>
    <t>irld-1</t>
  </si>
  <si>
    <t>dhhc-8</t>
  </si>
  <si>
    <t>T12D8.5</t>
  </si>
  <si>
    <t>Y41D4B.11</t>
  </si>
  <si>
    <t>rpl-24.2</t>
  </si>
  <si>
    <t>F07A5.2</t>
  </si>
  <si>
    <t>gtf-2f1</t>
  </si>
  <si>
    <t>sop-3</t>
  </si>
  <si>
    <t>pei-1</t>
  </si>
  <si>
    <t>C06G4.1</t>
  </si>
  <si>
    <t>cyn-8</t>
  </si>
  <si>
    <t>F36G9.13</t>
  </si>
  <si>
    <t>mlck-1</t>
  </si>
  <si>
    <t>F08F8.9</t>
  </si>
  <si>
    <t>lron-2</t>
  </si>
  <si>
    <t>his-39</t>
  </si>
  <si>
    <t>R102.10</t>
  </si>
  <si>
    <t>arcp-1</t>
  </si>
  <si>
    <t>snt-2</t>
  </si>
  <si>
    <t>rsr-1</t>
  </si>
  <si>
    <t>ZK546.14</t>
  </si>
  <si>
    <t>ufm-1</t>
  </si>
  <si>
    <t>fnta-1</t>
  </si>
  <si>
    <t>T05A12.3</t>
  </si>
  <si>
    <t>C37C3.1</t>
  </si>
  <si>
    <t>Y39G10AR.16</t>
  </si>
  <si>
    <t>F20H11.4</t>
  </si>
  <si>
    <t>rrbs-1</t>
  </si>
  <si>
    <t>ZK512.8</t>
  </si>
  <si>
    <t>Y47A7.2</t>
  </si>
  <si>
    <t>M03C11.3</t>
  </si>
  <si>
    <t>Y92H12BR.2</t>
  </si>
  <si>
    <t>dnj-23</t>
  </si>
  <si>
    <t>erl-1</t>
  </si>
  <si>
    <t>tag-65</t>
  </si>
  <si>
    <t>C34C12.2</t>
  </si>
  <si>
    <t>aagr-2</t>
  </si>
  <si>
    <t>F13C5.2</t>
  </si>
  <si>
    <t>mrrf-1</t>
  </si>
  <si>
    <t>snt-3</t>
  </si>
  <si>
    <t>timm-17b.2</t>
  </si>
  <si>
    <t>Y87G2A.20</t>
  </si>
  <si>
    <t>daf-41</t>
  </si>
  <si>
    <t>C46A5.6</t>
  </si>
  <si>
    <t>spr-4</t>
  </si>
  <si>
    <t>taf-6.1</t>
  </si>
  <si>
    <t>Y111B2A.12</t>
  </si>
  <si>
    <t>B0019.2</t>
  </si>
  <si>
    <t>Y59C2A.3</t>
  </si>
  <si>
    <t>C50B6.9</t>
  </si>
  <si>
    <t>cyb-1</t>
  </si>
  <si>
    <t>mex-6</t>
  </si>
  <si>
    <t>F35A5.1</t>
  </si>
  <si>
    <t>slo-2</t>
  </si>
  <si>
    <t>Y66D12A.19</t>
  </si>
  <si>
    <t>rga-4</t>
  </si>
  <si>
    <t>lido-8</t>
  </si>
  <si>
    <t>bca-2</t>
  </si>
  <si>
    <t>T07F10.3</t>
  </si>
  <si>
    <t>G5ECU9</t>
  </si>
  <si>
    <t>row-1</t>
  </si>
  <si>
    <t>spat-3</t>
  </si>
  <si>
    <t>F28B4.3</t>
  </si>
  <si>
    <t>ZK1067.3</t>
  </si>
  <si>
    <t>B0261.6</t>
  </si>
  <si>
    <t>swsn-9</t>
  </si>
  <si>
    <t>nhr-48</t>
  </si>
  <si>
    <t>W03F11.4</t>
  </si>
  <si>
    <t>irld-18</t>
  </si>
  <si>
    <t>lin-9</t>
  </si>
  <si>
    <t>pola-1</t>
  </si>
  <si>
    <t>C32D5.10</t>
  </si>
  <si>
    <t>mdt-19</t>
  </si>
  <si>
    <t>mnat-1</t>
  </si>
  <si>
    <t>C09E7.4</t>
  </si>
  <si>
    <t>gei-4</t>
  </si>
  <si>
    <t>Y57G11C.9</t>
  </si>
  <si>
    <t>W04B5.5</t>
  </si>
  <si>
    <t>cec-10</t>
  </si>
  <si>
    <t>arrd-10</t>
  </si>
  <si>
    <t>wrm-1</t>
  </si>
  <si>
    <t>acox-1.3</t>
  </si>
  <si>
    <t>F59E12.8</t>
  </si>
  <si>
    <t>dcp-66</t>
  </si>
  <si>
    <t>rsu-1</t>
  </si>
  <si>
    <t>mog-7</t>
  </si>
  <si>
    <t>etr-1</t>
  </si>
  <si>
    <t>mes-3</t>
  </si>
  <si>
    <t>rad-54.l</t>
  </si>
  <si>
    <t>K08E7.6</t>
  </si>
  <si>
    <t>ercc-1</t>
  </si>
  <si>
    <t>pbs-7</t>
  </si>
  <si>
    <t>epc-1</t>
  </si>
  <si>
    <t>W04A8.6</t>
  </si>
  <si>
    <t>bed-2</t>
  </si>
  <si>
    <t>F53B2.8</t>
  </si>
  <si>
    <t>F56A4.3</t>
  </si>
  <si>
    <t>C06A5.3</t>
  </si>
  <si>
    <t>cfim-2</t>
  </si>
  <si>
    <t>T22C1.1</t>
  </si>
  <si>
    <t>taf-4</t>
  </si>
  <si>
    <t>F49C12.15</t>
  </si>
  <si>
    <t>C18A3.3</t>
  </si>
  <si>
    <t>C26B9.6</t>
  </si>
  <si>
    <t>knl-2</t>
  </si>
  <si>
    <t>xpa-1</t>
  </si>
  <si>
    <t>din-1</t>
  </si>
  <si>
    <t>W08G11.3</t>
  </si>
  <si>
    <t>csb-1</t>
  </si>
  <si>
    <t>M02E1.4</t>
  </si>
  <si>
    <t>Y16B4A.2</t>
  </si>
  <si>
    <t>F14F9.3</t>
  </si>
  <si>
    <t>M05B5.3</t>
  </si>
  <si>
    <t>tyms-1</t>
  </si>
  <si>
    <t>B0361.2/B0361.1</t>
  </si>
  <si>
    <t>ugt-10</t>
  </si>
  <si>
    <t>bet-2</t>
  </si>
  <si>
    <t>leo-1</t>
  </si>
  <si>
    <t>lys-10</t>
  </si>
  <si>
    <t>ceh-100</t>
  </si>
  <si>
    <t>D1037.1</t>
  </si>
  <si>
    <t>rcq-5</t>
  </si>
  <si>
    <t>F27C1.6</t>
  </si>
  <si>
    <t>K07C5.3</t>
  </si>
  <si>
    <t>nhr-12</t>
  </si>
  <si>
    <t>egl-27</t>
  </si>
  <si>
    <t>lido-12</t>
  </si>
  <si>
    <t>B0238.11</t>
  </si>
  <si>
    <t>pph-6</t>
  </si>
  <si>
    <t>B0336.7</t>
  </si>
  <si>
    <t>tres-1</t>
  </si>
  <si>
    <t>C14A4.9</t>
  </si>
  <si>
    <t>otub-3</t>
  </si>
  <si>
    <t>R10D12.10</t>
  </si>
  <si>
    <t>prp-21</t>
  </si>
  <si>
    <t>knl-1</t>
  </si>
  <si>
    <t>Y76B12C.6</t>
  </si>
  <si>
    <t>zgpa-1</t>
  </si>
  <si>
    <t>F20D6.11</t>
  </si>
  <si>
    <t>F01G4.4</t>
  </si>
  <si>
    <t>smr-1</t>
  </si>
  <si>
    <t>Y60A3A.19</t>
  </si>
  <si>
    <t>sst-20</t>
  </si>
  <si>
    <t>nep-22</t>
  </si>
  <si>
    <t>dxbp-1</t>
  </si>
  <si>
    <t>Y66D12A.11</t>
  </si>
  <si>
    <t>rae-1</t>
  </si>
  <si>
    <t>F13A7.1</t>
  </si>
  <si>
    <t>srh-147</t>
  </si>
  <si>
    <t>C44B7.11</t>
  </si>
  <si>
    <t>aqp-1</t>
  </si>
  <si>
    <t>sfa-1</t>
  </si>
  <si>
    <t>dsh-2</t>
  </si>
  <si>
    <t>lron-7</t>
  </si>
  <si>
    <t>Y108G3AL.2</t>
  </si>
  <si>
    <t>msp-77</t>
  </si>
  <si>
    <t>B0261.1</t>
  </si>
  <si>
    <t>W04B5.3</t>
  </si>
  <si>
    <t>gcy-36</t>
  </si>
  <si>
    <t>ztf-18</t>
  </si>
  <si>
    <t>R11D1.1</t>
  </si>
  <si>
    <t>D1044.6</t>
  </si>
  <si>
    <t>ZK632.11</t>
  </si>
  <si>
    <t>sre-1</t>
  </si>
  <si>
    <t>lido-7</t>
  </si>
  <si>
    <t>hpl-2</t>
  </si>
  <si>
    <t>tsp-21</t>
  </si>
  <si>
    <t>taf-2</t>
  </si>
  <si>
    <t>W01A11.1</t>
  </si>
  <si>
    <t>R193.2</t>
  </si>
  <si>
    <t>dhgd-1</t>
  </si>
  <si>
    <t>K08C9.2</t>
  </si>
  <si>
    <t>Y17G7B.17</t>
  </si>
  <si>
    <t>pnn-1</t>
  </si>
  <si>
    <t>sdc-3</t>
  </si>
  <si>
    <t>tebp-2</t>
  </si>
  <si>
    <t>catp-7</t>
  </si>
  <si>
    <t>tcab-1</t>
  </si>
  <si>
    <t>C10B5.3</t>
  </si>
  <si>
    <t>F37A8.2</t>
  </si>
  <si>
    <t>Y45F3A.1</t>
  </si>
  <si>
    <t>nspg-13</t>
  </si>
  <si>
    <t>R07H5.9</t>
  </si>
  <si>
    <t>rga-9</t>
  </si>
  <si>
    <t>phf-10</t>
  </si>
  <si>
    <t>F45F2.9</t>
  </si>
  <si>
    <t>T22H9.1</t>
  </si>
  <si>
    <t>let-765</t>
  </si>
  <si>
    <t>lin-37</t>
  </si>
  <si>
    <t>uda-1</t>
  </si>
  <si>
    <t>gkow-1</t>
  </si>
  <si>
    <t>tlf-1</t>
  </si>
  <si>
    <t>msp-58</t>
  </si>
  <si>
    <t>Y92H12BL.5</t>
  </si>
  <si>
    <t>ZK596.2</t>
  </si>
  <si>
    <t>syd-9</t>
  </si>
  <si>
    <t>snpc-4</t>
  </si>
  <si>
    <t>snr-4</t>
  </si>
  <si>
    <t>C01G5.9</t>
  </si>
  <si>
    <t>erh-2</t>
  </si>
  <si>
    <t>ZK84.2</t>
  </si>
  <si>
    <t>shl-1</t>
  </si>
  <si>
    <t>mdt-18</t>
  </si>
  <si>
    <t>F15B10.3</t>
  </si>
  <si>
    <t>gmeb-1</t>
  </si>
  <si>
    <t>fncm-1</t>
  </si>
  <si>
    <t>F37A8.1</t>
  </si>
  <si>
    <t>C06E7.4</t>
  </si>
  <si>
    <t>T16H12.3</t>
  </si>
  <si>
    <t>C16C10.2</t>
  </si>
  <si>
    <t>Y43H11AL.1</t>
  </si>
  <si>
    <t>B0041.8</t>
  </si>
  <si>
    <t>ZK930.4</t>
  </si>
  <si>
    <t>Y65B4A.9</t>
  </si>
  <si>
    <t>Y34D9A.7</t>
  </si>
  <si>
    <t>ubc-25</t>
  </si>
  <si>
    <t>B0207.7</t>
  </si>
  <si>
    <t>bath-41</t>
  </si>
  <si>
    <t>E4 N2</t>
  </si>
  <si>
    <t>E4 MLT-4</t>
  </si>
  <si>
    <t>E6 MLT-4</t>
  </si>
  <si>
    <t>mar-6</t>
  </si>
  <si>
    <t>apr-1</t>
  </si>
  <si>
    <t>oct-2</t>
  </si>
  <si>
    <t>dpy-2</t>
  </si>
  <si>
    <t>F26H9.5</t>
  </si>
  <si>
    <t>hmg-1.1</t>
  </si>
  <si>
    <t>klo-1</t>
  </si>
  <si>
    <t>rpi-2</t>
  </si>
  <si>
    <t>Total</t>
  </si>
  <si>
    <t>Yellow</t>
  </si>
  <si>
    <t>Gray</t>
  </si>
  <si>
    <t>White</t>
  </si>
  <si>
    <t>Green</t>
  </si>
  <si>
    <t>Top</t>
  </si>
  <si>
    <t>Bottom</t>
  </si>
  <si>
    <t>% (Yellow+Gray)</t>
  </si>
  <si>
    <t>Half</t>
  </si>
  <si>
    <t>rplp-2.2</t>
  </si>
  <si>
    <t>exo-3</t>
  </si>
  <si>
    <t>F32A5.8</t>
  </si>
  <si>
    <t>faxc-1</t>
  </si>
  <si>
    <t>his-3</t>
  </si>
  <si>
    <t>K07E1.1</t>
  </si>
  <si>
    <t>C14B9.2</t>
  </si>
  <si>
    <t>cox-7c</t>
  </si>
  <si>
    <t>ctc-1</t>
  </si>
  <si>
    <t>F44E2.10</t>
  </si>
  <si>
    <t>pbs-4</t>
  </si>
  <si>
    <t>R05D3.9</t>
  </si>
  <si>
    <t>1 of 5 (855)</t>
  </si>
  <si>
    <t>NEKL-2 All  (No Dups)</t>
  </si>
  <si>
    <t>zfyv-19</t>
  </si>
  <si>
    <t>Exp 1 N2</t>
  </si>
  <si>
    <t>Exp 1 NEKL-3</t>
  </si>
  <si>
    <t>Exp 6 N2</t>
  </si>
  <si>
    <t>Exp 6 NEKL-3</t>
  </si>
  <si>
    <t>Gene</t>
  </si>
  <si>
    <t>Exp 1 NEKL-3 AND N2 (362)</t>
  </si>
  <si>
    <t>Up in Exp 1 (18/362)</t>
  </si>
  <si>
    <t>Exp 6 NEKL-3 AND N2 (516)</t>
  </si>
  <si>
    <t>Up in Exp 6 (21/516)</t>
  </si>
  <si>
    <t>NEKL-3 Exp 1 E6 (49)</t>
  </si>
  <si>
    <t>Up in Exp 1 (23/49)</t>
  </si>
  <si>
    <t xml:space="preserve">Up in Exp 6 (17/49) </t>
  </si>
  <si>
    <t>NEKL-3 Exp 1 Exp 6 (49)</t>
  </si>
  <si>
    <t>Exp 4 MLT-4 AND N2 (424)</t>
  </si>
  <si>
    <t>Up in Exp 4</t>
  </si>
  <si>
    <t>Exp 6 MLT-4 AND N2 (735)</t>
  </si>
  <si>
    <t>Up in Exp 6</t>
  </si>
  <si>
    <t>Exp 4 MLT-4 AND Exp 6 MLT-4 (11)</t>
  </si>
  <si>
    <t>Combined Pdpy-7::mNG Upregulated (221)</t>
  </si>
  <si>
    <t xml:space="preserve">Combined Pdpy-7::mNG Upregulated </t>
  </si>
  <si>
    <t>Summary</t>
  </si>
  <si>
    <t>Comparison of biological replicates</t>
  </si>
  <si>
    <t>Tabs:</t>
  </si>
  <si>
    <t>NEKL-2::TurboID bioligical replicate comparisons</t>
  </si>
  <si>
    <t>NEKL-3::TurboID bioligical replicate comparisons</t>
  </si>
  <si>
    <t>MLT-2::TurboID bioligical replicate comparisons</t>
  </si>
  <si>
    <t>MLT-3::TurboID bioligical replicate comparisons</t>
  </si>
  <si>
    <t>MLT-4::TurboID bioligical replicate comparisons</t>
  </si>
  <si>
    <t>N2 and NEKL-3; Exp 1 versus Exp 6 analyses</t>
  </si>
  <si>
    <t>N2 and MLT-4; Exp 4 versus Exp 6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</si>
</sst>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71B3A9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2" borderId="1" xfId="0" applyFill="1" applyBorder="1"/>
    <xf numFmtId="0" fontId="0" fillId="3" borderId="1" xfId="0" applyFill="1" applyBorder="1"/>
    <xf numFmtId="0" fontId="3" fillId="4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6" borderId="1" xfId="0" applyFill="1" applyBorder="1"/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11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0" fillId="7" borderId="1" xfId="0" applyFill="1" applyBorder="1"/>
    <xf numFmtId="0" fontId="2" fillId="0" borderId="1" xfId="0" applyFont="1" applyBorder="1"/>
    <xf numFmtId="16" fontId="1" fillId="0" borderId="1" xfId="0" applyNumberFormat="1" applyFont="1" applyBorder="1"/>
    <xf numFmtId="49" fontId="1" fillId="0" borderId="1" xfId="0" applyNumberFormat="1" applyFont="1" applyBorder="1"/>
    <xf numFmtId="49" fontId="0" fillId="0" borderId="1" xfId="0" applyNumberFormat="1" applyBorder="1"/>
    <xf numFmtId="49" fontId="1" fillId="0" borderId="1" xfId="0" applyNumberFormat="1" applyFont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7" borderId="1" xfId="0" applyNumberForma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3" fillId="8" borderId="1" xfId="0" applyNumberFormat="1" applyFont="1" applyFill="1" applyBorder="1" applyAlignment="1">
      <alignment horizontal="left"/>
    </xf>
    <xf numFmtId="49" fontId="3" fillId="5" borderId="1" xfId="0" applyNumberFormat="1" applyFont="1" applyFill="1" applyBorder="1" applyAlignment="1">
      <alignment horizontal="left"/>
    </xf>
    <xf numFmtId="49" fontId="3" fillId="9" borderId="1" xfId="0" applyNumberFormat="1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3" fillId="0" borderId="1" xfId="0" applyFont="1" applyBorder="1"/>
    <xf numFmtId="16" fontId="0" fillId="0" borderId="1" xfId="0" applyNumberFormat="1" applyBorder="1"/>
    <xf numFmtId="0" fontId="3" fillId="8" borderId="1" xfId="0" applyFont="1" applyFill="1" applyBorder="1"/>
    <xf numFmtId="11" fontId="0" fillId="0" borderId="1" xfId="0" applyNumberFormat="1" applyBorder="1"/>
    <xf numFmtId="16" fontId="1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10" borderId="1" xfId="0" applyFill="1" applyBorder="1" applyAlignment="1">
      <alignment horizontal="left"/>
    </xf>
    <xf numFmtId="0" fontId="6" fillId="11" borderId="1" xfId="0" applyFont="1" applyFill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5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ill>
        <patternFill patternType="solid">
          <fgColor rgb="FFD9D9D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355600</xdr:colOff>
      <xdr:row>1</xdr:row>
      <xdr:rowOff>38101</xdr:rowOff>
    </xdr:from>
    <xdr:to>
      <xdr:col>8</xdr:col>
      <xdr:colOff>406400</xdr:colOff>
      <xdr:row>13</xdr:row>
      <xdr:rowOff>90067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96FE0E-82AE-4F7F-560D-78E064A6A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2900" y="241301"/>
          <a:ext cx="2527300" cy="24903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266699</xdr:colOff>
      <xdr:row>0</xdr:row>
      <xdr:rowOff>0</xdr:rowOff>
    </xdr:from>
    <xdr:to>
      <xdr:col>8</xdr:col>
      <xdr:colOff>483864</xdr:colOff>
      <xdr:row>13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C086A9-95C5-E20E-2D04-648424E44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1599" y="0"/>
          <a:ext cx="2693665" cy="2654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317501</xdr:colOff>
      <xdr:row>0</xdr:row>
      <xdr:rowOff>0</xdr:rowOff>
    </xdr:from>
    <xdr:to>
      <xdr:col>5</xdr:col>
      <xdr:colOff>481394</xdr:colOff>
      <xdr:row>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57564E-F5BD-91AA-BBD0-8117D4E48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7301" y="0"/>
          <a:ext cx="1814893" cy="1828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218655</xdr:colOff>
      <xdr:row>0</xdr:row>
      <xdr:rowOff>73181</xdr:rowOff>
    </xdr:from>
    <xdr:to>
      <xdr:col>7</xdr:col>
      <xdr:colOff>526915</xdr:colOff>
      <xdr:row>11</xdr:row>
      <xdr:rowOff>141112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B585E3-1B65-BDB5-A115-183F9DD6F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5025" y="73181"/>
          <a:ext cx="2791816" cy="2344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294246</xdr:colOff>
      <xdr:row>0</xdr:row>
      <xdr:rowOff>141111</xdr:rowOff>
    </xdr:from>
    <xdr:to>
      <xdr:col>6</xdr:col>
      <xdr:colOff>296926</xdr:colOff>
      <xdr:row>13</xdr:row>
      <xdr:rowOff>15679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A71747-A96F-2A0F-82BA-DD6741A91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765" y="141111"/>
          <a:ext cx="2495642" cy="25243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98777</xdr:colOff>
      <xdr:row>17</xdr:row>
      <xdr:rowOff>102260</xdr:rowOff>
    </xdr:from>
    <xdr:to>
      <xdr:col>33</xdr:col>
      <xdr:colOff>727028</xdr:colOff>
      <xdr:row>34</xdr:row>
      <xdr:rowOff>183444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A1CD02-9E2B-7D24-26BA-F3E607025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42888" y="3460704"/>
          <a:ext cx="3958473" cy="34396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609600</xdr:colOff>
      <xdr:row>2</xdr:row>
      <xdr:rowOff>38100</xdr:rowOff>
    </xdr:from>
    <xdr:to>
      <xdr:col>31</xdr:col>
      <xdr:colOff>26121</xdr:colOff>
      <xdr:row>13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7CFB-9F62-5010-AB79-CFC8C4807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98100" y="444500"/>
          <a:ext cx="2718521" cy="236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091F-B44E-CE44-84F9-0565B74AB987}">
  <dimension ref="A1:B10"/>
  <sheetViews>
    <sheetView tabSelected="1" workbookViewId="0">
      <selection activeCell="D11" sqref="D11"/>
    </sheetView>
  </sheetViews>
  <sheetFormatPr baseColWidth="10" defaultRowHeight="16" x14ac:dyDescent="0.2"/>
  <cols>
    <col min="2" max="2" width="55" customWidth="1"/>
  </cols>
  <sheetData>
    <row r="1" spans="1:2" x14ac:dyDescent="0.2">
      <c r="A1" s="54" t="s">
        <v>4922</v>
      </c>
      <c r="B1" s="54" t="s">
        <v>4923</v>
      </c>
    </row>
    <row r="3" spans="1:2" x14ac:dyDescent="0.2">
      <c r="A3" s="54" t="s">
        <v>4924</v>
      </c>
    </row>
    <row r="4" spans="1:2" x14ac:dyDescent="0.2">
      <c r="A4" s="55">
        <v>1</v>
      </c>
      <c r="B4" t="s">
        <v>4925</v>
      </c>
    </row>
    <row r="5" spans="1:2" x14ac:dyDescent="0.2">
      <c r="A5" s="55">
        <v>2</v>
      </c>
      <c r="B5" t="s">
        <v>4926</v>
      </c>
    </row>
    <row r="6" spans="1:2" x14ac:dyDescent="0.2">
      <c r="A6" s="55">
        <v>3</v>
      </c>
      <c r="B6" t="s">
        <v>4927</v>
      </c>
    </row>
    <row r="7" spans="1:2" x14ac:dyDescent="0.2">
      <c r="A7" s="55">
        <v>4</v>
      </c>
      <c r="B7" t="s">
        <v>4928</v>
      </c>
    </row>
    <row r="8" spans="1:2" x14ac:dyDescent="0.2">
      <c r="A8" s="55">
        <v>5</v>
      </c>
      <c r="B8" t="s">
        <v>4929</v>
      </c>
    </row>
    <row r="9" spans="1:2" x14ac:dyDescent="0.2">
      <c r="A9" s="55">
        <v>6</v>
      </c>
      <c r="B9" t="s">
        <v>4930</v>
      </c>
    </row>
    <row r="10" spans="1:2" x14ac:dyDescent="0.2">
      <c r="A10" s="55">
        <v>7</v>
      </c>
      <c r="B10" t="s">
        <v>4931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8462-5621-D444-9EDA-19D66141944B}">
  <dimension ref="A1:Z1813"/>
  <sheetViews>
    <sheetView zoomScale="116" zoomScaleNormal="133" workbookViewId="0">
      <pane ySplit="1" topLeftCell="A2" activePane="bottomLeft" state="frozen"/>
      <selection pane="bottomLeft" activeCell="J16" sqref="J16"/>
    </sheetView>
  </sheetViews>
  <sheetFormatPr baseColWidth="10" defaultRowHeight="16" x14ac:dyDescent="0.2"/>
  <cols>
    <col min="1" max="1" width="15" style="5" customWidth="1"/>
    <col min="2" max="2" width="15.33203125" style="5" customWidth="1"/>
    <col min="3" max="3" width="18" style="5" customWidth="1"/>
    <col min="4" max="4" width="18.5" style="5" customWidth="1"/>
    <col min="5" max="5" width="16.33203125" style="5" customWidth="1"/>
    <col min="6" max="13" width="10.83203125" style="5"/>
    <col min="14" max="14" width="10.83203125" style="31"/>
    <col min="15" max="15" width="10.83203125" style="5"/>
    <col min="16" max="16" width="32.5" style="5" customWidth="1"/>
    <col min="17" max="17" width="7.1640625" style="5" customWidth="1"/>
    <col min="18" max="23" width="10.83203125" style="5"/>
    <col min="24" max="24" width="16.83203125" style="5" customWidth="1"/>
    <col min="25" max="25" width="10.83203125" style="5"/>
    <col min="26" max="26" width="19.83203125" style="4" customWidth="1"/>
    <col min="27" max="16384" width="10.83203125" style="5"/>
  </cols>
  <sheetData>
    <row r="1" spans="1:26" x14ac:dyDescent="0.2">
      <c r="A1" s="1" t="s">
        <v>1075</v>
      </c>
      <c r="B1" s="1" t="s">
        <v>1989</v>
      </c>
      <c r="C1" s="1" t="s">
        <v>1383</v>
      </c>
      <c r="D1" s="2" t="s">
        <v>1384</v>
      </c>
      <c r="E1" s="2" t="s">
        <v>1385</v>
      </c>
      <c r="J1" s="1" t="s">
        <v>1990</v>
      </c>
      <c r="K1" s="47" t="s">
        <v>1991</v>
      </c>
      <c r="L1" s="1" t="s">
        <v>1992</v>
      </c>
      <c r="M1" s="1" t="s">
        <v>1993</v>
      </c>
      <c r="N1" s="29" t="s">
        <v>1994</v>
      </c>
      <c r="P1" s="1" t="s">
        <v>4920</v>
      </c>
      <c r="Q1" s="1"/>
      <c r="R1" s="51" t="s">
        <v>4886</v>
      </c>
      <c r="S1" s="51" t="s">
        <v>4879</v>
      </c>
      <c r="T1" s="51" t="s">
        <v>4880</v>
      </c>
      <c r="U1" s="51" t="s">
        <v>4881</v>
      </c>
      <c r="V1" s="51" t="s">
        <v>4882</v>
      </c>
      <c r="W1" s="1" t="s">
        <v>4878</v>
      </c>
      <c r="X1" s="1" t="s">
        <v>4885</v>
      </c>
      <c r="Z1" s="53" t="s">
        <v>4900</v>
      </c>
    </row>
    <row r="2" spans="1:26" x14ac:dyDescent="0.2">
      <c r="A2" s="17" t="s">
        <v>171</v>
      </c>
      <c r="B2" s="17" t="s">
        <v>171</v>
      </c>
      <c r="C2" s="17" t="s">
        <v>171</v>
      </c>
      <c r="D2" s="20" t="s">
        <v>171</v>
      </c>
      <c r="E2" s="6" t="s">
        <v>980</v>
      </c>
      <c r="J2" s="5" t="s">
        <v>48</v>
      </c>
      <c r="K2" s="10" t="s">
        <v>353</v>
      </c>
      <c r="L2" s="13" t="s">
        <v>40</v>
      </c>
      <c r="M2" s="13" t="s">
        <v>613</v>
      </c>
      <c r="N2" s="33" t="s">
        <v>620</v>
      </c>
      <c r="P2" s="15" t="s">
        <v>579</v>
      </c>
      <c r="Q2" s="6"/>
      <c r="R2" s="48" t="s">
        <v>4883</v>
      </c>
      <c r="S2" s="48">
        <v>16</v>
      </c>
      <c r="T2" s="48">
        <v>7</v>
      </c>
      <c r="U2" s="48">
        <v>33</v>
      </c>
      <c r="V2" s="48">
        <v>3</v>
      </c>
      <c r="W2" s="5">
        <f>SUM(S2:V2)</f>
        <v>59</v>
      </c>
      <c r="X2" s="5">
        <f>((S2+T2)/W2)*100</f>
        <v>38.983050847457626</v>
      </c>
      <c r="Z2" s="5" t="s">
        <v>1435</v>
      </c>
    </row>
    <row r="3" spans="1:26" x14ac:dyDescent="0.2">
      <c r="A3" s="16" t="s">
        <v>406</v>
      </c>
      <c r="B3" s="5" t="s">
        <v>1076</v>
      </c>
      <c r="C3" s="5" t="s">
        <v>396</v>
      </c>
      <c r="D3" s="9" t="s">
        <v>236</v>
      </c>
      <c r="E3" s="6" t="s">
        <v>396</v>
      </c>
      <c r="J3" s="17" t="s">
        <v>401</v>
      </c>
      <c r="K3" s="5" t="s">
        <v>79</v>
      </c>
      <c r="L3" s="13" t="s">
        <v>200</v>
      </c>
      <c r="M3" s="13" t="s">
        <v>202</v>
      </c>
      <c r="N3" s="33" t="s">
        <v>270</v>
      </c>
      <c r="P3" s="15" t="s">
        <v>457</v>
      </c>
      <c r="Q3" s="6"/>
      <c r="R3" s="48" t="s">
        <v>4884</v>
      </c>
      <c r="S3" s="48">
        <v>75</v>
      </c>
      <c r="T3" s="48">
        <v>10</v>
      </c>
      <c r="U3" s="48">
        <v>758</v>
      </c>
      <c r="V3" s="48">
        <v>2</v>
      </c>
      <c r="W3" s="5">
        <f>SUM(S3:V3)</f>
        <v>845</v>
      </c>
      <c r="X3" s="5">
        <f>((S3+T3)/W3)*100</f>
        <v>10.059171597633137</v>
      </c>
      <c r="Z3" s="5" t="s">
        <v>1346</v>
      </c>
    </row>
    <row r="4" spans="1:26" x14ac:dyDescent="0.2">
      <c r="A4" s="5" t="s">
        <v>189</v>
      </c>
      <c r="B4" s="5" t="s">
        <v>469</v>
      </c>
      <c r="C4" s="16" t="s">
        <v>406</v>
      </c>
      <c r="D4" s="6" t="s">
        <v>628</v>
      </c>
      <c r="E4" s="11" t="s">
        <v>488</v>
      </c>
      <c r="J4" s="17" t="s">
        <v>171</v>
      </c>
      <c r="K4" s="5" t="s">
        <v>371</v>
      </c>
      <c r="L4" s="13" t="s">
        <v>313</v>
      </c>
      <c r="M4" s="13" t="s">
        <v>625</v>
      </c>
      <c r="N4" s="33" t="s">
        <v>617</v>
      </c>
      <c r="P4" s="15" t="s">
        <v>611</v>
      </c>
      <c r="Q4" s="6"/>
      <c r="Z4" s="52" t="s">
        <v>0</v>
      </c>
    </row>
    <row r="5" spans="1:26" x14ac:dyDescent="0.2">
      <c r="A5" s="5" t="s">
        <v>221</v>
      </c>
      <c r="B5" s="5" t="s">
        <v>1077</v>
      </c>
      <c r="C5" s="5" t="s">
        <v>371</v>
      </c>
      <c r="D5" s="9" t="s">
        <v>313</v>
      </c>
      <c r="E5" s="6" t="s">
        <v>981</v>
      </c>
      <c r="J5" s="1"/>
      <c r="K5" s="13" t="s">
        <v>380</v>
      </c>
      <c r="L5" s="13" t="s">
        <v>236</v>
      </c>
      <c r="M5" s="13" t="s">
        <v>531</v>
      </c>
      <c r="N5" s="33" t="s">
        <v>624</v>
      </c>
      <c r="P5" s="15" t="s">
        <v>23</v>
      </c>
      <c r="Q5" s="6"/>
      <c r="Z5" s="5" t="s">
        <v>1358</v>
      </c>
    </row>
    <row r="6" spans="1:26" x14ac:dyDescent="0.2">
      <c r="A6" s="13" t="s">
        <v>531</v>
      </c>
      <c r="B6" s="5" t="s">
        <v>1078</v>
      </c>
      <c r="C6" s="5" t="s">
        <v>365</v>
      </c>
      <c r="D6" s="6" t="s">
        <v>629</v>
      </c>
      <c r="E6" s="11" t="s">
        <v>376</v>
      </c>
      <c r="J6" s="1"/>
      <c r="K6" s="5" t="s">
        <v>396</v>
      </c>
      <c r="L6" s="13" t="s">
        <v>545</v>
      </c>
      <c r="M6" s="10" t="s">
        <v>108</v>
      </c>
      <c r="N6" s="33" t="s">
        <v>187</v>
      </c>
      <c r="P6" s="15" t="s">
        <v>35</v>
      </c>
      <c r="Q6" s="6"/>
      <c r="Z6" s="5" t="s">
        <v>2</v>
      </c>
    </row>
    <row r="7" spans="1:26" x14ac:dyDescent="0.2">
      <c r="A7" s="13" t="s">
        <v>200</v>
      </c>
      <c r="B7" s="10" t="s">
        <v>573</v>
      </c>
      <c r="C7" s="5" t="s">
        <v>31</v>
      </c>
      <c r="D7" s="9" t="s">
        <v>299</v>
      </c>
      <c r="E7" s="9" t="s">
        <v>625</v>
      </c>
      <c r="J7" s="1"/>
      <c r="K7" s="17" t="s">
        <v>406</v>
      </c>
      <c r="L7" s="13" t="s">
        <v>299</v>
      </c>
      <c r="M7" s="10" t="s">
        <v>63</v>
      </c>
      <c r="N7" s="33" t="s">
        <v>626</v>
      </c>
      <c r="P7" s="15" t="s">
        <v>39</v>
      </c>
      <c r="Q7" s="6"/>
      <c r="Z7" s="52" t="s">
        <v>4</v>
      </c>
    </row>
    <row r="8" spans="1:26" x14ac:dyDescent="0.2">
      <c r="A8" s="5" t="s">
        <v>110</v>
      </c>
      <c r="B8" s="5" t="s">
        <v>221</v>
      </c>
      <c r="C8" s="13" t="s">
        <v>380</v>
      </c>
      <c r="D8" s="6" t="s">
        <v>491</v>
      </c>
      <c r="E8" s="11" t="s">
        <v>255</v>
      </c>
      <c r="J8" s="1"/>
      <c r="K8" s="5" t="s">
        <v>469</v>
      </c>
      <c r="L8" s="10" t="s">
        <v>23</v>
      </c>
      <c r="M8" s="10" t="s">
        <v>255</v>
      </c>
      <c r="N8" s="32" t="s">
        <v>39</v>
      </c>
      <c r="P8" s="15" t="s">
        <v>562</v>
      </c>
      <c r="Q8" s="6"/>
      <c r="Z8" s="5" t="s">
        <v>1149</v>
      </c>
    </row>
    <row r="9" spans="1:26" x14ac:dyDescent="0.2">
      <c r="A9" s="5" t="s">
        <v>16</v>
      </c>
      <c r="B9" s="5" t="s">
        <v>1079</v>
      </c>
      <c r="C9" s="5" t="s">
        <v>201</v>
      </c>
      <c r="D9" s="6" t="s">
        <v>630</v>
      </c>
      <c r="E9" s="6" t="s">
        <v>371</v>
      </c>
      <c r="J9" s="1"/>
      <c r="K9" s="5" t="s">
        <v>491</v>
      </c>
      <c r="L9" s="10" t="s">
        <v>266</v>
      </c>
      <c r="M9" s="10" t="s">
        <v>477</v>
      </c>
      <c r="N9" s="32" t="s">
        <v>77</v>
      </c>
      <c r="P9" s="15" t="s">
        <v>496</v>
      </c>
      <c r="Q9" s="6"/>
      <c r="Z9" s="5" t="s">
        <v>1147</v>
      </c>
    </row>
    <row r="10" spans="1:26" x14ac:dyDescent="0.2">
      <c r="A10" s="5" t="s">
        <v>550</v>
      </c>
      <c r="B10" s="5" t="s">
        <v>789</v>
      </c>
      <c r="C10" s="5" t="s">
        <v>1260</v>
      </c>
      <c r="D10" s="6" t="s">
        <v>631</v>
      </c>
      <c r="E10" s="11" t="s">
        <v>563</v>
      </c>
      <c r="J10" s="1"/>
      <c r="K10" s="1"/>
      <c r="L10" s="10" t="s">
        <v>326</v>
      </c>
      <c r="M10" s="10" t="s">
        <v>376</v>
      </c>
      <c r="N10" s="32" t="s">
        <v>507</v>
      </c>
      <c r="P10" s="15" t="s">
        <v>77</v>
      </c>
      <c r="Q10" s="6"/>
      <c r="Z10" s="5" t="s">
        <v>1314</v>
      </c>
    </row>
    <row r="11" spans="1:26" x14ac:dyDescent="0.2">
      <c r="A11" s="5" t="s">
        <v>78</v>
      </c>
      <c r="B11" s="5" t="s">
        <v>1080</v>
      </c>
      <c r="C11" s="5" t="s">
        <v>1261</v>
      </c>
      <c r="D11" s="6" t="s">
        <v>134</v>
      </c>
      <c r="E11" s="11" t="s">
        <v>477</v>
      </c>
      <c r="J11" s="1"/>
      <c r="K11" s="1"/>
      <c r="L11" s="10" t="s">
        <v>289</v>
      </c>
      <c r="M11" s="10" t="s">
        <v>463</v>
      </c>
      <c r="N11" s="32" t="s">
        <v>81</v>
      </c>
      <c r="P11" s="15" t="s">
        <v>501</v>
      </c>
      <c r="Q11" s="6"/>
      <c r="Z11" s="5" t="s">
        <v>1021</v>
      </c>
    </row>
    <row r="12" spans="1:26" x14ac:dyDescent="0.2">
      <c r="A12" s="5" t="s">
        <v>342</v>
      </c>
      <c r="B12" s="5" t="s">
        <v>1081</v>
      </c>
      <c r="C12" s="10" t="s">
        <v>395</v>
      </c>
      <c r="D12" s="6" t="s">
        <v>632</v>
      </c>
      <c r="E12" s="6" t="s">
        <v>984</v>
      </c>
      <c r="J12" s="1"/>
      <c r="K12" s="1"/>
      <c r="L12" s="10" t="s">
        <v>307</v>
      </c>
      <c r="M12" s="10" t="s">
        <v>423</v>
      </c>
      <c r="N12" s="32" t="s">
        <v>512</v>
      </c>
      <c r="P12" s="15" t="s">
        <v>507</v>
      </c>
      <c r="Q12" s="6"/>
      <c r="Z12" s="5" t="s">
        <v>21</v>
      </c>
    </row>
    <row r="13" spans="1:26" x14ac:dyDescent="0.2">
      <c r="A13" s="10" t="s">
        <v>150</v>
      </c>
      <c r="B13" s="5" t="s">
        <v>1082</v>
      </c>
      <c r="C13" s="5" t="s">
        <v>41</v>
      </c>
      <c r="D13" s="6" t="s">
        <v>633</v>
      </c>
      <c r="E13" s="11" t="s">
        <v>433</v>
      </c>
      <c r="J13" s="1"/>
      <c r="K13" s="1"/>
      <c r="L13" s="10" t="s">
        <v>395</v>
      </c>
      <c r="M13" s="10" t="s">
        <v>433</v>
      </c>
      <c r="N13" s="32" t="s">
        <v>152</v>
      </c>
      <c r="P13" s="10" t="s">
        <v>81</v>
      </c>
      <c r="Z13" s="5" t="s">
        <v>716</v>
      </c>
    </row>
    <row r="14" spans="1:26" x14ac:dyDescent="0.2">
      <c r="A14" s="5" t="s">
        <v>357</v>
      </c>
      <c r="B14" s="5" t="s">
        <v>865</v>
      </c>
      <c r="C14" s="10" t="s">
        <v>383</v>
      </c>
      <c r="D14" s="9" t="s">
        <v>625</v>
      </c>
      <c r="E14" s="9" t="s">
        <v>187</v>
      </c>
      <c r="J14" s="1"/>
      <c r="K14" s="1"/>
      <c r="L14" s="10" t="s">
        <v>418</v>
      </c>
      <c r="M14" s="10" t="s">
        <v>442</v>
      </c>
      <c r="N14" s="32" t="s">
        <v>379</v>
      </c>
      <c r="P14" s="15" t="s">
        <v>108</v>
      </c>
      <c r="Q14" s="6"/>
      <c r="Z14" s="5" t="s">
        <v>1241</v>
      </c>
    </row>
    <row r="15" spans="1:26" x14ac:dyDescent="0.2">
      <c r="A15" s="5" t="s">
        <v>538</v>
      </c>
      <c r="B15" s="5" t="s">
        <v>1083</v>
      </c>
      <c r="C15" s="5" t="s">
        <v>1262</v>
      </c>
      <c r="D15" s="6" t="s">
        <v>634</v>
      </c>
      <c r="E15" s="6" t="s">
        <v>1037</v>
      </c>
      <c r="J15" s="1"/>
      <c r="K15" s="1"/>
      <c r="L15" s="10" t="s">
        <v>150</v>
      </c>
      <c r="M15" s="10" t="s">
        <v>207</v>
      </c>
      <c r="N15" s="32" t="s">
        <v>149</v>
      </c>
      <c r="P15" s="15" t="s">
        <v>422</v>
      </c>
      <c r="Q15" s="6"/>
      <c r="Z15" s="5" t="s">
        <v>1200</v>
      </c>
    </row>
    <row r="16" spans="1:26" x14ac:dyDescent="0.2">
      <c r="A16" s="10" t="s">
        <v>253</v>
      </c>
      <c r="B16" s="5" t="s">
        <v>1084</v>
      </c>
      <c r="C16" s="5" t="s">
        <v>997</v>
      </c>
      <c r="D16" s="6" t="s">
        <v>635</v>
      </c>
      <c r="E16" s="11" t="s">
        <v>150</v>
      </c>
      <c r="J16" s="1"/>
      <c r="K16" s="1"/>
      <c r="L16" s="10" t="s">
        <v>170</v>
      </c>
      <c r="M16" s="10" t="s">
        <v>454</v>
      </c>
      <c r="N16" s="32" t="s">
        <v>169</v>
      </c>
      <c r="P16" s="15" t="s">
        <v>535</v>
      </c>
      <c r="Q16" s="6"/>
      <c r="Z16" s="5" t="s">
        <v>1144</v>
      </c>
    </row>
    <row r="17" spans="1:26" x14ac:dyDescent="0.2">
      <c r="A17" s="5" t="s">
        <v>157</v>
      </c>
      <c r="B17" s="5" t="s">
        <v>1085</v>
      </c>
      <c r="C17" s="5" t="s">
        <v>268</v>
      </c>
      <c r="D17" s="9" t="s">
        <v>626</v>
      </c>
      <c r="E17" s="6" t="s">
        <v>475</v>
      </c>
      <c r="J17" s="1"/>
      <c r="K17" s="1"/>
      <c r="L17" s="10" t="s">
        <v>225</v>
      </c>
      <c r="M17" s="10" t="s">
        <v>488</v>
      </c>
      <c r="N17" s="32" t="s">
        <v>226</v>
      </c>
      <c r="P17" s="15" t="s">
        <v>512</v>
      </c>
      <c r="Q17" s="6"/>
      <c r="Z17" s="5" t="s">
        <v>1133</v>
      </c>
    </row>
    <row r="18" spans="1:26" x14ac:dyDescent="0.2">
      <c r="A18" s="5" t="s">
        <v>219</v>
      </c>
      <c r="B18" s="5" t="s">
        <v>969</v>
      </c>
      <c r="C18" s="5" t="s">
        <v>1263</v>
      </c>
      <c r="D18" s="6" t="s">
        <v>636</v>
      </c>
      <c r="E18" s="6" t="s">
        <v>157</v>
      </c>
      <c r="J18" s="1"/>
      <c r="K18" s="1"/>
      <c r="L18" s="10" t="s">
        <v>478</v>
      </c>
      <c r="M18" s="10" t="s">
        <v>466</v>
      </c>
      <c r="N18" s="32" t="s">
        <v>71</v>
      </c>
      <c r="P18" s="15" t="s">
        <v>568</v>
      </c>
      <c r="Q18" s="6"/>
      <c r="Z18" s="5" t="s">
        <v>1119</v>
      </c>
    </row>
    <row r="19" spans="1:26" x14ac:dyDescent="0.2">
      <c r="A19" s="5" t="s">
        <v>241</v>
      </c>
      <c r="B19" s="5" t="s">
        <v>1086</v>
      </c>
      <c r="C19" s="5" t="s">
        <v>1264</v>
      </c>
      <c r="D19" s="6" t="s">
        <v>367</v>
      </c>
      <c r="E19" s="6" t="s">
        <v>66</v>
      </c>
      <c r="J19" s="1"/>
      <c r="K19" s="1"/>
      <c r="L19" s="10" t="s">
        <v>513</v>
      </c>
      <c r="M19" s="10" t="s">
        <v>510</v>
      </c>
      <c r="N19" s="32" t="s">
        <v>99</v>
      </c>
      <c r="P19" s="15" t="s">
        <v>571</v>
      </c>
      <c r="Q19" s="6"/>
      <c r="Z19" s="5" t="s">
        <v>1483</v>
      </c>
    </row>
    <row r="20" spans="1:26" x14ac:dyDescent="0.2">
      <c r="A20" s="5" t="s">
        <v>303</v>
      </c>
      <c r="B20" s="5" t="s">
        <v>1087</v>
      </c>
      <c r="C20" s="10" t="s">
        <v>463</v>
      </c>
      <c r="D20" s="9" t="s">
        <v>545</v>
      </c>
      <c r="E20" s="6" t="s">
        <v>1031</v>
      </c>
      <c r="J20" s="1"/>
      <c r="K20" s="1"/>
      <c r="L20" s="10" t="s">
        <v>573</v>
      </c>
      <c r="M20" s="10" t="s">
        <v>519</v>
      </c>
      <c r="N20" s="32" t="s">
        <v>212</v>
      </c>
      <c r="P20" s="15" t="s">
        <v>521</v>
      </c>
      <c r="Q20" s="6"/>
      <c r="Z20" s="52" t="s">
        <v>12</v>
      </c>
    </row>
    <row r="21" spans="1:26" x14ac:dyDescent="0.2">
      <c r="A21" s="10" t="s">
        <v>523</v>
      </c>
      <c r="B21" s="5" t="s">
        <v>1088</v>
      </c>
      <c r="C21" s="5" t="s">
        <v>1265</v>
      </c>
      <c r="D21" s="6" t="s">
        <v>637</v>
      </c>
      <c r="E21" s="11" t="s">
        <v>418</v>
      </c>
      <c r="J21" s="1"/>
      <c r="K21" s="1"/>
      <c r="L21" s="10" t="s">
        <v>490</v>
      </c>
      <c r="M21" s="10" t="s">
        <v>524</v>
      </c>
      <c r="N21" s="32" t="s">
        <v>575</v>
      </c>
      <c r="P21" s="15" t="s">
        <v>152</v>
      </c>
      <c r="Q21" s="6"/>
      <c r="Z21" s="5" t="s">
        <v>1300</v>
      </c>
    </row>
    <row r="22" spans="1:26" x14ac:dyDescent="0.2">
      <c r="A22" s="5" t="s">
        <v>444</v>
      </c>
      <c r="B22" s="5" t="s">
        <v>1089</v>
      </c>
      <c r="C22" s="10" t="s">
        <v>495</v>
      </c>
      <c r="D22" s="6" t="s">
        <v>638</v>
      </c>
      <c r="E22" s="6" t="s">
        <v>988</v>
      </c>
      <c r="J22" s="1"/>
      <c r="K22" s="1"/>
      <c r="L22" s="10" t="s">
        <v>556</v>
      </c>
      <c r="M22" s="10" t="s">
        <v>527</v>
      </c>
      <c r="N22" s="32" t="s">
        <v>229</v>
      </c>
      <c r="P22" s="15" t="s">
        <v>493</v>
      </c>
      <c r="Q22" s="6"/>
      <c r="Z22" s="5" t="s">
        <v>45</v>
      </c>
    </row>
    <row r="23" spans="1:26" x14ac:dyDescent="0.2">
      <c r="A23" s="13" t="s">
        <v>236</v>
      </c>
      <c r="B23" s="5" t="s">
        <v>1090</v>
      </c>
      <c r="C23" s="5" t="s">
        <v>1266</v>
      </c>
      <c r="D23" s="6" t="s">
        <v>221</v>
      </c>
      <c r="E23" s="6" t="s">
        <v>151</v>
      </c>
      <c r="J23" s="1"/>
      <c r="K23" s="1"/>
      <c r="L23" s="5" t="s">
        <v>185</v>
      </c>
      <c r="M23" s="10" t="s">
        <v>282</v>
      </c>
      <c r="N23" s="32" t="s">
        <v>64</v>
      </c>
      <c r="P23" s="15" t="s">
        <v>558</v>
      </c>
      <c r="Q23" s="6"/>
      <c r="Z23" s="52" t="s">
        <v>19</v>
      </c>
    </row>
    <row r="24" spans="1:26" x14ac:dyDescent="0.2">
      <c r="A24" s="5" t="s">
        <v>32</v>
      </c>
      <c r="B24" s="5" t="s">
        <v>1091</v>
      </c>
      <c r="C24" s="10" t="s">
        <v>477</v>
      </c>
      <c r="D24" s="11" t="s">
        <v>225</v>
      </c>
      <c r="E24" s="9" t="s">
        <v>313</v>
      </c>
      <c r="J24" s="1"/>
      <c r="K24" s="1"/>
      <c r="L24" s="5" t="s">
        <v>142</v>
      </c>
      <c r="M24" s="10" t="s">
        <v>574</v>
      </c>
      <c r="N24" s="32" t="s">
        <v>272</v>
      </c>
      <c r="P24" s="15" t="s">
        <v>557</v>
      </c>
      <c r="Q24" s="6"/>
      <c r="Z24" s="5" t="s">
        <v>783</v>
      </c>
    </row>
    <row r="25" spans="1:26" x14ac:dyDescent="0.2">
      <c r="A25" s="5" t="s">
        <v>340</v>
      </c>
      <c r="B25" s="5" t="s">
        <v>322</v>
      </c>
      <c r="C25" s="5" t="s">
        <v>1267</v>
      </c>
      <c r="D25" s="9" t="s">
        <v>380</v>
      </c>
      <c r="E25" s="6" t="s">
        <v>469</v>
      </c>
      <c r="J25" s="1"/>
      <c r="K25" s="1"/>
      <c r="L25" s="5" t="s">
        <v>197</v>
      </c>
      <c r="M25" s="10" t="s">
        <v>533</v>
      </c>
      <c r="N25" s="32" t="s">
        <v>563</v>
      </c>
      <c r="P25" s="15" t="s">
        <v>63</v>
      </c>
      <c r="Q25" s="6"/>
      <c r="Z25" s="52" t="s">
        <v>27</v>
      </c>
    </row>
    <row r="26" spans="1:26" x14ac:dyDescent="0.2">
      <c r="A26" s="5" t="s">
        <v>66</v>
      </c>
      <c r="B26" s="5" t="s">
        <v>1092</v>
      </c>
      <c r="C26" s="5" t="s">
        <v>1268</v>
      </c>
      <c r="D26" s="6" t="s">
        <v>639</v>
      </c>
      <c r="E26" s="11" t="s">
        <v>63</v>
      </c>
      <c r="J26" s="1"/>
      <c r="K26" s="1"/>
      <c r="L26" s="5" t="s">
        <v>631</v>
      </c>
      <c r="M26" s="10" t="s">
        <v>554</v>
      </c>
      <c r="N26" s="32" t="s">
        <v>302</v>
      </c>
      <c r="P26" s="15" t="s">
        <v>379</v>
      </c>
      <c r="Q26" s="6"/>
      <c r="Z26" s="52" t="s">
        <v>8</v>
      </c>
    </row>
    <row r="27" spans="1:26" x14ac:dyDescent="0.2">
      <c r="A27" s="5" t="s">
        <v>191</v>
      </c>
      <c r="B27" s="5" t="s">
        <v>1093</v>
      </c>
      <c r="C27" s="5" t="s">
        <v>1269</v>
      </c>
      <c r="D27" s="6" t="s">
        <v>640</v>
      </c>
      <c r="E27" s="6" t="s">
        <v>440</v>
      </c>
      <c r="J27" s="1"/>
      <c r="K27" s="1"/>
      <c r="L27" s="5" t="s">
        <v>221</v>
      </c>
      <c r="M27" s="5" t="s">
        <v>21</v>
      </c>
      <c r="N27" s="32" t="s">
        <v>118</v>
      </c>
      <c r="P27" s="10" t="s">
        <v>149</v>
      </c>
      <c r="Z27" s="10" t="s">
        <v>23</v>
      </c>
    </row>
    <row r="28" spans="1:26" x14ac:dyDescent="0.2">
      <c r="A28" s="10" t="s">
        <v>118</v>
      </c>
      <c r="B28" s="5" t="s">
        <v>1094</v>
      </c>
      <c r="C28" s="5" t="s">
        <v>34</v>
      </c>
      <c r="D28" s="11" t="s">
        <v>513</v>
      </c>
      <c r="E28" s="6" t="s">
        <v>990</v>
      </c>
      <c r="J28" s="1"/>
      <c r="K28" s="1"/>
      <c r="L28" s="5" t="s">
        <v>182</v>
      </c>
      <c r="M28" s="5" t="s">
        <v>783</v>
      </c>
      <c r="N28" s="32" t="s">
        <v>343</v>
      </c>
      <c r="P28" s="15" t="s">
        <v>169</v>
      </c>
      <c r="Q28" s="6"/>
      <c r="Z28" s="5" t="s">
        <v>1124</v>
      </c>
    </row>
    <row r="29" spans="1:26" x14ac:dyDescent="0.2">
      <c r="A29" s="5" t="s">
        <v>247</v>
      </c>
      <c r="B29" s="10" t="s">
        <v>556</v>
      </c>
      <c r="C29" s="5" t="s">
        <v>1270</v>
      </c>
      <c r="D29" s="11" t="s">
        <v>556</v>
      </c>
      <c r="E29" s="11" t="s">
        <v>108</v>
      </c>
      <c r="J29" s="1"/>
      <c r="K29" s="1"/>
      <c r="L29" s="5" t="s">
        <v>223</v>
      </c>
      <c r="M29" s="5" t="s">
        <v>27</v>
      </c>
      <c r="N29" s="32" t="s">
        <v>131</v>
      </c>
      <c r="P29" s="10" t="s">
        <v>580</v>
      </c>
      <c r="Z29" s="5" t="s">
        <v>1478</v>
      </c>
    </row>
    <row r="30" spans="1:26" x14ac:dyDescent="0.2">
      <c r="A30" s="5" t="s">
        <v>151</v>
      </c>
      <c r="B30" s="5" t="s">
        <v>1095</v>
      </c>
      <c r="C30" s="5" t="s">
        <v>269</v>
      </c>
      <c r="D30" s="6" t="s">
        <v>641</v>
      </c>
      <c r="E30" s="11" t="s">
        <v>466</v>
      </c>
      <c r="J30" s="1"/>
      <c r="K30" s="1"/>
      <c r="L30" s="5" t="s">
        <v>268</v>
      </c>
      <c r="M30" s="5" t="s">
        <v>8</v>
      </c>
      <c r="N30" s="32" t="s">
        <v>314</v>
      </c>
      <c r="P30" s="15" t="s">
        <v>226</v>
      </c>
      <c r="Q30" s="6"/>
      <c r="Z30" s="52" t="s">
        <v>31</v>
      </c>
    </row>
    <row r="31" spans="1:26" x14ac:dyDescent="0.2">
      <c r="A31" s="5" t="s">
        <v>183</v>
      </c>
      <c r="B31" s="5" t="s">
        <v>1096</v>
      </c>
      <c r="C31" s="5" t="s">
        <v>426</v>
      </c>
      <c r="D31" s="6" t="s">
        <v>642</v>
      </c>
      <c r="E31" s="11" t="s">
        <v>432</v>
      </c>
      <c r="J31" s="1"/>
      <c r="K31" s="1"/>
      <c r="L31" s="5" t="s">
        <v>318</v>
      </c>
      <c r="M31" s="5" t="s">
        <v>31</v>
      </c>
      <c r="N31" s="32" t="s">
        <v>346</v>
      </c>
      <c r="P31" s="15" t="s">
        <v>572</v>
      </c>
      <c r="Q31" s="6"/>
      <c r="Z31" s="5" t="s">
        <v>1439</v>
      </c>
    </row>
    <row r="32" spans="1:26" x14ac:dyDescent="0.2">
      <c r="A32" s="5" t="s">
        <v>394</v>
      </c>
      <c r="B32" s="5" t="s">
        <v>1097</v>
      </c>
      <c r="C32" s="13" t="s">
        <v>202</v>
      </c>
      <c r="D32" s="6" t="s">
        <v>643</v>
      </c>
      <c r="E32" s="11" t="s">
        <v>591</v>
      </c>
      <c r="J32" s="41"/>
      <c r="K32" s="1"/>
      <c r="L32" s="5" t="s">
        <v>328</v>
      </c>
      <c r="M32" s="5" t="s">
        <v>765</v>
      </c>
      <c r="N32" s="32" t="s">
        <v>359</v>
      </c>
      <c r="P32" s="15" t="s">
        <v>188</v>
      </c>
      <c r="Q32" s="6"/>
      <c r="Z32" s="5" t="s">
        <v>1477</v>
      </c>
    </row>
    <row r="33" spans="1:26" x14ac:dyDescent="0.2">
      <c r="A33" s="10" t="s">
        <v>214</v>
      </c>
      <c r="B33" s="5" t="s">
        <v>1098</v>
      </c>
      <c r="C33" s="5" t="s">
        <v>237</v>
      </c>
      <c r="D33" s="9" t="s">
        <v>40</v>
      </c>
      <c r="E33" s="11" t="s">
        <v>574</v>
      </c>
      <c r="J33" s="42"/>
      <c r="K33" s="1"/>
      <c r="L33" s="5" t="s">
        <v>365</v>
      </c>
      <c r="M33" s="5" t="s">
        <v>32</v>
      </c>
      <c r="N33" s="32" t="s">
        <v>419</v>
      </c>
      <c r="P33" s="15" t="s">
        <v>244</v>
      </c>
      <c r="Q33" s="6"/>
      <c r="Z33" s="5" t="s">
        <v>630</v>
      </c>
    </row>
    <row r="34" spans="1:26" x14ac:dyDescent="0.2">
      <c r="A34" s="5" t="s">
        <v>285</v>
      </c>
      <c r="B34" s="5" t="s">
        <v>1099</v>
      </c>
      <c r="C34" s="10" t="s">
        <v>430</v>
      </c>
      <c r="D34" s="11" t="s">
        <v>463</v>
      </c>
      <c r="E34" s="11" t="s">
        <v>99</v>
      </c>
      <c r="J34" s="41"/>
      <c r="K34" s="1"/>
      <c r="L34" s="5" t="s">
        <v>387</v>
      </c>
      <c r="M34" s="5" t="s">
        <v>66</v>
      </c>
      <c r="N34" s="32" t="s">
        <v>437</v>
      </c>
      <c r="P34" s="15" t="s">
        <v>91</v>
      </c>
      <c r="Q34" s="6"/>
      <c r="Z34" s="10" t="s">
        <v>39</v>
      </c>
    </row>
    <row r="35" spans="1:26" x14ac:dyDescent="0.2">
      <c r="A35" s="5" t="s">
        <v>296</v>
      </c>
      <c r="B35" s="5" t="s">
        <v>1100</v>
      </c>
      <c r="C35" s="5" t="s">
        <v>522</v>
      </c>
      <c r="D35" s="9" t="s">
        <v>613</v>
      </c>
      <c r="E35" s="6" t="s">
        <v>1034</v>
      </c>
      <c r="J35" s="41"/>
      <c r="K35" s="1"/>
      <c r="L35" s="5" t="s">
        <v>426</v>
      </c>
      <c r="M35" s="5" t="s">
        <v>74</v>
      </c>
      <c r="N35" s="32" t="s">
        <v>239</v>
      </c>
      <c r="P35" s="15" t="s">
        <v>71</v>
      </c>
      <c r="Q35" s="6"/>
      <c r="Z35" s="5" t="s">
        <v>1255</v>
      </c>
    </row>
    <row r="36" spans="1:26" x14ac:dyDescent="0.2">
      <c r="A36" s="5" t="s">
        <v>24</v>
      </c>
      <c r="B36" s="5" t="s">
        <v>1101</v>
      </c>
      <c r="C36" s="5" t="s">
        <v>145</v>
      </c>
      <c r="D36" s="6" t="s">
        <v>339</v>
      </c>
      <c r="E36" s="6" t="s">
        <v>27</v>
      </c>
      <c r="J36" s="41"/>
      <c r="K36" s="1"/>
      <c r="L36" s="5" t="s">
        <v>429</v>
      </c>
      <c r="M36" s="5" t="s">
        <v>112</v>
      </c>
      <c r="N36" s="32" t="s">
        <v>165</v>
      </c>
      <c r="P36" s="10" t="s">
        <v>585</v>
      </c>
      <c r="Z36" s="5" t="s">
        <v>710</v>
      </c>
    </row>
    <row r="37" spans="1:26" x14ac:dyDescent="0.2">
      <c r="A37" s="5" t="s">
        <v>224</v>
      </c>
      <c r="B37" s="5" t="s">
        <v>1102</v>
      </c>
      <c r="C37" s="5" t="s">
        <v>1271</v>
      </c>
      <c r="D37" s="6" t="s">
        <v>644</v>
      </c>
      <c r="E37" s="11" t="s">
        <v>266</v>
      </c>
      <c r="J37" s="41"/>
      <c r="K37" s="42"/>
      <c r="L37" s="5" t="s">
        <v>431</v>
      </c>
      <c r="M37" s="5" t="s">
        <v>660</v>
      </c>
      <c r="N37" s="32" t="s">
        <v>588</v>
      </c>
      <c r="P37" s="10" t="s">
        <v>255</v>
      </c>
      <c r="Z37" s="5" t="s">
        <v>53</v>
      </c>
    </row>
    <row r="38" spans="1:26" x14ac:dyDescent="0.2">
      <c r="A38" s="5" t="s">
        <v>254</v>
      </c>
      <c r="B38" s="13" t="s">
        <v>200</v>
      </c>
      <c r="C38" s="5" t="s">
        <v>1272</v>
      </c>
      <c r="D38" s="6" t="s">
        <v>645</v>
      </c>
      <c r="E38" s="6" t="s">
        <v>1038</v>
      </c>
      <c r="J38" s="41"/>
      <c r="K38" s="41"/>
      <c r="L38" s="5" t="s">
        <v>446</v>
      </c>
      <c r="M38" s="5" t="s">
        <v>139</v>
      </c>
      <c r="N38" s="32" t="s">
        <v>606</v>
      </c>
      <c r="P38" s="15" t="s">
        <v>99</v>
      </c>
      <c r="Q38" s="6"/>
      <c r="Z38" s="5" t="s">
        <v>831</v>
      </c>
    </row>
    <row r="39" spans="1:26" x14ac:dyDescent="0.2">
      <c r="A39" s="5" t="s">
        <v>137</v>
      </c>
      <c r="B39" s="5" t="s">
        <v>1103</v>
      </c>
      <c r="C39" s="5" t="s">
        <v>21</v>
      </c>
      <c r="D39" s="6" t="s">
        <v>646</v>
      </c>
      <c r="E39" s="6" t="s">
        <v>985</v>
      </c>
      <c r="J39" s="41"/>
      <c r="K39" s="41"/>
      <c r="L39" s="5" t="s">
        <v>447</v>
      </c>
      <c r="M39" s="5" t="s">
        <v>145</v>
      </c>
      <c r="N39" s="32" t="s">
        <v>430</v>
      </c>
      <c r="P39" s="15" t="s">
        <v>603</v>
      </c>
      <c r="Q39" s="6"/>
      <c r="Z39" s="52" t="s">
        <v>43</v>
      </c>
    </row>
    <row r="40" spans="1:26" x14ac:dyDescent="0.2">
      <c r="A40" s="5" t="s">
        <v>485</v>
      </c>
      <c r="B40" s="5" t="s">
        <v>1104</v>
      </c>
      <c r="C40" s="5" t="s">
        <v>467</v>
      </c>
      <c r="D40" s="11" t="s">
        <v>423</v>
      </c>
      <c r="E40" s="6" t="s">
        <v>310</v>
      </c>
      <c r="J40" s="41"/>
      <c r="K40" s="41"/>
      <c r="L40" s="5" t="s">
        <v>440</v>
      </c>
      <c r="M40" s="5" t="s">
        <v>159</v>
      </c>
      <c r="N40" s="32" t="s">
        <v>438</v>
      </c>
      <c r="P40" s="15" t="s">
        <v>212</v>
      </c>
      <c r="Q40" s="6"/>
      <c r="Z40" s="5" t="s">
        <v>1146</v>
      </c>
    </row>
    <row r="41" spans="1:26" x14ac:dyDescent="0.2">
      <c r="A41" s="5" t="s">
        <v>274</v>
      </c>
      <c r="B41" s="5" t="s">
        <v>1105</v>
      </c>
      <c r="C41" s="10" t="s">
        <v>595</v>
      </c>
      <c r="D41" s="6" t="s">
        <v>647</v>
      </c>
      <c r="E41" s="11" t="s">
        <v>195</v>
      </c>
      <c r="J41" s="41"/>
      <c r="K41" s="41"/>
      <c r="L41" s="5" t="s">
        <v>706</v>
      </c>
      <c r="M41" s="5" t="s">
        <v>166</v>
      </c>
      <c r="N41" s="32" t="s">
        <v>383</v>
      </c>
      <c r="P41" s="15" t="s">
        <v>575</v>
      </c>
      <c r="Q41" s="6"/>
      <c r="Z41" s="52" t="s">
        <v>5</v>
      </c>
    </row>
    <row r="42" spans="1:26" x14ac:dyDescent="0.2">
      <c r="A42" s="5" t="s">
        <v>503</v>
      </c>
      <c r="B42" s="5" t="s">
        <v>1106</v>
      </c>
      <c r="C42" s="13" t="s">
        <v>531</v>
      </c>
      <c r="D42" s="11" t="s">
        <v>326</v>
      </c>
      <c r="E42" s="6" t="s">
        <v>426</v>
      </c>
      <c r="J42" s="41"/>
      <c r="K42" s="41"/>
      <c r="L42" s="5" t="s">
        <v>464</v>
      </c>
      <c r="M42" s="5" t="s">
        <v>33</v>
      </c>
      <c r="N42" s="32" t="s">
        <v>214</v>
      </c>
      <c r="P42" s="15" t="s">
        <v>266</v>
      </c>
      <c r="Q42" s="6"/>
      <c r="Z42" s="5" t="s">
        <v>1405</v>
      </c>
    </row>
    <row r="43" spans="1:26" x14ac:dyDescent="0.2">
      <c r="A43" s="5" t="s">
        <v>489</v>
      </c>
      <c r="B43" s="5" t="s">
        <v>1107</v>
      </c>
      <c r="C43" s="5" t="s">
        <v>986</v>
      </c>
      <c r="D43" s="6" t="s">
        <v>648</v>
      </c>
      <c r="E43" s="6" t="s">
        <v>456</v>
      </c>
      <c r="J43" s="41"/>
      <c r="K43" s="41"/>
      <c r="L43" s="5" t="s">
        <v>481</v>
      </c>
      <c r="M43" s="5" t="s">
        <v>701</v>
      </c>
      <c r="N43" s="32" t="s">
        <v>443</v>
      </c>
      <c r="P43" s="15" t="s">
        <v>218</v>
      </c>
      <c r="Q43" s="6"/>
      <c r="Z43" s="5" t="s">
        <v>778</v>
      </c>
    </row>
    <row r="44" spans="1:26" x14ac:dyDescent="0.2">
      <c r="A44" s="5" t="s">
        <v>475</v>
      </c>
      <c r="B44" s="5" t="s">
        <v>183</v>
      </c>
      <c r="C44" s="5" t="s">
        <v>112</v>
      </c>
      <c r="D44" s="11" t="s">
        <v>170</v>
      </c>
      <c r="E44" s="6" t="s">
        <v>1033</v>
      </c>
      <c r="J44" s="41"/>
      <c r="K44" s="41"/>
      <c r="L44" s="5" t="s">
        <v>497</v>
      </c>
      <c r="M44" s="5" t="s">
        <v>41</v>
      </c>
      <c r="N44" s="32" t="s">
        <v>195</v>
      </c>
      <c r="P44" s="15" t="s">
        <v>279</v>
      </c>
      <c r="Q44" s="6"/>
      <c r="Z44" s="5" t="s">
        <v>765</v>
      </c>
    </row>
    <row r="45" spans="1:26" x14ac:dyDescent="0.2">
      <c r="A45" s="13" t="s">
        <v>40</v>
      </c>
      <c r="B45" s="5" t="s">
        <v>1108</v>
      </c>
      <c r="C45" s="5" t="s">
        <v>1273</v>
      </c>
      <c r="D45" s="6" t="s">
        <v>649</v>
      </c>
      <c r="E45" s="6" t="s">
        <v>178</v>
      </c>
      <c r="J45" s="41"/>
      <c r="K45" s="41"/>
      <c r="L45" s="5" t="s">
        <v>269</v>
      </c>
      <c r="M45" s="5" t="s">
        <v>709</v>
      </c>
      <c r="N45" s="32" t="s">
        <v>458</v>
      </c>
      <c r="P45" s="15" t="s">
        <v>229</v>
      </c>
      <c r="Q45" s="6"/>
      <c r="Z45" s="5" t="s">
        <v>1476</v>
      </c>
    </row>
    <row r="46" spans="1:26" x14ac:dyDescent="0.2">
      <c r="A46" s="5" t="s">
        <v>43</v>
      </c>
      <c r="B46" s="5" t="s">
        <v>767</v>
      </c>
      <c r="C46" s="10" t="s">
        <v>510</v>
      </c>
      <c r="D46" s="6" t="s">
        <v>547</v>
      </c>
      <c r="E46" s="6" t="s">
        <v>18</v>
      </c>
      <c r="J46" s="41"/>
      <c r="K46" s="41"/>
      <c r="L46" s="5" t="s">
        <v>650</v>
      </c>
      <c r="M46" s="5" t="s">
        <v>209</v>
      </c>
      <c r="N46" s="32" t="s">
        <v>427</v>
      </c>
      <c r="P46" s="10" t="s">
        <v>477</v>
      </c>
      <c r="Z46" s="5" t="s">
        <v>1332</v>
      </c>
    </row>
    <row r="47" spans="1:26" x14ac:dyDescent="0.2">
      <c r="A47" s="5" t="s">
        <v>102</v>
      </c>
      <c r="B47" s="5" t="s">
        <v>1109</v>
      </c>
      <c r="C47" s="10" t="s">
        <v>239</v>
      </c>
      <c r="D47" s="6" t="s">
        <v>650</v>
      </c>
      <c r="E47" s="6" t="s">
        <v>991</v>
      </c>
      <c r="J47" s="41"/>
      <c r="K47" s="41"/>
      <c r="L47" s="5" t="s">
        <v>648</v>
      </c>
      <c r="M47" s="5" t="s">
        <v>729</v>
      </c>
      <c r="N47" s="32" t="s">
        <v>243</v>
      </c>
      <c r="P47" s="15" t="s">
        <v>589</v>
      </c>
      <c r="Q47" s="6"/>
      <c r="Z47" s="52" t="s">
        <v>70</v>
      </c>
    </row>
    <row r="48" spans="1:26" x14ac:dyDescent="0.2">
      <c r="A48" s="5" t="s">
        <v>426</v>
      </c>
      <c r="B48" s="5" t="s">
        <v>1110</v>
      </c>
      <c r="C48" s="5" t="s">
        <v>1274</v>
      </c>
      <c r="D48" s="19" t="s">
        <v>406</v>
      </c>
      <c r="E48" s="9" t="s">
        <v>624</v>
      </c>
      <c r="J48" s="42"/>
      <c r="K48" s="41"/>
      <c r="L48" s="5" t="s">
        <v>532</v>
      </c>
      <c r="M48" s="5" t="s">
        <v>693</v>
      </c>
      <c r="N48" s="32" t="s">
        <v>265</v>
      </c>
      <c r="P48" s="15" t="s">
        <v>451</v>
      </c>
      <c r="Q48" s="6"/>
      <c r="Z48" s="5" t="s">
        <v>1454</v>
      </c>
    </row>
    <row r="49" spans="1:26" x14ac:dyDescent="0.2">
      <c r="A49" s="5" t="s">
        <v>235</v>
      </c>
      <c r="B49" s="5" t="s">
        <v>1111</v>
      </c>
      <c r="C49" s="13" t="s">
        <v>299</v>
      </c>
      <c r="D49" s="6" t="s">
        <v>651</v>
      </c>
      <c r="E49" s="6" t="s">
        <v>1036</v>
      </c>
      <c r="J49" s="42"/>
      <c r="K49" s="41"/>
      <c r="L49" s="5" t="s">
        <v>548</v>
      </c>
      <c r="M49" s="5" t="s">
        <v>232</v>
      </c>
      <c r="N49" s="32" t="s">
        <v>432</v>
      </c>
      <c r="P49" s="15" t="s">
        <v>526</v>
      </c>
      <c r="Q49" s="6"/>
      <c r="Z49" s="52" t="s">
        <v>51</v>
      </c>
    </row>
    <row r="50" spans="1:26" x14ac:dyDescent="0.2">
      <c r="A50" s="5" t="s">
        <v>119</v>
      </c>
      <c r="B50" s="5" t="s">
        <v>1112</v>
      </c>
      <c r="C50" s="10" t="s">
        <v>64</v>
      </c>
      <c r="D50" s="11" t="s">
        <v>353</v>
      </c>
      <c r="E50" s="19" t="s">
        <v>401</v>
      </c>
      <c r="J50" s="42"/>
      <c r="K50" s="41"/>
      <c r="L50" s="1"/>
      <c r="M50" s="5" t="s">
        <v>249</v>
      </c>
      <c r="N50" s="32" t="s">
        <v>495</v>
      </c>
      <c r="P50" s="15" t="s">
        <v>64</v>
      </c>
      <c r="Q50" s="6"/>
      <c r="Z50" s="5" t="s">
        <v>1221</v>
      </c>
    </row>
    <row r="51" spans="1:26" x14ac:dyDescent="0.2">
      <c r="A51" s="5" t="s">
        <v>347</v>
      </c>
      <c r="B51" s="13" t="s">
        <v>380</v>
      </c>
      <c r="C51" s="5" t="s">
        <v>434</v>
      </c>
      <c r="D51" s="6" t="s">
        <v>652</v>
      </c>
      <c r="E51" s="6" t="s">
        <v>966</v>
      </c>
      <c r="J51" s="41"/>
      <c r="K51" s="41"/>
      <c r="L51" s="1"/>
      <c r="M51" s="5" t="s">
        <v>997</v>
      </c>
      <c r="N51" s="32" t="s">
        <v>596</v>
      </c>
      <c r="P51" s="15" t="s">
        <v>114</v>
      </c>
      <c r="Q51" s="6"/>
      <c r="Z51" s="5" t="s">
        <v>1498</v>
      </c>
    </row>
    <row r="52" spans="1:26" x14ac:dyDescent="0.2">
      <c r="A52" s="5" t="s">
        <v>260</v>
      </c>
      <c r="B52" s="5" t="s">
        <v>1113</v>
      </c>
      <c r="C52" s="5" t="s">
        <v>1275</v>
      </c>
      <c r="D52" s="6" t="s">
        <v>653</v>
      </c>
      <c r="E52" s="11" t="s">
        <v>490</v>
      </c>
      <c r="J52" s="42"/>
      <c r="K52" s="42"/>
      <c r="L52" s="1"/>
      <c r="M52" s="5" t="s">
        <v>633</v>
      </c>
      <c r="N52" s="32" t="s">
        <v>584</v>
      </c>
      <c r="P52" s="10" t="s">
        <v>300</v>
      </c>
      <c r="Z52" s="10" t="s">
        <v>77</v>
      </c>
    </row>
    <row r="53" spans="1:26" x14ac:dyDescent="0.2">
      <c r="A53" s="5" t="s">
        <v>259</v>
      </c>
      <c r="B53" s="5" t="s">
        <v>1114</v>
      </c>
      <c r="C53" s="10" t="s">
        <v>289</v>
      </c>
      <c r="D53" s="6" t="s">
        <v>429</v>
      </c>
      <c r="E53" s="11" t="s">
        <v>395</v>
      </c>
      <c r="J53" s="41"/>
      <c r="K53" s="42"/>
      <c r="L53" s="1"/>
      <c r="M53" s="5" t="s">
        <v>78</v>
      </c>
      <c r="N53" s="32" t="s">
        <v>591</v>
      </c>
      <c r="P53" s="15" t="s">
        <v>518</v>
      </c>
      <c r="Q53" s="6"/>
      <c r="Z53" s="5" t="s">
        <v>1121</v>
      </c>
    </row>
    <row r="54" spans="1:26" x14ac:dyDescent="0.2">
      <c r="A54" s="5" t="s">
        <v>51</v>
      </c>
      <c r="B54" s="5" t="s">
        <v>1115</v>
      </c>
      <c r="C54" s="10" t="s">
        <v>575</v>
      </c>
      <c r="D54" s="6" t="s">
        <v>654</v>
      </c>
      <c r="E54" s="11" t="s">
        <v>289</v>
      </c>
      <c r="J54" s="42"/>
      <c r="K54" s="42"/>
      <c r="L54" s="1"/>
      <c r="M54" s="5" t="s">
        <v>287</v>
      </c>
      <c r="N54" s="32" t="s">
        <v>523</v>
      </c>
      <c r="P54" s="15" t="s">
        <v>252</v>
      </c>
      <c r="Q54" s="6"/>
      <c r="Z54" s="5" t="s">
        <v>1322</v>
      </c>
    </row>
    <row r="55" spans="1:26" x14ac:dyDescent="0.2">
      <c r="A55" s="5" t="s">
        <v>511</v>
      </c>
      <c r="B55" s="10" t="s">
        <v>307</v>
      </c>
      <c r="C55" s="5" t="s">
        <v>1276</v>
      </c>
      <c r="D55" s="6" t="s">
        <v>655</v>
      </c>
      <c r="E55" s="6" t="s">
        <v>48</v>
      </c>
      <c r="J55" s="41"/>
      <c r="K55" s="41"/>
      <c r="L55" s="1"/>
      <c r="M55" s="5" t="s">
        <v>798</v>
      </c>
      <c r="N55" s="32" t="s">
        <v>595</v>
      </c>
      <c r="P55" s="15" t="s">
        <v>127</v>
      </c>
      <c r="Q55" s="6"/>
      <c r="Z55" s="5" t="s">
        <v>1140</v>
      </c>
    </row>
    <row r="56" spans="1:26" x14ac:dyDescent="0.2">
      <c r="A56" s="5" t="s">
        <v>522</v>
      </c>
      <c r="B56" s="10" t="s">
        <v>289</v>
      </c>
      <c r="C56" s="5" t="s">
        <v>1277</v>
      </c>
      <c r="D56" s="6" t="s">
        <v>656</v>
      </c>
      <c r="E56" s="11" t="s">
        <v>23</v>
      </c>
      <c r="J56" s="42"/>
      <c r="K56" s="42"/>
      <c r="L56" s="1"/>
      <c r="M56" s="5" t="s">
        <v>72</v>
      </c>
      <c r="N56" s="32" t="s">
        <v>374</v>
      </c>
      <c r="P56" s="10" t="s">
        <v>272</v>
      </c>
      <c r="Z56" s="5" t="s">
        <v>1274</v>
      </c>
    </row>
    <row r="57" spans="1:26" x14ac:dyDescent="0.2">
      <c r="A57" s="5" t="s">
        <v>417</v>
      </c>
      <c r="B57" s="5" t="s">
        <v>704</v>
      </c>
      <c r="C57" s="5" t="s">
        <v>1278</v>
      </c>
      <c r="D57" s="6" t="s">
        <v>657</v>
      </c>
      <c r="E57" s="11" t="s">
        <v>442</v>
      </c>
      <c r="J57" s="41"/>
      <c r="K57" s="41"/>
      <c r="L57" s="1"/>
      <c r="M57" s="5" t="s">
        <v>285</v>
      </c>
      <c r="N57" s="32" t="s">
        <v>582</v>
      </c>
      <c r="P57" s="15" t="s">
        <v>277</v>
      </c>
      <c r="Q57" s="6"/>
      <c r="Z57" s="52" t="s">
        <v>16</v>
      </c>
    </row>
    <row r="58" spans="1:26" x14ac:dyDescent="0.2">
      <c r="A58" s="5" t="s">
        <v>309</v>
      </c>
      <c r="B58" s="5" t="s">
        <v>1116</v>
      </c>
      <c r="C58" s="10" t="s">
        <v>584</v>
      </c>
      <c r="D58" s="6" t="s">
        <v>658</v>
      </c>
      <c r="E58" s="19" t="s">
        <v>406</v>
      </c>
      <c r="J58" s="42"/>
      <c r="K58" s="42"/>
      <c r="L58" s="1"/>
      <c r="M58" s="5" t="s">
        <v>34</v>
      </c>
      <c r="N58" s="32" t="s">
        <v>540</v>
      </c>
      <c r="P58" s="10" t="s">
        <v>563</v>
      </c>
      <c r="Z58" s="52" t="s">
        <v>10</v>
      </c>
    </row>
    <row r="59" spans="1:26" x14ac:dyDescent="0.2">
      <c r="A59" s="5" t="s">
        <v>179</v>
      </c>
      <c r="B59" s="5" t="s">
        <v>1117</v>
      </c>
      <c r="C59" s="10" t="s">
        <v>454</v>
      </c>
      <c r="D59" s="6" t="s">
        <v>659</v>
      </c>
      <c r="E59" s="20" t="s">
        <v>171</v>
      </c>
      <c r="J59" s="41"/>
      <c r="K59" s="41"/>
      <c r="L59" s="1"/>
      <c r="M59" s="5" t="s">
        <v>329</v>
      </c>
      <c r="N59" s="32" t="s">
        <v>546</v>
      </c>
      <c r="P59" s="15" t="s">
        <v>326</v>
      </c>
      <c r="Q59" s="6"/>
      <c r="Z59" s="52" t="s">
        <v>59</v>
      </c>
    </row>
    <row r="60" spans="1:26" x14ac:dyDescent="0.2">
      <c r="A60" s="5" t="s">
        <v>472</v>
      </c>
      <c r="B60" s="5" t="s">
        <v>1118</v>
      </c>
      <c r="C60" s="5" t="s">
        <v>1279</v>
      </c>
      <c r="D60" s="6" t="s">
        <v>48</v>
      </c>
      <c r="E60" s="6" t="s">
        <v>209</v>
      </c>
      <c r="J60" s="41"/>
      <c r="K60" s="42"/>
      <c r="L60" s="1"/>
      <c r="M60" s="5" t="s">
        <v>103</v>
      </c>
      <c r="N60" s="32" t="s">
        <v>253</v>
      </c>
      <c r="P60" s="15" t="s">
        <v>95</v>
      </c>
      <c r="Q60" s="6"/>
      <c r="Z60" s="52" t="s">
        <v>85</v>
      </c>
    </row>
    <row r="61" spans="1:26" x14ac:dyDescent="0.2">
      <c r="A61" s="5" t="s">
        <v>10</v>
      </c>
      <c r="B61" s="5" t="s">
        <v>1119</v>
      </c>
      <c r="C61" s="5" t="s">
        <v>1280</v>
      </c>
      <c r="D61" s="6" t="s">
        <v>387</v>
      </c>
      <c r="E61" s="11" t="s">
        <v>353</v>
      </c>
      <c r="J61" s="41"/>
      <c r="K61" s="41"/>
      <c r="L61" s="1"/>
      <c r="M61" s="5" t="s">
        <v>1176</v>
      </c>
      <c r="N61" s="32" t="s">
        <v>597</v>
      </c>
      <c r="P61" s="15" t="s">
        <v>289</v>
      </c>
      <c r="Q61" s="6"/>
      <c r="Z61" s="52" t="s">
        <v>24</v>
      </c>
    </row>
    <row r="62" spans="1:26" x14ac:dyDescent="0.2">
      <c r="A62" s="5" t="s">
        <v>439</v>
      </c>
      <c r="B62" s="5" t="s">
        <v>1120</v>
      </c>
      <c r="C62" s="10" t="s">
        <v>507</v>
      </c>
      <c r="D62" s="6" t="s">
        <v>660</v>
      </c>
      <c r="E62" s="6" t="s">
        <v>33</v>
      </c>
      <c r="J62" s="41"/>
      <c r="K62" s="42"/>
      <c r="L62" s="1"/>
      <c r="M62" s="5" t="s">
        <v>347</v>
      </c>
      <c r="N62" s="31" t="s">
        <v>1346</v>
      </c>
      <c r="P62" s="15" t="s">
        <v>609</v>
      </c>
      <c r="Q62" s="6"/>
      <c r="Z62" s="52" t="s">
        <v>32</v>
      </c>
    </row>
    <row r="63" spans="1:26" x14ac:dyDescent="0.2">
      <c r="A63" s="5" t="s">
        <v>460</v>
      </c>
      <c r="B63" s="5" t="s">
        <v>342</v>
      </c>
      <c r="C63" s="5" t="s">
        <v>222</v>
      </c>
      <c r="D63" s="6" t="s">
        <v>661</v>
      </c>
      <c r="E63" s="6" t="s">
        <v>992</v>
      </c>
      <c r="J63" s="41"/>
      <c r="K63" s="41"/>
      <c r="L63" s="1"/>
      <c r="M63" s="5" t="s">
        <v>786</v>
      </c>
      <c r="N63" s="31" t="s">
        <v>0</v>
      </c>
      <c r="P63" s="15" t="s">
        <v>302</v>
      </c>
      <c r="Q63" s="6"/>
      <c r="Z63" s="52" t="s">
        <v>66</v>
      </c>
    </row>
    <row r="64" spans="1:26" x14ac:dyDescent="0.2">
      <c r="A64" s="5" t="s">
        <v>502</v>
      </c>
      <c r="B64" s="5" t="s">
        <v>1121</v>
      </c>
      <c r="C64" s="5" t="s">
        <v>1281</v>
      </c>
      <c r="D64" s="6" t="s">
        <v>662</v>
      </c>
      <c r="E64" s="6" t="s">
        <v>1028</v>
      </c>
      <c r="J64" s="41"/>
      <c r="K64" s="41"/>
      <c r="L64" s="1"/>
      <c r="M64" s="5" t="s">
        <v>781</v>
      </c>
      <c r="N64" s="31" t="s">
        <v>1358</v>
      </c>
      <c r="P64" s="15" t="s">
        <v>118</v>
      </c>
      <c r="Q64" s="6"/>
      <c r="Z64" s="5" t="str">
        <f>"best-3"</f>
        <v>best-3</v>
      </c>
    </row>
    <row r="65" spans="1:26" x14ac:dyDescent="0.2">
      <c r="A65" s="5" t="s">
        <v>48</v>
      </c>
      <c r="B65" s="5" t="s">
        <v>1122</v>
      </c>
      <c r="C65" s="13" t="s">
        <v>40</v>
      </c>
      <c r="D65" s="6" t="s">
        <v>663</v>
      </c>
      <c r="E65" s="11" t="s">
        <v>573</v>
      </c>
      <c r="J65" s="41"/>
      <c r="K65" s="41"/>
      <c r="L65" s="1"/>
      <c r="M65" s="5" t="s">
        <v>734</v>
      </c>
      <c r="N65" s="31" t="s">
        <v>2</v>
      </c>
      <c r="P65" s="10" t="s">
        <v>307</v>
      </c>
      <c r="Z65" s="52" t="s">
        <v>74</v>
      </c>
    </row>
    <row r="66" spans="1:26" x14ac:dyDescent="0.2">
      <c r="A66" s="16" t="s">
        <v>401</v>
      </c>
      <c r="B66" s="5" t="s">
        <v>1123</v>
      </c>
      <c r="C66" s="5" t="s">
        <v>486</v>
      </c>
      <c r="D66" s="6" t="s">
        <v>664</v>
      </c>
      <c r="E66" s="6" t="s">
        <v>365</v>
      </c>
      <c r="J66" s="41"/>
      <c r="K66" s="41"/>
      <c r="L66" s="1"/>
      <c r="M66" s="5" t="s">
        <v>691</v>
      </c>
      <c r="N66" s="31" t="s">
        <v>4</v>
      </c>
      <c r="P66" s="10" t="s">
        <v>471</v>
      </c>
      <c r="Z66" s="13" t="s">
        <v>40</v>
      </c>
    </row>
    <row r="67" spans="1:26" x14ac:dyDescent="0.2">
      <c r="A67" s="5" t="s">
        <v>384</v>
      </c>
      <c r="B67" s="5" t="s">
        <v>1124</v>
      </c>
      <c r="C67" s="5" t="s">
        <v>1282</v>
      </c>
      <c r="D67" s="6" t="s">
        <v>665</v>
      </c>
      <c r="E67" s="6" t="s">
        <v>548</v>
      </c>
      <c r="J67" s="41"/>
      <c r="K67" s="41"/>
      <c r="L67" s="1"/>
      <c r="M67" s="5" t="s">
        <v>339</v>
      </c>
      <c r="N67" s="31" t="s">
        <v>1149</v>
      </c>
      <c r="P67" s="10" t="s">
        <v>343</v>
      </c>
      <c r="Z67" s="5" t="s">
        <v>680</v>
      </c>
    </row>
    <row r="68" spans="1:26" x14ac:dyDescent="0.2">
      <c r="A68" s="10" t="s">
        <v>458</v>
      </c>
      <c r="B68" s="5" t="s">
        <v>1125</v>
      </c>
      <c r="C68" s="10" t="s">
        <v>574</v>
      </c>
      <c r="D68" s="6" t="s">
        <v>666</v>
      </c>
      <c r="E68" s="11" t="s">
        <v>343</v>
      </c>
      <c r="J68" s="41"/>
      <c r="K68" s="41"/>
      <c r="L68" s="1"/>
      <c r="M68" s="5" t="s">
        <v>342</v>
      </c>
      <c r="N68" s="31" t="s">
        <v>1147</v>
      </c>
      <c r="P68" s="15" t="s">
        <v>593</v>
      </c>
      <c r="Q68" s="6"/>
      <c r="Z68" s="5" t="s">
        <v>1267</v>
      </c>
    </row>
    <row r="69" spans="1:26" x14ac:dyDescent="0.2">
      <c r="A69" s="10" t="s">
        <v>272</v>
      </c>
      <c r="B69" s="5" t="s">
        <v>1126</v>
      </c>
      <c r="C69" s="13" t="s">
        <v>617</v>
      </c>
      <c r="D69" s="6" t="s">
        <v>667</v>
      </c>
      <c r="E69" s="11" t="s">
        <v>207</v>
      </c>
      <c r="J69" s="41"/>
      <c r="K69" s="41"/>
      <c r="L69" s="1"/>
      <c r="M69" s="5" t="s">
        <v>144</v>
      </c>
      <c r="N69" s="31" t="s">
        <v>1314</v>
      </c>
      <c r="P69" s="15" t="s">
        <v>353</v>
      </c>
      <c r="Q69" s="6"/>
      <c r="Z69" s="5" t="s">
        <v>1356</v>
      </c>
    </row>
    <row r="70" spans="1:26" x14ac:dyDescent="0.2">
      <c r="A70" s="13" t="s">
        <v>299</v>
      </c>
      <c r="B70" s="5" t="s">
        <v>644</v>
      </c>
      <c r="C70" s="5" t="s">
        <v>548</v>
      </c>
      <c r="D70" s="6" t="s">
        <v>668</v>
      </c>
      <c r="E70" s="11" t="s">
        <v>597</v>
      </c>
      <c r="J70" s="41"/>
      <c r="K70" s="41"/>
      <c r="L70" s="1"/>
      <c r="M70" s="5" t="s">
        <v>362</v>
      </c>
      <c r="N70" s="31" t="s">
        <v>1021</v>
      </c>
      <c r="P70" s="15" t="s">
        <v>131</v>
      </c>
      <c r="Q70" s="6"/>
      <c r="Z70" s="5" t="s">
        <v>1237</v>
      </c>
    </row>
    <row r="71" spans="1:26" x14ac:dyDescent="0.2">
      <c r="A71" s="10" t="s">
        <v>131</v>
      </c>
      <c r="B71" s="5" t="s">
        <v>1127</v>
      </c>
      <c r="C71" s="5" t="s">
        <v>1283</v>
      </c>
      <c r="D71" s="6" t="s">
        <v>669</v>
      </c>
      <c r="E71" s="6" t="s">
        <v>476</v>
      </c>
      <c r="J71" s="41"/>
      <c r="K71" s="41"/>
      <c r="L71" s="1"/>
      <c r="M71" s="5" t="s">
        <v>349</v>
      </c>
      <c r="N71" s="31" t="s">
        <v>716</v>
      </c>
      <c r="P71" s="15" t="s">
        <v>314</v>
      </c>
      <c r="Q71" s="6"/>
      <c r="Z71" s="52" t="s">
        <v>17</v>
      </c>
    </row>
    <row r="72" spans="1:26" x14ac:dyDescent="0.2">
      <c r="A72" s="10" t="s">
        <v>152</v>
      </c>
      <c r="B72" s="5" t="s">
        <v>1128</v>
      </c>
      <c r="C72" s="5" t="s">
        <v>1284</v>
      </c>
      <c r="D72" s="6" t="s">
        <v>670</v>
      </c>
      <c r="E72" s="6" t="s">
        <v>223</v>
      </c>
      <c r="J72" s="41"/>
      <c r="K72" s="41"/>
      <c r="L72" s="1"/>
      <c r="M72" s="5" t="s">
        <v>367</v>
      </c>
      <c r="N72" s="31" t="s">
        <v>1241</v>
      </c>
      <c r="P72" s="15" t="s">
        <v>335</v>
      </c>
      <c r="Q72" s="6"/>
      <c r="Z72" s="10" t="s">
        <v>507</v>
      </c>
    </row>
    <row r="73" spans="1:26" x14ac:dyDescent="0.2">
      <c r="A73" s="10" t="s">
        <v>466</v>
      </c>
      <c r="B73" s="5" t="s">
        <v>1129</v>
      </c>
      <c r="C73" s="5" t="s">
        <v>364</v>
      </c>
      <c r="D73" s="6" t="s">
        <v>671</v>
      </c>
      <c r="E73" s="6" t="s">
        <v>142</v>
      </c>
      <c r="J73" s="41"/>
      <c r="K73" s="41"/>
      <c r="L73" s="1"/>
      <c r="M73" s="5" t="s">
        <v>369</v>
      </c>
      <c r="N73" s="31" t="s">
        <v>1200</v>
      </c>
      <c r="P73" s="15" t="s">
        <v>360</v>
      </c>
      <c r="Q73" s="6"/>
      <c r="Z73" s="10" t="s">
        <v>81</v>
      </c>
    </row>
    <row r="74" spans="1:26" x14ac:dyDescent="0.2">
      <c r="A74" s="5" t="s">
        <v>144</v>
      </c>
      <c r="B74" s="5" t="s">
        <v>1130</v>
      </c>
      <c r="C74" s="5" t="s">
        <v>1285</v>
      </c>
      <c r="D74" s="6" t="s">
        <v>672</v>
      </c>
      <c r="E74" s="6" t="s">
        <v>318</v>
      </c>
      <c r="J74" s="41"/>
      <c r="K74" s="41"/>
      <c r="L74" s="1"/>
      <c r="M74" s="5" t="s">
        <v>1035</v>
      </c>
      <c r="N74" s="31" t="s">
        <v>1144</v>
      </c>
      <c r="P74" s="15" t="s">
        <v>346</v>
      </c>
      <c r="Q74" s="6"/>
      <c r="Z74" s="10" t="s">
        <v>108</v>
      </c>
    </row>
    <row r="75" spans="1:26" x14ac:dyDescent="0.2">
      <c r="A75" s="10" t="s">
        <v>229</v>
      </c>
      <c r="B75" s="5" t="s">
        <v>1131</v>
      </c>
      <c r="C75" s="10" t="s">
        <v>513</v>
      </c>
      <c r="D75" s="6" t="s">
        <v>673</v>
      </c>
      <c r="E75" s="11" t="s">
        <v>478</v>
      </c>
      <c r="J75" s="41"/>
      <c r="K75" s="41"/>
      <c r="L75" s="1"/>
      <c r="M75" s="5" t="s">
        <v>377</v>
      </c>
      <c r="N75" s="31" t="s">
        <v>1133</v>
      </c>
      <c r="P75" s="10" t="s">
        <v>359</v>
      </c>
      <c r="Z75" s="52" t="s">
        <v>89</v>
      </c>
    </row>
    <row r="76" spans="1:26" x14ac:dyDescent="0.2">
      <c r="A76" s="5" t="s">
        <v>103</v>
      </c>
      <c r="B76" s="5" t="s">
        <v>1132</v>
      </c>
      <c r="C76" s="5" t="s">
        <v>414</v>
      </c>
      <c r="D76" s="6" t="s">
        <v>674</v>
      </c>
      <c r="E76" s="6" t="s">
        <v>631</v>
      </c>
      <c r="J76" s="41"/>
      <c r="K76" s="41"/>
      <c r="L76" s="1"/>
      <c r="M76" s="5" t="s">
        <v>381</v>
      </c>
      <c r="N76" s="31" t="s">
        <v>1119</v>
      </c>
      <c r="P76" s="15" t="s">
        <v>583</v>
      </c>
      <c r="Q76" s="6"/>
      <c r="Z76" s="5" t="s">
        <v>719</v>
      </c>
    </row>
    <row r="77" spans="1:26" x14ac:dyDescent="0.2">
      <c r="A77" s="13" t="s">
        <v>380</v>
      </c>
      <c r="B77" s="5" t="s">
        <v>1133</v>
      </c>
      <c r="C77" s="10" t="s">
        <v>379</v>
      </c>
      <c r="D77" s="6" t="s">
        <v>469</v>
      </c>
      <c r="E77" s="6" t="s">
        <v>846</v>
      </c>
      <c r="J77" s="41"/>
      <c r="K77" s="41"/>
      <c r="L77" s="42"/>
      <c r="M77" s="5" t="s">
        <v>741</v>
      </c>
      <c r="N77" s="31" t="s">
        <v>12</v>
      </c>
      <c r="P77" s="10" t="s">
        <v>405</v>
      </c>
      <c r="Z77" s="5" t="s">
        <v>724</v>
      </c>
    </row>
    <row r="78" spans="1:26" x14ac:dyDescent="0.2">
      <c r="A78" s="5" t="s">
        <v>269</v>
      </c>
      <c r="B78" s="5" t="s">
        <v>347</v>
      </c>
      <c r="C78" s="5" t="s">
        <v>1286</v>
      </c>
      <c r="D78" s="6" t="s">
        <v>675</v>
      </c>
      <c r="E78" s="6" t="s">
        <v>1020</v>
      </c>
      <c r="J78" s="41"/>
      <c r="K78" s="41"/>
      <c r="L78" s="41"/>
      <c r="M78" s="5" t="s">
        <v>364</v>
      </c>
      <c r="N78" s="31" t="s">
        <v>1300</v>
      </c>
      <c r="P78" s="15" t="s">
        <v>607</v>
      </c>
      <c r="Q78" s="6"/>
      <c r="Z78" s="5" t="s">
        <v>652</v>
      </c>
    </row>
    <row r="79" spans="1:26" x14ac:dyDescent="0.2">
      <c r="A79" s="10" t="s">
        <v>433</v>
      </c>
      <c r="B79" s="5" t="s">
        <v>1134</v>
      </c>
      <c r="C79" s="5" t="s">
        <v>197</v>
      </c>
      <c r="D79" s="6" t="s">
        <v>139</v>
      </c>
      <c r="E79" s="6" t="s">
        <v>997</v>
      </c>
      <c r="J79" s="41"/>
      <c r="K79" s="41"/>
      <c r="L79" s="41"/>
      <c r="M79" s="5" t="s">
        <v>702</v>
      </c>
      <c r="N79" s="31" t="s">
        <v>45</v>
      </c>
      <c r="P79" s="15" t="s">
        <v>599</v>
      </c>
      <c r="Q79" s="6"/>
      <c r="Z79" s="5" t="s">
        <v>4893</v>
      </c>
    </row>
    <row r="80" spans="1:26" x14ac:dyDescent="0.2">
      <c r="A80" s="10" t="s">
        <v>170</v>
      </c>
      <c r="B80" s="5" t="s">
        <v>1135</v>
      </c>
      <c r="C80" s="5" t="s">
        <v>1287</v>
      </c>
      <c r="D80" s="6" t="s">
        <v>676</v>
      </c>
      <c r="E80" s="6" t="s">
        <v>8</v>
      </c>
      <c r="J80" s="41"/>
      <c r="K80" s="41"/>
      <c r="L80" s="41"/>
      <c r="M80" s="5" t="s">
        <v>1036</v>
      </c>
      <c r="N80" s="31" t="s">
        <v>19</v>
      </c>
      <c r="P80" s="15" t="s">
        <v>415</v>
      </c>
      <c r="Q80" s="6"/>
      <c r="Z80" s="5" t="s">
        <v>1126</v>
      </c>
    </row>
    <row r="81" spans="1:26" x14ac:dyDescent="0.2">
      <c r="A81" s="10" t="s">
        <v>488</v>
      </c>
      <c r="B81" s="5" t="s">
        <v>1136</v>
      </c>
      <c r="C81" s="13" t="s">
        <v>200</v>
      </c>
      <c r="D81" s="6" t="s">
        <v>677</v>
      </c>
      <c r="E81" s="6" t="s">
        <v>1035</v>
      </c>
      <c r="J81" s="41"/>
      <c r="K81" s="41"/>
      <c r="L81" s="41"/>
      <c r="M81" s="5" t="s">
        <v>151</v>
      </c>
      <c r="N81" s="31" t="s">
        <v>1124</v>
      </c>
      <c r="P81" s="15" t="s">
        <v>419</v>
      </c>
      <c r="Q81" s="6"/>
      <c r="Z81" s="5" t="s">
        <v>1264</v>
      </c>
    </row>
    <row r="82" spans="1:26" x14ac:dyDescent="0.2">
      <c r="A82" s="10" t="s">
        <v>108</v>
      </c>
      <c r="B82" s="5" t="s">
        <v>803</v>
      </c>
      <c r="C82" s="5" t="s">
        <v>1288</v>
      </c>
      <c r="D82" s="6" t="s">
        <v>678</v>
      </c>
      <c r="E82" s="6" t="s">
        <v>737</v>
      </c>
      <c r="J82" s="41"/>
      <c r="K82" s="41"/>
      <c r="L82" s="41"/>
      <c r="M82" s="5" t="s">
        <v>685</v>
      </c>
      <c r="N82" s="31" t="s">
        <v>630</v>
      </c>
      <c r="P82" s="15" t="s">
        <v>216</v>
      </c>
      <c r="Q82" s="6"/>
      <c r="Z82" s="5" t="s">
        <v>1209</v>
      </c>
    </row>
    <row r="83" spans="1:26" x14ac:dyDescent="0.2">
      <c r="A83" s="5" t="s">
        <v>308</v>
      </c>
      <c r="B83" s="5" t="s">
        <v>1137</v>
      </c>
      <c r="C83" s="10" t="s">
        <v>554</v>
      </c>
      <c r="D83" s="6" t="s">
        <v>679</v>
      </c>
      <c r="E83" s="6" t="s">
        <v>322</v>
      </c>
      <c r="J83" s="41"/>
      <c r="K83" s="41"/>
      <c r="L83" s="41"/>
      <c r="M83" s="5" t="s">
        <v>384</v>
      </c>
      <c r="N83" s="31" t="s">
        <v>1255</v>
      </c>
      <c r="P83" s="15" t="s">
        <v>610</v>
      </c>
      <c r="Q83" s="6"/>
      <c r="Z83" s="52" t="s">
        <v>116</v>
      </c>
    </row>
    <row r="84" spans="1:26" x14ac:dyDescent="0.2">
      <c r="A84" s="10" t="s">
        <v>307</v>
      </c>
      <c r="B84" s="5" t="s">
        <v>1138</v>
      </c>
      <c r="C84" s="5" t="s">
        <v>1289</v>
      </c>
      <c r="D84" s="6" t="s">
        <v>680</v>
      </c>
      <c r="E84" s="6" t="s">
        <v>447</v>
      </c>
      <c r="J84" s="41"/>
      <c r="K84" s="41"/>
      <c r="L84" s="41"/>
      <c r="M84" s="5" t="s">
        <v>123</v>
      </c>
      <c r="N84" s="31" t="s">
        <v>710</v>
      </c>
      <c r="P84" s="15" t="s">
        <v>395</v>
      </c>
      <c r="Q84" s="6"/>
      <c r="Z84" s="52" t="s">
        <v>97</v>
      </c>
    </row>
    <row r="85" spans="1:26" x14ac:dyDescent="0.2">
      <c r="A85" s="13" t="s">
        <v>545</v>
      </c>
      <c r="B85" s="5" t="s">
        <v>1139</v>
      </c>
      <c r="C85" s="13" t="s">
        <v>613</v>
      </c>
      <c r="D85" s="6" t="s">
        <v>681</v>
      </c>
      <c r="E85" s="6" t="s">
        <v>1032</v>
      </c>
      <c r="J85" s="41"/>
      <c r="K85" s="41"/>
      <c r="L85" s="41"/>
      <c r="M85" s="5" t="s">
        <v>755</v>
      </c>
      <c r="N85" s="31" t="s">
        <v>53</v>
      </c>
      <c r="P85" s="10" t="s">
        <v>376</v>
      </c>
      <c r="Z85" s="52" t="s">
        <v>105</v>
      </c>
    </row>
    <row r="86" spans="1:26" x14ac:dyDescent="0.2">
      <c r="A86" s="5" t="s">
        <v>365</v>
      </c>
      <c r="B86" s="5" t="s">
        <v>1140</v>
      </c>
      <c r="C86" s="5" t="s">
        <v>1023</v>
      </c>
      <c r="D86" s="11" t="s">
        <v>606</v>
      </c>
      <c r="E86" s="6" t="s">
        <v>182</v>
      </c>
      <c r="J86" s="41"/>
      <c r="K86" s="41"/>
      <c r="L86" s="41"/>
      <c r="M86" s="5" t="s">
        <v>413</v>
      </c>
      <c r="N86" s="31" t="s">
        <v>831</v>
      </c>
      <c r="P86" s="15" t="s">
        <v>564</v>
      </c>
      <c r="Q86" s="6"/>
      <c r="Z86" s="5" t="s">
        <v>1243</v>
      </c>
    </row>
    <row r="87" spans="1:26" x14ac:dyDescent="0.2">
      <c r="A87" s="10" t="s">
        <v>490</v>
      </c>
      <c r="B87" s="5" t="s">
        <v>1141</v>
      </c>
      <c r="C87" s="5" t="s">
        <v>1290</v>
      </c>
      <c r="D87" s="6" t="s">
        <v>682</v>
      </c>
      <c r="E87" s="6" t="s">
        <v>123</v>
      </c>
      <c r="J87" s="41"/>
      <c r="K87" s="41"/>
      <c r="L87" s="41"/>
      <c r="M87" s="5" t="s">
        <v>788</v>
      </c>
      <c r="N87" s="31" t="s">
        <v>43</v>
      </c>
      <c r="P87" s="15" t="s">
        <v>389</v>
      </c>
      <c r="Q87" s="6"/>
      <c r="Z87" s="52" t="s">
        <v>112</v>
      </c>
    </row>
    <row r="88" spans="1:26" x14ac:dyDescent="0.2">
      <c r="A88" s="5" t="s">
        <v>105</v>
      </c>
      <c r="B88" s="5" t="s">
        <v>1142</v>
      </c>
      <c r="C88" s="13" t="s">
        <v>620</v>
      </c>
      <c r="D88" s="6" t="s">
        <v>683</v>
      </c>
      <c r="E88" s="6" t="s">
        <v>446</v>
      </c>
      <c r="J88" s="42"/>
      <c r="K88" s="41"/>
      <c r="L88" s="41"/>
      <c r="M88" s="5" t="s">
        <v>414</v>
      </c>
      <c r="N88" s="31" t="s">
        <v>1146</v>
      </c>
      <c r="P88" s="15" t="s">
        <v>437</v>
      </c>
      <c r="Q88" s="6"/>
      <c r="Z88" s="5" t="s">
        <v>1049</v>
      </c>
    </row>
    <row r="89" spans="1:26" x14ac:dyDescent="0.2">
      <c r="A89" s="5" t="s">
        <v>543</v>
      </c>
      <c r="B89" s="5" t="s">
        <v>1143</v>
      </c>
      <c r="C89" s="5" t="s">
        <v>494</v>
      </c>
      <c r="D89" s="6" t="s">
        <v>371</v>
      </c>
      <c r="E89" s="6" t="s">
        <v>464</v>
      </c>
      <c r="J89" s="41"/>
      <c r="K89" s="41"/>
      <c r="L89" s="41"/>
      <c r="M89" s="5" t="s">
        <v>394</v>
      </c>
      <c r="N89" s="31" t="s">
        <v>5</v>
      </c>
      <c r="P89" s="15" t="s">
        <v>559</v>
      </c>
      <c r="Q89" s="6"/>
      <c r="Z89" s="13" t="s">
        <v>613</v>
      </c>
    </row>
    <row r="90" spans="1:26" x14ac:dyDescent="0.2">
      <c r="A90" s="10" t="s">
        <v>454</v>
      </c>
      <c r="B90" s="5" t="s">
        <v>1144</v>
      </c>
      <c r="C90" s="5" t="s">
        <v>1020</v>
      </c>
      <c r="D90" s="6" t="s">
        <v>684</v>
      </c>
      <c r="E90" s="6" t="s">
        <v>328</v>
      </c>
      <c r="J90" s="41"/>
      <c r="K90" s="41"/>
      <c r="L90" s="42"/>
      <c r="M90" s="5" t="s">
        <v>137</v>
      </c>
      <c r="N90" s="31" t="s">
        <v>778</v>
      </c>
      <c r="P90" s="15" t="s">
        <v>130</v>
      </c>
      <c r="Q90" s="6"/>
      <c r="Z90" s="5" t="s">
        <v>660</v>
      </c>
    </row>
    <row r="91" spans="1:26" x14ac:dyDescent="0.2">
      <c r="A91" s="10" t="s">
        <v>556</v>
      </c>
      <c r="B91" s="5" t="s">
        <v>1145</v>
      </c>
      <c r="C91" s="5" t="s">
        <v>1291</v>
      </c>
      <c r="D91" s="6" t="s">
        <v>685</v>
      </c>
      <c r="E91" s="6" t="s">
        <v>287</v>
      </c>
      <c r="J91" s="41"/>
      <c r="K91" s="41"/>
      <c r="L91" s="42"/>
      <c r="M91" s="5" t="s">
        <v>143</v>
      </c>
      <c r="N91" s="31" t="s">
        <v>1332</v>
      </c>
      <c r="P91" s="15" t="s">
        <v>239</v>
      </c>
      <c r="Q91" s="6"/>
      <c r="Z91" s="5" t="s">
        <v>1320</v>
      </c>
    </row>
    <row r="92" spans="1:26" x14ac:dyDescent="0.2">
      <c r="A92" s="10" t="s">
        <v>23</v>
      </c>
      <c r="B92" s="5" t="s">
        <v>48</v>
      </c>
      <c r="C92" s="10" t="s">
        <v>265</v>
      </c>
      <c r="D92" s="6" t="s">
        <v>686</v>
      </c>
      <c r="E92" s="6"/>
      <c r="J92" s="41"/>
      <c r="K92" s="42"/>
      <c r="L92" s="42"/>
      <c r="M92" s="5" t="s">
        <v>1158</v>
      </c>
      <c r="N92" s="31" t="s">
        <v>70</v>
      </c>
      <c r="P92" s="15" t="s">
        <v>418</v>
      </c>
      <c r="Q92" s="6"/>
      <c r="Z92" s="5" t="s">
        <v>1110</v>
      </c>
    </row>
    <row r="93" spans="1:26" x14ac:dyDescent="0.2">
      <c r="A93" s="5" t="s">
        <v>469</v>
      </c>
      <c r="B93" s="5" t="s">
        <v>810</v>
      </c>
      <c r="C93" s="5" t="s">
        <v>1292</v>
      </c>
      <c r="D93" s="6" t="s">
        <v>687</v>
      </c>
      <c r="E93" s="6"/>
      <c r="J93" s="41"/>
      <c r="K93" s="41"/>
      <c r="L93" s="41"/>
      <c r="M93" s="5" t="s">
        <v>802</v>
      </c>
      <c r="N93" s="31" t="s">
        <v>51</v>
      </c>
      <c r="P93" s="15" t="s">
        <v>421</v>
      </c>
      <c r="Q93" s="6"/>
      <c r="Z93" s="5" t="s">
        <v>1157</v>
      </c>
    </row>
    <row r="94" spans="1:26" x14ac:dyDescent="0.2">
      <c r="A94" s="5" t="s">
        <v>283</v>
      </c>
      <c r="B94" s="5" t="s">
        <v>651</v>
      </c>
      <c r="C94" s="5" t="s">
        <v>328</v>
      </c>
      <c r="D94" s="6" t="s">
        <v>688</v>
      </c>
      <c r="E94" s="6"/>
      <c r="J94" s="41"/>
      <c r="K94" s="41"/>
      <c r="L94" s="42"/>
      <c r="M94" s="5" t="s">
        <v>763</v>
      </c>
      <c r="N94" s="31" t="s">
        <v>1221</v>
      </c>
      <c r="P94" s="15" t="s">
        <v>561</v>
      </c>
      <c r="Q94" s="6"/>
      <c r="Z94" s="5" t="s">
        <v>1309</v>
      </c>
    </row>
    <row r="95" spans="1:26" x14ac:dyDescent="0.2">
      <c r="A95" s="5" t="s">
        <v>491</v>
      </c>
      <c r="B95" s="5" t="s">
        <v>1146</v>
      </c>
      <c r="C95" s="5" t="s">
        <v>394</v>
      </c>
      <c r="D95" s="6" t="s">
        <v>532</v>
      </c>
      <c r="E95" s="6"/>
      <c r="J95" s="41"/>
      <c r="K95" s="41"/>
      <c r="L95" s="41"/>
      <c r="M95" s="5" t="s">
        <v>775</v>
      </c>
      <c r="N95" s="31" t="s">
        <v>1121</v>
      </c>
      <c r="P95" s="10" t="s">
        <v>612</v>
      </c>
      <c r="Z95" s="5" t="s">
        <v>1112</v>
      </c>
    </row>
    <row r="96" spans="1:26" x14ac:dyDescent="0.2">
      <c r="A96" s="5" t="s">
        <v>396</v>
      </c>
      <c r="B96" s="5" t="s">
        <v>650</v>
      </c>
      <c r="C96" s="5" t="s">
        <v>1293</v>
      </c>
      <c r="D96" s="6" t="s">
        <v>689</v>
      </c>
      <c r="E96" s="6"/>
      <c r="J96" s="41"/>
      <c r="K96" s="41"/>
      <c r="L96" s="42"/>
      <c r="M96" s="5" t="s">
        <v>803</v>
      </c>
      <c r="N96" s="31" t="s">
        <v>1322</v>
      </c>
      <c r="P96" s="10" t="s">
        <v>410</v>
      </c>
      <c r="Z96" s="5" t="s">
        <v>1190</v>
      </c>
    </row>
    <row r="97" spans="1:26" x14ac:dyDescent="0.2">
      <c r="A97" s="10" t="s">
        <v>478</v>
      </c>
      <c r="B97" s="5" t="s">
        <v>1147</v>
      </c>
      <c r="C97" s="5" t="s">
        <v>470</v>
      </c>
      <c r="D97" s="11" t="s">
        <v>596</v>
      </c>
      <c r="E97" s="6"/>
      <c r="J97" s="41"/>
      <c r="K97" s="41"/>
      <c r="L97" s="41"/>
      <c r="M97" s="5" t="s">
        <v>157</v>
      </c>
      <c r="N97" s="31" t="s">
        <v>1140</v>
      </c>
      <c r="P97" s="15" t="s">
        <v>245</v>
      </c>
      <c r="Q97" s="6"/>
      <c r="Z97" s="10" t="s">
        <v>512</v>
      </c>
    </row>
    <row r="98" spans="1:26" x14ac:dyDescent="0.2">
      <c r="A98" s="10" t="s">
        <v>423</v>
      </c>
      <c r="B98" s="5" t="s">
        <v>648</v>
      </c>
      <c r="C98" s="5" t="s">
        <v>633</v>
      </c>
      <c r="D98" s="19" t="s">
        <v>401</v>
      </c>
      <c r="E98" s="6"/>
      <c r="J98" s="41"/>
      <c r="K98" s="41"/>
      <c r="L98" s="41"/>
      <c r="M98" s="5" t="s">
        <v>1040</v>
      </c>
      <c r="N98" s="31" t="s">
        <v>1274</v>
      </c>
      <c r="P98" s="15" t="s">
        <v>150</v>
      </c>
      <c r="Q98" s="6"/>
      <c r="Z98" s="5" t="s">
        <v>1137</v>
      </c>
    </row>
    <row r="99" spans="1:26" x14ac:dyDescent="0.2">
      <c r="A99" s="10" t="s">
        <v>395</v>
      </c>
      <c r="B99" s="5" t="s">
        <v>1148</v>
      </c>
      <c r="C99" s="5" t="s">
        <v>1294</v>
      </c>
      <c r="D99" s="6" t="s">
        <v>690</v>
      </c>
      <c r="E99" s="6"/>
      <c r="J99" s="42"/>
      <c r="K99" s="41"/>
      <c r="L99" s="42"/>
      <c r="M99" s="5" t="s">
        <v>675</v>
      </c>
      <c r="N99" s="31" t="s">
        <v>16</v>
      </c>
      <c r="P99" s="15" t="s">
        <v>399</v>
      </c>
      <c r="Q99" s="6"/>
      <c r="Z99" s="5" t="s">
        <v>659</v>
      </c>
    </row>
    <row r="100" spans="1:26" x14ac:dyDescent="0.2">
      <c r="A100" s="5" t="s">
        <v>201</v>
      </c>
      <c r="B100" s="5" t="s">
        <v>1149</v>
      </c>
      <c r="C100" s="5" t="s">
        <v>1295</v>
      </c>
      <c r="D100" s="6" t="s">
        <v>691</v>
      </c>
      <c r="E100" s="6"/>
      <c r="J100" s="42"/>
      <c r="K100" s="41"/>
      <c r="L100" s="41"/>
      <c r="M100" s="5" t="s">
        <v>434</v>
      </c>
      <c r="N100" s="31" t="s">
        <v>10</v>
      </c>
      <c r="P100" s="15" t="s">
        <v>604</v>
      </c>
      <c r="Q100" s="6"/>
      <c r="Z100" s="52" t="s">
        <v>119</v>
      </c>
    </row>
    <row r="101" spans="1:26" x14ac:dyDescent="0.2">
      <c r="A101" s="5" t="s">
        <v>364</v>
      </c>
      <c r="B101" s="5" t="s">
        <v>1150</v>
      </c>
      <c r="C101" s="5" t="s">
        <v>1296</v>
      </c>
      <c r="D101" s="6" t="s">
        <v>692</v>
      </c>
      <c r="E101" s="6"/>
      <c r="J101" s="41"/>
      <c r="K101" s="41"/>
      <c r="L101" s="41"/>
      <c r="M101" s="5" t="s">
        <v>436</v>
      </c>
      <c r="N101" s="31" t="s">
        <v>59</v>
      </c>
      <c r="P101" s="15" t="s">
        <v>158</v>
      </c>
      <c r="Q101" s="6"/>
      <c r="Z101" s="13" t="s">
        <v>621</v>
      </c>
    </row>
    <row r="102" spans="1:26" x14ac:dyDescent="0.2">
      <c r="A102" s="10" t="s">
        <v>207</v>
      </c>
      <c r="B102" s="5" t="s">
        <v>1151</v>
      </c>
      <c r="C102" s="13" t="s">
        <v>545</v>
      </c>
      <c r="D102" s="6" t="s">
        <v>693</v>
      </c>
      <c r="E102" s="6"/>
      <c r="J102" s="41"/>
      <c r="K102" s="41"/>
      <c r="L102" s="41"/>
      <c r="M102" s="5" t="s">
        <v>178</v>
      </c>
      <c r="N102" s="31" t="s">
        <v>85</v>
      </c>
      <c r="P102" s="15" t="s">
        <v>165</v>
      </c>
      <c r="Q102" s="6"/>
      <c r="Z102" s="13" t="s">
        <v>616</v>
      </c>
    </row>
    <row r="103" spans="1:26" x14ac:dyDescent="0.2">
      <c r="A103" s="10" t="s">
        <v>427</v>
      </c>
      <c r="B103" s="5" t="s">
        <v>1152</v>
      </c>
      <c r="C103" s="5" t="s">
        <v>362</v>
      </c>
      <c r="D103" s="6" t="s">
        <v>694</v>
      </c>
      <c r="E103" s="6"/>
      <c r="J103" s="42"/>
      <c r="K103" s="42"/>
      <c r="L103" s="41"/>
      <c r="M103" s="5" t="s">
        <v>695</v>
      </c>
      <c r="N103" s="31" t="s">
        <v>24</v>
      </c>
      <c r="P103" s="15" t="s">
        <v>588</v>
      </c>
      <c r="Q103" s="6"/>
      <c r="Z103" s="5" t="s">
        <v>82</v>
      </c>
    </row>
    <row r="104" spans="1:26" x14ac:dyDescent="0.2">
      <c r="A104" s="5" t="s">
        <v>4</v>
      </c>
      <c r="B104" s="5" t="s">
        <v>1153</v>
      </c>
      <c r="C104" s="5" t="s">
        <v>144</v>
      </c>
      <c r="D104" s="6" t="s">
        <v>695</v>
      </c>
      <c r="E104" s="6"/>
      <c r="J104" s="41"/>
      <c r="K104" s="42"/>
      <c r="L104" s="41"/>
      <c r="M104" s="5" t="s">
        <v>441</v>
      </c>
      <c r="N104" s="31" t="s">
        <v>18</v>
      </c>
      <c r="P104" s="15" t="s">
        <v>398</v>
      </c>
      <c r="Q104" s="6"/>
      <c r="Z104" s="5" t="str">
        <f>"C48B6.2"</f>
        <v>C48B6.2</v>
      </c>
    </row>
    <row r="105" spans="1:26" x14ac:dyDescent="0.2">
      <c r="A105" s="10" t="s">
        <v>165</v>
      </c>
      <c r="B105" s="5" t="s">
        <v>653</v>
      </c>
      <c r="C105" s="5" t="s">
        <v>479</v>
      </c>
      <c r="D105" s="6" t="s">
        <v>45</v>
      </c>
      <c r="E105" s="6"/>
      <c r="J105" s="41"/>
      <c r="K105" s="41"/>
      <c r="L105" s="41"/>
      <c r="M105" s="5" t="s">
        <v>449</v>
      </c>
      <c r="N105" s="31" t="s">
        <v>680</v>
      </c>
      <c r="P105" s="10" t="s">
        <v>463</v>
      </c>
      <c r="Z105" s="52" t="s">
        <v>125</v>
      </c>
    </row>
    <row r="106" spans="1:26" x14ac:dyDescent="0.2">
      <c r="A106" s="10" t="s">
        <v>39</v>
      </c>
      <c r="B106" s="5" t="s">
        <v>679</v>
      </c>
      <c r="C106" s="5" t="s">
        <v>1297</v>
      </c>
      <c r="D106" s="6" t="s">
        <v>696</v>
      </c>
      <c r="E106" s="6"/>
      <c r="J106" s="41"/>
      <c r="K106" s="41"/>
      <c r="L106" s="41"/>
      <c r="M106" s="5" t="s">
        <v>689</v>
      </c>
      <c r="N106" s="31" t="s">
        <v>1267</v>
      </c>
      <c r="P106" s="15" t="s">
        <v>578</v>
      </c>
      <c r="Q106" s="6"/>
      <c r="Z106" s="52" t="s">
        <v>132</v>
      </c>
    </row>
    <row r="107" spans="1:26" x14ac:dyDescent="0.2">
      <c r="A107" s="10" t="s">
        <v>353</v>
      </c>
      <c r="B107" s="5" t="s">
        <v>384</v>
      </c>
      <c r="C107" s="5" t="s">
        <v>1298</v>
      </c>
      <c r="D107" s="6" t="s">
        <v>268</v>
      </c>
      <c r="E107" s="6"/>
      <c r="J107" s="41"/>
      <c r="K107" s="42"/>
      <c r="L107" s="41"/>
      <c r="M107" s="5" t="s">
        <v>196</v>
      </c>
      <c r="N107" s="31" t="s">
        <v>1356</v>
      </c>
      <c r="P107" s="15" t="s">
        <v>170</v>
      </c>
      <c r="Q107" s="6"/>
      <c r="Z107" s="52" t="s">
        <v>139</v>
      </c>
    </row>
    <row r="108" spans="1:26" x14ac:dyDescent="0.2">
      <c r="A108" s="10" t="s">
        <v>376</v>
      </c>
      <c r="B108" s="5" t="s">
        <v>831</v>
      </c>
      <c r="C108" s="5" t="s">
        <v>847</v>
      </c>
      <c r="D108" s="6" t="s">
        <v>697</v>
      </c>
      <c r="E108" s="6"/>
      <c r="J108" s="42"/>
      <c r="K108" s="41"/>
      <c r="L108" s="41"/>
      <c r="M108" s="5" t="s">
        <v>712</v>
      </c>
      <c r="N108" s="31" t="s">
        <v>1237</v>
      </c>
      <c r="P108" s="15" t="s">
        <v>606</v>
      </c>
      <c r="Q108" s="6"/>
      <c r="Z108" s="52" t="s">
        <v>145</v>
      </c>
    </row>
    <row r="109" spans="1:26" x14ac:dyDescent="0.2">
      <c r="A109" s="10" t="s">
        <v>282</v>
      </c>
      <c r="B109" s="5" t="s">
        <v>647</v>
      </c>
      <c r="C109" s="5" t="s">
        <v>103</v>
      </c>
      <c r="D109" s="6" t="s">
        <v>698</v>
      </c>
      <c r="E109" s="6"/>
      <c r="J109" s="41"/>
      <c r="K109" s="41"/>
      <c r="L109" s="41"/>
      <c r="M109" s="5" t="s">
        <v>790</v>
      </c>
      <c r="N109" s="31" t="s">
        <v>17</v>
      </c>
      <c r="P109" s="15" t="s">
        <v>423</v>
      </c>
      <c r="Q109" s="6"/>
      <c r="Z109" s="5" t="s">
        <v>1163</v>
      </c>
    </row>
    <row r="110" spans="1:26" x14ac:dyDescent="0.2">
      <c r="A110" s="10" t="s">
        <v>524</v>
      </c>
      <c r="B110" s="16" t="s">
        <v>401</v>
      </c>
      <c r="C110" s="5" t="s">
        <v>72</v>
      </c>
      <c r="D110" s="6" t="s">
        <v>699</v>
      </c>
      <c r="E110" s="6"/>
      <c r="J110" s="42"/>
      <c r="K110" s="41"/>
      <c r="L110" s="41"/>
      <c r="M110" s="5" t="s">
        <v>1020</v>
      </c>
      <c r="N110" s="31" t="s">
        <v>89</v>
      </c>
      <c r="P110" s="15" t="s">
        <v>190</v>
      </c>
      <c r="Q110" s="6"/>
      <c r="Z110" s="5" t="s">
        <v>1307</v>
      </c>
    </row>
    <row r="111" spans="1:26" x14ac:dyDescent="0.2">
      <c r="A111" s="10" t="s">
        <v>81</v>
      </c>
      <c r="B111" s="5" t="s">
        <v>1154</v>
      </c>
      <c r="C111" s="5" t="s">
        <v>1299</v>
      </c>
      <c r="D111" s="6" t="s">
        <v>700</v>
      </c>
      <c r="E111" s="6"/>
      <c r="J111" s="41"/>
      <c r="K111" s="41"/>
      <c r="L111" s="41"/>
      <c r="M111" s="5" t="s">
        <v>183</v>
      </c>
      <c r="N111" s="31" t="s">
        <v>719</v>
      </c>
      <c r="P111" s="15" t="s">
        <v>565</v>
      </c>
      <c r="Q111" s="6"/>
      <c r="Z111" s="5" t="s">
        <v>1097</v>
      </c>
    </row>
    <row r="112" spans="1:26" x14ac:dyDescent="0.2">
      <c r="A112" s="10" t="s">
        <v>554</v>
      </c>
      <c r="B112" s="5" t="s">
        <v>845</v>
      </c>
      <c r="C112" s="5" t="s">
        <v>285</v>
      </c>
      <c r="D112" s="6" t="s">
        <v>701</v>
      </c>
      <c r="E112" s="6"/>
      <c r="J112" s="41"/>
      <c r="K112" s="42"/>
      <c r="L112" s="41"/>
      <c r="M112" s="5" t="s">
        <v>789</v>
      </c>
      <c r="N112" s="31" t="s">
        <v>724</v>
      </c>
      <c r="P112" s="15" t="s">
        <v>430</v>
      </c>
      <c r="Q112" s="6"/>
      <c r="Z112" s="5" t="s">
        <v>1369</v>
      </c>
    </row>
    <row r="113" spans="1:26" x14ac:dyDescent="0.2">
      <c r="A113" s="5" t="s">
        <v>79</v>
      </c>
      <c r="B113" s="5" t="s">
        <v>1155</v>
      </c>
      <c r="C113" s="5" t="s">
        <v>1300</v>
      </c>
      <c r="D113" s="6" t="s">
        <v>702</v>
      </c>
      <c r="E113" s="6"/>
      <c r="J113" s="41"/>
      <c r="K113" s="41"/>
      <c r="L113" s="41"/>
      <c r="M113" s="5" t="s">
        <v>892</v>
      </c>
      <c r="N113" s="31" t="s">
        <v>652</v>
      </c>
      <c r="P113" s="15" t="s">
        <v>433</v>
      </c>
      <c r="Q113" s="6"/>
      <c r="Z113" s="5" t="s">
        <v>1257</v>
      </c>
    </row>
    <row r="114" spans="1:26" x14ac:dyDescent="0.2">
      <c r="A114" s="10" t="s">
        <v>266</v>
      </c>
      <c r="B114" s="5" t="s">
        <v>1156</v>
      </c>
      <c r="C114" s="10" t="s">
        <v>307</v>
      </c>
      <c r="D114" s="6" t="s">
        <v>703</v>
      </c>
      <c r="E114" s="6"/>
      <c r="J114" s="41"/>
      <c r="K114" s="42"/>
      <c r="L114" s="41"/>
      <c r="M114" s="5" t="s">
        <v>772</v>
      </c>
      <c r="N114" s="31" t="s">
        <v>1126</v>
      </c>
      <c r="P114" s="15" t="s">
        <v>375</v>
      </c>
      <c r="Q114" s="6"/>
      <c r="Z114" s="10" t="s">
        <v>152</v>
      </c>
    </row>
    <row r="115" spans="1:26" x14ac:dyDescent="0.2">
      <c r="A115" s="5" t="s">
        <v>208</v>
      </c>
      <c r="B115" s="5" t="s">
        <v>1157</v>
      </c>
      <c r="C115" s="10" t="s">
        <v>490</v>
      </c>
      <c r="D115" s="6" t="s">
        <v>704</v>
      </c>
      <c r="E115" s="6"/>
      <c r="J115" s="41"/>
      <c r="K115" s="41"/>
      <c r="L115" s="41"/>
      <c r="M115" s="5" t="s">
        <v>747</v>
      </c>
      <c r="N115" s="31" t="s">
        <v>1264</v>
      </c>
      <c r="P115" s="15" t="s">
        <v>438</v>
      </c>
      <c r="Q115" s="6"/>
      <c r="Z115" s="5" t="s">
        <v>752</v>
      </c>
    </row>
    <row r="116" spans="1:26" x14ac:dyDescent="0.2">
      <c r="A116" s="5" t="s">
        <v>528</v>
      </c>
      <c r="B116" s="5" t="s">
        <v>1158</v>
      </c>
      <c r="C116" s="10" t="s">
        <v>437</v>
      </c>
      <c r="D116" s="6" t="s">
        <v>705</v>
      </c>
      <c r="E116" s="6"/>
      <c r="J116" s="41"/>
      <c r="K116" s="41"/>
      <c r="L116" s="41"/>
      <c r="M116" s="5" t="s">
        <v>1169</v>
      </c>
      <c r="N116" s="31" t="s">
        <v>1209</v>
      </c>
      <c r="P116" s="15" t="s">
        <v>383</v>
      </c>
      <c r="Q116" s="6"/>
      <c r="Z116" s="52" t="s">
        <v>159</v>
      </c>
    </row>
    <row r="117" spans="1:26" x14ac:dyDescent="0.2">
      <c r="A117" s="5" t="s">
        <v>445</v>
      </c>
      <c r="B117" s="13" t="s">
        <v>837</v>
      </c>
      <c r="C117" s="5" t="s">
        <v>1301</v>
      </c>
      <c r="D117" s="6" t="s">
        <v>431</v>
      </c>
      <c r="E117" s="6"/>
      <c r="J117" s="41"/>
      <c r="K117" s="41"/>
      <c r="L117" s="41"/>
      <c r="M117" s="5" t="s">
        <v>740</v>
      </c>
      <c r="N117" s="31" t="s">
        <v>116</v>
      </c>
      <c r="P117" s="10" t="s">
        <v>487</v>
      </c>
      <c r="Z117" s="5" t="s">
        <v>684</v>
      </c>
    </row>
    <row r="118" spans="1:26" x14ac:dyDescent="0.2">
      <c r="A118" s="10" t="s">
        <v>77</v>
      </c>
      <c r="B118" s="5" t="s">
        <v>1159</v>
      </c>
      <c r="C118" s="10" t="s">
        <v>225</v>
      </c>
      <c r="D118" s="6" t="s">
        <v>706</v>
      </c>
      <c r="E118" s="6"/>
      <c r="J118" s="41"/>
      <c r="K118" s="41"/>
      <c r="L118" s="41"/>
      <c r="M118" s="5" t="s">
        <v>770</v>
      </c>
      <c r="N118" s="31" t="s">
        <v>97</v>
      </c>
      <c r="P118" s="15" t="s">
        <v>600</v>
      </c>
      <c r="Q118" s="6"/>
      <c r="Z118" s="13" t="s">
        <v>620</v>
      </c>
    </row>
    <row r="119" spans="1:26" x14ac:dyDescent="0.2">
      <c r="A119" s="5" t="s">
        <v>261</v>
      </c>
      <c r="B119" s="5" t="s">
        <v>1160</v>
      </c>
      <c r="C119" s="5" t="s">
        <v>308</v>
      </c>
      <c r="D119" s="6" t="s">
        <v>707</v>
      </c>
      <c r="E119" s="6"/>
      <c r="J119" s="41"/>
      <c r="K119" s="41"/>
      <c r="L119" s="41"/>
      <c r="M119" s="5" t="s">
        <v>699</v>
      </c>
      <c r="N119" s="31" t="s">
        <v>105</v>
      </c>
      <c r="P119" s="10" t="s">
        <v>214</v>
      </c>
      <c r="Z119" s="5" t="s">
        <v>858</v>
      </c>
    </row>
    <row r="120" spans="1:26" x14ac:dyDescent="0.2">
      <c r="A120" s="10" t="s">
        <v>212</v>
      </c>
      <c r="B120" s="5" t="s">
        <v>1161</v>
      </c>
      <c r="C120" s="5" t="s">
        <v>1302</v>
      </c>
      <c r="D120" s="6" t="s">
        <v>192</v>
      </c>
      <c r="E120" s="6"/>
      <c r="J120" s="42"/>
      <c r="K120" s="41"/>
      <c r="L120" s="41"/>
      <c r="M120" s="5" t="s">
        <v>452</v>
      </c>
      <c r="N120" s="31" t="s">
        <v>1243</v>
      </c>
      <c r="P120" s="15" t="s">
        <v>576</v>
      </c>
      <c r="Q120" s="6"/>
      <c r="Z120" s="5" t="s">
        <v>1220</v>
      </c>
    </row>
    <row r="121" spans="1:26" x14ac:dyDescent="0.2">
      <c r="A121" s="5" t="s">
        <v>504</v>
      </c>
      <c r="B121" s="5" t="s">
        <v>520</v>
      </c>
      <c r="C121" s="5" t="s">
        <v>1303</v>
      </c>
      <c r="D121" s="6" t="s">
        <v>708</v>
      </c>
      <c r="E121" s="6"/>
      <c r="J121" s="41"/>
      <c r="K121" s="41"/>
      <c r="L121" s="41"/>
      <c r="M121" s="5" t="s">
        <v>767</v>
      </c>
      <c r="N121" s="31" t="s">
        <v>1049</v>
      </c>
      <c r="P121" s="15" t="s">
        <v>443</v>
      </c>
      <c r="Q121" s="6"/>
      <c r="Z121" s="5" t="s">
        <v>1256</v>
      </c>
    </row>
    <row r="122" spans="1:26" x14ac:dyDescent="0.2">
      <c r="A122" s="10" t="s">
        <v>546</v>
      </c>
      <c r="B122" s="5" t="s">
        <v>660</v>
      </c>
      <c r="C122" s="5" t="s">
        <v>1304</v>
      </c>
      <c r="D122" s="6" t="s">
        <v>709</v>
      </c>
      <c r="E122" s="6"/>
      <c r="J122" s="41"/>
      <c r="K122" s="41"/>
      <c r="L122" s="41"/>
      <c r="M122" s="5" t="s">
        <v>456</v>
      </c>
      <c r="N122" s="31" t="s">
        <v>1320</v>
      </c>
      <c r="P122" s="15" t="s">
        <v>581</v>
      </c>
      <c r="Q122" s="6"/>
      <c r="Z122" s="52" t="s">
        <v>166</v>
      </c>
    </row>
    <row r="123" spans="1:26" x14ac:dyDescent="0.2">
      <c r="A123" s="5" t="s">
        <v>132</v>
      </c>
      <c r="B123" s="5" t="s">
        <v>1162</v>
      </c>
      <c r="C123" s="5" t="s">
        <v>1305</v>
      </c>
      <c r="D123" s="6" t="s">
        <v>710</v>
      </c>
      <c r="E123" s="6"/>
      <c r="J123" s="41"/>
      <c r="K123" s="41"/>
      <c r="L123" s="41"/>
      <c r="M123" s="5" t="s">
        <v>237</v>
      </c>
      <c r="N123" s="31" t="s">
        <v>1110</v>
      </c>
      <c r="P123" s="15" t="s">
        <v>195</v>
      </c>
      <c r="Q123" s="6"/>
      <c r="Z123" s="5" t="s">
        <v>1305</v>
      </c>
    </row>
    <row r="124" spans="1:26" x14ac:dyDescent="0.2">
      <c r="A124" s="5" t="s">
        <v>381</v>
      </c>
      <c r="B124" s="5" t="s">
        <v>1163</v>
      </c>
      <c r="C124" s="5" t="s">
        <v>1306</v>
      </c>
      <c r="D124" s="6" t="s">
        <v>711</v>
      </c>
      <c r="E124" s="6"/>
      <c r="J124" s="41"/>
      <c r="K124" s="42"/>
      <c r="L124" s="41"/>
      <c r="M124" s="5" t="s">
        <v>1228</v>
      </c>
      <c r="N124" s="31" t="s">
        <v>1157</v>
      </c>
      <c r="P124" s="10" t="s">
        <v>225</v>
      </c>
      <c r="Z124" s="5" t="s">
        <v>1100</v>
      </c>
    </row>
    <row r="125" spans="1:26" x14ac:dyDescent="0.2">
      <c r="A125" s="10" t="s">
        <v>513</v>
      </c>
      <c r="B125" s="5" t="s">
        <v>1164</v>
      </c>
      <c r="C125" s="5" t="s">
        <v>32</v>
      </c>
      <c r="D125" s="6" t="s">
        <v>712</v>
      </c>
      <c r="E125" s="6"/>
      <c r="J125" s="41"/>
      <c r="K125" s="41"/>
      <c r="L125" s="42"/>
      <c r="M125" s="5" t="s">
        <v>690</v>
      </c>
      <c r="N125" s="31" t="s">
        <v>1309</v>
      </c>
      <c r="P125" s="15" t="s">
        <v>373</v>
      </c>
      <c r="Q125" s="6"/>
      <c r="Z125" s="52" t="s">
        <v>48</v>
      </c>
    </row>
    <row r="126" spans="1:26" x14ac:dyDescent="0.2">
      <c r="A126" s="5" t="s">
        <v>142</v>
      </c>
      <c r="B126" s="5" t="s">
        <v>690</v>
      </c>
      <c r="C126" s="5" t="s">
        <v>1307</v>
      </c>
      <c r="D126" s="6" t="s">
        <v>713</v>
      </c>
      <c r="E126" s="6"/>
      <c r="J126" s="41"/>
      <c r="K126" s="41"/>
      <c r="L126" s="41"/>
      <c r="M126" s="5" t="s">
        <v>201</v>
      </c>
      <c r="N126" s="31" t="s">
        <v>1112</v>
      </c>
      <c r="P126" s="15" t="s">
        <v>530</v>
      </c>
      <c r="Q126" s="6"/>
      <c r="Z126" s="52" t="s">
        <v>33</v>
      </c>
    </row>
    <row r="127" spans="1:26" x14ac:dyDescent="0.2">
      <c r="A127" s="5" t="s">
        <v>371</v>
      </c>
      <c r="B127" s="5" t="s">
        <v>699</v>
      </c>
      <c r="C127" s="5" t="s">
        <v>1308</v>
      </c>
      <c r="D127" s="6" t="s">
        <v>541</v>
      </c>
      <c r="E127" s="6"/>
      <c r="J127" s="42"/>
      <c r="K127" s="41"/>
      <c r="L127" s="41"/>
      <c r="M127" s="5" t="s">
        <v>467</v>
      </c>
      <c r="N127" s="31" t="s">
        <v>1190</v>
      </c>
      <c r="P127" s="15" t="s">
        <v>587</v>
      </c>
      <c r="Q127" s="6"/>
      <c r="Z127" s="5" t="s">
        <v>1188</v>
      </c>
    </row>
    <row r="128" spans="1:26" x14ac:dyDescent="0.2">
      <c r="A128" s="10" t="s">
        <v>442</v>
      </c>
      <c r="B128" s="5" t="s">
        <v>429</v>
      </c>
      <c r="C128" s="5" t="s">
        <v>1309</v>
      </c>
      <c r="D128" s="6" t="s">
        <v>714</v>
      </c>
      <c r="E128" s="6"/>
      <c r="J128" s="41"/>
      <c r="K128" s="41"/>
      <c r="L128" s="41"/>
      <c r="M128" s="5" t="s">
        <v>470</v>
      </c>
      <c r="N128" s="31" t="s">
        <v>1137</v>
      </c>
      <c r="P128" s="15" t="s">
        <v>586</v>
      </c>
      <c r="Q128" s="6"/>
      <c r="Z128" s="5" t="s">
        <v>1242</v>
      </c>
    </row>
    <row r="129" spans="1:26" x14ac:dyDescent="0.2">
      <c r="A129" s="10" t="s">
        <v>326</v>
      </c>
      <c r="B129" s="5" t="s">
        <v>658</v>
      </c>
      <c r="C129" s="10" t="s">
        <v>266</v>
      </c>
      <c r="D129" s="6" t="s">
        <v>715</v>
      </c>
      <c r="E129" s="6"/>
      <c r="J129" s="42"/>
      <c r="K129" s="41"/>
      <c r="L129" s="41"/>
      <c r="M129" s="5" t="s">
        <v>476</v>
      </c>
      <c r="N129" s="31" t="s">
        <v>659</v>
      </c>
      <c r="P129" s="15" t="s">
        <v>567</v>
      </c>
      <c r="Q129" s="6"/>
      <c r="Z129" s="5" t="s">
        <v>1164</v>
      </c>
    </row>
    <row r="130" spans="1:26" x14ac:dyDescent="0.2">
      <c r="A130" s="5" t="s">
        <v>74</v>
      </c>
      <c r="B130" s="5" t="s">
        <v>1165</v>
      </c>
      <c r="C130" s="5" t="s">
        <v>1310</v>
      </c>
      <c r="D130" s="6" t="s">
        <v>716</v>
      </c>
      <c r="E130" s="6"/>
      <c r="J130" s="41"/>
      <c r="K130" s="41"/>
      <c r="L130" s="41"/>
      <c r="M130" s="5" t="s">
        <v>479</v>
      </c>
      <c r="N130" s="31" t="s">
        <v>119</v>
      </c>
      <c r="P130" s="15" t="s">
        <v>442</v>
      </c>
      <c r="Q130" s="6"/>
      <c r="Z130" s="5" t="s">
        <v>1136</v>
      </c>
    </row>
    <row r="131" spans="1:26" x14ac:dyDescent="0.2">
      <c r="A131" s="10" t="s">
        <v>255</v>
      </c>
      <c r="B131" s="5" t="s">
        <v>1166</v>
      </c>
      <c r="C131" s="5" t="s">
        <v>1311</v>
      </c>
      <c r="D131" s="6" t="s">
        <v>717</v>
      </c>
      <c r="E131" s="6"/>
      <c r="J131" s="41"/>
      <c r="K131" s="42"/>
      <c r="L131" s="41"/>
      <c r="M131" s="5" t="s">
        <v>482</v>
      </c>
      <c r="N131" s="31" t="s">
        <v>82</v>
      </c>
      <c r="P131" s="15" t="s">
        <v>458</v>
      </c>
      <c r="Q131" s="6"/>
      <c r="Z131" s="5" t="s">
        <v>1131</v>
      </c>
    </row>
    <row r="132" spans="1:26" x14ac:dyDescent="0.2">
      <c r="A132" s="5" t="s">
        <v>385</v>
      </c>
      <c r="B132" s="5" t="s">
        <v>857</v>
      </c>
      <c r="C132" s="5" t="s">
        <v>1312</v>
      </c>
      <c r="D132" s="6" t="s">
        <v>718</v>
      </c>
      <c r="E132" s="6"/>
      <c r="J132" s="41"/>
      <c r="K132" s="41"/>
      <c r="L132" s="41"/>
      <c r="M132" s="5" t="s">
        <v>475</v>
      </c>
      <c r="N132" s="31" t="s">
        <v>990</v>
      </c>
      <c r="P132" s="10" t="s">
        <v>461</v>
      </c>
      <c r="Z132" s="5" t="s">
        <v>701</v>
      </c>
    </row>
    <row r="133" spans="1:26" x14ac:dyDescent="0.2">
      <c r="A133" s="5" t="s">
        <v>447</v>
      </c>
      <c r="B133" s="5" t="s">
        <v>1167</v>
      </c>
      <c r="C133" s="5" t="s">
        <v>74</v>
      </c>
      <c r="D133" s="6" t="s">
        <v>719</v>
      </c>
      <c r="E133" s="6"/>
      <c r="J133" s="41"/>
      <c r="K133" s="42"/>
      <c r="L133" s="41"/>
      <c r="M133" s="5" t="s">
        <v>718</v>
      </c>
      <c r="N133" s="31" t="s">
        <v>125</v>
      </c>
      <c r="P133" s="10" t="s">
        <v>427</v>
      </c>
      <c r="Z133" s="52" t="s">
        <v>41</v>
      </c>
    </row>
    <row r="134" spans="1:26" x14ac:dyDescent="0.2">
      <c r="A134" s="5" t="s">
        <v>27</v>
      </c>
      <c r="B134" s="13" t="s">
        <v>706</v>
      </c>
      <c r="C134" s="16" t="s">
        <v>401</v>
      </c>
      <c r="D134" s="6" t="s">
        <v>720</v>
      </c>
      <c r="E134" s="6"/>
      <c r="J134" s="42"/>
      <c r="K134" s="41"/>
      <c r="L134" s="41"/>
      <c r="M134" s="5" t="s">
        <v>486</v>
      </c>
      <c r="N134" s="31" t="s">
        <v>132</v>
      </c>
      <c r="P134" s="10" t="s">
        <v>592</v>
      </c>
      <c r="Z134" s="5" t="s">
        <v>1104</v>
      </c>
    </row>
    <row r="135" spans="1:26" x14ac:dyDescent="0.2">
      <c r="A135" s="5" t="s">
        <v>387</v>
      </c>
      <c r="B135" s="13" t="s">
        <v>829</v>
      </c>
      <c r="C135" s="5" t="s">
        <v>381</v>
      </c>
      <c r="D135" s="6" t="s">
        <v>721</v>
      </c>
      <c r="E135" s="6"/>
      <c r="J135" s="41"/>
      <c r="K135" s="41"/>
      <c r="L135" s="41"/>
      <c r="M135" s="5" t="s">
        <v>658</v>
      </c>
      <c r="N135" s="31" t="s">
        <v>1163</v>
      </c>
      <c r="P135" s="15" t="s">
        <v>542</v>
      </c>
      <c r="Q135" s="6"/>
      <c r="Z135" s="5" t="s">
        <v>638</v>
      </c>
    </row>
    <row r="136" spans="1:26" x14ac:dyDescent="0.2">
      <c r="A136" s="5" t="s">
        <v>412</v>
      </c>
      <c r="B136" s="5" t="s">
        <v>232</v>
      </c>
      <c r="C136" s="10" t="s">
        <v>170</v>
      </c>
      <c r="D136" s="6" t="s">
        <v>722</v>
      </c>
      <c r="E136" s="6"/>
      <c r="J136" s="42"/>
      <c r="K136" s="41"/>
      <c r="L136" s="42"/>
      <c r="M136" s="5" t="s">
        <v>737</v>
      </c>
      <c r="N136" s="31" t="s">
        <v>1307</v>
      </c>
      <c r="P136" s="15" t="s">
        <v>462</v>
      </c>
      <c r="Q136" s="6"/>
      <c r="Z136" s="5" t="s">
        <v>709</v>
      </c>
    </row>
    <row r="137" spans="1:26" x14ac:dyDescent="0.2">
      <c r="A137" s="5" t="s">
        <v>41</v>
      </c>
      <c r="B137" s="5" t="s">
        <v>1168</v>
      </c>
      <c r="C137" s="5" t="s">
        <v>48</v>
      </c>
      <c r="D137" s="6" t="s">
        <v>723</v>
      </c>
      <c r="E137" s="6"/>
      <c r="J137" s="41"/>
      <c r="K137" s="41"/>
      <c r="L137" s="42"/>
      <c r="M137" s="5" t="s">
        <v>494</v>
      </c>
      <c r="N137" s="31" t="s">
        <v>1097</v>
      </c>
      <c r="P137" s="15" t="s">
        <v>243</v>
      </c>
      <c r="Q137" s="6"/>
      <c r="Z137" s="5" t="s">
        <v>1197</v>
      </c>
    </row>
    <row r="138" spans="1:26" x14ac:dyDescent="0.2">
      <c r="A138" s="5" t="s">
        <v>8</v>
      </c>
      <c r="B138" s="5" t="s">
        <v>1169</v>
      </c>
      <c r="C138" s="10" t="s">
        <v>71</v>
      </c>
      <c r="D138" s="6" t="s">
        <v>724</v>
      </c>
      <c r="E138" s="6"/>
      <c r="J138" s="41"/>
      <c r="K138" s="42"/>
      <c r="L138" s="41"/>
      <c r="M138" s="5" t="s">
        <v>498</v>
      </c>
      <c r="N138" s="31" t="s">
        <v>1369</v>
      </c>
      <c r="P138" s="15" t="s">
        <v>207</v>
      </c>
      <c r="Q138" s="6"/>
      <c r="Z138" s="5" t="s">
        <v>1382</v>
      </c>
    </row>
    <row r="139" spans="1:26" x14ac:dyDescent="0.2">
      <c r="A139" s="10" t="s">
        <v>359</v>
      </c>
      <c r="B139" s="5" t="s">
        <v>790</v>
      </c>
      <c r="C139" s="10" t="s">
        <v>573</v>
      </c>
      <c r="D139" s="6" t="s">
        <v>725</v>
      </c>
      <c r="E139" s="6"/>
      <c r="J139" s="41"/>
      <c r="K139" s="41"/>
      <c r="L139" s="41"/>
      <c r="M139" s="5" t="s">
        <v>726</v>
      </c>
      <c r="N139" s="31" t="s">
        <v>1257</v>
      </c>
      <c r="P139" s="15" t="s">
        <v>454</v>
      </c>
      <c r="Q139" s="6"/>
      <c r="Z139" s="52" t="s">
        <v>56</v>
      </c>
    </row>
    <row r="140" spans="1:26" x14ac:dyDescent="0.2">
      <c r="A140" s="5" t="s">
        <v>70</v>
      </c>
      <c r="B140" s="5" t="s">
        <v>1170</v>
      </c>
      <c r="C140" s="10" t="s">
        <v>374</v>
      </c>
      <c r="D140" s="6" t="s">
        <v>726</v>
      </c>
      <c r="E140" s="6"/>
      <c r="J140" s="41"/>
      <c r="K140" s="42"/>
      <c r="L140" s="42"/>
      <c r="M140" s="5" t="s">
        <v>504</v>
      </c>
      <c r="N140" s="31" t="s">
        <v>752</v>
      </c>
      <c r="P140" s="15" t="s">
        <v>473</v>
      </c>
      <c r="Q140" s="6"/>
      <c r="Z140" s="52" t="s">
        <v>172</v>
      </c>
    </row>
    <row r="141" spans="1:26" x14ac:dyDescent="0.2">
      <c r="A141" s="10" t="s">
        <v>314</v>
      </c>
      <c r="B141" s="5" t="s">
        <v>1171</v>
      </c>
      <c r="C141" s="5" t="s">
        <v>706</v>
      </c>
      <c r="D141" s="6" t="s">
        <v>79</v>
      </c>
      <c r="E141" s="6"/>
      <c r="J141" s="41"/>
      <c r="K141" s="41"/>
      <c r="L141" s="41"/>
      <c r="M141" s="5" t="s">
        <v>688</v>
      </c>
      <c r="N141" s="31" t="s">
        <v>684</v>
      </c>
      <c r="P141" s="15" t="s">
        <v>344</v>
      </c>
      <c r="Q141" s="6"/>
      <c r="Z141" s="52" t="s">
        <v>179</v>
      </c>
    </row>
    <row r="142" spans="1:26" x14ac:dyDescent="0.2">
      <c r="A142" s="5" t="s">
        <v>194</v>
      </c>
      <c r="B142" s="5" t="s">
        <v>1172</v>
      </c>
      <c r="C142" s="5" t="s">
        <v>452</v>
      </c>
      <c r="D142" s="6" t="s">
        <v>727</v>
      </c>
      <c r="E142" s="6"/>
      <c r="J142" s="41"/>
      <c r="K142" s="41"/>
      <c r="L142" s="41"/>
      <c r="M142" s="5" t="s">
        <v>666</v>
      </c>
      <c r="N142" s="31" t="s">
        <v>858</v>
      </c>
      <c r="P142" s="10" t="s">
        <v>265</v>
      </c>
      <c r="Z142" s="52" t="s">
        <v>185</v>
      </c>
    </row>
    <row r="143" spans="1:26" x14ac:dyDescent="0.2">
      <c r="A143" s="10" t="s">
        <v>540</v>
      </c>
      <c r="B143" s="5" t="s">
        <v>1173</v>
      </c>
      <c r="C143" s="10" t="s">
        <v>419</v>
      </c>
      <c r="D143" s="6" t="s">
        <v>728</v>
      </c>
      <c r="E143" s="6"/>
      <c r="J143" s="42"/>
      <c r="K143" s="41"/>
      <c r="L143" s="41"/>
      <c r="M143" s="5" t="s">
        <v>520</v>
      </c>
      <c r="N143" s="31" t="s">
        <v>1220</v>
      </c>
      <c r="P143" s="10" t="s">
        <v>432</v>
      </c>
      <c r="Z143" s="5" t="s">
        <v>761</v>
      </c>
    </row>
    <row r="144" spans="1:26" x14ac:dyDescent="0.2">
      <c r="A144" s="10" t="s">
        <v>527</v>
      </c>
      <c r="B144" s="5" t="s">
        <v>1174</v>
      </c>
      <c r="C144" s="10" t="s">
        <v>353</v>
      </c>
      <c r="D144" s="6" t="s">
        <v>729</v>
      </c>
      <c r="E144" s="6"/>
      <c r="J144" s="42"/>
      <c r="K144" s="41"/>
      <c r="L144" s="41"/>
      <c r="M144" s="5" t="s">
        <v>736</v>
      </c>
      <c r="N144" s="31" t="s">
        <v>1256</v>
      </c>
      <c r="P144" s="15" t="s">
        <v>478</v>
      </c>
      <c r="Q144" s="6"/>
      <c r="Z144" s="52" t="s">
        <v>191</v>
      </c>
    </row>
    <row r="145" spans="1:26" x14ac:dyDescent="0.2">
      <c r="A145" s="5" t="s">
        <v>404</v>
      </c>
      <c r="B145" s="5" t="s">
        <v>1175</v>
      </c>
      <c r="C145" s="10" t="s">
        <v>512</v>
      </c>
      <c r="D145" s="6" t="s">
        <v>730</v>
      </c>
      <c r="E145" s="6"/>
      <c r="J145" s="41"/>
      <c r="K145" s="41"/>
      <c r="L145" s="42"/>
      <c r="M145" s="5" t="s">
        <v>644</v>
      </c>
      <c r="N145" s="31" t="s">
        <v>1305</v>
      </c>
      <c r="P145" s="15" t="s">
        <v>577</v>
      </c>
      <c r="Q145" s="6"/>
      <c r="Z145" s="5" t="s">
        <v>1111</v>
      </c>
    </row>
    <row r="146" spans="1:26" x14ac:dyDescent="0.2">
      <c r="A146" s="5" t="s">
        <v>145</v>
      </c>
      <c r="B146" s="5" t="s">
        <v>747</v>
      </c>
      <c r="C146" s="10" t="s">
        <v>326</v>
      </c>
      <c r="D146" s="6" t="s">
        <v>731</v>
      </c>
      <c r="E146" s="6"/>
      <c r="J146" s="41"/>
      <c r="K146" s="41"/>
      <c r="L146" s="41"/>
      <c r="M146" s="5" t="s">
        <v>525</v>
      </c>
      <c r="N146" s="31" t="s">
        <v>1100</v>
      </c>
      <c r="P146" s="15" t="s">
        <v>509</v>
      </c>
      <c r="Q146" s="6"/>
      <c r="Z146" s="5" t="s">
        <v>1161</v>
      </c>
    </row>
    <row r="147" spans="1:26" x14ac:dyDescent="0.2">
      <c r="A147" s="5" t="s">
        <v>139</v>
      </c>
      <c r="B147" s="5" t="s">
        <v>1176</v>
      </c>
      <c r="C147" s="5" t="s">
        <v>142</v>
      </c>
      <c r="D147" s="6" t="s">
        <v>732</v>
      </c>
      <c r="E147" s="6"/>
      <c r="J147" s="41"/>
      <c r="K147" s="42"/>
      <c r="L147" s="42"/>
      <c r="M147" s="5" t="s">
        <v>522</v>
      </c>
      <c r="N147" s="31" t="s">
        <v>1188</v>
      </c>
      <c r="P147" s="15" t="s">
        <v>566</v>
      </c>
      <c r="Q147" s="6"/>
      <c r="Z147" s="5" t="s">
        <v>1339</v>
      </c>
    </row>
    <row r="148" spans="1:26" x14ac:dyDescent="0.2">
      <c r="A148" s="5" t="s">
        <v>497</v>
      </c>
      <c r="B148" s="5" t="s">
        <v>1177</v>
      </c>
      <c r="C148" s="10" t="s">
        <v>443</v>
      </c>
      <c r="D148" s="6" t="s">
        <v>733</v>
      </c>
      <c r="E148" s="6"/>
      <c r="J148" s="42"/>
      <c r="K148" s="42"/>
      <c r="L148" s="41"/>
      <c r="M148" s="5" t="s">
        <v>651</v>
      </c>
      <c r="N148" s="31" t="s">
        <v>1242</v>
      </c>
      <c r="P148" s="15" t="s">
        <v>495</v>
      </c>
      <c r="Q148" s="6"/>
      <c r="Z148" s="10" t="s">
        <v>63</v>
      </c>
    </row>
    <row r="149" spans="1:26" x14ac:dyDescent="0.2">
      <c r="A149" s="5" t="s">
        <v>178</v>
      </c>
      <c r="B149" s="5" t="s">
        <v>1178</v>
      </c>
      <c r="C149" s="10" t="s">
        <v>63</v>
      </c>
      <c r="D149" s="6" t="s">
        <v>734</v>
      </c>
      <c r="E149" s="6"/>
      <c r="J149" s="41"/>
      <c r="K149" s="41"/>
      <c r="L149" s="41"/>
      <c r="M149" s="5" t="s">
        <v>655</v>
      </c>
      <c r="N149" s="31" t="s">
        <v>1164</v>
      </c>
      <c r="P149" s="10" t="s">
        <v>488</v>
      </c>
      <c r="Z149" s="5" t="s">
        <v>1333</v>
      </c>
    </row>
    <row r="150" spans="1:26" x14ac:dyDescent="0.2">
      <c r="A150" s="5" t="s">
        <v>411</v>
      </c>
      <c r="B150" s="5" t="s">
        <v>1179</v>
      </c>
      <c r="C150" s="5" t="s">
        <v>1313</v>
      </c>
      <c r="D150" s="6" t="s">
        <v>735</v>
      </c>
      <c r="E150" s="6"/>
      <c r="J150" s="41"/>
      <c r="K150" s="41"/>
      <c r="L150" s="41"/>
      <c r="M150" s="5" t="s">
        <v>647</v>
      </c>
      <c r="N150" s="31" t="s">
        <v>1136</v>
      </c>
      <c r="P150" s="15" t="s">
        <v>499</v>
      </c>
      <c r="Q150" s="6"/>
      <c r="Z150" s="52" t="s">
        <v>142</v>
      </c>
    </row>
    <row r="151" spans="1:26" x14ac:dyDescent="0.2">
      <c r="A151" s="5" t="s">
        <v>408</v>
      </c>
      <c r="B151" s="5" t="s">
        <v>1180</v>
      </c>
      <c r="C151" s="10" t="s">
        <v>23</v>
      </c>
      <c r="D151" s="6" t="s">
        <v>736</v>
      </c>
      <c r="E151" s="6"/>
      <c r="J151" s="41"/>
      <c r="K151" s="41"/>
      <c r="L151" s="41"/>
      <c r="M151" s="5" t="s">
        <v>653</v>
      </c>
      <c r="N151" s="31" t="s">
        <v>1131</v>
      </c>
      <c r="P151" s="15" t="s">
        <v>596</v>
      </c>
      <c r="Q151" s="6"/>
      <c r="Z151" s="52" t="s">
        <v>197</v>
      </c>
    </row>
    <row r="152" spans="1:26" x14ac:dyDescent="0.2">
      <c r="A152" s="5" t="s">
        <v>534</v>
      </c>
      <c r="B152" s="5" t="s">
        <v>755</v>
      </c>
      <c r="C152" s="5" t="s">
        <v>137</v>
      </c>
      <c r="D152" s="6" t="s">
        <v>737</v>
      </c>
      <c r="E152" s="6"/>
      <c r="J152" s="41"/>
      <c r="K152" s="42"/>
      <c r="L152" s="41"/>
      <c r="M152" s="5" t="s">
        <v>698</v>
      </c>
      <c r="N152" s="31" t="s">
        <v>1104</v>
      </c>
      <c r="P152" s="15" t="s">
        <v>393</v>
      </c>
      <c r="Q152" s="6"/>
      <c r="Z152" s="10" t="s">
        <v>379</v>
      </c>
    </row>
    <row r="153" spans="1:26" x14ac:dyDescent="0.2">
      <c r="A153" s="5" t="s">
        <v>397</v>
      </c>
      <c r="B153" s="5" t="s">
        <v>781</v>
      </c>
      <c r="C153" s="5" t="s">
        <v>1314</v>
      </c>
      <c r="D153" s="6" t="s">
        <v>738</v>
      </c>
      <c r="E153" s="6"/>
      <c r="J153" s="41"/>
      <c r="K153" s="41"/>
      <c r="L153" s="41"/>
      <c r="M153" s="5" t="s">
        <v>541</v>
      </c>
      <c r="N153" s="31" t="s">
        <v>638</v>
      </c>
      <c r="P153" s="10" t="s">
        <v>466</v>
      </c>
      <c r="Z153" s="5" t="s">
        <v>1398</v>
      </c>
    </row>
    <row r="154" spans="1:26" x14ac:dyDescent="0.2">
      <c r="A154" s="10" t="s">
        <v>225</v>
      </c>
      <c r="B154" s="5" t="s">
        <v>1181</v>
      </c>
      <c r="C154" s="5" t="s">
        <v>491</v>
      </c>
      <c r="D154" s="6" t="s">
        <v>739</v>
      </c>
      <c r="E154" s="6"/>
      <c r="J154" s="42"/>
      <c r="K154" s="41"/>
      <c r="L154" s="41"/>
      <c r="M154" s="5" t="s">
        <v>679</v>
      </c>
      <c r="N154" s="31" t="s">
        <v>1197</v>
      </c>
      <c r="P154" s="15" t="s">
        <v>569</v>
      </c>
      <c r="Q154" s="6"/>
      <c r="Z154" s="10" t="s">
        <v>149</v>
      </c>
    </row>
    <row r="155" spans="1:26" x14ac:dyDescent="0.2">
      <c r="A155" s="10" t="s">
        <v>149</v>
      </c>
      <c r="B155" s="5" t="s">
        <v>851</v>
      </c>
      <c r="C155" s="10" t="s">
        <v>527</v>
      </c>
      <c r="D155" s="6" t="s">
        <v>740</v>
      </c>
      <c r="E155" s="6"/>
      <c r="J155" s="42"/>
      <c r="K155" s="41"/>
      <c r="L155" s="41"/>
      <c r="M155" s="5" t="s">
        <v>543</v>
      </c>
      <c r="N155" s="31" t="s">
        <v>1382</v>
      </c>
      <c r="P155" s="15" t="s">
        <v>608</v>
      </c>
      <c r="Q155" s="6"/>
      <c r="Z155" s="52" t="s">
        <v>49</v>
      </c>
    </row>
    <row r="156" spans="1:26" x14ac:dyDescent="0.2">
      <c r="A156" s="10" t="s">
        <v>169</v>
      </c>
      <c r="B156" s="5" t="s">
        <v>825</v>
      </c>
      <c r="C156" s="10" t="s">
        <v>524</v>
      </c>
      <c r="D156" s="6" t="s">
        <v>741</v>
      </c>
      <c r="E156" s="6"/>
      <c r="J156" s="42"/>
      <c r="K156" s="41"/>
      <c r="L156" s="42"/>
      <c r="M156" s="5" t="s">
        <v>1037</v>
      </c>
      <c r="N156" s="31" t="s">
        <v>56</v>
      </c>
      <c r="P156" s="10" t="s">
        <v>584</v>
      </c>
      <c r="Z156" s="5" t="s">
        <v>1080</v>
      </c>
    </row>
    <row r="157" spans="1:26" x14ac:dyDescent="0.2">
      <c r="A157" s="5" t="s">
        <v>440</v>
      </c>
      <c r="B157" s="5" t="s">
        <v>832</v>
      </c>
      <c r="C157" s="5" t="s">
        <v>166</v>
      </c>
      <c r="D157" s="6" t="s">
        <v>742</v>
      </c>
      <c r="E157" s="6"/>
      <c r="J157" s="42"/>
      <c r="K157" s="41"/>
      <c r="L157" s="41"/>
      <c r="M157" s="5" t="s">
        <v>547</v>
      </c>
      <c r="N157" s="31" t="s">
        <v>172</v>
      </c>
      <c r="P157" s="10" t="s">
        <v>366</v>
      </c>
      <c r="Z157" s="52" t="s">
        <v>203</v>
      </c>
    </row>
    <row r="158" spans="1:26" x14ac:dyDescent="0.2">
      <c r="A158" s="5" t="s">
        <v>339</v>
      </c>
      <c r="B158" s="5" t="s">
        <v>770</v>
      </c>
      <c r="C158" s="10" t="s">
        <v>478</v>
      </c>
      <c r="D158" s="6" t="s">
        <v>743</v>
      </c>
      <c r="E158" s="6"/>
      <c r="J158" s="41"/>
      <c r="K158" s="42"/>
      <c r="L158" s="41"/>
      <c r="M158" s="5" t="s">
        <v>549</v>
      </c>
      <c r="N158" s="31" t="s">
        <v>179</v>
      </c>
      <c r="P158" s="15" t="s">
        <v>474</v>
      </c>
      <c r="Q158" s="6"/>
      <c r="Z158" s="5" t="s">
        <v>631</v>
      </c>
    </row>
    <row r="159" spans="1:26" x14ac:dyDescent="0.2">
      <c r="A159" s="5" t="s">
        <v>325</v>
      </c>
      <c r="B159" s="5" t="s">
        <v>870</v>
      </c>
      <c r="C159" s="5" t="s">
        <v>1001</v>
      </c>
      <c r="D159" s="6" t="s">
        <v>744</v>
      </c>
      <c r="E159" s="6"/>
      <c r="J159" s="42"/>
      <c r="K159" s="42"/>
      <c r="L159" s="41"/>
      <c r="M159" s="5" t="s">
        <v>550</v>
      </c>
      <c r="N159" s="31" t="s">
        <v>761</v>
      </c>
      <c r="P159" s="15" t="s">
        <v>510</v>
      </c>
      <c r="Q159" s="6"/>
      <c r="Z159" s="5" t="s">
        <v>969</v>
      </c>
    </row>
    <row r="160" spans="1:26" x14ac:dyDescent="0.2">
      <c r="A160" s="5" t="s">
        <v>515</v>
      </c>
      <c r="B160" s="5" t="s">
        <v>891</v>
      </c>
      <c r="C160" s="5" t="s">
        <v>1315</v>
      </c>
      <c r="D160" s="6" t="s">
        <v>745</v>
      </c>
      <c r="E160" s="6"/>
      <c r="J160" s="42"/>
      <c r="K160" s="42"/>
      <c r="L160" s="41"/>
      <c r="M160" s="5" t="s">
        <v>704</v>
      </c>
      <c r="N160" s="31" t="s">
        <v>191</v>
      </c>
      <c r="P160" s="15" t="s">
        <v>591</v>
      </c>
      <c r="Q160" s="6"/>
      <c r="Z160" s="52" t="s">
        <v>209</v>
      </c>
    </row>
    <row r="161" spans="1:26" x14ac:dyDescent="0.2">
      <c r="A161" s="5" t="s">
        <v>85</v>
      </c>
      <c r="B161" s="5" t="s">
        <v>1182</v>
      </c>
      <c r="C161" s="5" t="s">
        <v>446</v>
      </c>
      <c r="D161" s="6" t="s">
        <v>746</v>
      </c>
      <c r="E161" s="6"/>
      <c r="J161" s="41"/>
      <c r="K161" s="42"/>
      <c r="L161" s="41"/>
      <c r="M161" s="5" t="s">
        <v>700</v>
      </c>
      <c r="N161" s="31" t="s">
        <v>1111</v>
      </c>
      <c r="P161" s="10" t="s">
        <v>513</v>
      </c>
      <c r="Z161" s="52" t="s">
        <v>215</v>
      </c>
    </row>
    <row r="162" spans="1:26" x14ac:dyDescent="0.2">
      <c r="A162" s="5" t="s">
        <v>414</v>
      </c>
      <c r="B162" s="5" t="s">
        <v>1183</v>
      </c>
      <c r="C162" s="10" t="s">
        <v>150</v>
      </c>
      <c r="D162" s="6" t="s">
        <v>747</v>
      </c>
      <c r="E162" s="6"/>
      <c r="J162" s="41"/>
      <c r="K162" s="41"/>
      <c r="L162" s="42"/>
      <c r="M162" s="5" t="s">
        <v>308</v>
      </c>
      <c r="N162" s="31" t="s">
        <v>1161</v>
      </c>
      <c r="P162" s="15" t="s">
        <v>484</v>
      </c>
      <c r="Q162" s="6"/>
      <c r="Z162" s="5" t="s">
        <v>1078</v>
      </c>
    </row>
    <row r="163" spans="1:26" x14ac:dyDescent="0.2">
      <c r="A163" s="5" t="s">
        <v>215</v>
      </c>
      <c r="B163" s="5" t="s">
        <v>689</v>
      </c>
      <c r="C163" s="13" t="s">
        <v>313</v>
      </c>
      <c r="D163" s="6" t="s">
        <v>748</v>
      </c>
      <c r="E163" s="6"/>
      <c r="J163" s="41"/>
      <c r="K163" s="42"/>
      <c r="L163" s="41"/>
      <c r="M163" s="1"/>
      <c r="N163" s="31" t="s">
        <v>1339</v>
      </c>
      <c r="P163" s="15" t="s">
        <v>523</v>
      </c>
      <c r="Q163" s="6"/>
      <c r="Z163" s="5" t="s">
        <v>1387</v>
      </c>
    </row>
    <row r="164" spans="1:26" x14ac:dyDescent="0.2">
      <c r="A164" s="13" t="s">
        <v>270</v>
      </c>
      <c r="B164" s="5" t="s">
        <v>532</v>
      </c>
      <c r="C164" s="5" t="s">
        <v>987</v>
      </c>
      <c r="D164" s="6" t="s">
        <v>749</v>
      </c>
      <c r="E164" s="6"/>
      <c r="J164" s="41"/>
      <c r="K164" s="42"/>
      <c r="L164" s="41"/>
      <c r="M164" s="1"/>
      <c r="N164" s="31" t="s">
        <v>1333</v>
      </c>
      <c r="P164" s="15" t="s">
        <v>519</v>
      </c>
      <c r="Q164" s="6"/>
      <c r="Z164" s="5" t="s">
        <v>832</v>
      </c>
    </row>
    <row r="165" spans="1:26" x14ac:dyDescent="0.2">
      <c r="A165" s="5" t="s">
        <v>429</v>
      </c>
      <c r="B165" s="5" t="s">
        <v>712</v>
      </c>
      <c r="C165" s="10" t="s">
        <v>302</v>
      </c>
      <c r="D165" s="6" t="s">
        <v>750</v>
      </c>
      <c r="E165" s="6"/>
      <c r="J165" s="42"/>
      <c r="K165" s="41"/>
      <c r="L165" s="41"/>
      <c r="M165" s="1"/>
      <c r="N165" s="31" t="s">
        <v>49</v>
      </c>
      <c r="P165" s="15" t="s">
        <v>273</v>
      </c>
      <c r="Q165" s="6"/>
      <c r="Z165" s="52" t="s">
        <v>221</v>
      </c>
    </row>
    <row r="166" spans="1:26" x14ac:dyDescent="0.2">
      <c r="A166" s="10" t="s">
        <v>519</v>
      </c>
      <c r="B166" s="5" t="s">
        <v>892</v>
      </c>
      <c r="C166" s="5" t="s">
        <v>83</v>
      </c>
      <c r="D166" s="6" t="s">
        <v>751</v>
      </c>
      <c r="E166" s="6"/>
      <c r="J166" s="41"/>
      <c r="K166" s="41"/>
      <c r="L166" s="41"/>
      <c r="M166" s="1"/>
      <c r="N166" s="31" t="s">
        <v>1080</v>
      </c>
      <c r="P166" s="15" t="s">
        <v>560</v>
      </c>
      <c r="Q166" s="6"/>
      <c r="Z166" s="5" t="s">
        <v>1342</v>
      </c>
    </row>
    <row r="167" spans="1:26" x14ac:dyDescent="0.2">
      <c r="A167" s="10" t="s">
        <v>346</v>
      </c>
      <c r="B167" s="5" t="s">
        <v>858</v>
      </c>
      <c r="C167" s="10" t="s">
        <v>418</v>
      </c>
      <c r="D167" s="6" t="s">
        <v>752</v>
      </c>
      <c r="E167" s="6"/>
      <c r="J167" s="41"/>
      <c r="K167" s="41"/>
      <c r="L167" s="41"/>
      <c r="M167" s="1"/>
      <c r="N167" s="31" t="s">
        <v>203</v>
      </c>
      <c r="P167" s="15" t="s">
        <v>601</v>
      </c>
      <c r="Q167" s="6"/>
      <c r="Z167" s="5" t="s">
        <v>1378</v>
      </c>
    </row>
    <row r="168" spans="1:26" x14ac:dyDescent="0.2">
      <c r="A168" s="5" t="s">
        <v>318</v>
      </c>
      <c r="B168" s="5" t="s">
        <v>655</v>
      </c>
      <c r="C168" s="5" t="s">
        <v>481</v>
      </c>
      <c r="D168" s="6" t="s">
        <v>753</v>
      </c>
      <c r="E168" s="6"/>
      <c r="J168" s="42"/>
      <c r="K168" s="41"/>
      <c r="L168" s="42"/>
      <c r="M168" s="1"/>
      <c r="N168" s="31" t="s">
        <v>969</v>
      </c>
      <c r="P168" s="15" t="s">
        <v>524</v>
      </c>
      <c r="Q168" s="6"/>
      <c r="Z168" s="5" t="s">
        <v>1323</v>
      </c>
    </row>
    <row r="169" spans="1:26" x14ac:dyDescent="0.2">
      <c r="A169" s="5" t="s">
        <v>390</v>
      </c>
      <c r="B169" s="5" t="s">
        <v>1184</v>
      </c>
      <c r="C169" s="5" t="s">
        <v>447</v>
      </c>
      <c r="D169" s="6" t="s">
        <v>754</v>
      </c>
      <c r="E169" s="6"/>
      <c r="J169" s="41"/>
      <c r="K169" s="42"/>
      <c r="L169" s="41"/>
      <c r="M169" s="1"/>
      <c r="N169" s="31" t="s">
        <v>215</v>
      </c>
      <c r="P169" s="15" t="s">
        <v>527</v>
      </c>
      <c r="Q169" s="6"/>
      <c r="Z169" s="10" t="s">
        <v>169</v>
      </c>
    </row>
    <row r="170" spans="1:26" x14ac:dyDescent="0.2">
      <c r="A170" s="5" t="s">
        <v>552</v>
      </c>
      <c r="B170" s="5" t="s">
        <v>718</v>
      </c>
      <c r="C170" s="5" t="s">
        <v>210</v>
      </c>
      <c r="D170" s="6" t="s">
        <v>755</v>
      </c>
      <c r="E170" s="6"/>
      <c r="J170" s="42"/>
      <c r="K170" s="41"/>
      <c r="L170" s="42"/>
      <c r="M170" s="1"/>
      <c r="N170" s="31" t="s">
        <v>1078</v>
      </c>
      <c r="P170" s="15" t="s">
        <v>537</v>
      </c>
      <c r="Q170" s="6"/>
      <c r="Z170" s="5" t="s">
        <v>1461</v>
      </c>
    </row>
    <row r="171" spans="1:26" x14ac:dyDescent="0.2">
      <c r="A171" s="5" t="s">
        <v>448</v>
      </c>
      <c r="B171" s="5" t="s">
        <v>1185</v>
      </c>
      <c r="C171" s="5" t="s">
        <v>369</v>
      </c>
      <c r="D171" s="6" t="s">
        <v>185</v>
      </c>
      <c r="E171" s="6"/>
      <c r="J171" s="41"/>
      <c r="K171" s="41"/>
      <c r="L171" s="41"/>
      <c r="M171" s="1"/>
      <c r="N171" s="31" t="s">
        <v>832</v>
      </c>
      <c r="P171" s="10" t="s">
        <v>595</v>
      </c>
      <c r="Z171" s="5" t="s">
        <v>1501</v>
      </c>
    </row>
    <row r="172" spans="1:26" x14ac:dyDescent="0.2">
      <c r="A172" s="5" t="s">
        <v>268</v>
      </c>
      <c r="B172" s="5" t="s">
        <v>1186</v>
      </c>
      <c r="C172" s="5" t="s">
        <v>223</v>
      </c>
      <c r="D172" s="6" t="s">
        <v>756</v>
      </c>
      <c r="E172" s="6"/>
      <c r="J172" s="41"/>
      <c r="K172" s="42"/>
      <c r="L172" s="41"/>
      <c r="M172" s="1"/>
      <c r="N172" s="31" t="s">
        <v>1342</v>
      </c>
      <c r="P172" s="15" t="s">
        <v>374</v>
      </c>
      <c r="Q172" s="6"/>
      <c r="Z172" s="5" t="s">
        <v>4894</v>
      </c>
    </row>
    <row r="173" spans="1:26" x14ac:dyDescent="0.2">
      <c r="A173" s="5" t="s">
        <v>203</v>
      </c>
      <c r="B173" s="5" t="s">
        <v>1187</v>
      </c>
      <c r="C173" s="13" t="s">
        <v>236</v>
      </c>
      <c r="D173" s="6" t="s">
        <v>757</v>
      </c>
      <c r="E173" s="6"/>
      <c r="J173" s="41"/>
      <c r="K173" s="41"/>
      <c r="L173" s="41"/>
      <c r="M173" s="1"/>
      <c r="N173" s="31" t="s">
        <v>1378</v>
      </c>
      <c r="P173" s="15" t="s">
        <v>570</v>
      </c>
      <c r="Q173" s="6"/>
      <c r="Z173" s="5" t="s">
        <v>782</v>
      </c>
    </row>
    <row r="174" spans="1:26" x14ac:dyDescent="0.2">
      <c r="A174" s="5" t="s">
        <v>59</v>
      </c>
      <c r="B174" s="5" t="s">
        <v>1188</v>
      </c>
      <c r="C174" s="10" t="s">
        <v>582</v>
      </c>
      <c r="D174" s="6" t="s">
        <v>758</v>
      </c>
      <c r="E174" s="6"/>
      <c r="J174" s="41"/>
      <c r="K174" s="42"/>
      <c r="L174" s="41"/>
      <c r="M174" s="1"/>
      <c r="N174" s="31" t="s">
        <v>1323</v>
      </c>
      <c r="P174" s="15" t="s">
        <v>582</v>
      </c>
      <c r="Q174" s="6"/>
      <c r="Z174" s="5" t="s">
        <v>697</v>
      </c>
    </row>
    <row r="175" spans="1:26" x14ac:dyDescent="0.2">
      <c r="A175" s="5" t="s">
        <v>242</v>
      </c>
      <c r="B175" s="5" t="s">
        <v>879</v>
      </c>
      <c r="C175" s="5" t="s">
        <v>543</v>
      </c>
      <c r="D175" s="6" t="s">
        <v>759</v>
      </c>
      <c r="E175" s="6"/>
      <c r="J175" s="41"/>
      <c r="K175" s="41"/>
      <c r="L175" s="41"/>
      <c r="M175" s="1"/>
      <c r="N175" s="31" t="s">
        <v>782</v>
      </c>
      <c r="P175" s="15" t="s">
        <v>602</v>
      </c>
      <c r="Q175" s="6"/>
      <c r="Z175" s="52" t="s">
        <v>176</v>
      </c>
    </row>
    <row r="176" spans="1:26" x14ac:dyDescent="0.2">
      <c r="A176" s="10" t="s">
        <v>510</v>
      </c>
      <c r="B176" s="5" t="s">
        <v>772</v>
      </c>
      <c r="C176" s="5" t="s">
        <v>1316</v>
      </c>
      <c r="D176" s="6" t="s">
        <v>760</v>
      </c>
      <c r="E176" s="6"/>
      <c r="J176" s="41"/>
      <c r="K176" s="41"/>
      <c r="L176" s="41"/>
      <c r="M176" s="1"/>
      <c r="N176" s="31" t="s">
        <v>697</v>
      </c>
      <c r="P176" s="15" t="s">
        <v>590</v>
      </c>
      <c r="Q176" s="6"/>
      <c r="Z176" s="5" t="s">
        <v>682</v>
      </c>
    </row>
    <row r="177" spans="1:26" x14ac:dyDescent="0.2">
      <c r="A177" s="5" t="s">
        <v>455</v>
      </c>
      <c r="B177" s="5" t="s">
        <v>702</v>
      </c>
      <c r="C177" s="5" t="s">
        <v>180</v>
      </c>
      <c r="D177" s="6" t="s">
        <v>761</v>
      </c>
      <c r="E177" s="6"/>
      <c r="J177" s="41"/>
      <c r="K177" s="41"/>
      <c r="L177" s="42"/>
      <c r="M177" s="1"/>
      <c r="N177" s="31" t="s">
        <v>176</v>
      </c>
      <c r="P177" s="10" t="s">
        <v>282</v>
      </c>
      <c r="Z177" s="5" t="s">
        <v>1402</v>
      </c>
    </row>
    <row r="178" spans="1:26" x14ac:dyDescent="0.2">
      <c r="A178" s="10" t="s">
        <v>533</v>
      </c>
      <c r="B178" s="5" t="s">
        <v>159</v>
      </c>
      <c r="C178" s="10" t="s">
        <v>519</v>
      </c>
      <c r="D178" s="6" t="s">
        <v>481</v>
      </c>
      <c r="E178" s="6"/>
      <c r="J178" s="41"/>
      <c r="K178" s="41"/>
      <c r="L178" s="42"/>
      <c r="M178" s="1"/>
      <c r="N178" s="31" t="s">
        <v>682</v>
      </c>
      <c r="P178" s="15" t="s">
        <v>574</v>
      </c>
      <c r="Q178" s="6"/>
      <c r="Z178" s="5" t="s">
        <v>735</v>
      </c>
    </row>
    <row r="179" spans="1:26" x14ac:dyDescent="0.2">
      <c r="A179" s="10" t="s">
        <v>418</v>
      </c>
      <c r="B179" s="5" t="s">
        <v>1189</v>
      </c>
      <c r="C179" s="10" t="s">
        <v>533</v>
      </c>
      <c r="D179" s="6" t="s">
        <v>762</v>
      </c>
      <c r="E179" s="6"/>
      <c r="J179" s="41"/>
      <c r="K179" s="41"/>
      <c r="L179" s="41"/>
      <c r="M179" s="1"/>
      <c r="N179" s="31" t="s">
        <v>735</v>
      </c>
      <c r="P179" s="15" t="s">
        <v>533</v>
      </c>
      <c r="Q179" s="6"/>
      <c r="Z179" s="5" t="s">
        <v>1437</v>
      </c>
    </row>
    <row r="180" spans="1:26" x14ac:dyDescent="0.2">
      <c r="A180" s="5" t="s">
        <v>532</v>
      </c>
      <c r="B180" s="5" t="s">
        <v>1190</v>
      </c>
      <c r="C180" s="10" t="s">
        <v>282</v>
      </c>
      <c r="D180" s="6" t="s">
        <v>763</v>
      </c>
      <c r="E180" s="6"/>
      <c r="J180" s="41"/>
      <c r="K180" s="41"/>
      <c r="L180" s="41"/>
      <c r="M180" s="1"/>
      <c r="N180" s="31" t="s">
        <v>1115</v>
      </c>
      <c r="P180" s="15" t="s">
        <v>605</v>
      </c>
      <c r="Q180" s="6"/>
      <c r="Z180" s="5" t="s">
        <v>1396</v>
      </c>
    </row>
    <row r="181" spans="1:26" x14ac:dyDescent="0.2">
      <c r="A181" s="5" t="s">
        <v>33</v>
      </c>
      <c r="B181" s="5" t="s">
        <v>788</v>
      </c>
      <c r="C181" s="5" t="s">
        <v>1040</v>
      </c>
      <c r="D181" s="6" t="s">
        <v>764</v>
      </c>
      <c r="E181" s="6"/>
      <c r="J181" s="41"/>
      <c r="K181" s="41"/>
      <c r="L181" s="41"/>
      <c r="M181" s="1"/>
      <c r="N181" s="31" t="s">
        <v>1240</v>
      </c>
      <c r="P181" s="10" t="s">
        <v>594</v>
      </c>
      <c r="Z181" s="5" t="s">
        <v>1115</v>
      </c>
    </row>
    <row r="182" spans="1:26" x14ac:dyDescent="0.2">
      <c r="A182" s="5" t="s">
        <v>291</v>
      </c>
      <c r="B182" s="5" t="s">
        <v>1191</v>
      </c>
      <c r="C182" s="10" t="s">
        <v>588</v>
      </c>
      <c r="D182" s="6" t="s">
        <v>765</v>
      </c>
      <c r="E182" s="6"/>
      <c r="J182" s="41"/>
      <c r="K182" s="41"/>
      <c r="L182" s="42"/>
      <c r="M182" s="1"/>
      <c r="N182" s="31" t="s">
        <v>1031</v>
      </c>
      <c r="P182" s="10" t="s">
        <v>540</v>
      </c>
      <c r="Z182" s="5" t="s">
        <v>1240</v>
      </c>
    </row>
    <row r="183" spans="1:26" x14ac:dyDescent="0.2">
      <c r="A183" s="5" t="s">
        <v>350</v>
      </c>
      <c r="B183" s="5" t="s">
        <v>740</v>
      </c>
      <c r="C183" s="5" t="s">
        <v>318</v>
      </c>
      <c r="D183" s="6" t="s">
        <v>766</v>
      </c>
      <c r="E183" s="6"/>
      <c r="J183" s="41"/>
      <c r="K183" s="41"/>
      <c r="L183" s="41"/>
      <c r="M183" s="1"/>
      <c r="N183" s="31" t="s">
        <v>637</v>
      </c>
      <c r="P183" s="15" t="s">
        <v>286</v>
      </c>
      <c r="Q183" s="6"/>
      <c r="Z183" s="5" t="s">
        <v>1459</v>
      </c>
    </row>
    <row r="184" spans="1:26" x14ac:dyDescent="0.2">
      <c r="A184" s="5" t="s">
        <v>89</v>
      </c>
      <c r="B184" s="5" t="s">
        <v>1192</v>
      </c>
      <c r="C184" s="5" t="s">
        <v>377</v>
      </c>
      <c r="D184" s="6" t="s">
        <v>767</v>
      </c>
      <c r="E184" s="6"/>
      <c r="J184" s="41"/>
      <c r="K184" s="41"/>
      <c r="L184" s="41"/>
      <c r="M184" s="1"/>
      <c r="N184" s="31" t="s">
        <v>1299</v>
      </c>
      <c r="P184" s="15" t="s">
        <v>468</v>
      </c>
      <c r="Q184" s="6"/>
      <c r="Z184" s="5" t="s">
        <v>729</v>
      </c>
    </row>
    <row r="185" spans="1:26" x14ac:dyDescent="0.2">
      <c r="A185" s="5" t="s">
        <v>434</v>
      </c>
      <c r="B185" s="5" t="s">
        <v>449</v>
      </c>
      <c r="C185" s="5" t="s">
        <v>497</v>
      </c>
      <c r="D185" s="6" t="s">
        <v>768</v>
      </c>
      <c r="E185" s="6"/>
      <c r="J185" s="41"/>
      <c r="K185" s="41"/>
      <c r="L185" s="41"/>
      <c r="M185" s="1"/>
      <c r="N185" s="31" t="s">
        <v>692</v>
      </c>
      <c r="P185" s="10" t="s">
        <v>546</v>
      </c>
      <c r="Z185" s="52" t="s">
        <v>182</v>
      </c>
    </row>
    <row r="186" spans="1:26" x14ac:dyDescent="0.2">
      <c r="A186" s="5" t="s">
        <v>539</v>
      </c>
      <c r="B186" s="5" t="s">
        <v>482</v>
      </c>
      <c r="C186" s="10" t="s">
        <v>226</v>
      </c>
      <c r="D186" s="6" t="s">
        <v>769</v>
      </c>
      <c r="E186" s="6"/>
      <c r="J186" s="41"/>
      <c r="K186" s="41"/>
      <c r="L186" s="41"/>
      <c r="M186" s="41"/>
      <c r="N186" s="31" t="s">
        <v>1232</v>
      </c>
      <c r="P186" s="15" t="s">
        <v>598</v>
      </c>
      <c r="Q186" s="6"/>
      <c r="Z186" s="5" t="s">
        <v>4895</v>
      </c>
    </row>
    <row r="187" spans="1:26" x14ac:dyDescent="0.2">
      <c r="A187" s="5" t="s">
        <v>413</v>
      </c>
      <c r="B187" s="5" t="s">
        <v>1193</v>
      </c>
      <c r="C187" s="5" t="s">
        <v>666</v>
      </c>
      <c r="D187" s="6" t="s">
        <v>770</v>
      </c>
      <c r="E187" s="6"/>
      <c r="J187" s="41"/>
      <c r="K187" s="41"/>
      <c r="L187" s="41"/>
      <c r="M187" s="41"/>
      <c r="N187" s="31" t="s">
        <v>1132</v>
      </c>
      <c r="P187" s="10" t="s">
        <v>290</v>
      </c>
      <c r="Z187" s="5" t="str">
        <f>"CTEL55X.1"</f>
        <v>CTEL55X.1</v>
      </c>
    </row>
    <row r="188" spans="1:26" x14ac:dyDescent="0.2">
      <c r="A188" s="5" t="s">
        <v>328</v>
      </c>
      <c r="B188" s="5" t="s">
        <v>883</v>
      </c>
      <c r="C188" s="5" t="s">
        <v>1317</v>
      </c>
      <c r="D188" s="6" t="s">
        <v>349</v>
      </c>
      <c r="E188" s="6"/>
      <c r="J188" s="42"/>
      <c r="K188" s="41"/>
      <c r="L188" s="42"/>
      <c r="M188" s="41"/>
      <c r="N188" s="31" t="s">
        <v>1109</v>
      </c>
      <c r="P188" s="15" t="s">
        <v>295</v>
      </c>
      <c r="Q188" s="6"/>
      <c r="Z188" s="5" t="s">
        <v>637</v>
      </c>
    </row>
    <row r="189" spans="1:26" x14ac:dyDescent="0.2">
      <c r="A189" s="5" t="s">
        <v>486</v>
      </c>
      <c r="B189" s="5" t="s">
        <v>1194</v>
      </c>
      <c r="C189" s="5" t="s">
        <v>79</v>
      </c>
      <c r="D189" s="6" t="s">
        <v>771</v>
      </c>
      <c r="E189" s="6"/>
      <c r="J189" s="41"/>
      <c r="K189" s="41"/>
      <c r="L189" s="42"/>
      <c r="M189" s="41"/>
      <c r="N189" s="31" t="s">
        <v>787</v>
      </c>
      <c r="P189" s="15" t="s">
        <v>573</v>
      </c>
      <c r="Q189" s="6"/>
      <c r="Z189" s="10" t="s">
        <v>226</v>
      </c>
    </row>
    <row r="190" spans="1:26" x14ac:dyDescent="0.2">
      <c r="A190" s="5" t="s">
        <v>449</v>
      </c>
      <c r="B190" s="5" t="s">
        <v>631</v>
      </c>
      <c r="C190" s="5" t="s">
        <v>249</v>
      </c>
      <c r="D190" s="6" t="s">
        <v>772</v>
      </c>
      <c r="E190" s="6"/>
      <c r="J190" s="41"/>
      <c r="K190" s="41"/>
      <c r="L190" s="42"/>
      <c r="M190" s="41"/>
      <c r="N190" s="31" t="s">
        <v>1229</v>
      </c>
      <c r="P190" s="10" t="s">
        <v>253</v>
      </c>
      <c r="Z190" s="5" t="s">
        <v>693</v>
      </c>
    </row>
    <row r="191" spans="1:26" x14ac:dyDescent="0.2">
      <c r="A191" s="5" t="s">
        <v>258</v>
      </c>
      <c r="B191" s="5" t="s">
        <v>1195</v>
      </c>
      <c r="C191" s="5" t="s">
        <v>1318</v>
      </c>
      <c r="D191" s="6" t="s">
        <v>773</v>
      </c>
      <c r="E191" s="6"/>
      <c r="J191" s="41"/>
      <c r="K191" s="41"/>
      <c r="L191" s="42"/>
      <c r="M191" s="41"/>
      <c r="N191" s="31" t="s">
        <v>238</v>
      </c>
      <c r="P191" s="15" t="s">
        <v>490</v>
      </c>
      <c r="Q191" s="6"/>
      <c r="Z191" s="5" t="s">
        <v>1299</v>
      </c>
    </row>
    <row r="192" spans="1:26" x14ac:dyDescent="0.2">
      <c r="A192" s="5" t="s">
        <v>492</v>
      </c>
      <c r="B192" s="5" t="s">
        <v>2</v>
      </c>
      <c r="C192" s="5" t="s">
        <v>1319</v>
      </c>
      <c r="D192" s="6" t="s">
        <v>774</v>
      </c>
      <c r="E192" s="6"/>
      <c r="J192" s="41"/>
      <c r="K192" s="42"/>
      <c r="L192" s="41"/>
      <c r="M192" s="41"/>
      <c r="N192" s="31" t="s">
        <v>728</v>
      </c>
      <c r="P192" s="10" t="s">
        <v>556</v>
      </c>
      <c r="Z192" s="5" t="s">
        <v>692</v>
      </c>
    </row>
    <row r="193" spans="1:26" x14ac:dyDescent="0.2">
      <c r="A193" s="10" t="s">
        <v>438</v>
      </c>
      <c r="B193" s="5" t="s">
        <v>1196</v>
      </c>
      <c r="C193" s="5" t="s">
        <v>695</v>
      </c>
      <c r="D193" s="6" t="s">
        <v>269</v>
      </c>
      <c r="E193" s="6"/>
      <c r="J193" s="41"/>
      <c r="K193" s="41"/>
      <c r="L193" s="42"/>
      <c r="M193" s="41"/>
      <c r="N193" s="31" t="s">
        <v>1211</v>
      </c>
      <c r="P193" s="15" t="s">
        <v>480</v>
      </c>
      <c r="Q193" s="6"/>
      <c r="Z193" s="5" t="s">
        <v>1232</v>
      </c>
    </row>
    <row r="194" spans="1:26" x14ac:dyDescent="0.2">
      <c r="A194" s="5" t="s">
        <v>553</v>
      </c>
      <c r="B194" s="5" t="s">
        <v>1197</v>
      </c>
      <c r="C194" s="5" t="s">
        <v>372</v>
      </c>
      <c r="D194" s="6" t="s">
        <v>775</v>
      </c>
      <c r="E194" s="6"/>
      <c r="J194" s="41"/>
      <c r="K194" s="41"/>
      <c r="L194" s="42"/>
      <c r="M194" s="42"/>
      <c r="N194" s="31" t="s">
        <v>696</v>
      </c>
      <c r="P194" s="15" t="s">
        <v>554</v>
      </c>
      <c r="Q194" s="6"/>
      <c r="Z194" s="5" t="s">
        <v>1502</v>
      </c>
    </row>
    <row r="195" spans="1:26" x14ac:dyDescent="0.2">
      <c r="A195" s="5" t="s">
        <v>505</v>
      </c>
      <c r="B195" s="5" t="s">
        <v>1198</v>
      </c>
      <c r="C195" s="5" t="s">
        <v>549</v>
      </c>
      <c r="D195" s="6" t="s">
        <v>34</v>
      </c>
      <c r="E195" s="6"/>
      <c r="J195" s="41"/>
      <c r="K195" s="41"/>
      <c r="L195" s="41"/>
      <c r="M195" s="41"/>
      <c r="N195" s="31" t="s">
        <v>1185</v>
      </c>
      <c r="P195" s="15" t="s">
        <v>597</v>
      </c>
      <c r="Q195" s="6"/>
      <c r="Z195" s="5" t="s">
        <v>1394</v>
      </c>
    </row>
    <row r="196" spans="1:26" x14ac:dyDescent="0.2">
      <c r="A196" s="5" t="s">
        <v>482</v>
      </c>
      <c r="B196" s="5" t="s">
        <v>1199</v>
      </c>
      <c r="C196" s="5" t="s">
        <v>1320</v>
      </c>
      <c r="D196" s="6" t="s">
        <v>776</v>
      </c>
      <c r="E196" s="6"/>
      <c r="J196" s="41"/>
      <c r="K196" s="41"/>
      <c r="L196" s="41"/>
      <c r="M196" s="42"/>
      <c r="N196" s="31" t="s">
        <v>715</v>
      </c>
      <c r="P196" s="13" t="s">
        <v>13</v>
      </c>
      <c r="Z196" s="5" t="s">
        <v>1132</v>
      </c>
    </row>
    <row r="197" spans="1:26" x14ac:dyDescent="0.2">
      <c r="A197" s="5" t="s">
        <v>319</v>
      </c>
      <c r="B197" s="5" t="s">
        <v>1200</v>
      </c>
      <c r="C197" s="5" t="s">
        <v>1321</v>
      </c>
      <c r="D197" s="6" t="s">
        <v>777</v>
      </c>
      <c r="E197" s="6"/>
      <c r="J197" s="41"/>
      <c r="K197" s="41"/>
      <c r="L197" s="41"/>
      <c r="M197" s="41"/>
      <c r="N197" s="31" t="s">
        <v>1113</v>
      </c>
      <c r="P197" s="13" t="s">
        <v>40</v>
      </c>
      <c r="Z197" s="5" t="s">
        <v>1109</v>
      </c>
    </row>
    <row r="198" spans="1:26" x14ac:dyDescent="0.2">
      <c r="A198" s="5" t="s">
        <v>116</v>
      </c>
      <c r="B198" s="5" t="s">
        <v>698</v>
      </c>
      <c r="C198" s="5" t="s">
        <v>1322</v>
      </c>
      <c r="D198" s="6" t="s">
        <v>497</v>
      </c>
      <c r="E198" s="6"/>
      <c r="J198" s="42"/>
      <c r="K198" s="41"/>
      <c r="L198" s="41"/>
      <c r="M198" s="41"/>
      <c r="N198" s="31" t="s">
        <v>664</v>
      </c>
      <c r="P198" s="13" t="s">
        <v>613</v>
      </c>
      <c r="Z198" s="5" t="s">
        <v>787</v>
      </c>
    </row>
    <row r="199" spans="1:26" x14ac:dyDescent="0.2">
      <c r="A199" s="5" t="s">
        <v>536</v>
      </c>
      <c r="B199" s="5" t="s">
        <v>685</v>
      </c>
      <c r="C199" s="5" t="s">
        <v>1323</v>
      </c>
      <c r="D199" s="6" t="s">
        <v>778</v>
      </c>
      <c r="E199" s="6"/>
      <c r="K199" s="41"/>
      <c r="L199" s="41"/>
      <c r="M199" s="42"/>
      <c r="N199" s="31" t="s">
        <v>83</v>
      </c>
      <c r="P199" s="13" t="s">
        <v>621</v>
      </c>
      <c r="Z199" s="5" t="s">
        <v>1229</v>
      </c>
    </row>
    <row r="200" spans="1:26" x14ac:dyDescent="0.2">
      <c r="A200" s="5" t="s">
        <v>459</v>
      </c>
      <c r="B200" s="5" t="s">
        <v>1201</v>
      </c>
      <c r="C200" s="5" t="s">
        <v>1324</v>
      </c>
      <c r="D200" s="6" t="s">
        <v>779</v>
      </c>
      <c r="E200" s="6"/>
      <c r="K200" s="41"/>
      <c r="L200" s="41"/>
      <c r="M200" s="41"/>
      <c r="N200" s="31" t="s">
        <v>1279</v>
      </c>
      <c r="P200" s="13" t="s">
        <v>616</v>
      </c>
      <c r="Z200" s="52" t="s">
        <v>232</v>
      </c>
    </row>
    <row r="201" spans="1:26" x14ac:dyDescent="0.2">
      <c r="A201" s="5" t="s">
        <v>452</v>
      </c>
      <c r="B201" s="5" t="s">
        <v>763</v>
      </c>
      <c r="C201" s="5" t="s">
        <v>1325</v>
      </c>
      <c r="D201" s="6" t="s">
        <v>780</v>
      </c>
      <c r="E201" s="6"/>
      <c r="K201" s="41"/>
      <c r="L201" s="42"/>
      <c r="M201" s="42"/>
      <c r="N201" s="31" t="s">
        <v>1125</v>
      </c>
      <c r="P201" s="13" t="s">
        <v>620</v>
      </c>
      <c r="Z201" s="52" t="s">
        <v>238</v>
      </c>
    </row>
    <row r="202" spans="1:26" x14ac:dyDescent="0.2">
      <c r="A202" s="5" t="s">
        <v>182</v>
      </c>
      <c r="B202" s="5" t="s">
        <v>1202</v>
      </c>
      <c r="C202" s="5" t="s">
        <v>1326</v>
      </c>
      <c r="D202" s="6" t="s">
        <v>781</v>
      </c>
      <c r="E202" s="6"/>
      <c r="K202" s="42"/>
      <c r="L202" s="41"/>
      <c r="M202" s="41"/>
      <c r="N202" s="31" t="s">
        <v>1371</v>
      </c>
      <c r="P202" s="13" t="s">
        <v>200</v>
      </c>
      <c r="Z202" s="5" t="s">
        <v>728</v>
      </c>
    </row>
    <row r="203" spans="1:26" x14ac:dyDescent="0.2">
      <c r="A203" s="5" t="s">
        <v>446</v>
      </c>
      <c r="B203" s="5" t="s">
        <v>688</v>
      </c>
      <c r="C203" s="5" t="s">
        <v>233</v>
      </c>
      <c r="D203" s="6" t="s">
        <v>782</v>
      </c>
      <c r="E203" s="6"/>
      <c r="L203" s="41"/>
      <c r="M203" s="41"/>
      <c r="N203" s="31" t="s">
        <v>1032</v>
      </c>
      <c r="P203" s="13" t="s">
        <v>270</v>
      </c>
      <c r="Z203" s="5" t="s">
        <v>1211</v>
      </c>
    </row>
    <row r="204" spans="1:26" x14ac:dyDescent="0.2">
      <c r="A204" s="5" t="s">
        <v>362</v>
      </c>
      <c r="B204" s="5" t="s">
        <v>1203</v>
      </c>
      <c r="C204" s="5" t="s">
        <v>1327</v>
      </c>
      <c r="D204" s="6" t="s">
        <v>783</v>
      </c>
      <c r="E204" s="6"/>
      <c r="L204" s="41"/>
      <c r="M204" s="41"/>
      <c r="N204" s="31" t="s">
        <v>799</v>
      </c>
      <c r="P204" s="13" t="s">
        <v>617</v>
      </c>
      <c r="Z204" s="5" t="s">
        <v>696</v>
      </c>
    </row>
    <row r="205" spans="1:26" x14ac:dyDescent="0.2">
      <c r="A205" s="5" t="s">
        <v>356</v>
      </c>
      <c r="B205" s="5" t="s">
        <v>1204</v>
      </c>
      <c r="C205" s="5" t="s">
        <v>1328</v>
      </c>
      <c r="D205" s="6" t="s">
        <v>181</v>
      </c>
      <c r="E205" s="6"/>
      <c r="L205" s="41"/>
      <c r="M205" s="41"/>
      <c r="N205" s="31" t="s">
        <v>865</v>
      </c>
      <c r="P205" s="13" t="s">
        <v>380</v>
      </c>
      <c r="Z205" s="5" t="s">
        <v>1185</v>
      </c>
    </row>
    <row r="206" spans="1:26" x14ac:dyDescent="0.2">
      <c r="A206" s="5" t="s">
        <v>464</v>
      </c>
      <c r="B206" s="5" t="s">
        <v>909</v>
      </c>
      <c r="C206" s="5" t="s">
        <v>1329</v>
      </c>
      <c r="D206" s="6" t="s">
        <v>784</v>
      </c>
      <c r="E206" s="6"/>
      <c r="L206" s="41"/>
      <c r="M206" s="41"/>
      <c r="N206" s="31" t="s">
        <v>1135</v>
      </c>
      <c r="P206" s="13" t="s">
        <v>618</v>
      </c>
      <c r="Z206" s="5" t="s">
        <v>715</v>
      </c>
    </row>
    <row r="207" spans="1:26" x14ac:dyDescent="0.2">
      <c r="A207" s="5" t="s">
        <v>109</v>
      </c>
      <c r="B207" s="5" t="s">
        <v>1205</v>
      </c>
      <c r="C207" s="5" t="s">
        <v>1330</v>
      </c>
      <c r="D207" s="6" t="s">
        <v>785</v>
      </c>
      <c r="E207" s="6"/>
      <c r="L207" s="41"/>
      <c r="M207" s="41"/>
      <c r="N207" s="31" t="s">
        <v>194</v>
      </c>
      <c r="P207" s="13" t="s">
        <v>619</v>
      </c>
      <c r="Z207" s="5" t="s">
        <v>1113</v>
      </c>
    </row>
    <row r="208" spans="1:26" x14ac:dyDescent="0.2">
      <c r="A208" s="5" t="s">
        <v>138</v>
      </c>
      <c r="B208" s="5" t="s">
        <v>1206</v>
      </c>
      <c r="C208" s="5" t="s">
        <v>1331</v>
      </c>
      <c r="D208" s="6" t="s">
        <v>396</v>
      </c>
      <c r="E208" s="6"/>
      <c r="L208" s="41"/>
      <c r="M208" s="41"/>
      <c r="N208" s="31" t="s">
        <v>1343</v>
      </c>
      <c r="P208" s="13" t="s">
        <v>202</v>
      </c>
      <c r="Z208" s="5" t="s">
        <v>664</v>
      </c>
    </row>
    <row r="209" spans="1:26" x14ac:dyDescent="0.2">
      <c r="A209" s="5" t="s">
        <v>184</v>
      </c>
      <c r="B209" s="5" t="s">
        <v>775</v>
      </c>
      <c r="C209" s="5" t="s">
        <v>464</v>
      </c>
      <c r="D209" s="6" t="s">
        <v>786</v>
      </c>
      <c r="E209" s="6"/>
      <c r="L209" s="41"/>
      <c r="M209" s="41"/>
      <c r="N209" s="31" t="s">
        <v>1212</v>
      </c>
      <c r="P209" s="13" t="s">
        <v>614</v>
      </c>
      <c r="Z209" s="5" t="s">
        <v>83</v>
      </c>
    </row>
    <row r="210" spans="1:26" x14ac:dyDescent="0.2">
      <c r="A210" s="5" t="s">
        <v>176</v>
      </c>
      <c r="B210" s="5" t="s">
        <v>1207</v>
      </c>
      <c r="C210" s="5" t="s">
        <v>413</v>
      </c>
      <c r="D210" s="6" t="s">
        <v>787</v>
      </c>
      <c r="E210" s="6"/>
      <c r="L210" s="41"/>
      <c r="M210" s="41"/>
      <c r="N210" s="31" t="s">
        <v>1222</v>
      </c>
      <c r="P210" s="13" t="s">
        <v>313</v>
      </c>
      <c r="Z210" s="5" t="s">
        <v>1279</v>
      </c>
    </row>
    <row r="211" spans="1:26" x14ac:dyDescent="0.2">
      <c r="A211" s="5" t="s">
        <v>514</v>
      </c>
      <c r="B211" s="5" t="s">
        <v>1208</v>
      </c>
      <c r="C211" s="5" t="s">
        <v>1332</v>
      </c>
      <c r="D211" s="6" t="s">
        <v>788</v>
      </c>
      <c r="E211" s="6"/>
      <c r="L211" s="41"/>
      <c r="M211" s="41"/>
      <c r="N211" s="31" t="s">
        <v>1248</v>
      </c>
      <c r="P211" s="13" t="s">
        <v>625</v>
      </c>
      <c r="Z211" s="5" t="s">
        <v>1125</v>
      </c>
    </row>
    <row r="212" spans="1:26" x14ac:dyDescent="0.2">
      <c r="A212" s="5" t="s">
        <v>377</v>
      </c>
      <c r="B212" s="5" t="s">
        <v>1209</v>
      </c>
      <c r="C212" s="5" t="s">
        <v>1333</v>
      </c>
      <c r="D212" s="6" t="s">
        <v>789</v>
      </c>
      <c r="E212" s="6"/>
      <c r="L212" s="41"/>
      <c r="M212" s="41"/>
      <c r="N212" s="31" t="s">
        <v>1357</v>
      </c>
      <c r="P212" s="13" t="s">
        <v>622</v>
      </c>
      <c r="Z212" s="5" t="s">
        <v>1371</v>
      </c>
    </row>
    <row r="213" spans="1:26" x14ac:dyDescent="0.2">
      <c r="A213" s="5" t="s">
        <v>5</v>
      </c>
      <c r="B213" s="5" t="s">
        <v>1210</v>
      </c>
      <c r="C213" s="5" t="s">
        <v>1334</v>
      </c>
      <c r="D213" s="6" t="s">
        <v>790</v>
      </c>
      <c r="E213" s="6"/>
      <c r="L213" s="41"/>
      <c r="M213" s="41"/>
      <c r="N213" s="31" t="s">
        <v>261</v>
      </c>
      <c r="P213" s="13" t="s">
        <v>624</v>
      </c>
      <c r="Z213" s="5" t="str">
        <f>"daf-18"</f>
        <v>daf-18</v>
      </c>
    </row>
    <row r="214" spans="1:26" x14ac:dyDescent="0.2">
      <c r="A214" s="13" t="s">
        <v>202</v>
      </c>
      <c r="B214" s="5" t="s">
        <v>1211</v>
      </c>
      <c r="C214" s="5" t="s">
        <v>1335</v>
      </c>
      <c r="D214" s="6" t="s">
        <v>791</v>
      </c>
      <c r="E214" s="6"/>
      <c r="L214" s="41"/>
      <c r="M214" s="41"/>
      <c r="N214" s="31" t="s">
        <v>1275</v>
      </c>
      <c r="P214" s="13" t="s">
        <v>236</v>
      </c>
      <c r="Z214" s="5" t="s">
        <v>799</v>
      </c>
    </row>
    <row r="215" spans="1:26" x14ac:dyDescent="0.2">
      <c r="A215" s="5" t="s">
        <v>481</v>
      </c>
      <c r="B215" s="5" t="s">
        <v>82</v>
      </c>
      <c r="C215" s="5" t="s">
        <v>329</v>
      </c>
      <c r="D215" s="6" t="s">
        <v>792</v>
      </c>
      <c r="E215" s="6"/>
      <c r="L215" s="41"/>
      <c r="M215" s="41"/>
      <c r="N215" s="31" t="s">
        <v>1195</v>
      </c>
      <c r="P215" s="13" t="s">
        <v>531</v>
      </c>
      <c r="Z215" s="52" t="s">
        <v>249</v>
      </c>
    </row>
    <row r="216" spans="1:26" x14ac:dyDescent="0.2">
      <c r="A216" s="5" t="s">
        <v>332</v>
      </c>
      <c r="B216" s="5" t="s">
        <v>709</v>
      </c>
      <c r="C216" s="5" t="s">
        <v>1336</v>
      </c>
      <c r="D216" s="6" t="s">
        <v>793</v>
      </c>
      <c r="E216" s="6"/>
      <c r="L216" s="41"/>
      <c r="M216" s="41"/>
      <c r="N216" s="31" t="s">
        <v>1360</v>
      </c>
      <c r="P216" s="13" t="s">
        <v>545</v>
      </c>
      <c r="Z216" s="5" t="s">
        <v>865</v>
      </c>
    </row>
    <row r="217" spans="1:26" x14ac:dyDescent="0.2">
      <c r="A217" s="10" t="s">
        <v>243</v>
      </c>
      <c r="B217" s="5" t="s">
        <v>1212</v>
      </c>
      <c r="C217" s="5" t="s">
        <v>441</v>
      </c>
      <c r="D217" s="6" t="s">
        <v>794</v>
      </c>
      <c r="E217" s="6"/>
      <c r="L217" s="41"/>
      <c r="M217" s="41"/>
      <c r="N217" s="31" t="s">
        <v>1175</v>
      </c>
      <c r="P217" s="13" t="s">
        <v>187</v>
      </c>
      <c r="Z217" s="5" t="s">
        <v>1135</v>
      </c>
    </row>
    <row r="218" spans="1:26" x14ac:dyDescent="0.2">
      <c r="A218" s="5" t="s">
        <v>232</v>
      </c>
      <c r="B218" s="5" t="s">
        <v>1213</v>
      </c>
      <c r="C218" s="5" t="s">
        <v>1337</v>
      </c>
      <c r="D218" s="6" t="s">
        <v>795</v>
      </c>
      <c r="E218" s="6"/>
      <c r="L218" s="42"/>
      <c r="M218" s="41"/>
      <c r="N218" s="31" t="s">
        <v>1260</v>
      </c>
      <c r="P218" s="13" t="s">
        <v>626</v>
      </c>
      <c r="Z218" s="52" t="s">
        <v>194</v>
      </c>
    </row>
    <row r="219" spans="1:26" x14ac:dyDescent="0.2">
      <c r="A219" s="5" t="s">
        <v>435</v>
      </c>
      <c r="B219" s="5" t="s">
        <v>736</v>
      </c>
      <c r="C219" s="5" t="s">
        <v>1338</v>
      </c>
      <c r="D219" s="6" t="s">
        <v>796</v>
      </c>
      <c r="E219" s="6"/>
      <c r="L219" s="41"/>
      <c r="M219" s="41"/>
      <c r="N219" s="31" t="s">
        <v>274</v>
      </c>
      <c r="P219" s="13" t="s">
        <v>627</v>
      </c>
      <c r="Z219" s="5" t="s">
        <v>1343</v>
      </c>
    </row>
    <row r="220" spans="1:26" x14ac:dyDescent="0.2">
      <c r="A220" s="5" t="s">
        <v>407</v>
      </c>
      <c r="B220" s="5" t="s">
        <v>701</v>
      </c>
      <c r="C220" s="5" t="s">
        <v>1339</v>
      </c>
      <c r="D220" s="6" t="s">
        <v>797</v>
      </c>
      <c r="E220" s="6"/>
      <c r="L220" s="41"/>
      <c r="M220" s="41"/>
      <c r="N220" s="31" t="s">
        <v>1095</v>
      </c>
      <c r="P220" s="13" t="s">
        <v>299</v>
      </c>
      <c r="Z220" s="10" t="s">
        <v>71</v>
      </c>
    </row>
    <row r="221" spans="1:26" x14ac:dyDescent="0.2">
      <c r="A221" s="5" t="s">
        <v>500</v>
      </c>
      <c r="B221" s="5" t="s">
        <v>550</v>
      </c>
      <c r="C221" s="5" t="s">
        <v>1340</v>
      </c>
      <c r="D221" s="6" t="s">
        <v>798</v>
      </c>
      <c r="E221" s="6"/>
      <c r="L221" s="41"/>
      <c r="M221" s="41"/>
      <c r="N221" s="31" t="s">
        <v>94</v>
      </c>
      <c r="P221" s="13" t="s">
        <v>615</v>
      </c>
      <c r="Z221" s="13" t="s">
        <v>200</v>
      </c>
    </row>
    <row r="222" spans="1:26" x14ac:dyDescent="0.2">
      <c r="A222" s="5" t="s">
        <v>479</v>
      </c>
      <c r="B222" s="5" t="s">
        <v>734</v>
      </c>
      <c r="C222" s="5" t="s">
        <v>1341</v>
      </c>
      <c r="D222" s="6" t="s">
        <v>799</v>
      </c>
      <c r="E222" s="6"/>
      <c r="L222" s="41"/>
      <c r="M222" s="41"/>
      <c r="N222" s="31" t="s">
        <v>1348</v>
      </c>
      <c r="P222" s="13" t="s">
        <v>623</v>
      </c>
      <c r="Z222" s="5" t="s">
        <v>997</v>
      </c>
    </row>
    <row r="223" spans="1:26" x14ac:dyDescent="0.2">
      <c r="A223" s="5" t="s">
        <v>49</v>
      </c>
      <c r="B223" s="5" t="s">
        <v>1214</v>
      </c>
      <c r="C223" s="5" t="s">
        <v>1342</v>
      </c>
      <c r="D223" s="6" t="s">
        <v>800</v>
      </c>
      <c r="E223" s="6"/>
      <c r="L223" s="41"/>
      <c r="M223" s="41"/>
      <c r="N223" s="31" t="s">
        <v>1213</v>
      </c>
      <c r="Z223" s="10" t="s">
        <v>255</v>
      </c>
    </row>
    <row r="224" spans="1:26" x14ac:dyDescent="0.2">
      <c r="A224" s="5" t="s">
        <v>321</v>
      </c>
      <c r="B224" s="5" t="s">
        <v>921</v>
      </c>
      <c r="C224" s="5" t="s">
        <v>525</v>
      </c>
      <c r="D224" s="6" t="s">
        <v>801</v>
      </c>
      <c r="E224" s="6"/>
      <c r="L224" s="41"/>
      <c r="M224" s="41"/>
      <c r="N224" s="31" t="s">
        <v>1214</v>
      </c>
      <c r="Z224" s="10" t="str">
        <f>"dhp-1"</f>
        <v>dhp-1</v>
      </c>
    </row>
    <row r="225" spans="1:26" x14ac:dyDescent="0.2">
      <c r="A225" s="5" t="s">
        <v>223</v>
      </c>
      <c r="B225" s="5" t="s">
        <v>675</v>
      </c>
      <c r="C225" s="5" t="s">
        <v>1343</v>
      </c>
      <c r="D225" s="6" t="s">
        <v>802</v>
      </c>
      <c r="E225" s="6"/>
      <c r="L225" s="41"/>
      <c r="M225" s="41"/>
      <c r="N225" s="31" t="s">
        <v>672</v>
      </c>
      <c r="Z225" s="5" t="s">
        <v>1212</v>
      </c>
    </row>
    <row r="226" spans="1:26" x14ac:dyDescent="0.2">
      <c r="A226" s="5" t="s">
        <v>209</v>
      </c>
      <c r="B226" s="5" t="s">
        <v>1215</v>
      </c>
      <c r="C226" s="5" t="s">
        <v>1049</v>
      </c>
      <c r="D226" s="6" t="s">
        <v>803</v>
      </c>
      <c r="E226" s="6"/>
      <c r="L226" s="41"/>
      <c r="M226" s="41"/>
      <c r="N226" s="31" t="s">
        <v>640</v>
      </c>
      <c r="Z226" s="5" t="s">
        <v>1222</v>
      </c>
    </row>
    <row r="227" spans="1:26" x14ac:dyDescent="0.2">
      <c r="A227" s="5" t="s">
        <v>31</v>
      </c>
      <c r="B227" s="5" t="s">
        <v>1216</v>
      </c>
      <c r="C227" s="5" t="s">
        <v>1344</v>
      </c>
      <c r="D227" s="6" t="s">
        <v>804</v>
      </c>
      <c r="E227" s="6"/>
      <c r="L227" s="41"/>
      <c r="M227" s="41"/>
      <c r="N227" s="31" t="s">
        <v>1363</v>
      </c>
      <c r="Z227" s="5" t="s">
        <v>1248</v>
      </c>
    </row>
    <row r="228" spans="1:26" x14ac:dyDescent="0.2">
      <c r="A228" s="5" t="s">
        <v>428</v>
      </c>
      <c r="B228" s="5" t="s">
        <v>1040</v>
      </c>
      <c r="C228" s="5" t="s">
        <v>504</v>
      </c>
      <c r="D228" s="6" t="s">
        <v>805</v>
      </c>
      <c r="E228" s="6"/>
      <c r="L228" s="42"/>
      <c r="M228" s="41"/>
      <c r="N228" s="31" t="s">
        <v>283</v>
      </c>
      <c r="Z228" s="5" t="s">
        <v>1485</v>
      </c>
    </row>
    <row r="229" spans="1:26" x14ac:dyDescent="0.2">
      <c r="A229" s="5" t="s">
        <v>456</v>
      </c>
      <c r="B229" s="5" t="s">
        <v>1217</v>
      </c>
      <c r="C229" s="5" t="s">
        <v>143</v>
      </c>
      <c r="D229" s="6"/>
      <c r="E229" s="6"/>
      <c r="M229" s="41"/>
      <c r="N229" s="31" t="s">
        <v>291</v>
      </c>
      <c r="Z229" s="5" t="s">
        <v>1357</v>
      </c>
    </row>
    <row r="230" spans="1:26" x14ac:dyDescent="0.2">
      <c r="A230" s="5" t="s">
        <v>551</v>
      </c>
      <c r="B230" s="5" t="s">
        <v>850</v>
      </c>
      <c r="C230" s="5" t="s">
        <v>1345</v>
      </c>
      <c r="D230" s="6"/>
      <c r="E230" s="6"/>
      <c r="M230" s="41"/>
      <c r="N230" s="31" t="s">
        <v>991</v>
      </c>
      <c r="Z230" s="10" t="s">
        <v>212</v>
      </c>
    </row>
    <row r="231" spans="1:26" x14ac:dyDescent="0.2">
      <c r="A231" s="5" t="s">
        <v>294</v>
      </c>
      <c r="B231" s="5" t="s">
        <v>691</v>
      </c>
      <c r="C231" s="5" t="s">
        <v>1346</v>
      </c>
      <c r="D231" s="6"/>
      <c r="E231" s="6"/>
      <c r="M231" s="41"/>
      <c r="N231" s="31" t="s">
        <v>1335</v>
      </c>
      <c r="Z231" s="10" t="s">
        <v>575</v>
      </c>
    </row>
    <row r="232" spans="1:26" x14ac:dyDescent="0.2">
      <c r="A232" s="5" t="s">
        <v>17</v>
      </c>
      <c r="B232" s="5" t="s">
        <v>79</v>
      </c>
      <c r="C232" s="5" t="s">
        <v>1347</v>
      </c>
      <c r="D232" s="6"/>
      <c r="E232" s="6"/>
      <c r="M232" s="41"/>
      <c r="N232" s="31" t="s">
        <v>235</v>
      </c>
      <c r="Z232" s="5" t="s">
        <v>633</v>
      </c>
    </row>
    <row r="233" spans="1:26" x14ac:dyDescent="0.2">
      <c r="A233" s="5" t="s">
        <v>525</v>
      </c>
      <c r="B233" s="5" t="s">
        <v>1218</v>
      </c>
      <c r="C233" s="5" t="s">
        <v>906</v>
      </c>
      <c r="D233" s="6"/>
      <c r="E233" s="6"/>
      <c r="M233" s="41"/>
      <c r="N233" s="31" t="s">
        <v>1233</v>
      </c>
      <c r="Z233" s="52" t="s">
        <v>78</v>
      </c>
    </row>
    <row r="234" spans="1:26" x14ac:dyDescent="0.2">
      <c r="A234" s="5" t="s">
        <v>548</v>
      </c>
      <c r="B234" s="5" t="s">
        <v>1219</v>
      </c>
      <c r="C234" s="5" t="s">
        <v>1348</v>
      </c>
      <c r="D234" s="6"/>
      <c r="E234" s="6"/>
      <c r="M234" s="41"/>
      <c r="N234" s="31" t="s">
        <v>1325</v>
      </c>
      <c r="Z234" s="5" t="s">
        <v>1456</v>
      </c>
    </row>
    <row r="235" spans="1:26" x14ac:dyDescent="0.2">
      <c r="A235" s="5" t="s">
        <v>312</v>
      </c>
      <c r="B235" s="5" t="s">
        <v>185</v>
      </c>
      <c r="C235" s="5" t="s">
        <v>1349</v>
      </c>
      <c r="D235" s="6"/>
      <c r="E235" s="6"/>
      <c r="M235" s="41"/>
      <c r="N235" s="31" t="s">
        <v>1295</v>
      </c>
      <c r="Z235" s="52" t="s">
        <v>261</v>
      </c>
    </row>
    <row r="236" spans="1:26" x14ac:dyDescent="0.2">
      <c r="A236" s="5" t="s">
        <v>123</v>
      </c>
      <c r="B236" s="5" t="s">
        <v>1220</v>
      </c>
      <c r="C236" s="5" t="s">
        <v>498</v>
      </c>
      <c r="D236" s="6"/>
      <c r="E236" s="6"/>
      <c r="M236" s="41"/>
      <c r="N236" s="31" t="s">
        <v>1345</v>
      </c>
      <c r="Z236" s="10" t="s">
        <v>266</v>
      </c>
    </row>
    <row r="237" spans="1:26" x14ac:dyDescent="0.2">
      <c r="A237" s="5" t="s">
        <v>322</v>
      </c>
      <c r="B237" s="5" t="s">
        <v>802</v>
      </c>
      <c r="C237" s="5" t="s">
        <v>1350</v>
      </c>
      <c r="D237" s="6"/>
      <c r="E237" s="6"/>
      <c r="M237" s="41"/>
      <c r="N237" s="31" t="s">
        <v>748</v>
      </c>
      <c r="Z237" s="13" t="s">
        <v>270</v>
      </c>
    </row>
    <row r="238" spans="1:26" x14ac:dyDescent="0.2">
      <c r="A238" s="5" t="s">
        <v>529</v>
      </c>
      <c r="B238" s="5" t="s">
        <v>1221</v>
      </c>
      <c r="C238" s="5" t="s">
        <v>1351</v>
      </c>
      <c r="D238" s="6"/>
      <c r="E238" s="6"/>
      <c r="M238" s="41"/>
      <c r="N238" s="31" t="s">
        <v>1247</v>
      </c>
      <c r="Z238" s="5" t="s">
        <v>1275</v>
      </c>
    </row>
    <row r="239" spans="1:26" x14ac:dyDescent="0.2">
      <c r="A239" s="5" t="s">
        <v>516</v>
      </c>
      <c r="B239" s="5" t="s">
        <v>1222</v>
      </c>
      <c r="C239" s="5" t="s">
        <v>280</v>
      </c>
      <c r="D239" s="6"/>
      <c r="E239" s="6"/>
      <c r="M239" s="42"/>
      <c r="N239" s="31" t="s">
        <v>1091</v>
      </c>
      <c r="Z239" s="5" t="s">
        <v>1195</v>
      </c>
    </row>
    <row r="240" spans="1:26" x14ac:dyDescent="0.2">
      <c r="A240" s="16" t="s">
        <v>420</v>
      </c>
      <c r="B240" s="5" t="s">
        <v>1223</v>
      </c>
      <c r="C240" s="5" t="s">
        <v>1352</v>
      </c>
      <c r="D240" s="6"/>
      <c r="E240" s="6"/>
      <c r="M240" s="41"/>
      <c r="N240" s="31" t="s">
        <v>241</v>
      </c>
      <c r="Z240" s="5" t="s">
        <v>1360</v>
      </c>
    </row>
    <row r="241" spans="1:26" x14ac:dyDescent="0.2">
      <c r="A241" s="5" t="s">
        <v>483</v>
      </c>
      <c r="B241" s="5" t="s">
        <v>1036</v>
      </c>
      <c r="C241" s="5" t="s">
        <v>1353</v>
      </c>
      <c r="D241" s="6"/>
      <c r="E241" s="6"/>
      <c r="M241" s="41"/>
      <c r="N241" s="31" t="s">
        <v>850</v>
      </c>
      <c r="Z241" s="5" t="s">
        <v>1490</v>
      </c>
    </row>
    <row r="242" spans="1:26" x14ac:dyDescent="0.2">
      <c r="A242" s="5" t="s">
        <v>12</v>
      </c>
      <c r="B242" s="5" t="s">
        <v>1224</v>
      </c>
      <c r="C242" s="5" t="s">
        <v>1169</v>
      </c>
      <c r="D242" s="6"/>
      <c r="E242" s="6"/>
      <c r="M242" s="42"/>
      <c r="N242" s="31" t="s">
        <v>1168</v>
      </c>
      <c r="Z242" s="5" t="s">
        <v>4873</v>
      </c>
    </row>
    <row r="243" spans="1:26" x14ac:dyDescent="0.2">
      <c r="A243" s="5" t="s">
        <v>467</v>
      </c>
      <c r="B243" s="5" t="s">
        <v>1225</v>
      </c>
      <c r="C243" s="5" t="s">
        <v>1354</v>
      </c>
      <c r="D243" s="6"/>
      <c r="E243" s="6"/>
      <c r="M243" s="41"/>
      <c r="N243" s="31" t="s">
        <v>296</v>
      </c>
      <c r="Z243" s="5" t="s">
        <v>1175</v>
      </c>
    </row>
    <row r="244" spans="1:26" x14ac:dyDescent="0.2">
      <c r="A244" s="5" t="s">
        <v>172</v>
      </c>
      <c r="B244" s="5" t="s">
        <v>1226</v>
      </c>
      <c r="C244" s="5" t="s">
        <v>387</v>
      </c>
      <c r="D244" s="6"/>
      <c r="E244" s="6"/>
      <c r="M244" s="41"/>
      <c r="N244" s="31" t="s">
        <v>1130</v>
      </c>
      <c r="Z244" s="5" t="s">
        <v>1260</v>
      </c>
    </row>
    <row r="245" spans="1:26" x14ac:dyDescent="0.2">
      <c r="A245" s="5" t="s">
        <v>124</v>
      </c>
      <c r="B245" s="5" t="s">
        <v>1227</v>
      </c>
      <c r="C245" s="5" t="s">
        <v>1355</v>
      </c>
      <c r="D245" s="6"/>
      <c r="E245" s="6"/>
      <c r="M245" s="41"/>
      <c r="N245" s="31" t="s">
        <v>304</v>
      </c>
      <c r="Z245" s="52" t="s">
        <v>274</v>
      </c>
    </row>
    <row r="246" spans="1:26" x14ac:dyDescent="0.2">
      <c r="A246" s="5" t="s">
        <v>517</v>
      </c>
      <c r="B246" s="5" t="s">
        <v>491</v>
      </c>
      <c r="C246" s="5" t="s">
        <v>741</v>
      </c>
      <c r="D246" s="6"/>
      <c r="E246" s="6"/>
      <c r="M246" s="41"/>
      <c r="N246" s="31" t="s">
        <v>309</v>
      </c>
      <c r="Z246" s="5" t="s">
        <v>1095</v>
      </c>
    </row>
    <row r="247" spans="1:26" x14ac:dyDescent="0.2">
      <c r="A247" s="5" t="s">
        <v>196</v>
      </c>
      <c r="B247" s="5" t="s">
        <v>1037</v>
      </c>
      <c r="C247" s="5" t="s">
        <v>1356</v>
      </c>
      <c r="D247" s="6"/>
      <c r="E247" s="6"/>
      <c r="M247" s="42"/>
      <c r="N247" s="31" t="s">
        <v>1102</v>
      </c>
      <c r="Z247" s="52" t="s">
        <v>94</v>
      </c>
    </row>
    <row r="248" spans="1:26" x14ac:dyDescent="0.2">
      <c r="A248" s="5" t="s">
        <v>453</v>
      </c>
      <c r="B248" s="5" t="s">
        <v>726</v>
      </c>
      <c r="C248" s="5" t="s">
        <v>1357</v>
      </c>
      <c r="D248" s="6"/>
      <c r="E248" s="6"/>
      <c r="M248" s="41"/>
      <c r="N248" s="31" t="s">
        <v>1165</v>
      </c>
      <c r="Z248" s="5" t="s">
        <v>1348</v>
      </c>
    </row>
    <row r="249" spans="1:26" x14ac:dyDescent="0.2">
      <c r="A249" s="5" t="s">
        <v>125</v>
      </c>
      <c r="B249" s="5" t="s">
        <v>1228</v>
      </c>
      <c r="C249" s="5" t="s">
        <v>1358</v>
      </c>
      <c r="D249" s="6"/>
      <c r="E249" s="6"/>
      <c r="M249" s="42"/>
      <c r="N249" s="31" t="s">
        <v>1375</v>
      </c>
      <c r="Z249" s="5" t="s">
        <v>1213</v>
      </c>
    </row>
    <row r="250" spans="1:26" x14ac:dyDescent="0.2">
      <c r="A250" s="5" t="s">
        <v>19</v>
      </c>
      <c r="B250" s="5" t="s">
        <v>1229</v>
      </c>
      <c r="C250" s="5" t="s">
        <v>1359</v>
      </c>
      <c r="D250" s="6"/>
      <c r="E250" s="6"/>
      <c r="M250" s="41"/>
      <c r="N250" s="31" t="s">
        <v>628</v>
      </c>
      <c r="Z250" s="5" t="s">
        <v>1392</v>
      </c>
    </row>
    <row r="251" spans="1:26" x14ac:dyDescent="0.2">
      <c r="A251" s="5" t="s">
        <v>402</v>
      </c>
      <c r="B251" s="5" t="s">
        <v>1021</v>
      </c>
      <c r="C251" s="5" t="s">
        <v>1360</v>
      </c>
      <c r="D251" s="6"/>
      <c r="E251" s="6"/>
      <c r="M251" s="41"/>
      <c r="N251" s="31" t="s">
        <v>258</v>
      </c>
      <c r="Z251" s="5" t="s">
        <v>1214</v>
      </c>
    </row>
    <row r="252" spans="1:26" x14ac:dyDescent="0.2">
      <c r="A252" s="5" t="s">
        <v>185</v>
      </c>
      <c r="B252" s="5" t="s">
        <v>729</v>
      </c>
      <c r="C252" s="5" t="s">
        <v>196</v>
      </c>
      <c r="D252" s="6"/>
      <c r="E252" s="6"/>
      <c r="M252" s="41"/>
      <c r="N252" s="31" t="s">
        <v>1154</v>
      </c>
      <c r="Z252" s="5" t="s">
        <v>672</v>
      </c>
    </row>
    <row r="253" spans="1:26" x14ac:dyDescent="0.2">
      <c r="A253" s="5" t="s">
        <v>231</v>
      </c>
      <c r="B253" s="5" t="s">
        <v>197</v>
      </c>
      <c r="C253" s="5" t="s">
        <v>1361</v>
      </c>
      <c r="D253" s="6"/>
      <c r="E253" s="6"/>
      <c r="M253" s="41"/>
      <c r="N253" s="31" t="s">
        <v>312</v>
      </c>
      <c r="Z253" s="5" t="s">
        <v>640</v>
      </c>
    </row>
    <row r="254" spans="1:26" x14ac:dyDescent="0.2">
      <c r="A254" s="5" t="s">
        <v>549</v>
      </c>
      <c r="B254" s="5" t="s">
        <v>1230</v>
      </c>
      <c r="C254" s="5" t="s">
        <v>922</v>
      </c>
      <c r="D254" s="6"/>
      <c r="E254" s="6"/>
      <c r="M254" s="41"/>
      <c r="N254" s="31" t="s">
        <v>102</v>
      </c>
      <c r="Z254" s="5" t="s">
        <v>1363</v>
      </c>
    </row>
    <row r="255" spans="1:26" x14ac:dyDescent="0.2">
      <c r="A255" s="5" t="s">
        <v>230</v>
      </c>
      <c r="B255" s="5" t="s">
        <v>21</v>
      </c>
      <c r="C255" s="5" t="s">
        <v>53</v>
      </c>
      <c r="D255" s="6"/>
      <c r="E255" s="6"/>
      <c r="M255" s="41"/>
      <c r="N255" s="31" t="s">
        <v>780</v>
      </c>
      <c r="Z255" s="52" t="s">
        <v>223</v>
      </c>
    </row>
    <row r="256" spans="1:26" x14ac:dyDescent="0.2">
      <c r="A256" s="5" t="s">
        <v>237</v>
      </c>
      <c r="B256" s="5" t="s">
        <v>1231</v>
      </c>
      <c r="C256" s="5" t="s">
        <v>1362</v>
      </c>
      <c r="D256" s="6"/>
      <c r="E256" s="6"/>
      <c r="M256" s="41"/>
      <c r="N256" s="31" t="s">
        <v>315</v>
      </c>
      <c r="Z256" s="10" t="s">
        <v>229</v>
      </c>
    </row>
    <row r="257" spans="1:26" x14ac:dyDescent="0.2">
      <c r="A257" s="5" t="s">
        <v>159</v>
      </c>
      <c r="B257" s="5" t="s">
        <v>693</v>
      </c>
      <c r="C257" s="5" t="s">
        <v>892</v>
      </c>
      <c r="D257" s="6"/>
      <c r="E257" s="6"/>
      <c r="M257" s="41"/>
      <c r="N257" s="31" t="s">
        <v>1298</v>
      </c>
      <c r="Z257" s="10" t="s">
        <v>477</v>
      </c>
    </row>
    <row r="258" spans="1:26" x14ac:dyDescent="0.2">
      <c r="A258" s="5" t="s">
        <v>72</v>
      </c>
      <c r="B258" s="5" t="s">
        <v>783</v>
      </c>
      <c r="C258" s="5" t="s">
        <v>182</v>
      </c>
      <c r="D258" s="6"/>
      <c r="E258" s="6"/>
      <c r="M258" s="41"/>
      <c r="N258" s="31" t="s">
        <v>1225</v>
      </c>
      <c r="Z258" s="52" t="s">
        <v>283</v>
      </c>
    </row>
    <row r="259" spans="1:26" x14ac:dyDescent="0.2">
      <c r="A259" s="5" t="s">
        <v>409</v>
      </c>
      <c r="B259" s="5" t="s">
        <v>798</v>
      </c>
      <c r="C259" s="5" t="s">
        <v>1363</v>
      </c>
      <c r="D259" s="6"/>
      <c r="E259" s="6"/>
      <c r="M259" s="41"/>
      <c r="N259" s="31" t="s">
        <v>847</v>
      </c>
      <c r="Z259" s="52" t="s">
        <v>287</v>
      </c>
    </row>
    <row r="260" spans="1:26" x14ac:dyDescent="0.2">
      <c r="A260" s="5" t="s">
        <v>441</v>
      </c>
      <c r="B260" s="5" t="s">
        <v>1232</v>
      </c>
      <c r="C260" s="5" t="s">
        <v>1228</v>
      </c>
      <c r="D260" s="6"/>
      <c r="E260" s="6"/>
      <c r="M260" s="41"/>
      <c r="N260" s="31" t="s">
        <v>319</v>
      </c>
      <c r="Z260" s="52" t="s">
        <v>291</v>
      </c>
    </row>
    <row r="261" spans="1:26" x14ac:dyDescent="0.2">
      <c r="A261" s="5" t="s">
        <v>87</v>
      </c>
      <c r="B261" s="5" t="s">
        <v>1233</v>
      </c>
      <c r="C261" s="5" t="s">
        <v>1364</v>
      </c>
      <c r="D261" s="6"/>
      <c r="E261" s="6"/>
      <c r="M261" s="41"/>
      <c r="N261" s="31" t="s">
        <v>1108</v>
      </c>
      <c r="Z261" s="5" t="str">
        <f>"egl-15"</f>
        <v>egl-15</v>
      </c>
    </row>
    <row r="262" spans="1:26" x14ac:dyDescent="0.2">
      <c r="A262" s="5" t="s">
        <v>425</v>
      </c>
      <c r="B262" s="5" t="s">
        <v>973</v>
      </c>
      <c r="C262" s="5" t="s">
        <v>1365</v>
      </c>
      <c r="D262" s="6"/>
      <c r="E262" s="6"/>
      <c r="M262" s="42"/>
      <c r="N262" s="31" t="s">
        <v>87</v>
      </c>
      <c r="Z262" s="5" t="s">
        <v>1335</v>
      </c>
    </row>
    <row r="263" spans="1:26" x14ac:dyDescent="0.2">
      <c r="A263" s="5" t="s">
        <v>112</v>
      </c>
      <c r="B263" s="5" t="s">
        <v>1234</v>
      </c>
      <c r="C263" s="5" t="s">
        <v>78</v>
      </c>
      <c r="D263" s="6"/>
      <c r="E263" s="6"/>
      <c r="M263" s="41"/>
      <c r="N263" s="31" t="s">
        <v>1184</v>
      </c>
      <c r="Z263" s="52" t="s">
        <v>235</v>
      </c>
    </row>
    <row r="264" spans="1:26" x14ac:dyDescent="0.2">
      <c r="A264" s="5" t="s">
        <v>367</v>
      </c>
      <c r="B264" s="5" t="s">
        <v>1235</v>
      </c>
      <c r="C264" s="5" t="s">
        <v>1366</v>
      </c>
      <c r="D264" s="6"/>
      <c r="E264" s="6"/>
      <c r="M264" s="42"/>
      <c r="N264" s="31" t="s">
        <v>711</v>
      </c>
      <c r="Z264" s="5" t="s">
        <v>1233</v>
      </c>
    </row>
    <row r="265" spans="1:26" x14ac:dyDescent="0.2">
      <c r="A265" s="5" t="s">
        <v>197</v>
      </c>
      <c r="B265" s="5" t="s">
        <v>1236</v>
      </c>
      <c r="C265" s="5" t="s">
        <v>648</v>
      </c>
      <c r="D265" s="6"/>
      <c r="E265" s="6"/>
      <c r="M265" s="41"/>
      <c r="N265" s="31" t="s">
        <v>1127</v>
      </c>
      <c r="Z265" s="5" t="s">
        <v>1325</v>
      </c>
    </row>
    <row r="266" spans="1:26" x14ac:dyDescent="0.2">
      <c r="A266" s="5" t="s">
        <v>494</v>
      </c>
      <c r="B266" s="5" t="s">
        <v>1237</v>
      </c>
      <c r="C266" s="5" t="s">
        <v>436</v>
      </c>
      <c r="D266" s="6"/>
      <c r="E266" s="6"/>
      <c r="M266" s="41"/>
      <c r="N266" s="31" t="s">
        <v>792</v>
      </c>
      <c r="Z266" s="5" t="s">
        <v>1295</v>
      </c>
    </row>
    <row r="267" spans="1:26" x14ac:dyDescent="0.2">
      <c r="A267" s="5" t="s">
        <v>56</v>
      </c>
      <c r="B267" s="5" t="s">
        <v>1238</v>
      </c>
      <c r="C267" s="5" t="s">
        <v>431</v>
      </c>
      <c r="D267" s="6"/>
      <c r="E267" s="6"/>
      <c r="M267" s="41"/>
      <c r="N267" s="31" t="s">
        <v>796</v>
      </c>
      <c r="Z267" s="5" t="s">
        <v>1345</v>
      </c>
    </row>
    <row r="268" spans="1:26" x14ac:dyDescent="0.2">
      <c r="A268" s="5" t="s">
        <v>287</v>
      </c>
      <c r="B268" s="5" t="s">
        <v>1239</v>
      </c>
      <c r="C268" s="5" t="s">
        <v>1367</v>
      </c>
      <c r="D268" s="6"/>
      <c r="E268" s="6"/>
      <c r="M268" s="41"/>
      <c r="N268" s="31" t="s">
        <v>1101</v>
      </c>
      <c r="Z268" s="5" t="s">
        <v>748</v>
      </c>
    </row>
    <row r="269" spans="1:26" x14ac:dyDescent="0.2">
      <c r="A269" s="5" t="s">
        <v>476</v>
      </c>
      <c r="B269" s="5" t="s">
        <v>1240</v>
      </c>
      <c r="C269" s="5" t="s">
        <v>1368</v>
      </c>
      <c r="D269" s="6"/>
      <c r="E269" s="6"/>
      <c r="M269" s="42"/>
      <c r="N269" s="31" t="s">
        <v>294</v>
      </c>
      <c r="Z269" s="5" t="s">
        <v>1247</v>
      </c>
    </row>
    <row r="270" spans="1:26" x14ac:dyDescent="0.2">
      <c r="A270" s="5" t="s">
        <v>400</v>
      </c>
      <c r="B270" s="5" t="s">
        <v>765</v>
      </c>
      <c r="C270" s="5" t="s">
        <v>1369</v>
      </c>
      <c r="D270" s="6"/>
      <c r="E270" s="6"/>
      <c r="M270" s="41"/>
      <c r="N270" s="31" t="s">
        <v>922</v>
      </c>
      <c r="Z270" s="10" t="s">
        <v>64</v>
      </c>
    </row>
    <row r="271" spans="1:26" x14ac:dyDescent="0.2">
      <c r="A271" s="5" t="s">
        <v>508</v>
      </c>
      <c r="B271" s="5" t="s">
        <v>1241</v>
      </c>
      <c r="C271" s="5" t="s">
        <v>1370</v>
      </c>
      <c r="D271" s="6"/>
      <c r="E271" s="6"/>
      <c r="M271" s="42"/>
      <c r="N271" s="31" t="s">
        <v>1143</v>
      </c>
      <c r="Z271" s="5" t="s">
        <v>1091</v>
      </c>
    </row>
    <row r="272" spans="1:26" x14ac:dyDescent="0.2">
      <c r="A272" s="5" t="s">
        <v>248</v>
      </c>
      <c r="B272" s="5" t="s">
        <v>1242</v>
      </c>
      <c r="C272" s="5" t="s">
        <v>1158</v>
      </c>
      <c r="D272" s="6"/>
      <c r="E272" s="6"/>
      <c r="M272" s="41"/>
      <c r="N272" s="31" t="s">
        <v>1294</v>
      </c>
      <c r="Z272" s="52" t="s">
        <v>241</v>
      </c>
    </row>
    <row r="273" spans="1:26" x14ac:dyDescent="0.2">
      <c r="A273" s="5" t="s">
        <v>470</v>
      </c>
      <c r="B273" s="5" t="s">
        <v>1243</v>
      </c>
      <c r="C273" s="5" t="s">
        <v>1371</v>
      </c>
      <c r="D273" s="6"/>
      <c r="E273" s="6"/>
      <c r="M273" s="41"/>
      <c r="N273" s="31" t="s">
        <v>332</v>
      </c>
      <c r="Z273" s="5" t="s">
        <v>850</v>
      </c>
    </row>
    <row r="274" spans="1:26" x14ac:dyDescent="0.2">
      <c r="A274" s="5" t="s">
        <v>97</v>
      </c>
      <c r="B274" s="5" t="s">
        <v>1244</v>
      </c>
      <c r="C274" s="5" t="s">
        <v>885</v>
      </c>
      <c r="D274" s="6"/>
      <c r="E274" s="6"/>
      <c r="M274" s="41"/>
      <c r="N274" s="31" t="s">
        <v>985</v>
      </c>
      <c r="Z274" s="5" t="s">
        <v>1168</v>
      </c>
    </row>
    <row r="275" spans="1:26" x14ac:dyDescent="0.2">
      <c r="A275" s="5" t="s">
        <v>547</v>
      </c>
      <c r="B275" s="5" t="s">
        <v>1245</v>
      </c>
      <c r="C275" s="5" t="s">
        <v>1372</v>
      </c>
      <c r="D275" s="6"/>
      <c r="E275" s="6"/>
      <c r="M275" s="41"/>
      <c r="N275" s="31" t="s">
        <v>110</v>
      </c>
      <c r="Z275" s="52" t="s">
        <v>296</v>
      </c>
    </row>
    <row r="276" spans="1:26" x14ac:dyDescent="0.2">
      <c r="A276" s="5" t="s">
        <v>498</v>
      </c>
      <c r="B276" s="5" t="s">
        <v>1246</v>
      </c>
      <c r="C276" s="5" t="s">
        <v>1373</v>
      </c>
      <c r="D276" s="6"/>
      <c r="E276" s="6"/>
      <c r="M276" s="41"/>
      <c r="N276" s="31" t="s">
        <v>1308</v>
      </c>
      <c r="Z276" s="5" t="s">
        <v>1009</v>
      </c>
    </row>
    <row r="277" spans="1:26" x14ac:dyDescent="0.2">
      <c r="A277" s="5" t="s">
        <v>541</v>
      </c>
      <c r="B277" s="5" t="s">
        <v>1247</v>
      </c>
      <c r="C277" s="5" t="s">
        <v>1035</v>
      </c>
      <c r="D277" s="6"/>
      <c r="E277" s="6"/>
      <c r="M277" s="42"/>
      <c r="N277" s="31" t="s">
        <v>668</v>
      </c>
      <c r="Z277" s="5" t="s">
        <v>798</v>
      </c>
    </row>
    <row r="278" spans="1:26" x14ac:dyDescent="0.2">
      <c r="A278" s="5" t="s">
        <v>336</v>
      </c>
      <c r="B278" s="5" t="s">
        <v>908</v>
      </c>
      <c r="C278" s="5" t="s">
        <v>1014</v>
      </c>
      <c r="D278" s="6"/>
      <c r="E278" s="6"/>
      <c r="M278" s="42"/>
      <c r="N278" s="31" t="s">
        <v>336</v>
      </c>
      <c r="Z278" s="5" t="s">
        <v>1130</v>
      </c>
    </row>
    <row r="279" spans="1:26" x14ac:dyDescent="0.2">
      <c r="A279" s="5" t="s">
        <v>94</v>
      </c>
      <c r="B279" s="5" t="s">
        <v>1248</v>
      </c>
      <c r="C279" s="5" t="s">
        <v>1374</v>
      </c>
      <c r="D279" s="6"/>
      <c r="E279" s="6"/>
      <c r="M279" s="41"/>
      <c r="N279" s="31" t="s">
        <v>1152</v>
      </c>
      <c r="Z279" s="52" t="s">
        <v>304</v>
      </c>
    </row>
    <row r="280" spans="1:26" x14ac:dyDescent="0.2">
      <c r="A280" s="5" t="s">
        <v>555</v>
      </c>
      <c r="B280" s="5" t="s">
        <v>1249</v>
      </c>
      <c r="C280" s="5" t="s">
        <v>440</v>
      </c>
      <c r="D280" s="6"/>
      <c r="E280" s="6"/>
      <c r="M280" s="41"/>
      <c r="N280" s="31" t="s">
        <v>1105</v>
      </c>
      <c r="Z280" s="5" t="s">
        <v>1465</v>
      </c>
    </row>
    <row r="281" spans="1:26" x14ac:dyDescent="0.2">
      <c r="A281" s="5" t="s">
        <v>416</v>
      </c>
      <c r="B281" s="22">
        <v>45536</v>
      </c>
      <c r="C281" s="5" t="s">
        <v>1002</v>
      </c>
      <c r="D281" s="6"/>
      <c r="E281" s="6"/>
      <c r="M281" s="41"/>
      <c r="N281" s="31" t="s">
        <v>340</v>
      </c>
      <c r="Z281" s="52" t="s">
        <v>309</v>
      </c>
    </row>
    <row r="282" spans="1:26" x14ac:dyDescent="0.2">
      <c r="A282" s="5" t="s">
        <v>520</v>
      </c>
      <c r="B282" s="5" t="s">
        <v>1250</v>
      </c>
      <c r="C282" s="5" t="s">
        <v>650</v>
      </c>
      <c r="D282" s="6"/>
      <c r="E282" s="6"/>
      <c r="M282" s="42"/>
      <c r="N282" s="31" t="s">
        <v>1254</v>
      </c>
      <c r="Z282" s="5" t="s">
        <v>1102</v>
      </c>
    </row>
    <row r="283" spans="1:26" x14ac:dyDescent="0.2">
      <c r="A283" s="5" t="s">
        <v>213</v>
      </c>
      <c r="B283" s="5" t="s">
        <v>1251</v>
      </c>
      <c r="C283" s="5" t="s">
        <v>1375</v>
      </c>
      <c r="D283" s="6"/>
      <c r="E283" s="6"/>
      <c r="M283" s="41"/>
      <c r="N283" s="31" t="s">
        <v>656</v>
      </c>
      <c r="Z283" s="5" t="s">
        <v>1165</v>
      </c>
    </row>
    <row r="284" spans="1:26" x14ac:dyDescent="0.2">
      <c r="A284" s="5" t="s">
        <v>304</v>
      </c>
      <c r="B284" s="5" t="s">
        <v>1252</v>
      </c>
      <c r="C284" s="5" t="s">
        <v>1376</v>
      </c>
      <c r="D284" s="6"/>
      <c r="E284" s="6"/>
      <c r="M284" s="41"/>
      <c r="N284" s="31" t="s">
        <v>851</v>
      </c>
      <c r="Z284" s="5" t="s">
        <v>4888</v>
      </c>
    </row>
    <row r="285" spans="1:26" x14ac:dyDescent="0.2">
      <c r="A285" s="5" t="s">
        <v>436</v>
      </c>
      <c r="B285" s="5" t="s">
        <v>1253</v>
      </c>
      <c r="C285" s="5" t="s">
        <v>1176</v>
      </c>
      <c r="D285" s="6"/>
      <c r="E285" s="6"/>
      <c r="M285" s="41"/>
      <c r="N285" s="31" t="s">
        <v>837</v>
      </c>
      <c r="Z285" s="52" t="s">
        <v>72</v>
      </c>
    </row>
    <row r="286" spans="1:26" x14ac:dyDescent="0.2">
      <c r="A286" s="5" t="s">
        <v>544</v>
      </c>
      <c r="B286" s="5" t="s">
        <v>1254</v>
      </c>
      <c r="C286" s="5" t="s">
        <v>1377</v>
      </c>
      <c r="D286" s="6"/>
      <c r="E286" s="6"/>
      <c r="M286" s="41"/>
      <c r="N286" s="31" t="s">
        <v>124</v>
      </c>
      <c r="Z286" s="5" t="s">
        <v>1375</v>
      </c>
    </row>
    <row r="287" spans="1:26" x14ac:dyDescent="0.2">
      <c r="A287" s="5" t="s">
        <v>431</v>
      </c>
      <c r="B287" s="5" t="s">
        <v>1255</v>
      </c>
      <c r="C287" s="5" t="s">
        <v>1378</v>
      </c>
      <c r="D287" s="6"/>
      <c r="E287" s="6"/>
      <c r="M287" s="42"/>
      <c r="N287" s="31" t="s">
        <v>350</v>
      </c>
      <c r="Z287" s="5" t="s">
        <v>1458</v>
      </c>
    </row>
    <row r="288" spans="1:26" x14ac:dyDescent="0.2">
      <c r="A288" s="5" t="s">
        <v>143</v>
      </c>
      <c r="B288" s="5" t="s">
        <v>700</v>
      </c>
      <c r="C288" s="5" t="s">
        <v>1379</v>
      </c>
      <c r="D288" s="6"/>
      <c r="E288" s="6"/>
      <c r="M288" s="42"/>
      <c r="N288" s="31" t="s">
        <v>1337</v>
      </c>
      <c r="Z288" s="5" t="s">
        <v>628</v>
      </c>
    </row>
    <row r="289" spans="1:26" x14ac:dyDescent="0.2">
      <c r="A289" s="5" t="s">
        <v>329</v>
      </c>
      <c r="B289" s="5" t="s">
        <v>786</v>
      </c>
      <c r="C289" s="5" t="s">
        <v>1380</v>
      </c>
      <c r="D289" s="6"/>
      <c r="E289" s="6"/>
      <c r="M289" s="42"/>
      <c r="N289" s="31" t="s">
        <v>1159</v>
      </c>
      <c r="Z289" s="52" t="s">
        <v>258</v>
      </c>
    </row>
    <row r="290" spans="1:26" x14ac:dyDescent="0.2">
      <c r="A290" s="5" t="s">
        <v>349</v>
      </c>
      <c r="B290" s="5" t="s">
        <v>1256</v>
      </c>
      <c r="C290" s="5" t="s">
        <v>1381</v>
      </c>
      <c r="D290" s="6"/>
      <c r="M290" s="42"/>
      <c r="N290" s="31" t="s">
        <v>134</v>
      </c>
      <c r="Z290" s="5" t="s">
        <v>1154</v>
      </c>
    </row>
    <row r="291" spans="1:26" x14ac:dyDescent="0.2">
      <c r="A291" s="5" t="s">
        <v>450</v>
      </c>
      <c r="B291" s="5" t="s">
        <v>1257</v>
      </c>
      <c r="C291" s="5" t="s">
        <v>1382</v>
      </c>
      <c r="D291" s="6"/>
      <c r="M291" s="41"/>
      <c r="N291" s="31" t="s">
        <v>1246</v>
      </c>
      <c r="Z291" s="52" t="s">
        <v>312</v>
      </c>
    </row>
    <row r="292" spans="1:26" x14ac:dyDescent="0.2">
      <c r="A292" s="5" t="s">
        <v>315</v>
      </c>
      <c r="B292" s="5" t="s">
        <v>1258</v>
      </c>
      <c r="D292" s="6"/>
      <c r="M292" s="42"/>
      <c r="N292" s="31" t="s">
        <v>845</v>
      </c>
      <c r="Z292" s="52" t="s">
        <v>102</v>
      </c>
    </row>
    <row r="293" spans="1:26" x14ac:dyDescent="0.2">
      <c r="A293" s="5" t="s">
        <v>369</v>
      </c>
      <c r="B293" s="5" t="s">
        <v>1259</v>
      </c>
      <c r="D293" s="6"/>
      <c r="M293" s="42"/>
      <c r="N293" s="31" t="s">
        <v>180</v>
      </c>
      <c r="Z293" s="5" t="s">
        <v>780</v>
      </c>
    </row>
    <row r="294" spans="1:26" x14ac:dyDescent="0.2">
      <c r="A294" s="5" t="s">
        <v>465</v>
      </c>
      <c r="D294" s="6"/>
      <c r="M294" s="41"/>
      <c r="N294" s="31" t="s">
        <v>321</v>
      </c>
      <c r="Z294" s="52" t="s">
        <v>268</v>
      </c>
    </row>
    <row r="295" spans="1:26" x14ac:dyDescent="0.2">
      <c r="A295" s="16" t="s">
        <v>403</v>
      </c>
      <c r="D295" s="6"/>
      <c r="M295" s="41"/>
      <c r="N295" s="31" t="s">
        <v>1134</v>
      </c>
      <c r="Z295" s="10" t="s">
        <v>272</v>
      </c>
    </row>
    <row r="296" spans="1:26" x14ac:dyDescent="0.2">
      <c r="A296" s="5" t="s">
        <v>506</v>
      </c>
      <c r="D296" s="6"/>
      <c r="M296" s="42"/>
      <c r="N296" s="31" t="s">
        <v>325</v>
      </c>
      <c r="Z296" s="52" t="s">
        <v>79</v>
      </c>
    </row>
    <row r="297" spans="1:26" x14ac:dyDescent="0.2">
      <c r="A297" s="5" t="s">
        <v>0</v>
      </c>
      <c r="D297" s="6"/>
      <c r="M297" s="41"/>
      <c r="N297" s="31" t="s">
        <v>1139</v>
      </c>
      <c r="Z297" s="52" t="s">
        <v>315</v>
      </c>
    </row>
    <row r="298" spans="1:26" x14ac:dyDescent="0.2">
      <c r="A298" s="5" t="s">
        <v>238</v>
      </c>
      <c r="D298" s="6"/>
      <c r="M298" s="41"/>
      <c r="N298" s="31" t="s">
        <v>109</v>
      </c>
      <c r="Z298" s="5" t="s">
        <v>1298</v>
      </c>
    </row>
    <row r="299" spans="1:26" x14ac:dyDescent="0.2">
      <c r="A299" s="5" t="s">
        <v>249</v>
      </c>
      <c r="D299" s="6"/>
      <c r="M299" s="42"/>
      <c r="N299" s="31" t="s">
        <v>138</v>
      </c>
      <c r="Z299" s="5" t="s">
        <v>1225</v>
      </c>
    </row>
    <row r="300" spans="1:26" x14ac:dyDescent="0.2">
      <c r="A300" s="5" t="s">
        <v>166</v>
      </c>
      <c r="D300" s="6"/>
      <c r="M300" s="41"/>
      <c r="N300" s="31" t="s">
        <v>1227</v>
      </c>
      <c r="Z300" s="5" t="s">
        <v>847</v>
      </c>
    </row>
    <row r="301" spans="1:26" x14ac:dyDescent="0.2">
      <c r="A301" s="5" t="s">
        <v>424</v>
      </c>
      <c r="D301" s="6"/>
      <c r="M301" s="42"/>
      <c r="N301" s="31" t="s">
        <v>1311</v>
      </c>
      <c r="Z301" s="52" t="s">
        <v>319</v>
      </c>
    </row>
    <row r="302" spans="1:26" x14ac:dyDescent="0.2">
      <c r="A302" s="5" t="s">
        <v>391</v>
      </c>
      <c r="D302" s="6"/>
      <c r="M302" s="41"/>
      <c r="N302" s="31" t="s">
        <v>738</v>
      </c>
      <c r="Z302" s="10" t="str">
        <f>"F25H8.2"</f>
        <v>F25H8.2</v>
      </c>
    </row>
    <row r="303" spans="1:26" x14ac:dyDescent="0.2">
      <c r="D303" s="6"/>
      <c r="M303" s="41"/>
      <c r="N303" s="31" t="s">
        <v>1199</v>
      </c>
      <c r="Z303" s="5" t="s">
        <v>1108</v>
      </c>
    </row>
    <row r="304" spans="1:26" x14ac:dyDescent="0.2">
      <c r="D304" s="6"/>
      <c r="M304" s="41"/>
      <c r="N304" s="31" t="s">
        <v>1218</v>
      </c>
      <c r="Z304" s="52" t="s">
        <v>87</v>
      </c>
    </row>
    <row r="305" spans="2:26" x14ac:dyDescent="0.2">
      <c r="D305" s="6"/>
      <c r="M305" s="41"/>
      <c r="N305" s="31" t="s">
        <v>981</v>
      </c>
      <c r="Z305" s="5" t="s">
        <v>4874</v>
      </c>
    </row>
    <row r="306" spans="2:26" x14ac:dyDescent="0.2">
      <c r="D306" s="6"/>
      <c r="M306" s="41"/>
      <c r="N306" s="31" t="s">
        <v>192</v>
      </c>
      <c r="Z306" s="5" t="s">
        <v>4889</v>
      </c>
    </row>
    <row r="307" spans="2:26" x14ac:dyDescent="0.2">
      <c r="C307" s="6"/>
      <c r="D307" s="6"/>
      <c r="M307" s="41"/>
      <c r="N307" s="31" t="s">
        <v>357</v>
      </c>
      <c r="Z307" s="5" t="s">
        <v>1184</v>
      </c>
    </row>
    <row r="308" spans="2:26" x14ac:dyDescent="0.2">
      <c r="C308" s="6"/>
      <c r="D308" s="6"/>
      <c r="M308" s="41"/>
      <c r="N308" s="31" t="s">
        <v>857</v>
      </c>
      <c r="Z308" s="52" t="s">
        <v>285</v>
      </c>
    </row>
    <row r="309" spans="2:26" x14ac:dyDescent="0.2">
      <c r="C309" s="6"/>
      <c r="D309" s="6"/>
      <c r="M309" s="41"/>
      <c r="N309" s="31" t="s">
        <v>1362</v>
      </c>
      <c r="Z309" s="52" t="s">
        <v>322</v>
      </c>
    </row>
    <row r="310" spans="2:26" x14ac:dyDescent="0.2">
      <c r="C310" s="6"/>
      <c r="D310" s="6"/>
      <c r="M310" s="41"/>
      <c r="N310" s="31" t="s">
        <v>1179</v>
      </c>
      <c r="Z310" s="5" t="s">
        <v>711</v>
      </c>
    </row>
    <row r="311" spans="2:26" x14ac:dyDescent="0.2">
      <c r="C311" s="6"/>
      <c r="D311" s="6"/>
      <c r="M311" s="41"/>
      <c r="N311" s="31" t="s">
        <v>1116</v>
      </c>
      <c r="Z311" s="5" t="s">
        <v>1127</v>
      </c>
    </row>
    <row r="312" spans="2:26" x14ac:dyDescent="0.2">
      <c r="C312" s="6"/>
      <c r="D312" s="6"/>
      <c r="M312" s="41"/>
      <c r="N312" s="31" t="s">
        <v>1171</v>
      </c>
      <c r="Z312" s="10" t="s">
        <v>326</v>
      </c>
    </row>
    <row r="313" spans="2:26" x14ac:dyDescent="0.2">
      <c r="C313" s="6"/>
      <c r="D313" s="6"/>
      <c r="M313" s="41"/>
      <c r="N313" s="31" t="s">
        <v>1262</v>
      </c>
      <c r="Z313" s="5" t="s">
        <v>34</v>
      </c>
    </row>
    <row r="314" spans="2:26" x14ac:dyDescent="0.2">
      <c r="C314" s="6"/>
      <c r="D314" s="6"/>
      <c r="M314" s="41"/>
      <c r="N314" s="31" t="s">
        <v>1252</v>
      </c>
      <c r="Z314" s="5" t="s">
        <v>792</v>
      </c>
    </row>
    <row r="315" spans="2:26" x14ac:dyDescent="0.2">
      <c r="C315" s="6"/>
      <c r="D315" s="6"/>
      <c r="M315" s="41"/>
      <c r="N315" s="31" t="s">
        <v>883</v>
      </c>
      <c r="Z315" s="10" t="s">
        <v>289</v>
      </c>
    </row>
    <row r="316" spans="2:26" x14ac:dyDescent="0.2">
      <c r="C316" s="6"/>
      <c r="D316" s="6"/>
      <c r="M316" s="41"/>
      <c r="N316" s="31" t="s">
        <v>870</v>
      </c>
      <c r="Z316" s="5" t="s">
        <v>796</v>
      </c>
    </row>
    <row r="317" spans="2:26" x14ac:dyDescent="0.2">
      <c r="C317" s="6"/>
      <c r="D317" s="6"/>
      <c r="M317" s="42"/>
      <c r="N317" s="31" t="s">
        <v>1174</v>
      </c>
      <c r="Z317" s="5" t="s">
        <v>4896</v>
      </c>
    </row>
    <row r="318" spans="2:26" x14ac:dyDescent="0.2">
      <c r="C318" s="6"/>
      <c r="D318" s="6"/>
      <c r="M318" s="41"/>
      <c r="N318" s="31" t="s">
        <v>725</v>
      </c>
      <c r="Z318" s="52" t="s">
        <v>329</v>
      </c>
    </row>
    <row r="319" spans="2:26" x14ac:dyDescent="0.2">
      <c r="B319" s="6"/>
      <c r="D319" s="6"/>
      <c r="M319" s="41"/>
      <c r="N319" s="31" t="s">
        <v>1208</v>
      </c>
      <c r="Z319" s="5" t="s">
        <v>1101</v>
      </c>
    </row>
    <row r="320" spans="2:26" x14ac:dyDescent="0.2">
      <c r="B320" s="6"/>
      <c r="C320" s="6"/>
      <c r="D320" s="6"/>
      <c r="M320" s="41"/>
      <c r="N320" s="31" t="s">
        <v>1150</v>
      </c>
      <c r="Z320" s="52" t="s">
        <v>294</v>
      </c>
    </row>
    <row r="321" spans="1:26" x14ac:dyDescent="0.2">
      <c r="A321" s="2"/>
      <c r="B321" s="6"/>
      <c r="C321" s="6"/>
      <c r="D321" s="6"/>
      <c r="M321" s="41"/>
      <c r="N321" s="31" t="s">
        <v>356</v>
      </c>
      <c r="Z321" s="5" t="s">
        <v>922</v>
      </c>
    </row>
    <row r="322" spans="1:26" x14ac:dyDescent="0.2">
      <c r="A322" s="2"/>
      <c r="B322" s="6"/>
      <c r="C322" s="6"/>
      <c r="D322" s="6"/>
      <c r="M322" s="41"/>
      <c r="N322" s="31" t="s">
        <v>779</v>
      </c>
      <c r="Z322" s="5" t="s">
        <v>1143</v>
      </c>
    </row>
    <row r="323" spans="1:26" x14ac:dyDescent="0.2">
      <c r="A323" s="2"/>
      <c r="B323" s="6"/>
      <c r="C323" s="6"/>
      <c r="D323" s="6"/>
      <c r="M323" s="41"/>
      <c r="N323" s="31" t="s">
        <v>1034</v>
      </c>
      <c r="Z323" s="5" t="s">
        <v>1294</v>
      </c>
    </row>
    <row r="324" spans="1:26" x14ac:dyDescent="0.2">
      <c r="A324" s="2"/>
      <c r="B324" s="6"/>
      <c r="C324" s="6"/>
      <c r="D324" s="6"/>
      <c r="M324" s="41"/>
      <c r="N324" s="31" t="s">
        <v>641</v>
      </c>
      <c r="Z324" s="52" t="s">
        <v>103</v>
      </c>
    </row>
    <row r="325" spans="1:26" x14ac:dyDescent="0.2">
      <c r="A325" s="2"/>
      <c r="B325" s="6"/>
      <c r="C325" s="6"/>
      <c r="D325" s="6"/>
      <c r="M325" s="41"/>
      <c r="N325" s="31" t="s">
        <v>966</v>
      </c>
      <c r="Z325" s="52" t="s">
        <v>332</v>
      </c>
    </row>
    <row r="326" spans="1:26" x14ac:dyDescent="0.2">
      <c r="A326" s="2"/>
      <c r="B326" s="6"/>
      <c r="C326" s="6"/>
      <c r="D326" s="6"/>
      <c r="M326" s="41"/>
      <c r="N326" s="31" t="s">
        <v>1330</v>
      </c>
      <c r="Z326" s="5" t="str">
        <f>"F53C11.5"</f>
        <v>F53C11.5</v>
      </c>
    </row>
    <row r="327" spans="1:26" x14ac:dyDescent="0.2">
      <c r="A327" s="2"/>
      <c r="C327" s="6"/>
      <c r="D327" s="6"/>
      <c r="M327" s="42"/>
      <c r="N327" s="31" t="s">
        <v>678</v>
      </c>
      <c r="Z327" s="52" t="s">
        <v>110</v>
      </c>
    </row>
    <row r="328" spans="1:26" x14ac:dyDescent="0.2">
      <c r="A328" s="2"/>
      <c r="D328" s="6"/>
      <c r="N328" s="31" t="s">
        <v>665</v>
      </c>
      <c r="Z328" s="5" t="s">
        <v>1308</v>
      </c>
    </row>
    <row r="329" spans="1:26" x14ac:dyDescent="0.2">
      <c r="A329" s="1"/>
      <c r="C329" s="6"/>
      <c r="D329" s="6"/>
      <c r="N329" s="31" t="s">
        <v>1313</v>
      </c>
      <c r="Z329" s="5" t="s">
        <v>668</v>
      </c>
    </row>
    <row r="330" spans="1:26" x14ac:dyDescent="0.2">
      <c r="A330" s="2"/>
      <c r="B330" s="6"/>
      <c r="C330" s="6"/>
      <c r="D330" s="6"/>
      <c r="N330" s="31" t="s">
        <v>676</v>
      </c>
      <c r="Z330" s="52" t="s">
        <v>336</v>
      </c>
    </row>
    <row r="331" spans="1:26" x14ac:dyDescent="0.2">
      <c r="A331" s="2"/>
      <c r="C331" s="6"/>
      <c r="D331" s="6"/>
      <c r="N331" s="31" t="s">
        <v>385</v>
      </c>
      <c r="Z331" s="5" t="s">
        <v>1152</v>
      </c>
    </row>
    <row r="332" spans="1:26" x14ac:dyDescent="0.2">
      <c r="A332" s="2"/>
      <c r="B332" s="6"/>
      <c r="D332" s="6"/>
      <c r="N332" s="31" t="s">
        <v>1276</v>
      </c>
      <c r="Z332" s="5" t="s">
        <v>1455</v>
      </c>
    </row>
    <row r="333" spans="1:26" x14ac:dyDescent="0.2">
      <c r="A333" s="2"/>
      <c r="C333" s="6"/>
      <c r="D333" s="6"/>
      <c r="N333" s="31" t="s">
        <v>1234</v>
      </c>
      <c r="Z333" s="10" t="s">
        <v>302</v>
      </c>
    </row>
    <row r="334" spans="1:26" x14ac:dyDescent="0.2">
      <c r="A334" s="2"/>
      <c r="B334" s="6"/>
      <c r="D334" s="6"/>
      <c r="N334" s="31" t="s">
        <v>1331</v>
      </c>
      <c r="Z334" s="10" t="s">
        <v>118</v>
      </c>
    </row>
    <row r="335" spans="1:26" x14ac:dyDescent="0.2">
      <c r="A335" s="2"/>
      <c r="B335" s="6"/>
      <c r="C335" s="6"/>
      <c r="D335" s="6"/>
      <c r="N335" s="31" t="s">
        <v>1239</v>
      </c>
      <c r="Z335" s="5" t="s">
        <v>1105</v>
      </c>
    </row>
    <row r="336" spans="1:26" x14ac:dyDescent="0.2">
      <c r="A336" s="2"/>
      <c r="C336" s="6"/>
      <c r="D336" s="6"/>
      <c r="N336" s="31" t="s">
        <v>773</v>
      </c>
      <c r="Z336" s="10" t="s">
        <v>307</v>
      </c>
    </row>
    <row r="337" spans="1:26" x14ac:dyDescent="0.2">
      <c r="A337" s="2"/>
      <c r="B337" s="6"/>
      <c r="C337" s="6"/>
      <c r="D337" s="6"/>
      <c r="N337" s="31" t="s">
        <v>797</v>
      </c>
      <c r="Z337" s="52" t="s">
        <v>340</v>
      </c>
    </row>
    <row r="338" spans="1:26" x14ac:dyDescent="0.2">
      <c r="A338" s="2"/>
      <c r="B338" s="6"/>
      <c r="C338" s="6"/>
      <c r="D338" s="6"/>
      <c r="N338" s="31" t="s">
        <v>776</v>
      </c>
      <c r="Z338" s="10" t="s">
        <v>471</v>
      </c>
    </row>
    <row r="339" spans="1:26" x14ac:dyDescent="0.2">
      <c r="A339" s="2"/>
      <c r="B339" s="6"/>
      <c r="C339" s="6"/>
      <c r="D339" s="6"/>
      <c r="N339" s="31" t="s">
        <v>757</v>
      </c>
      <c r="Z339" s="5" t="s">
        <v>1254</v>
      </c>
    </row>
    <row r="340" spans="1:26" x14ac:dyDescent="0.2">
      <c r="A340" s="2"/>
      <c r="B340" s="6"/>
      <c r="D340" s="6"/>
      <c r="N340" s="31" t="s">
        <v>732</v>
      </c>
      <c r="Z340" s="10" t="str">
        <f>"fah-1"</f>
        <v>fah-1</v>
      </c>
    </row>
    <row r="341" spans="1:26" x14ac:dyDescent="0.2">
      <c r="A341" s="2"/>
      <c r="B341" s="6"/>
      <c r="C341" s="6"/>
      <c r="D341" s="6"/>
      <c r="N341" s="31" t="s">
        <v>210</v>
      </c>
      <c r="Z341" s="5" t="s">
        <v>656</v>
      </c>
    </row>
    <row r="342" spans="1:26" x14ac:dyDescent="0.2">
      <c r="A342" s="2"/>
      <c r="B342" s="6"/>
      <c r="D342" s="6"/>
      <c r="N342" s="31" t="s">
        <v>1128</v>
      </c>
      <c r="Z342" s="5" t="s">
        <v>1176</v>
      </c>
    </row>
    <row r="343" spans="1:26" x14ac:dyDescent="0.2">
      <c r="A343" s="2"/>
      <c r="B343" s="6"/>
      <c r="C343" s="6"/>
      <c r="D343" s="6"/>
      <c r="N343" s="31" t="s">
        <v>391</v>
      </c>
      <c r="Z343" s="5" t="s">
        <v>851</v>
      </c>
    </row>
    <row r="344" spans="1:26" x14ac:dyDescent="0.2">
      <c r="A344" s="2"/>
      <c r="B344" s="6"/>
      <c r="C344" s="6"/>
      <c r="D344" s="6"/>
      <c r="N344" s="31" t="s">
        <v>1186</v>
      </c>
      <c r="Z344" s="13" t="s">
        <v>837</v>
      </c>
    </row>
    <row r="345" spans="1:26" x14ac:dyDescent="0.2">
      <c r="A345" s="2"/>
      <c r="B345" s="6"/>
      <c r="D345" s="6"/>
      <c r="N345" s="31" t="s">
        <v>717</v>
      </c>
      <c r="Z345" s="52" t="s">
        <v>347</v>
      </c>
    </row>
    <row r="346" spans="1:26" x14ac:dyDescent="0.2">
      <c r="A346" s="2"/>
      <c r="B346" s="6"/>
      <c r="D346" s="6"/>
      <c r="N346" s="31" t="s">
        <v>794</v>
      </c>
      <c r="Z346" s="52" t="s">
        <v>124</v>
      </c>
    </row>
    <row r="347" spans="1:26" x14ac:dyDescent="0.2">
      <c r="A347" s="2"/>
      <c r="B347" s="6"/>
      <c r="C347" s="6"/>
      <c r="D347" s="6"/>
      <c r="N347" s="31" t="s">
        <v>222</v>
      </c>
      <c r="Z347" s="5" t="s">
        <v>4890</v>
      </c>
    </row>
    <row r="348" spans="1:26" x14ac:dyDescent="0.2">
      <c r="A348" s="2"/>
      <c r="B348" s="6"/>
      <c r="C348" s="6"/>
      <c r="D348" s="6"/>
      <c r="N348" s="31" t="s">
        <v>1198</v>
      </c>
      <c r="Z348" s="52" t="s">
        <v>350</v>
      </c>
    </row>
    <row r="349" spans="1:26" x14ac:dyDescent="0.2">
      <c r="A349" s="1"/>
      <c r="B349" s="6"/>
      <c r="C349" s="6"/>
      <c r="D349" s="6"/>
      <c r="N349" s="31" t="s">
        <v>1224</v>
      </c>
      <c r="Z349" s="5" t="s">
        <v>1450</v>
      </c>
    </row>
    <row r="350" spans="1:26" x14ac:dyDescent="0.2">
      <c r="A350" s="2"/>
      <c r="B350" s="6"/>
      <c r="D350" s="6"/>
      <c r="N350" s="31" t="s">
        <v>1249</v>
      </c>
      <c r="Z350" s="5" t="s">
        <v>1337</v>
      </c>
    </row>
    <row r="351" spans="1:26" x14ac:dyDescent="0.2">
      <c r="A351" s="2"/>
      <c r="B351" s="6"/>
      <c r="D351" s="6"/>
      <c r="N351" s="31" t="s">
        <v>397</v>
      </c>
      <c r="Z351" s="5" t="s">
        <v>1499</v>
      </c>
    </row>
    <row r="352" spans="1:26" x14ac:dyDescent="0.2">
      <c r="A352" s="2"/>
      <c r="B352" s="6"/>
      <c r="C352" s="6"/>
      <c r="D352" s="6"/>
      <c r="N352" s="31" t="s">
        <v>1178</v>
      </c>
      <c r="Z352" s="10" t="s">
        <v>353</v>
      </c>
    </row>
    <row r="353" spans="1:26" x14ac:dyDescent="0.2">
      <c r="A353" s="1"/>
      <c r="B353" s="6"/>
      <c r="C353" s="6"/>
      <c r="D353" s="6"/>
      <c r="N353" s="31" t="s">
        <v>400</v>
      </c>
      <c r="Z353" s="5" t="s">
        <v>1159</v>
      </c>
    </row>
    <row r="354" spans="1:26" x14ac:dyDescent="0.2">
      <c r="A354" s="1"/>
      <c r="B354" s="6"/>
      <c r="C354" s="6"/>
      <c r="D354" s="6"/>
      <c r="N354" s="31" t="s">
        <v>1287</v>
      </c>
      <c r="Z354" s="5" t="s">
        <v>134</v>
      </c>
    </row>
    <row r="355" spans="1:26" x14ac:dyDescent="0.2">
      <c r="A355" s="2"/>
      <c r="B355" s="6"/>
      <c r="D355" s="6"/>
      <c r="N355" s="31" t="s">
        <v>1093</v>
      </c>
      <c r="Z355" s="10" t="s">
        <v>131</v>
      </c>
    </row>
    <row r="356" spans="1:26" x14ac:dyDescent="0.2">
      <c r="A356" s="2"/>
      <c r="B356" s="6"/>
      <c r="D356" s="6"/>
      <c r="N356" s="31" t="s">
        <v>1349</v>
      </c>
      <c r="Z356" s="5" t="s">
        <v>1246</v>
      </c>
    </row>
    <row r="357" spans="1:26" x14ac:dyDescent="0.2">
      <c r="A357" s="2"/>
      <c r="B357" s="6"/>
      <c r="D357" s="6"/>
      <c r="N357" s="31" t="s">
        <v>1318</v>
      </c>
      <c r="Z357" s="5" t="s">
        <v>845</v>
      </c>
    </row>
    <row r="358" spans="1:26" x14ac:dyDescent="0.2">
      <c r="A358" s="2"/>
      <c r="B358" s="6"/>
      <c r="D358" s="6"/>
      <c r="N358" s="31" t="s">
        <v>730</v>
      </c>
      <c r="Z358" s="10" t="s">
        <v>314</v>
      </c>
    </row>
    <row r="359" spans="1:26" x14ac:dyDescent="0.2">
      <c r="A359" s="2"/>
      <c r="B359" s="6"/>
      <c r="C359" s="6"/>
      <c r="D359" s="6"/>
      <c r="N359" s="31" t="s">
        <v>1366</v>
      </c>
      <c r="Z359" s="5" t="s">
        <v>180</v>
      </c>
    </row>
    <row r="360" spans="1:26" x14ac:dyDescent="0.2">
      <c r="A360" s="2"/>
      <c r="B360" s="6"/>
      <c r="D360" s="6"/>
      <c r="N360" s="31" t="s">
        <v>1023</v>
      </c>
      <c r="Z360" s="52" t="s">
        <v>318</v>
      </c>
    </row>
    <row r="361" spans="1:26" x14ac:dyDescent="0.2">
      <c r="A361" s="1"/>
      <c r="B361" s="6"/>
      <c r="C361" s="6"/>
      <c r="D361" s="6"/>
      <c r="N361" s="31" t="s">
        <v>402</v>
      </c>
      <c r="Z361" s="52" t="s">
        <v>321</v>
      </c>
    </row>
    <row r="362" spans="1:26" x14ac:dyDescent="0.2">
      <c r="A362" s="2"/>
      <c r="B362" s="6"/>
      <c r="C362" s="6"/>
      <c r="D362" s="6"/>
      <c r="N362" s="31" t="s">
        <v>404</v>
      </c>
      <c r="Z362" s="5" t="s">
        <v>1134</v>
      </c>
    </row>
    <row r="363" spans="1:26" x14ac:dyDescent="0.2">
      <c r="A363" s="1"/>
      <c r="C363" s="6"/>
      <c r="N363" s="31" t="s">
        <v>703</v>
      </c>
      <c r="Z363" s="52" t="s">
        <v>325</v>
      </c>
    </row>
    <row r="364" spans="1:26" x14ac:dyDescent="0.2">
      <c r="A364" s="1"/>
      <c r="B364" s="6"/>
      <c r="C364" s="6"/>
      <c r="N364" s="31" t="s">
        <v>1038</v>
      </c>
      <c r="Z364" s="52" t="s">
        <v>328</v>
      </c>
    </row>
    <row r="365" spans="1:26" x14ac:dyDescent="0.2">
      <c r="A365" s="2"/>
      <c r="B365" s="6"/>
      <c r="C365" s="6"/>
      <c r="N365" s="31" t="s">
        <v>629</v>
      </c>
      <c r="Z365" s="5" t="s">
        <v>786</v>
      </c>
    </row>
    <row r="366" spans="1:26" x14ac:dyDescent="0.2">
      <c r="A366" s="2"/>
      <c r="B366" s="6"/>
      <c r="C366" s="6"/>
      <c r="N366" s="31" t="s">
        <v>407</v>
      </c>
      <c r="Z366" s="5" t="s">
        <v>1139</v>
      </c>
    </row>
    <row r="367" spans="1:26" x14ac:dyDescent="0.2">
      <c r="A367" s="2"/>
      <c r="B367" s="6"/>
      <c r="C367" s="6"/>
      <c r="N367" s="31" t="s">
        <v>1014</v>
      </c>
      <c r="Z367" s="52" t="s">
        <v>109</v>
      </c>
    </row>
    <row r="368" spans="1:26" x14ac:dyDescent="0.2">
      <c r="A368" s="2"/>
      <c r="B368" s="6"/>
      <c r="C368" s="6"/>
      <c r="N368" s="31" t="s">
        <v>1355</v>
      </c>
      <c r="Z368" s="52" t="s">
        <v>138</v>
      </c>
    </row>
    <row r="369" spans="1:26" x14ac:dyDescent="0.2">
      <c r="A369" s="2"/>
      <c r="B369" s="6"/>
      <c r="C369" s="6"/>
      <c r="N369" s="31" t="s">
        <v>233</v>
      </c>
      <c r="Z369" s="5" t="s">
        <v>1431</v>
      </c>
    </row>
    <row r="370" spans="1:26" x14ac:dyDescent="0.2">
      <c r="A370" s="2"/>
      <c r="B370" s="6"/>
      <c r="C370" s="6"/>
      <c r="N370" s="31" t="s">
        <v>409</v>
      </c>
      <c r="Z370" s="5" t="s">
        <v>1403</v>
      </c>
    </row>
    <row r="371" spans="1:26" x14ac:dyDescent="0.2">
      <c r="A371" s="2"/>
      <c r="B371" s="6"/>
      <c r="C371" s="6"/>
      <c r="N371" s="31" t="s">
        <v>686</v>
      </c>
      <c r="Z371" s="5" t="s">
        <v>1227</v>
      </c>
    </row>
    <row r="372" spans="1:26" x14ac:dyDescent="0.2">
      <c r="A372" s="2"/>
      <c r="B372" s="6"/>
      <c r="C372" s="6"/>
      <c r="N372" s="31" t="s">
        <v>1092</v>
      </c>
      <c r="Z372" s="5" t="s">
        <v>781</v>
      </c>
    </row>
    <row r="373" spans="1:26" x14ac:dyDescent="0.2">
      <c r="A373" s="2"/>
      <c r="B373" s="6"/>
      <c r="C373" s="6"/>
      <c r="N373" s="31" t="s">
        <v>411</v>
      </c>
      <c r="Z373" s="5" t="s">
        <v>1410</v>
      </c>
    </row>
    <row r="374" spans="1:26" x14ac:dyDescent="0.2">
      <c r="A374" s="2"/>
      <c r="C374" s="6"/>
      <c r="N374" s="31" t="s">
        <v>723</v>
      </c>
      <c r="Z374" s="5" t="s">
        <v>1311</v>
      </c>
    </row>
    <row r="375" spans="1:26" x14ac:dyDescent="0.2">
      <c r="A375" s="2"/>
      <c r="B375" s="6"/>
      <c r="N375" s="31" t="s">
        <v>390</v>
      </c>
      <c r="Z375" s="5" t="s">
        <v>738</v>
      </c>
    </row>
    <row r="376" spans="1:26" x14ac:dyDescent="0.2">
      <c r="A376" s="2"/>
      <c r="B376" s="6"/>
      <c r="C376" s="6"/>
      <c r="N376" s="31" t="s">
        <v>1327</v>
      </c>
      <c r="Z376" s="5" t="s">
        <v>1199</v>
      </c>
    </row>
    <row r="377" spans="1:26" x14ac:dyDescent="0.2">
      <c r="A377" s="1"/>
      <c r="C377" s="6"/>
      <c r="N377" s="31" t="s">
        <v>1166</v>
      </c>
      <c r="Z377" s="5" t="s">
        <v>1218</v>
      </c>
    </row>
    <row r="378" spans="1:26" x14ac:dyDescent="0.2">
      <c r="A378" s="2"/>
      <c r="B378" s="6"/>
      <c r="C378" s="6"/>
      <c r="N378" s="31" t="s">
        <v>1172</v>
      </c>
      <c r="Z378" s="5" t="str">
        <f>"gldi-7"</f>
        <v>gldi-7</v>
      </c>
    </row>
    <row r="379" spans="1:26" x14ac:dyDescent="0.2">
      <c r="A379" s="2"/>
      <c r="B379" s="6"/>
      <c r="C379" s="6"/>
      <c r="N379" s="31" t="s">
        <v>825</v>
      </c>
      <c r="Z379" s="5" t="s">
        <v>734</v>
      </c>
    </row>
    <row r="380" spans="1:26" x14ac:dyDescent="0.2">
      <c r="A380" s="2"/>
      <c r="B380" s="6"/>
      <c r="C380" s="6"/>
      <c r="N380" s="31" t="s">
        <v>649</v>
      </c>
      <c r="Z380" s="5" t="s">
        <v>691</v>
      </c>
    </row>
    <row r="381" spans="1:26" x14ac:dyDescent="0.2">
      <c r="A381" s="2"/>
      <c r="C381" s="6"/>
      <c r="N381" s="31" t="s">
        <v>416</v>
      </c>
      <c r="Z381" s="5" t="s">
        <v>192</v>
      </c>
    </row>
    <row r="382" spans="1:26" x14ac:dyDescent="0.2">
      <c r="A382" s="2"/>
      <c r="B382" s="6"/>
      <c r="C382" s="6"/>
      <c r="N382" s="31" t="s">
        <v>417</v>
      </c>
      <c r="Z382" s="52" t="s">
        <v>357</v>
      </c>
    </row>
    <row r="383" spans="1:26" x14ac:dyDescent="0.2">
      <c r="A383" s="2"/>
      <c r="N383" s="31" t="s">
        <v>1293</v>
      </c>
      <c r="Z383" s="5" t="s">
        <v>857</v>
      </c>
    </row>
    <row r="384" spans="1:26" x14ac:dyDescent="0.2">
      <c r="A384" s="1"/>
      <c r="B384" s="6"/>
      <c r="N384" s="31" t="s">
        <v>1192</v>
      </c>
      <c r="Z384" s="52" t="s">
        <v>339</v>
      </c>
    </row>
    <row r="385" spans="2:26" x14ac:dyDescent="0.2">
      <c r="B385" s="6"/>
      <c r="N385" s="31" t="s">
        <v>1319</v>
      </c>
      <c r="Z385" s="52" t="s">
        <v>342</v>
      </c>
    </row>
    <row r="386" spans="2:26" x14ac:dyDescent="0.2">
      <c r="B386" s="6"/>
      <c r="N386" s="31" t="s">
        <v>1284</v>
      </c>
      <c r="Z386" s="52" t="s">
        <v>144</v>
      </c>
    </row>
    <row r="387" spans="2:26" x14ac:dyDescent="0.2">
      <c r="B387" s="6"/>
      <c r="N387" s="31" t="s">
        <v>1361</v>
      </c>
      <c r="Z387" s="5" t="s">
        <v>1482</v>
      </c>
    </row>
    <row r="388" spans="2:26" x14ac:dyDescent="0.2">
      <c r="B388" s="6"/>
      <c r="N388" s="31" t="s">
        <v>1002</v>
      </c>
      <c r="Z388" s="5" t="s">
        <v>912</v>
      </c>
    </row>
    <row r="389" spans="2:26" x14ac:dyDescent="0.2">
      <c r="B389" s="6"/>
      <c r="N389" s="31" t="s">
        <v>1347</v>
      </c>
      <c r="Z389" s="5" t="s">
        <v>1362</v>
      </c>
    </row>
    <row r="390" spans="2:26" x14ac:dyDescent="0.2">
      <c r="B390" s="6"/>
      <c r="N390" s="31" t="s">
        <v>1244</v>
      </c>
      <c r="Z390" s="5" t="s">
        <v>1179</v>
      </c>
    </row>
    <row r="391" spans="2:26" x14ac:dyDescent="0.2">
      <c r="N391" s="31" t="s">
        <v>1235</v>
      </c>
      <c r="Z391" s="5" t="s">
        <v>1116</v>
      </c>
    </row>
    <row r="392" spans="2:26" x14ac:dyDescent="0.2">
      <c r="B392" s="6"/>
      <c r="N392" s="31" t="s">
        <v>1259</v>
      </c>
      <c r="Z392" s="5" t="s">
        <v>1171</v>
      </c>
    </row>
    <row r="393" spans="2:26" x14ac:dyDescent="0.2">
      <c r="B393" s="6"/>
      <c r="N393" s="31" t="s">
        <v>764</v>
      </c>
      <c r="Z393" s="5" t="s">
        <v>1262</v>
      </c>
    </row>
    <row r="394" spans="2:26" x14ac:dyDescent="0.2">
      <c r="B394" s="6"/>
      <c r="N394" s="31" t="s">
        <v>663</v>
      </c>
      <c r="Z394" s="5" t="s">
        <v>1448</v>
      </c>
    </row>
    <row r="395" spans="2:26" x14ac:dyDescent="0.2">
      <c r="B395" s="6"/>
      <c r="N395" s="31" t="s">
        <v>1088</v>
      </c>
      <c r="Z395" s="5" t="s">
        <v>1400</v>
      </c>
    </row>
    <row r="396" spans="2:26" x14ac:dyDescent="0.2">
      <c r="B396" s="6"/>
      <c r="N396" s="31" t="s">
        <v>784</v>
      </c>
      <c r="Z396" s="5" t="s">
        <v>1252</v>
      </c>
    </row>
    <row r="397" spans="2:26" x14ac:dyDescent="0.2">
      <c r="B397" s="6"/>
      <c r="N397" s="30" t="s">
        <v>403</v>
      </c>
      <c r="Z397" s="5" t="s">
        <v>883</v>
      </c>
    </row>
    <row r="398" spans="2:26" x14ac:dyDescent="0.2">
      <c r="N398" s="31" t="s">
        <v>408</v>
      </c>
      <c r="Z398" s="52" t="s">
        <v>362</v>
      </c>
    </row>
    <row r="399" spans="2:26" x14ac:dyDescent="0.2">
      <c r="B399" s="6"/>
      <c r="N399" s="31" t="s">
        <v>1364</v>
      </c>
      <c r="Z399" s="5" t="s">
        <v>870</v>
      </c>
    </row>
    <row r="400" spans="2:26" x14ac:dyDescent="0.2">
      <c r="B400" s="6"/>
      <c r="N400" s="31" t="s">
        <v>1142</v>
      </c>
      <c r="Z400" s="5" t="s">
        <v>1433</v>
      </c>
    </row>
    <row r="401" spans="2:26" x14ac:dyDescent="0.2">
      <c r="B401" s="6"/>
      <c r="N401" s="31" t="s">
        <v>424</v>
      </c>
      <c r="Z401" s="10" t="s">
        <v>346</v>
      </c>
    </row>
    <row r="402" spans="2:26" x14ac:dyDescent="0.2">
      <c r="B402" s="6"/>
      <c r="N402" s="31" t="s">
        <v>1138</v>
      </c>
      <c r="Z402" s="5" t="s">
        <v>1174</v>
      </c>
    </row>
    <row r="403" spans="2:26" x14ac:dyDescent="0.2">
      <c r="B403" s="6"/>
      <c r="N403" s="31" t="s">
        <v>1123</v>
      </c>
      <c r="Z403" s="52" t="s">
        <v>349</v>
      </c>
    </row>
    <row r="404" spans="2:26" x14ac:dyDescent="0.2">
      <c r="B404" s="6"/>
      <c r="N404" s="31" t="s">
        <v>1217</v>
      </c>
      <c r="Z404" s="5" t="s">
        <v>725</v>
      </c>
    </row>
    <row r="405" spans="2:26" x14ac:dyDescent="0.2">
      <c r="N405" s="31" t="s">
        <v>412</v>
      </c>
      <c r="Z405" s="52" t="s">
        <v>365</v>
      </c>
    </row>
    <row r="406" spans="2:26" x14ac:dyDescent="0.2">
      <c r="B406" s="6"/>
      <c r="N406" s="31" t="s">
        <v>428</v>
      </c>
      <c r="Z406" s="13" t="s">
        <v>617</v>
      </c>
    </row>
    <row r="407" spans="2:26" x14ac:dyDescent="0.2">
      <c r="B407" s="6"/>
      <c r="N407" s="31" t="s">
        <v>722</v>
      </c>
      <c r="Z407" s="5" t="s">
        <v>1208</v>
      </c>
    </row>
    <row r="408" spans="2:26" x14ac:dyDescent="0.2">
      <c r="B408" s="6"/>
      <c r="N408" s="31" t="s">
        <v>1085</v>
      </c>
      <c r="Z408" s="5" t="s">
        <v>1150</v>
      </c>
    </row>
    <row r="409" spans="2:26" x14ac:dyDescent="0.2">
      <c r="B409" s="6"/>
      <c r="N409" s="31" t="s">
        <v>1380</v>
      </c>
      <c r="Z409" s="52" t="s">
        <v>367</v>
      </c>
    </row>
    <row r="410" spans="2:26" x14ac:dyDescent="0.2">
      <c r="B410" s="6"/>
      <c r="N410" s="30" t="s">
        <v>420</v>
      </c>
      <c r="Z410" s="52" t="s">
        <v>356</v>
      </c>
    </row>
    <row r="411" spans="2:26" x14ac:dyDescent="0.2">
      <c r="B411" s="6"/>
      <c r="N411" s="31" t="s">
        <v>439</v>
      </c>
      <c r="Z411" s="52" t="s">
        <v>369</v>
      </c>
    </row>
    <row r="412" spans="2:26" x14ac:dyDescent="0.2">
      <c r="N412" s="31" t="s">
        <v>1250</v>
      </c>
      <c r="Z412" s="10" t="s">
        <v>359</v>
      </c>
    </row>
    <row r="413" spans="2:26" x14ac:dyDescent="0.2">
      <c r="N413" s="31" t="s">
        <v>1076</v>
      </c>
      <c r="Z413" s="5" t="s">
        <v>1474</v>
      </c>
    </row>
    <row r="414" spans="2:26" x14ac:dyDescent="0.2">
      <c r="B414" s="6"/>
      <c r="N414" s="31" t="s">
        <v>670</v>
      </c>
      <c r="Z414" s="5" t="s">
        <v>1487</v>
      </c>
    </row>
    <row r="415" spans="2:26" x14ac:dyDescent="0.2">
      <c r="B415" s="6"/>
      <c r="N415" s="31" t="s">
        <v>1103</v>
      </c>
      <c r="Z415" s="5" t="s">
        <v>4891</v>
      </c>
    </row>
    <row r="416" spans="2:26" x14ac:dyDescent="0.2">
      <c r="B416" s="6"/>
      <c r="N416" s="31" t="s">
        <v>280</v>
      </c>
      <c r="Z416" s="5" t="s">
        <v>1488</v>
      </c>
    </row>
    <row r="417" spans="2:26" x14ac:dyDescent="0.2">
      <c r="N417" s="31" t="s">
        <v>1082</v>
      </c>
      <c r="Z417" s="5" t="s">
        <v>4875</v>
      </c>
    </row>
    <row r="418" spans="2:26" x14ac:dyDescent="0.2">
      <c r="B418" s="6"/>
      <c r="N418" s="31" t="s">
        <v>1167</v>
      </c>
      <c r="Z418" s="5" t="s">
        <v>1035</v>
      </c>
    </row>
    <row r="419" spans="2:26" x14ac:dyDescent="0.2">
      <c r="B419" s="6"/>
      <c r="N419" s="31" t="s">
        <v>1033</v>
      </c>
      <c r="Z419" s="52" t="s">
        <v>371</v>
      </c>
    </row>
    <row r="420" spans="2:26" x14ac:dyDescent="0.2">
      <c r="B420" s="6"/>
      <c r="N420" s="31" t="s">
        <v>739</v>
      </c>
      <c r="Z420" s="5" t="s">
        <v>779</v>
      </c>
    </row>
    <row r="421" spans="2:26" x14ac:dyDescent="0.2">
      <c r="B421" s="6"/>
      <c r="N421" s="31" t="s">
        <v>1374</v>
      </c>
      <c r="Z421" s="5" t="str">
        <f>"hpo-13"</f>
        <v>hpo-13</v>
      </c>
    </row>
    <row r="422" spans="2:26" x14ac:dyDescent="0.2">
      <c r="B422" s="6"/>
      <c r="N422" s="31" t="s">
        <v>1028</v>
      </c>
      <c r="Z422" s="5" t="s">
        <v>641</v>
      </c>
    </row>
    <row r="423" spans="2:26" x14ac:dyDescent="0.2">
      <c r="N423" s="31" t="s">
        <v>1089</v>
      </c>
      <c r="Z423" s="5" t="s">
        <v>1452</v>
      </c>
    </row>
    <row r="424" spans="2:26" x14ac:dyDescent="0.2">
      <c r="N424" s="31" t="s">
        <v>184</v>
      </c>
      <c r="Z424" s="5" t="str">
        <f>"hpo-9"</f>
        <v>hpo-9</v>
      </c>
    </row>
    <row r="425" spans="2:26" x14ac:dyDescent="0.2">
      <c r="N425" s="31" t="s">
        <v>636</v>
      </c>
      <c r="Z425" s="52" t="s">
        <v>377</v>
      </c>
    </row>
    <row r="426" spans="2:26" x14ac:dyDescent="0.2">
      <c r="N426" s="31" t="s">
        <v>444</v>
      </c>
      <c r="Z426" s="10" t="s">
        <v>583</v>
      </c>
    </row>
    <row r="427" spans="2:26" x14ac:dyDescent="0.2">
      <c r="B427" s="6"/>
      <c r="N427" s="31" t="s">
        <v>793</v>
      </c>
      <c r="Z427" s="5" t="s">
        <v>1330</v>
      </c>
    </row>
    <row r="428" spans="2:26" x14ac:dyDescent="0.2">
      <c r="N428" s="31" t="s">
        <v>425</v>
      </c>
      <c r="Z428" s="5" t="s">
        <v>678</v>
      </c>
    </row>
    <row r="429" spans="2:26" x14ac:dyDescent="0.2">
      <c r="N429" s="31" t="s">
        <v>777</v>
      </c>
      <c r="Z429" s="5" t="s">
        <v>665</v>
      </c>
    </row>
    <row r="430" spans="2:26" x14ac:dyDescent="0.2">
      <c r="B430" s="6"/>
      <c r="N430" s="31" t="s">
        <v>731</v>
      </c>
      <c r="Z430" s="5" t="s">
        <v>1313</v>
      </c>
    </row>
    <row r="431" spans="2:26" x14ac:dyDescent="0.2">
      <c r="B431" s="6"/>
      <c r="N431" s="31" t="s">
        <v>760</v>
      </c>
      <c r="Z431" s="52" t="s">
        <v>381</v>
      </c>
    </row>
    <row r="432" spans="2:26" x14ac:dyDescent="0.2">
      <c r="B432" s="6"/>
      <c r="N432" s="31" t="s">
        <v>742</v>
      </c>
      <c r="Z432" s="5" t="s">
        <v>676</v>
      </c>
    </row>
    <row r="433" spans="2:26" x14ac:dyDescent="0.2">
      <c r="B433" s="6"/>
      <c r="N433" s="31" t="s">
        <v>746</v>
      </c>
      <c r="Z433" s="52" t="s">
        <v>385</v>
      </c>
    </row>
    <row r="434" spans="2:26" x14ac:dyDescent="0.2">
      <c r="N434" s="31" t="s">
        <v>759</v>
      </c>
      <c r="Z434" s="5" t="s">
        <v>1276</v>
      </c>
    </row>
    <row r="435" spans="2:26" x14ac:dyDescent="0.2">
      <c r="B435" s="6"/>
      <c r="N435" s="31" t="s">
        <v>1215</v>
      </c>
      <c r="Z435" s="52" t="s">
        <v>387</v>
      </c>
    </row>
    <row r="436" spans="2:26" x14ac:dyDescent="0.2">
      <c r="B436" s="6"/>
      <c r="N436" s="31" t="s">
        <v>846</v>
      </c>
      <c r="Z436" s="5" t="s">
        <v>1495</v>
      </c>
    </row>
    <row r="437" spans="2:26" x14ac:dyDescent="0.2">
      <c r="N437" s="31" t="s">
        <v>1310</v>
      </c>
      <c r="Z437" s="5" t="s">
        <v>1234</v>
      </c>
    </row>
    <row r="438" spans="2:26" x14ac:dyDescent="0.2">
      <c r="B438" s="6"/>
      <c r="N438" s="31" t="s">
        <v>1182</v>
      </c>
      <c r="Z438" s="5" t="s">
        <v>1331</v>
      </c>
    </row>
    <row r="439" spans="2:26" x14ac:dyDescent="0.2">
      <c r="N439" s="31" t="s">
        <v>1162</v>
      </c>
      <c r="Z439" s="5" t="s">
        <v>1239</v>
      </c>
    </row>
    <row r="440" spans="2:26" x14ac:dyDescent="0.2">
      <c r="B440" s="6"/>
      <c r="N440" s="31" t="s">
        <v>1321</v>
      </c>
      <c r="Z440" s="5" t="s">
        <v>1425</v>
      </c>
    </row>
    <row r="441" spans="2:26" x14ac:dyDescent="0.2">
      <c r="B441" s="6"/>
      <c r="N441" s="31" t="s">
        <v>1268</v>
      </c>
      <c r="Z441" s="5" t="s">
        <v>773</v>
      </c>
    </row>
    <row r="442" spans="2:26" x14ac:dyDescent="0.2">
      <c r="B442" s="6"/>
      <c r="N442" s="31" t="s">
        <v>1340</v>
      </c>
      <c r="Z442" s="5" t="s">
        <v>741</v>
      </c>
    </row>
    <row r="443" spans="2:26" x14ac:dyDescent="0.2">
      <c r="B443" s="6"/>
      <c r="N443" s="31" t="s">
        <v>450</v>
      </c>
      <c r="Z443" s="52" t="s">
        <v>364</v>
      </c>
    </row>
    <row r="444" spans="2:26" x14ac:dyDescent="0.2">
      <c r="B444" s="6"/>
      <c r="N444" s="31" t="s">
        <v>1289</v>
      </c>
      <c r="Z444" s="5" t="s">
        <v>797</v>
      </c>
    </row>
    <row r="445" spans="2:26" x14ac:dyDescent="0.2">
      <c r="B445" s="6"/>
      <c r="N445" s="31" t="s">
        <v>453</v>
      </c>
      <c r="Z445" s="5" t="s">
        <v>776</v>
      </c>
    </row>
    <row r="446" spans="2:26" x14ac:dyDescent="0.2">
      <c r="B446" s="6"/>
      <c r="N446" s="31" t="s">
        <v>1273</v>
      </c>
      <c r="Z446" s="5" t="s">
        <v>757</v>
      </c>
    </row>
    <row r="447" spans="2:26" x14ac:dyDescent="0.2">
      <c r="B447" s="6"/>
      <c r="N447" s="31" t="s">
        <v>973</v>
      </c>
      <c r="Z447" s="5" t="s">
        <v>702</v>
      </c>
    </row>
    <row r="448" spans="2:26" x14ac:dyDescent="0.2">
      <c r="B448" s="6"/>
      <c r="N448" s="31" t="s">
        <v>687</v>
      </c>
      <c r="Z448" s="5" t="s">
        <v>732</v>
      </c>
    </row>
    <row r="449" spans="2:26" x14ac:dyDescent="0.2">
      <c r="B449" s="6"/>
      <c r="N449" s="31" t="s">
        <v>435</v>
      </c>
      <c r="Z449" s="5" t="s">
        <v>210</v>
      </c>
    </row>
    <row r="450" spans="2:26" x14ac:dyDescent="0.2">
      <c r="B450" s="6"/>
      <c r="N450" s="31" t="s">
        <v>1193</v>
      </c>
      <c r="Z450" s="5" t="s">
        <v>1128</v>
      </c>
    </row>
    <row r="451" spans="2:26" x14ac:dyDescent="0.2">
      <c r="B451" s="6"/>
      <c r="N451" s="31" t="s">
        <v>1155</v>
      </c>
      <c r="Z451" s="52" t="s">
        <v>391</v>
      </c>
    </row>
    <row r="452" spans="2:26" x14ac:dyDescent="0.2">
      <c r="B452" s="6"/>
      <c r="N452" s="31" t="s">
        <v>1196</v>
      </c>
      <c r="Z452" s="10" t="s">
        <v>419</v>
      </c>
    </row>
    <row r="453" spans="2:26" x14ac:dyDescent="0.2">
      <c r="B453" s="6"/>
      <c r="N453" s="31" t="s">
        <v>987</v>
      </c>
      <c r="Z453" s="5" t="s">
        <v>1186</v>
      </c>
    </row>
    <row r="454" spans="2:26" x14ac:dyDescent="0.2">
      <c r="B454" s="6"/>
      <c r="N454" s="31" t="s">
        <v>891</v>
      </c>
      <c r="Z454" s="5" t="s">
        <v>717</v>
      </c>
    </row>
    <row r="455" spans="2:26" x14ac:dyDescent="0.2">
      <c r="N455" s="31" t="s">
        <v>1177</v>
      </c>
      <c r="Z455" s="5" t="s">
        <v>794</v>
      </c>
    </row>
    <row r="456" spans="2:26" x14ac:dyDescent="0.2">
      <c r="B456" s="6"/>
      <c r="N456" s="31" t="s">
        <v>455</v>
      </c>
      <c r="Z456" s="5" t="s">
        <v>1438</v>
      </c>
    </row>
    <row r="457" spans="2:26" x14ac:dyDescent="0.2">
      <c r="B457" s="6"/>
      <c r="N457" s="31" t="s">
        <v>745</v>
      </c>
      <c r="Z457" s="5" t="s">
        <v>1470</v>
      </c>
    </row>
    <row r="458" spans="2:26" x14ac:dyDescent="0.2">
      <c r="B458" s="6"/>
      <c r="N458" s="31" t="s">
        <v>1297</v>
      </c>
      <c r="Z458" s="5" t="s">
        <v>1449</v>
      </c>
    </row>
    <row r="459" spans="2:26" x14ac:dyDescent="0.2">
      <c r="B459" s="6"/>
      <c r="N459" s="31" t="s">
        <v>208</v>
      </c>
      <c r="Z459" s="5" t="s">
        <v>222</v>
      </c>
    </row>
    <row r="460" spans="2:26" x14ac:dyDescent="0.2">
      <c r="B460" s="6"/>
      <c r="N460" s="31" t="s">
        <v>1226</v>
      </c>
      <c r="Z460" s="5" t="s">
        <v>1198</v>
      </c>
    </row>
    <row r="461" spans="2:26" x14ac:dyDescent="0.2">
      <c r="B461" s="6"/>
      <c r="N461" s="31" t="s">
        <v>310</v>
      </c>
      <c r="Z461" s="10" t="s">
        <v>395</v>
      </c>
    </row>
    <row r="462" spans="2:26" x14ac:dyDescent="0.2">
      <c r="B462" s="6"/>
      <c r="N462" s="31" t="s">
        <v>758</v>
      </c>
      <c r="Z462" s="10" t="s">
        <v>376</v>
      </c>
    </row>
    <row r="463" spans="2:26" x14ac:dyDescent="0.2">
      <c r="B463" s="6"/>
      <c r="N463" s="31" t="s">
        <v>1210</v>
      </c>
      <c r="Z463" s="5" t="s">
        <v>1224</v>
      </c>
    </row>
    <row r="464" spans="2:26" x14ac:dyDescent="0.2">
      <c r="B464" s="6"/>
      <c r="N464" s="31" t="s">
        <v>1266</v>
      </c>
      <c r="Z464" s="5" t="s">
        <v>1036</v>
      </c>
    </row>
    <row r="465" spans="14:26" x14ac:dyDescent="0.2">
      <c r="N465" s="31" t="s">
        <v>189</v>
      </c>
      <c r="Z465" s="5" t="s">
        <v>1249</v>
      </c>
    </row>
    <row r="466" spans="14:26" x14ac:dyDescent="0.2">
      <c r="N466" s="31" t="s">
        <v>1338</v>
      </c>
      <c r="Z466" s="5" t="s">
        <v>1492</v>
      </c>
    </row>
    <row r="467" spans="14:26" x14ac:dyDescent="0.2">
      <c r="N467" s="31" t="s">
        <v>459</v>
      </c>
      <c r="Z467" s="5" t="s">
        <v>4892</v>
      </c>
    </row>
    <row r="468" spans="14:26" x14ac:dyDescent="0.2">
      <c r="N468" s="31" t="s">
        <v>1326</v>
      </c>
      <c r="Z468" s="52" t="s">
        <v>397</v>
      </c>
    </row>
    <row r="469" spans="14:26" x14ac:dyDescent="0.2">
      <c r="N469" s="31" t="s">
        <v>1118</v>
      </c>
      <c r="Z469" s="5" t="s">
        <v>1178</v>
      </c>
    </row>
    <row r="470" spans="14:26" x14ac:dyDescent="0.2">
      <c r="N470" s="31" t="s">
        <v>1296</v>
      </c>
      <c r="Z470" s="52" t="s">
        <v>400</v>
      </c>
    </row>
    <row r="471" spans="14:26" x14ac:dyDescent="0.2">
      <c r="N471" s="31" t="s">
        <v>762</v>
      </c>
      <c r="Z471" s="13" t="s">
        <v>380</v>
      </c>
    </row>
    <row r="472" spans="14:26" x14ac:dyDescent="0.2">
      <c r="N472" s="31" t="s">
        <v>1372</v>
      </c>
      <c r="Z472" s="5" t="s">
        <v>1287</v>
      </c>
    </row>
    <row r="473" spans="14:26" x14ac:dyDescent="0.2">
      <c r="N473" s="31" t="s">
        <v>771</v>
      </c>
      <c r="Z473" s="5" t="s">
        <v>1491</v>
      </c>
    </row>
    <row r="474" spans="14:26" x14ac:dyDescent="0.2">
      <c r="N474" s="31" t="s">
        <v>460</v>
      </c>
      <c r="Z474" s="5" t="s">
        <v>1489</v>
      </c>
    </row>
    <row r="475" spans="14:26" x14ac:dyDescent="0.2">
      <c r="N475" s="31" t="s">
        <v>1145</v>
      </c>
      <c r="Z475" s="5" t="s">
        <v>1093</v>
      </c>
    </row>
    <row r="476" spans="14:26" x14ac:dyDescent="0.2">
      <c r="N476" s="31" t="s">
        <v>642</v>
      </c>
      <c r="Z476" s="5" t="s">
        <v>1349</v>
      </c>
    </row>
    <row r="477" spans="14:26" x14ac:dyDescent="0.2">
      <c r="N477" s="31" t="s">
        <v>774</v>
      </c>
      <c r="Z477" s="5" t="s">
        <v>1318</v>
      </c>
    </row>
    <row r="478" spans="14:26" x14ac:dyDescent="0.2">
      <c r="N478" s="31" t="s">
        <v>445</v>
      </c>
      <c r="Z478" s="5" t="s">
        <v>730</v>
      </c>
    </row>
    <row r="479" spans="14:26" x14ac:dyDescent="0.2">
      <c r="N479" s="31" t="s">
        <v>727</v>
      </c>
      <c r="Z479" s="5" t="s">
        <v>1366</v>
      </c>
    </row>
    <row r="480" spans="14:26" x14ac:dyDescent="0.2">
      <c r="N480" s="31" t="s">
        <v>804</v>
      </c>
      <c r="Z480" s="5" t="s">
        <v>1023</v>
      </c>
    </row>
    <row r="481" spans="14:26" x14ac:dyDescent="0.2">
      <c r="N481" s="31" t="s">
        <v>1114</v>
      </c>
      <c r="Z481" s="52" t="s">
        <v>151</v>
      </c>
    </row>
    <row r="482" spans="14:26" x14ac:dyDescent="0.2">
      <c r="N482" s="31" t="s">
        <v>1368</v>
      </c>
      <c r="Z482" s="52" t="s">
        <v>402</v>
      </c>
    </row>
    <row r="483" spans="14:26" x14ac:dyDescent="0.2">
      <c r="N483" s="31" t="s">
        <v>1303</v>
      </c>
      <c r="Z483" s="52" t="s">
        <v>404</v>
      </c>
    </row>
    <row r="484" spans="14:26" x14ac:dyDescent="0.2">
      <c r="N484" s="31" t="s">
        <v>805</v>
      </c>
      <c r="Z484" s="5" t="s">
        <v>4876</v>
      </c>
    </row>
    <row r="485" spans="14:26" x14ac:dyDescent="0.2">
      <c r="N485" s="31" t="s">
        <v>992</v>
      </c>
      <c r="Z485" s="5" t="s">
        <v>703</v>
      </c>
    </row>
    <row r="486" spans="14:26" x14ac:dyDescent="0.2">
      <c r="N486" s="31" t="s">
        <v>1223</v>
      </c>
      <c r="Z486" s="5" t="s">
        <v>685</v>
      </c>
    </row>
    <row r="487" spans="14:26" x14ac:dyDescent="0.2">
      <c r="N487" s="31" t="s">
        <v>1258</v>
      </c>
      <c r="Z487" s="5" t="str">
        <f>"lab-2"</f>
        <v>lab-2</v>
      </c>
    </row>
    <row r="488" spans="14:26" x14ac:dyDescent="0.2">
      <c r="N488" s="31" t="s">
        <v>1317</v>
      </c>
      <c r="Z488" s="52" t="s">
        <v>384</v>
      </c>
    </row>
    <row r="489" spans="14:26" x14ac:dyDescent="0.2">
      <c r="N489" s="31" t="s">
        <v>1334</v>
      </c>
      <c r="Z489" s="5" t="s">
        <v>1414</v>
      </c>
    </row>
    <row r="490" spans="14:26" x14ac:dyDescent="0.2">
      <c r="N490" s="31" t="s">
        <v>791</v>
      </c>
      <c r="Z490" s="52" t="s">
        <v>123</v>
      </c>
    </row>
    <row r="491" spans="14:26" x14ac:dyDescent="0.2">
      <c r="N491" s="31" t="s">
        <v>448</v>
      </c>
      <c r="Z491" s="5" t="s">
        <v>629</v>
      </c>
    </row>
    <row r="492" spans="14:26" x14ac:dyDescent="0.2">
      <c r="N492" s="31" t="s">
        <v>1203</v>
      </c>
      <c r="Z492" s="10" t="s">
        <v>437</v>
      </c>
    </row>
    <row r="493" spans="14:26" x14ac:dyDescent="0.2">
      <c r="N493" s="31" t="s">
        <v>909</v>
      </c>
      <c r="Z493" s="5" t="s">
        <v>1389</v>
      </c>
    </row>
    <row r="494" spans="14:26" x14ac:dyDescent="0.2">
      <c r="N494" s="31" t="s">
        <v>1370</v>
      </c>
      <c r="Z494" s="5" t="s">
        <v>1004</v>
      </c>
    </row>
    <row r="495" spans="14:26" x14ac:dyDescent="0.2">
      <c r="N495" s="31" t="s">
        <v>1365</v>
      </c>
      <c r="Z495" s="52" t="s">
        <v>407</v>
      </c>
    </row>
    <row r="496" spans="14:26" x14ac:dyDescent="0.2">
      <c r="N496" s="31" t="s">
        <v>1377</v>
      </c>
      <c r="Z496" s="5" t="s">
        <v>1014</v>
      </c>
    </row>
    <row r="497" spans="14:26" x14ac:dyDescent="0.2">
      <c r="N497" s="31" t="s">
        <v>1202</v>
      </c>
      <c r="Z497" s="5" t="s">
        <v>1460</v>
      </c>
    </row>
    <row r="498" spans="14:26" x14ac:dyDescent="0.2">
      <c r="N498" s="31" t="s">
        <v>1207</v>
      </c>
      <c r="Z498" s="5" t="s">
        <v>1467</v>
      </c>
    </row>
    <row r="499" spans="14:26" x14ac:dyDescent="0.2">
      <c r="N499" s="31" t="s">
        <v>1373</v>
      </c>
      <c r="Z499" s="5" t="s">
        <v>755</v>
      </c>
    </row>
    <row r="500" spans="14:26" x14ac:dyDescent="0.2">
      <c r="N500" s="31" t="s">
        <v>465</v>
      </c>
      <c r="Z500" s="5" t="s">
        <v>1355</v>
      </c>
    </row>
    <row r="501" spans="14:26" x14ac:dyDescent="0.2">
      <c r="N501" s="31" t="s">
        <v>733</v>
      </c>
      <c r="Z501" s="5" t="s">
        <v>1457</v>
      </c>
    </row>
    <row r="502" spans="14:26" x14ac:dyDescent="0.2">
      <c r="N502" s="31" t="s">
        <v>714</v>
      </c>
      <c r="Z502" s="5" t="s">
        <v>233</v>
      </c>
    </row>
    <row r="503" spans="14:26" x14ac:dyDescent="0.2">
      <c r="N503" s="31" t="s">
        <v>646</v>
      </c>
      <c r="Z503" s="5" t="s">
        <v>1423</v>
      </c>
    </row>
    <row r="504" spans="14:26" x14ac:dyDescent="0.2">
      <c r="N504" s="31" t="s">
        <v>1280</v>
      </c>
      <c r="Z504" s="52" t="s">
        <v>409</v>
      </c>
    </row>
    <row r="505" spans="14:26" x14ac:dyDescent="0.2">
      <c r="N505" s="31" t="s">
        <v>750</v>
      </c>
      <c r="Z505" s="5" t="s">
        <v>686</v>
      </c>
    </row>
    <row r="506" spans="14:26" x14ac:dyDescent="0.2">
      <c r="N506" s="31" t="s">
        <v>1271</v>
      </c>
      <c r="Z506" s="5" t="s">
        <v>1092</v>
      </c>
    </row>
    <row r="507" spans="14:26" x14ac:dyDescent="0.2">
      <c r="N507" s="31" t="s">
        <v>1292</v>
      </c>
      <c r="Z507" s="5" t="s">
        <v>1481</v>
      </c>
    </row>
    <row r="508" spans="14:26" x14ac:dyDescent="0.2">
      <c r="N508" s="31" t="s">
        <v>231</v>
      </c>
      <c r="Z508" s="52" t="s">
        <v>411</v>
      </c>
    </row>
    <row r="509" spans="14:26" x14ac:dyDescent="0.2">
      <c r="N509" s="31" t="s">
        <v>1312</v>
      </c>
      <c r="Z509" s="52" t="s">
        <v>413</v>
      </c>
    </row>
    <row r="510" spans="14:26" x14ac:dyDescent="0.2">
      <c r="N510" s="31" t="s">
        <v>1386</v>
      </c>
      <c r="Z510" s="5" t="s">
        <v>723</v>
      </c>
    </row>
    <row r="511" spans="14:26" x14ac:dyDescent="0.2">
      <c r="N511" s="31" t="s">
        <v>795</v>
      </c>
      <c r="Z511" s="52" t="s">
        <v>390</v>
      </c>
    </row>
    <row r="512" spans="14:26" x14ac:dyDescent="0.2">
      <c r="N512" s="31" t="s">
        <v>1194</v>
      </c>
      <c r="Z512" s="5" t="s">
        <v>1429</v>
      </c>
    </row>
    <row r="513" spans="14:26" x14ac:dyDescent="0.2">
      <c r="N513" s="31" t="s">
        <v>1096</v>
      </c>
      <c r="Z513" s="5" t="s">
        <v>788</v>
      </c>
    </row>
    <row r="514" spans="14:26" x14ac:dyDescent="0.2">
      <c r="N514" s="31" t="s">
        <v>1001</v>
      </c>
      <c r="Z514" s="5" t="s">
        <v>1327</v>
      </c>
    </row>
    <row r="515" spans="14:26" x14ac:dyDescent="0.2">
      <c r="N515" s="31" t="s">
        <v>639</v>
      </c>
      <c r="Z515" s="52" t="s">
        <v>414</v>
      </c>
    </row>
    <row r="516" spans="14:26" x14ac:dyDescent="0.2">
      <c r="N516" s="31" t="s">
        <v>1180</v>
      </c>
      <c r="Z516" s="5" t="s">
        <v>1166</v>
      </c>
    </row>
    <row r="517" spans="14:26" x14ac:dyDescent="0.2">
      <c r="N517" s="31" t="s">
        <v>1283</v>
      </c>
      <c r="Z517" s="5" t="s">
        <v>1172</v>
      </c>
    </row>
    <row r="518" spans="14:26" x14ac:dyDescent="0.2">
      <c r="N518" s="31" t="s">
        <v>248</v>
      </c>
      <c r="Z518" s="5" t="s">
        <v>825</v>
      </c>
    </row>
    <row r="519" spans="14:26" x14ac:dyDescent="0.2">
      <c r="N519" s="31" t="s">
        <v>254</v>
      </c>
      <c r="Z519" s="5" t="s">
        <v>649</v>
      </c>
    </row>
    <row r="520" spans="14:26" x14ac:dyDescent="0.2">
      <c r="N520" s="31" t="s">
        <v>906</v>
      </c>
      <c r="Z520" s="52" t="s">
        <v>394</v>
      </c>
    </row>
    <row r="521" spans="14:26" x14ac:dyDescent="0.2">
      <c r="N521" s="31" t="s">
        <v>213</v>
      </c>
      <c r="Z521" s="52" t="s">
        <v>396</v>
      </c>
    </row>
    <row r="522" spans="14:26" x14ac:dyDescent="0.2">
      <c r="N522" s="31" t="s">
        <v>766</v>
      </c>
      <c r="Z522" s="10" t="s">
        <v>239</v>
      </c>
    </row>
    <row r="523" spans="14:26" x14ac:dyDescent="0.2">
      <c r="N523" s="31" t="s">
        <v>1156</v>
      </c>
      <c r="Z523" s="52" t="s">
        <v>416</v>
      </c>
    </row>
    <row r="524" spans="14:26" x14ac:dyDescent="0.2">
      <c r="N524" s="31" t="s">
        <v>683</v>
      </c>
      <c r="Z524" s="52" t="s">
        <v>417</v>
      </c>
    </row>
    <row r="525" spans="14:26" x14ac:dyDescent="0.2">
      <c r="N525" s="31" t="s">
        <v>1216</v>
      </c>
      <c r="Z525" s="5" t="s">
        <v>1293</v>
      </c>
    </row>
    <row r="526" spans="14:26" x14ac:dyDescent="0.2">
      <c r="N526" s="31" t="s">
        <v>671</v>
      </c>
      <c r="Z526" s="10" t="s">
        <v>418</v>
      </c>
    </row>
    <row r="527" spans="14:26" x14ac:dyDescent="0.2">
      <c r="N527" s="31" t="s">
        <v>1261</v>
      </c>
      <c r="Z527" s="52" t="s">
        <v>137</v>
      </c>
    </row>
    <row r="528" spans="14:26" x14ac:dyDescent="0.2">
      <c r="N528" s="31" t="s">
        <v>879</v>
      </c>
      <c r="Z528" s="5" t="s">
        <v>1192</v>
      </c>
    </row>
    <row r="529" spans="14:26" x14ac:dyDescent="0.2">
      <c r="N529" s="31" t="s">
        <v>260</v>
      </c>
      <c r="Z529" s="10" t="s">
        <v>612</v>
      </c>
    </row>
    <row r="530" spans="14:26" x14ac:dyDescent="0.2">
      <c r="N530" s="31" t="s">
        <v>708</v>
      </c>
      <c r="Z530" s="5" t="s">
        <v>1319</v>
      </c>
    </row>
    <row r="531" spans="14:26" x14ac:dyDescent="0.2">
      <c r="N531" s="31" t="s">
        <v>472</v>
      </c>
      <c r="Z531" s="52" t="s">
        <v>143</v>
      </c>
    </row>
    <row r="532" spans="14:26" x14ac:dyDescent="0.2">
      <c r="N532" s="31" t="s">
        <v>632</v>
      </c>
      <c r="Z532" s="5" t="s">
        <v>1284</v>
      </c>
    </row>
    <row r="533" spans="14:26" x14ac:dyDescent="0.2">
      <c r="N533" s="31" t="s">
        <v>1353</v>
      </c>
      <c r="Z533" s="5" t="s">
        <v>1361</v>
      </c>
    </row>
    <row r="534" spans="14:26" x14ac:dyDescent="0.2">
      <c r="N534" s="31" t="s">
        <v>800</v>
      </c>
      <c r="Z534" s="5" t="s">
        <v>1002</v>
      </c>
    </row>
    <row r="535" spans="14:26" x14ac:dyDescent="0.2">
      <c r="N535" s="31" t="s">
        <v>1084</v>
      </c>
      <c r="Z535" s="5" t="s">
        <v>1158</v>
      </c>
    </row>
    <row r="536" spans="14:26" x14ac:dyDescent="0.2">
      <c r="N536" s="31" t="s">
        <v>1081</v>
      </c>
      <c r="Z536" s="5" t="s">
        <v>1347</v>
      </c>
    </row>
    <row r="537" spans="14:26" x14ac:dyDescent="0.2">
      <c r="N537" s="31" t="s">
        <v>721</v>
      </c>
      <c r="Z537" s="5" t="s">
        <v>802</v>
      </c>
    </row>
    <row r="538" spans="14:26" x14ac:dyDescent="0.2">
      <c r="N538" s="31" t="s">
        <v>1206</v>
      </c>
      <c r="Z538" s="5" t="s">
        <v>763</v>
      </c>
    </row>
    <row r="539" spans="14:26" x14ac:dyDescent="0.2">
      <c r="N539" s="31" t="s">
        <v>1201</v>
      </c>
      <c r="Z539" s="5" t="s">
        <v>1244</v>
      </c>
    </row>
    <row r="540" spans="14:26" x14ac:dyDescent="0.2">
      <c r="N540" s="31" t="s">
        <v>1288</v>
      </c>
      <c r="Z540" s="5" t="s">
        <v>1235</v>
      </c>
    </row>
    <row r="541" spans="14:26" x14ac:dyDescent="0.2">
      <c r="N541" s="31" t="s">
        <v>1270</v>
      </c>
      <c r="Z541" s="5" t="s">
        <v>1259</v>
      </c>
    </row>
    <row r="542" spans="14:26" x14ac:dyDescent="0.2">
      <c r="N542" s="31" t="s">
        <v>1238</v>
      </c>
      <c r="Z542" s="5" t="s">
        <v>775</v>
      </c>
    </row>
    <row r="543" spans="14:26" x14ac:dyDescent="0.2">
      <c r="N543" s="31" t="s">
        <v>751</v>
      </c>
      <c r="Z543" s="5" t="s">
        <v>764</v>
      </c>
    </row>
    <row r="544" spans="14:26" x14ac:dyDescent="0.2">
      <c r="N544" s="31" t="s">
        <v>643</v>
      </c>
      <c r="Z544" s="5" t="s">
        <v>663</v>
      </c>
    </row>
    <row r="545" spans="14:26" x14ac:dyDescent="0.2">
      <c r="N545" s="31" t="s">
        <v>908</v>
      </c>
      <c r="Z545" s="5" t="s">
        <v>1473</v>
      </c>
    </row>
    <row r="546" spans="14:26" x14ac:dyDescent="0.2">
      <c r="N546" s="31" t="s">
        <v>1181</v>
      </c>
      <c r="Z546" s="10" t="s">
        <v>150</v>
      </c>
    </row>
    <row r="547" spans="14:26" x14ac:dyDescent="0.2">
      <c r="N547" s="31" t="s">
        <v>219</v>
      </c>
      <c r="Z547" s="5" t="s">
        <v>1436</v>
      </c>
    </row>
    <row r="548" spans="14:26" x14ac:dyDescent="0.2">
      <c r="N548" s="31" t="s">
        <v>483</v>
      </c>
      <c r="Z548" s="10" t="s">
        <v>165</v>
      </c>
    </row>
    <row r="549" spans="14:26" x14ac:dyDescent="0.2">
      <c r="N549" s="31" t="s">
        <v>1160</v>
      </c>
      <c r="Z549" s="5" t="s">
        <v>1088</v>
      </c>
    </row>
    <row r="550" spans="14:26" x14ac:dyDescent="0.2">
      <c r="N550" s="31" t="s">
        <v>1090</v>
      </c>
      <c r="Z550" s="5" t="s">
        <v>803</v>
      </c>
    </row>
    <row r="551" spans="14:26" x14ac:dyDescent="0.2">
      <c r="N551" s="31" t="s">
        <v>1306</v>
      </c>
      <c r="Z551" s="5" t="s">
        <v>784</v>
      </c>
    </row>
    <row r="552" spans="14:26" x14ac:dyDescent="0.2">
      <c r="N552" s="31" t="s">
        <v>224</v>
      </c>
      <c r="Z552" s="16" t="s">
        <v>401</v>
      </c>
    </row>
    <row r="553" spans="14:26" x14ac:dyDescent="0.2">
      <c r="N553" s="31" t="s">
        <v>1086</v>
      </c>
      <c r="Z553" s="16" t="s">
        <v>403</v>
      </c>
    </row>
    <row r="554" spans="14:26" x14ac:dyDescent="0.2">
      <c r="N554" s="31" t="s">
        <v>1253</v>
      </c>
      <c r="Z554" s="16" t="s">
        <v>406</v>
      </c>
    </row>
    <row r="555" spans="14:26" x14ac:dyDescent="0.2">
      <c r="N555" s="31" t="s">
        <v>485</v>
      </c>
      <c r="Z555" s="52" t="s">
        <v>408</v>
      </c>
    </row>
    <row r="556" spans="14:26" x14ac:dyDescent="0.2">
      <c r="N556" s="31" t="s">
        <v>489</v>
      </c>
      <c r="Z556" s="52" t="s">
        <v>157</v>
      </c>
    </row>
    <row r="557" spans="14:26" x14ac:dyDescent="0.2">
      <c r="N557" s="31" t="s">
        <v>492</v>
      </c>
      <c r="Z557" s="5" t="s">
        <v>1364</v>
      </c>
    </row>
    <row r="558" spans="14:26" x14ac:dyDescent="0.2">
      <c r="N558" s="31" t="s">
        <v>1151</v>
      </c>
      <c r="Z558" s="5" t="s">
        <v>1142</v>
      </c>
    </row>
    <row r="559" spans="14:26" x14ac:dyDescent="0.2">
      <c r="N559" s="31" t="s">
        <v>1106</v>
      </c>
      <c r="Z559" s="5" t="s">
        <v>1451</v>
      </c>
    </row>
    <row r="560" spans="14:26" x14ac:dyDescent="0.2">
      <c r="N560" s="31" t="s">
        <v>1087</v>
      </c>
      <c r="Z560" s="52" t="s">
        <v>424</v>
      </c>
    </row>
    <row r="561" spans="14:26" x14ac:dyDescent="0.2">
      <c r="N561" s="31" t="s">
        <v>749</v>
      </c>
      <c r="Z561" s="5" t="s">
        <v>1138</v>
      </c>
    </row>
    <row r="562" spans="14:26" x14ac:dyDescent="0.2">
      <c r="N562" s="31" t="s">
        <v>1153</v>
      </c>
      <c r="Z562" s="5" t="s">
        <v>1123</v>
      </c>
    </row>
    <row r="563" spans="14:26" x14ac:dyDescent="0.2">
      <c r="N563" s="31" t="s">
        <v>1286</v>
      </c>
      <c r="Z563" s="5" t="s">
        <v>1217</v>
      </c>
    </row>
    <row r="564" spans="14:26" x14ac:dyDescent="0.2">
      <c r="N564" s="31" t="s">
        <v>230</v>
      </c>
      <c r="Z564" s="5" t="s">
        <v>907</v>
      </c>
    </row>
    <row r="565" spans="14:26" x14ac:dyDescent="0.2">
      <c r="N565" s="31" t="s">
        <v>1083</v>
      </c>
      <c r="Z565" s="5" t="s">
        <v>1040</v>
      </c>
    </row>
    <row r="566" spans="14:26" x14ac:dyDescent="0.2">
      <c r="N566" s="31" t="s">
        <v>500</v>
      </c>
      <c r="Z566" s="52" t="s">
        <v>412</v>
      </c>
    </row>
    <row r="567" spans="14:26" x14ac:dyDescent="0.2">
      <c r="N567" s="31" t="s">
        <v>502</v>
      </c>
      <c r="Z567" s="52" t="s">
        <v>426</v>
      </c>
    </row>
    <row r="568" spans="14:26" x14ac:dyDescent="0.2">
      <c r="N568" s="31" t="s">
        <v>753</v>
      </c>
      <c r="Z568" s="10" t="s">
        <v>588</v>
      </c>
    </row>
    <row r="569" spans="14:26" x14ac:dyDescent="0.2">
      <c r="N569" s="31" t="s">
        <v>1351</v>
      </c>
      <c r="Z569" s="52" t="s">
        <v>428</v>
      </c>
    </row>
    <row r="570" spans="14:26" x14ac:dyDescent="0.2">
      <c r="N570" s="31" t="s">
        <v>503</v>
      </c>
      <c r="Z570" s="5" t="s">
        <v>722</v>
      </c>
    </row>
    <row r="571" spans="14:26" x14ac:dyDescent="0.2">
      <c r="N571" s="31" t="s">
        <v>505</v>
      </c>
      <c r="Z571" s="5" t="s">
        <v>1464</v>
      </c>
    </row>
    <row r="572" spans="14:26" x14ac:dyDescent="0.2">
      <c r="N572" s="31" t="s">
        <v>1251</v>
      </c>
      <c r="Z572" s="5" t="s">
        <v>1466</v>
      </c>
    </row>
    <row r="573" spans="14:26" x14ac:dyDescent="0.2">
      <c r="N573" s="31" t="s">
        <v>1301</v>
      </c>
      <c r="Z573" s="5" t="s">
        <v>1058</v>
      </c>
    </row>
    <row r="574" spans="14:26" x14ac:dyDescent="0.2">
      <c r="N574" s="31" t="s">
        <v>1376</v>
      </c>
      <c r="Z574" s="5" t="s">
        <v>1066</v>
      </c>
    </row>
    <row r="575" spans="14:26" x14ac:dyDescent="0.2">
      <c r="N575" s="31" t="s">
        <v>506</v>
      </c>
      <c r="Z575" s="5" t="s">
        <v>1393</v>
      </c>
    </row>
    <row r="576" spans="14:26" x14ac:dyDescent="0.2">
      <c r="N576" s="31" t="s">
        <v>921</v>
      </c>
      <c r="Z576" s="5" t="s">
        <v>1085</v>
      </c>
    </row>
    <row r="577" spans="14:26" x14ac:dyDescent="0.2">
      <c r="N577" s="31" t="s">
        <v>1245</v>
      </c>
      <c r="Z577" s="52" t="s">
        <v>429</v>
      </c>
    </row>
    <row r="578" spans="14:26" x14ac:dyDescent="0.2">
      <c r="N578" s="31" t="s">
        <v>1129</v>
      </c>
      <c r="Z578" s="5" t="s">
        <v>675</v>
      </c>
    </row>
    <row r="579" spans="14:26" x14ac:dyDescent="0.2">
      <c r="N579" s="31" t="s">
        <v>508</v>
      </c>
      <c r="Z579" s="5" t="s">
        <v>1380</v>
      </c>
    </row>
    <row r="580" spans="14:26" x14ac:dyDescent="0.2">
      <c r="N580" s="31" t="s">
        <v>511</v>
      </c>
      <c r="Z580" s="5" t="s">
        <v>1441</v>
      </c>
    </row>
    <row r="581" spans="14:26" x14ac:dyDescent="0.2">
      <c r="N581" s="31" t="s">
        <v>514</v>
      </c>
      <c r="Z581" s="5" t="s">
        <v>1427</v>
      </c>
    </row>
    <row r="582" spans="14:26" x14ac:dyDescent="0.2">
      <c r="N582" s="31" t="s">
        <v>677</v>
      </c>
      <c r="Z582" s="5" t="s">
        <v>1486</v>
      </c>
    </row>
    <row r="583" spans="14:26" x14ac:dyDescent="0.2">
      <c r="N583" s="31" t="s">
        <v>1285</v>
      </c>
      <c r="Z583" s="5" t="s">
        <v>1409</v>
      </c>
    </row>
    <row r="584" spans="14:26" x14ac:dyDescent="0.2">
      <c r="N584" s="31" t="s">
        <v>1367</v>
      </c>
      <c r="Z584" s="5" t="s">
        <v>1469</v>
      </c>
    </row>
    <row r="585" spans="14:26" x14ac:dyDescent="0.2">
      <c r="N585" s="31" t="s">
        <v>694</v>
      </c>
      <c r="Z585" s="17" t="s">
        <v>171</v>
      </c>
    </row>
    <row r="586" spans="14:26" x14ac:dyDescent="0.2">
      <c r="N586" s="31" t="s">
        <v>1282</v>
      </c>
      <c r="Z586" s="16" t="s">
        <v>420</v>
      </c>
    </row>
    <row r="587" spans="14:26" x14ac:dyDescent="0.2">
      <c r="N587" s="31" t="s">
        <v>754</v>
      </c>
      <c r="Z587" s="5" t="s">
        <v>1475</v>
      </c>
    </row>
    <row r="588" spans="14:26" x14ac:dyDescent="0.2">
      <c r="N588" s="31" t="s">
        <v>181</v>
      </c>
      <c r="Z588" s="52" t="s">
        <v>431</v>
      </c>
    </row>
    <row r="589" spans="14:26" x14ac:dyDescent="0.2">
      <c r="N589" s="31" t="s">
        <v>1350</v>
      </c>
      <c r="Z589" s="52" t="s">
        <v>434</v>
      </c>
    </row>
    <row r="590" spans="14:26" x14ac:dyDescent="0.2">
      <c r="N590" s="31" t="s">
        <v>768</v>
      </c>
      <c r="Z590" s="52" t="s">
        <v>436</v>
      </c>
    </row>
    <row r="591" spans="14:26" x14ac:dyDescent="0.2">
      <c r="N591" s="31" t="s">
        <v>515</v>
      </c>
      <c r="Z591" s="52" t="s">
        <v>439</v>
      </c>
    </row>
    <row r="592" spans="14:26" x14ac:dyDescent="0.2">
      <c r="N592" s="31" t="s">
        <v>1265</v>
      </c>
      <c r="Z592" s="52" t="s">
        <v>178</v>
      </c>
    </row>
    <row r="593" spans="14:26" x14ac:dyDescent="0.2">
      <c r="N593" s="31" t="s">
        <v>1079</v>
      </c>
      <c r="Z593" s="5" t="s">
        <v>1250</v>
      </c>
    </row>
    <row r="594" spans="14:26" x14ac:dyDescent="0.2">
      <c r="N594" s="31" t="s">
        <v>988</v>
      </c>
      <c r="Z594" s="5" t="s">
        <v>1076</v>
      </c>
    </row>
    <row r="595" spans="14:26" x14ac:dyDescent="0.2">
      <c r="N595" s="31" t="s">
        <v>1173</v>
      </c>
      <c r="Z595" s="5" t="s">
        <v>1413</v>
      </c>
    </row>
    <row r="596" spans="14:26" x14ac:dyDescent="0.2">
      <c r="N596" s="31" t="s">
        <v>1189</v>
      </c>
      <c r="Z596" s="5" t="s">
        <v>695</v>
      </c>
    </row>
    <row r="597" spans="14:26" x14ac:dyDescent="0.2">
      <c r="N597" s="31" t="s">
        <v>829</v>
      </c>
      <c r="Z597" s="5" t="s">
        <v>670</v>
      </c>
    </row>
    <row r="598" spans="14:26" x14ac:dyDescent="0.2">
      <c r="N598" s="31" t="s">
        <v>1183</v>
      </c>
      <c r="Z598" s="5" t="s">
        <v>1103</v>
      </c>
    </row>
    <row r="599" spans="14:26" x14ac:dyDescent="0.2">
      <c r="N599" s="31" t="s">
        <v>517</v>
      </c>
      <c r="Z599" s="5" t="s">
        <v>280</v>
      </c>
    </row>
    <row r="600" spans="14:26" x14ac:dyDescent="0.2">
      <c r="N600" s="31" t="s">
        <v>1204</v>
      </c>
      <c r="Z600" s="10" t="s">
        <v>463</v>
      </c>
    </row>
    <row r="601" spans="14:26" x14ac:dyDescent="0.2">
      <c r="N601" s="31" t="s">
        <v>673</v>
      </c>
      <c r="Z601" s="5" t="s">
        <v>1082</v>
      </c>
    </row>
    <row r="602" spans="14:26" x14ac:dyDescent="0.2">
      <c r="N602" s="31" t="s">
        <v>654</v>
      </c>
      <c r="Z602" s="5" t="s">
        <v>1167</v>
      </c>
    </row>
    <row r="603" spans="14:26" x14ac:dyDescent="0.2">
      <c r="N603" s="31" t="s">
        <v>635</v>
      </c>
      <c r="Z603" s="5" t="s">
        <v>1447</v>
      </c>
    </row>
    <row r="604" spans="14:26" x14ac:dyDescent="0.2">
      <c r="N604" s="31" t="s">
        <v>662</v>
      </c>
      <c r="Z604" s="10" t="s">
        <v>170</v>
      </c>
    </row>
    <row r="605" spans="14:26" x14ac:dyDescent="0.2">
      <c r="N605" s="31" t="s">
        <v>1324</v>
      </c>
      <c r="Z605" s="5" t="s">
        <v>1472</v>
      </c>
    </row>
    <row r="606" spans="14:26" x14ac:dyDescent="0.2">
      <c r="N606" s="31" t="s">
        <v>516</v>
      </c>
      <c r="Z606" s="5" t="s">
        <v>1494</v>
      </c>
    </row>
    <row r="607" spans="14:26" x14ac:dyDescent="0.2">
      <c r="N607" s="31" t="s">
        <v>984</v>
      </c>
      <c r="Z607" s="5" t="str">
        <f>"odr-4"</f>
        <v>odr-4</v>
      </c>
    </row>
    <row r="608" spans="14:26" x14ac:dyDescent="0.2">
      <c r="N608" s="31" t="s">
        <v>1141</v>
      </c>
      <c r="Z608" s="10" t="s">
        <v>606</v>
      </c>
    </row>
    <row r="609" spans="14:26" x14ac:dyDescent="0.2">
      <c r="N609" s="31" t="s">
        <v>372</v>
      </c>
      <c r="Z609" s="5" t="s">
        <v>739</v>
      </c>
    </row>
    <row r="610" spans="14:26" x14ac:dyDescent="0.2">
      <c r="N610" s="31" t="s">
        <v>1336</v>
      </c>
      <c r="Z610" s="52" t="s">
        <v>441</v>
      </c>
    </row>
    <row r="611" spans="14:26" x14ac:dyDescent="0.2">
      <c r="N611" s="31" t="s">
        <v>785</v>
      </c>
      <c r="Z611" s="5" t="s">
        <v>1374</v>
      </c>
    </row>
    <row r="612" spans="14:26" x14ac:dyDescent="0.2">
      <c r="N612" s="31" t="s">
        <v>986</v>
      </c>
      <c r="Z612" s="5" t="s">
        <v>1484</v>
      </c>
    </row>
    <row r="613" spans="14:26" x14ac:dyDescent="0.2">
      <c r="N613" s="31" t="s">
        <v>1272</v>
      </c>
      <c r="Z613" s="5" t="str">
        <f>"panl-3"</f>
        <v>panl-3</v>
      </c>
    </row>
    <row r="614" spans="14:26" x14ac:dyDescent="0.2">
      <c r="N614" s="31" t="s">
        <v>242</v>
      </c>
      <c r="Z614" s="5" t="s">
        <v>1089</v>
      </c>
    </row>
    <row r="615" spans="14:26" x14ac:dyDescent="0.2">
      <c r="N615" s="31" t="s">
        <v>1281</v>
      </c>
      <c r="Z615" s="52" t="s">
        <v>184</v>
      </c>
    </row>
    <row r="616" spans="14:26" x14ac:dyDescent="0.2">
      <c r="N616" s="31" t="s">
        <v>1316</v>
      </c>
      <c r="Z616" s="5" t="s">
        <v>636</v>
      </c>
    </row>
    <row r="617" spans="14:26" x14ac:dyDescent="0.2">
      <c r="N617" s="31" t="s">
        <v>769</v>
      </c>
      <c r="Z617" s="52" t="s">
        <v>444</v>
      </c>
    </row>
    <row r="618" spans="14:26" x14ac:dyDescent="0.2">
      <c r="N618" s="31" t="s">
        <v>1263</v>
      </c>
      <c r="Z618" s="5" t="s">
        <v>793</v>
      </c>
    </row>
    <row r="619" spans="14:26" x14ac:dyDescent="0.2">
      <c r="N619" s="31" t="s">
        <v>528</v>
      </c>
      <c r="Z619" s="10" t="s">
        <v>423</v>
      </c>
    </row>
    <row r="620" spans="14:26" x14ac:dyDescent="0.2">
      <c r="N620" s="31" t="s">
        <v>529</v>
      </c>
      <c r="Z620" s="52" t="s">
        <v>425</v>
      </c>
    </row>
    <row r="621" spans="14:26" x14ac:dyDescent="0.2">
      <c r="N621" s="31" t="s">
        <v>1304</v>
      </c>
      <c r="Z621" s="5" t="s">
        <v>1426</v>
      </c>
    </row>
    <row r="622" spans="14:26" x14ac:dyDescent="0.2">
      <c r="N622" s="31" t="s">
        <v>1379</v>
      </c>
      <c r="Z622" s="5" t="s">
        <v>1471</v>
      </c>
    </row>
    <row r="623" spans="14:26" x14ac:dyDescent="0.2">
      <c r="N623" s="31" t="s">
        <v>1290</v>
      </c>
      <c r="Z623" s="5" t="s">
        <v>4897</v>
      </c>
    </row>
    <row r="624" spans="14:26" x14ac:dyDescent="0.2">
      <c r="N624" s="31" t="s">
        <v>1187</v>
      </c>
      <c r="Z624" s="5" t="s">
        <v>1500</v>
      </c>
    </row>
    <row r="625" spans="14:26" x14ac:dyDescent="0.2">
      <c r="N625" s="31" t="s">
        <v>756</v>
      </c>
      <c r="Z625" s="52" t="s">
        <v>446</v>
      </c>
    </row>
    <row r="626" spans="14:26" x14ac:dyDescent="0.2">
      <c r="N626" s="31" t="s">
        <v>667</v>
      </c>
      <c r="Z626" s="5" t="s">
        <v>777</v>
      </c>
    </row>
    <row r="627" spans="14:26" x14ac:dyDescent="0.2">
      <c r="N627" s="31" t="s">
        <v>1098</v>
      </c>
      <c r="Z627" s="5" t="s">
        <v>1420</v>
      </c>
    </row>
    <row r="628" spans="14:26" x14ac:dyDescent="0.2">
      <c r="N628" s="31" t="s">
        <v>1230</v>
      </c>
      <c r="Z628" s="5" t="s">
        <v>731</v>
      </c>
    </row>
    <row r="629" spans="14:26" x14ac:dyDescent="0.2">
      <c r="N629" s="31" t="s">
        <v>744</v>
      </c>
      <c r="Z629" s="5" t="s">
        <v>1468</v>
      </c>
    </row>
    <row r="630" spans="14:26" x14ac:dyDescent="0.2">
      <c r="N630" s="31" t="s">
        <v>247</v>
      </c>
      <c r="Z630" s="5" t="s">
        <v>760</v>
      </c>
    </row>
    <row r="631" spans="14:26" x14ac:dyDescent="0.2">
      <c r="N631" s="31" t="s">
        <v>1117</v>
      </c>
      <c r="Z631" s="5" t="s">
        <v>742</v>
      </c>
    </row>
    <row r="632" spans="14:26" x14ac:dyDescent="0.2">
      <c r="N632" s="31" t="s">
        <v>1205</v>
      </c>
      <c r="Z632" s="52" t="s">
        <v>447</v>
      </c>
    </row>
    <row r="633" spans="14:26" x14ac:dyDescent="0.2">
      <c r="N633" s="31" t="s">
        <v>1120</v>
      </c>
      <c r="Z633" s="5" t="s">
        <v>746</v>
      </c>
    </row>
    <row r="634" spans="14:26" x14ac:dyDescent="0.2">
      <c r="N634" s="31" t="s">
        <v>538</v>
      </c>
      <c r="Z634" s="52" t="s">
        <v>449</v>
      </c>
    </row>
    <row r="635" spans="14:26" x14ac:dyDescent="0.2">
      <c r="N635" s="31" t="s">
        <v>1122</v>
      </c>
      <c r="Z635" s="5" t="s">
        <v>759</v>
      </c>
    </row>
    <row r="636" spans="14:26" x14ac:dyDescent="0.2">
      <c r="N636" s="31" t="s">
        <v>1341</v>
      </c>
      <c r="Z636" s="5" t="s">
        <v>1215</v>
      </c>
    </row>
    <row r="637" spans="14:26" x14ac:dyDescent="0.2">
      <c r="N637" s="31" t="s">
        <v>801</v>
      </c>
      <c r="Z637" s="5" t="s">
        <v>689</v>
      </c>
    </row>
    <row r="638" spans="14:26" x14ac:dyDescent="0.2">
      <c r="N638" s="31" t="s">
        <v>534</v>
      </c>
      <c r="Z638" s="5" t="str">
        <f>"phdh-1"</f>
        <v>phdh-1</v>
      </c>
    </row>
    <row r="639" spans="14:26" x14ac:dyDescent="0.2">
      <c r="N639" s="31" t="s">
        <v>536</v>
      </c>
      <c r="Z639" s="5" t="s">
        <v>1310</v>
      </c>
    </row>
    <row r="640" spans="14:26" x14ac:dyDescent="0.2">
      <c r="N640" s="31" t="s">
        <v>539</v>
      </c>
      <c r="Z640" s="5" t="s">
        <v>1182</v>
      </c>
    </row>
    <row r="641" spans="14:26" x14ac:dyDescent="0.2">
      <c r="N641" s="31" t="s">
        <v>544</v>
      </c>
      <c r="Z641" s="5" t="s">
        <v>1162</v>
      </c>
    </row>
    <row r="642" spans="14:26" x14ac:dyDescent="0.2">
      <c r="N642" s="31" t="s">
        <v>645</v>
      </c>
      <c r="Z642" s="52" t="s">
        <v>196</v>
      </c>
    </row>
    <row r="643" spans="14:26" x14ac:dyDescent="0.2">
      <c r="N643" s="31" t="s">
        <v>720</v>
      </c>
      <c r="Z643" s="10" t="s">
        <v>430</v>
      </c>
    </row>
    <row r="644" spans="14:26" x14ac:dyDescent="0.2">
      <c r="N644" s="31" t="s">
        <v>669</v>
      </c>
      <c r="Z644" s="5" t="s">
        <v>1321</v>
      </c>
    </row>
    <row r="645" spans="14:26" x14ac:dyDescent="0.2">
      <c r="N645" s="31" t="s">
        <v>1381</v>
      </c>
      <c r="Z645" s="5" t="s">
        <v>1268</v>
      </c>
    </row>
    <row r="646" spans="14:26" x14ac:dyDescent="0.2">
      <c r="N646" s="31" t="s">
        <v>1359</v>
      </c>
      <c r="Z646" s="5" t="s">
        <v>1340</v>
      </c>
    </row>
    <row r="647" spans="14:26" x14ac:dyDescent="0.2">
      <c r="N647" s="31" t="s">
        <v>1315</v>
      </c>
      <c r="Z647" s="5" t="s">
        <v>712</v>
      </c>
    </row>
    <row r="648" spans="14:26" x14ac:dyDescent="0.2">
      <c r="N648" s="31" t="s">
        <v>1099</v>
      </c>
      <c r="Z648" s="5" t="s">
        <v>790</v>
      </c>
    </row>
    <row r="649" spans="14:26" x14ac:dyDescent="0.2">
      <c r="N649" s="31" t="s">
        <v>1077</v>
      </c>
      <c r="Z649" s="52" t="s">
        <v>450</v>
      </c>
    </row>
    <row r="650" spans="14:26" x14ac:dyDescent="0.2">
      <c r="N650" s="31" t="s">
        <v>743</v>
      </c>
      <c r="Z650" s="5" t="s">
        <v>1289</v>
      </c>
    </row>
    <row r="651" spans="14:26" x14ac:dyDescent="0.2">
      <c r="N651" s="31" t="s">
        <v>634</v>
      </c>
      <c r="Z651" s="10" t="s">
        <v>433</v>
      </c>
    </row>
    <row r="652" spans="14:26" x14ac:dyDescent="0.2">
      <c r="N652" s="31" t="s">
        <v>1191</v>
      </c>
      <c r="Z652" s="52" t="s">
        <v>453</v>
      </c>
    </row>
    <row r="653" spans="14:26" x14ac:dyDescent="0.2">
      <c r="N653" s="31" t="s">
        <v>1344</v>
      </c>
      <c r="Z653" s="5" t="s">
        <v>1273</v>
      </c>
    </row>
    <row r="654" spans="14:26" x14ac:dyDescent="0.2">
      <c r="N654" s="31" t="s">
        <v>980</v>
      </c>
      <c r="Z654" s="5" t="s">
        <v>1020</v>
      </c>
    </row>
    <row r="655" spans="14:26" x14ac:dyDescent="0.2">
      <c r="N655" s="31" t="s">
        <v>1302</v>
      </c>
      <c r="Z655" s="5" t="s">
        <v>973</v>
      </c>
    </row>
    <row r="656" spans="14:26" x14ac:dyDescent="0.2">
      <c r="N656" s="31" t="s">
        <v>1148</v>
      </c>
      <c r="Z656" s="5" t="s">
        <v>687</v>
      </c>
    </row>
    <row r="657" spans="14:26" x14ac:dyDescent="0.2">
      <c r="N657" s="31" t="s">
        <v>551</v>
      </c>
      <c r="Z657" s="52" t="s">
        <v>435</v>
      </c>
    </row>
    <row r="658" spans="14:26" x14ac:dyDescent="0.2">
      <c r="N658" s="31" t="s">
        <v>1354</v>
      </c>
      <c r="Z658" s="5" t="s">
        <v>1193</v>
      </c>
    </row>
    <row r="659" spans="14:26" x14ac:dyDescent="0.2">
      <c r="N659" s="31" t="s">
        <v>553</v>
      </c>
      <c r="Z659" s="5" t="s">
        <v>1480</v>
      </c>
    </row>
    <row r="660" spans="14:26" x14ac:dyDescent="0.2">
      <c r="N660" s="31" t="s">
        <v>661</v>
      </c>
      <c r="Z660" s="5" t="s">
        <v>1155</v>
      </c>
    </row>
    <row r="661" spans="14:26" x14ac:dyDescent="0.2">
      <c r="N661" s="31" t="s">
        <v>705</v>
      </c>
      <c r="Z661" s="13" t="s">
        <v>202</v>
      </c>
    </row>
    <row r="662" spans="14:26" x14ac:dyDescent="0.2">
      <c r="N662" s="31" t="s">
        <v>1328</v>
      </c>
      <c r="Z662" s="52" t="s">
        <v>183</v>
      </c>
    </row>
    <row r="663" spans="14:26" x14ac:dyDescent="0.2">
      <c r="N663" s="31" t="s">
        <v>1291</v>
      </c>
      <c r="Z663" s="5" t="s">
        <v>789</v>
      </c>
    </row>
    <row r="664" spans="14:26" x14ac:dyDescent="0.2">
      <c r="N664" s="31" t="s">
        <v>1278</v>
      </c>
      <c r="Z664" s="5" t="s">
        <v>1196</v>
      </c>
    </row>
    <row r="665" spans="14:26" x14ac:dyDescent="0.2">
      <c r="N665" s="31" t="s">
        <v>1219</v>
      </c>
      <c r="Z665" s="10" t="s">
        <v>438</v>
      </c>
    </row>
    <row r="666" spans="14:26" x14ac:dyDescent="0.2">
      <c r="N666" s="31" t="s">
        <v>1094</v>
      </c>
      <c r="Z666" s="5" t="s">
        <v>987</v>
      </c>
    </row>
    <row r="667" spans="14:26" x14ac:dyDescent="0.2">
      <c r="N667" s="31" t="s">
        <v>1269</v>
      </c>
      <c r="Z667" s="10" t="s">
        <v>383</v>
      </c>
    </row>
    <row r="668" spans="14:26" x14ac:dyDescent="0.2">
      <c r="N668" s="31" t="s">
        <v>555</v>
      </c>
      <c r="Z668" s="5" t="s">
        <v>891</v>
      </c>
    </row>
    <row r="669" spans="14:26" x14ac:dyDescent="0.2">
      <c r="N669" s="31" t="s">
        <v>1231</v>
      </c>
      <c r="Z669" s="5" t="s">
        <v>892</v>
      </c>
    </row>
    <row r="670" spans="14:26" x14ac:dyDescent="0.2">
      <c r="N670" s="31" t="s">
        <v>259</v>
      </c>
      <c r="Z670" s="5" t="s">
        <v>1177</v>
      </c>
    </row>
    <row r="671" spans="14:26" x14ac:dyDescent="0.2">
      <c r="N671" s="31" t="s">
        <v>1352</v>
      </c>
      <c r="Z671" s="5" t="s">
        <v>772</v>
      </c>
    </row>
    <row r="672" spans="14:26" x14ac:dyDescent="0.2">
      <c r="N672" s="31" t="s">
        <v>1329</v>
      </c>
      <c r="Z672" s="5" t="s">
        <v>747</v>
      </c>
    </row>
    <row r="673" spans="14:26" x14ac:dyDescent="0.2">
      <c r="N673" s="31" t="s">
        <v>681</v>
      </c>
      <c r="Z673" s="52" t="s">
        <v>440</v>
      </c>
    </row>
    <row r="674" spans="14:26" x14ac:dyDescent="0.2">
      <c r="N674" s="31" t="s">
        <v>713</v>
      </c>
      <c r="Z674" s="5" t="s">
        <v>1169</v>
      </c>
    </row>
    <row r="675" spans="14:26" x14ac:dyDescent="0.2">
      <c r="N675" s="31" t="s">
        <v>707</v>
      </c>
      <c r="Z675" s="52" t="s">
        <v>455</v>
      </c>
    </row>
    <row r="676" spans="14:26" x14ac:dyDescent="0.2">
      <c r="N676" s="31" t="s">
        <v>1107</v>
      </c>
      <c r="Z676" s="5" t="s">
        <v>745</v>
      </c>
    </row>
    <row r="677" spans="14:26" x14ac:dyDescent="0.2">
      <c r="N677" s="31" t="s">
        <v>1170</v>
      </c>
      <c r="Z677" s="5" t="s">
        <v>1297</v>
      </c>
    </row>
    <row r="678" spans="14:26" x14ac:dyDescent="0.2">
      <c r="N678" s="31" t="s">
        <v>552</v>
      </c>
      <c r="Z678" s="52" t="s">
        <v>208</v>
      </c>
    </row>
    <row r="679" spans="14:26" x14ac:dyDescent="0.2">
      <c r="N679" s="31" t="s">
        <v>1277</v>
      </c>
      <c r="Z679" s="5" t="s">
        <v>4898</v>
      </c>
    </row>
    <row r="680" spans="14:26" x14ac:dyDescent="0.2">
      <c r="N680" s="31" t="s">
        <v>810</v>
      </c>
      <c r="Z680" s="10" t="s">
        <v>214</v>
      </c>
    </row>
    <row r="681" spans="14:26" x14ac:dyDescent="0.2">
      <c r="N681" s="31" t="s">
        <v>674</v>
      </c>
      <c r="Z681" s="5" t="str">
        <f>"R07E5.1"</f>
        <v>R07E5.1</v>
      </c>
    </row>
    <row r="682" spans="14:26" x14ac:dyDescent="0.2">
      <c r="N682" s="31" t="s">
        <v>657</v>
      </c>
      <c r="Z682" s="5" t="s">
        <v>758</v>
      </c>
    </row>
    <row r="683" spans="14:26" x14ac:dyDescent="0.2">
      <c r="N683" s="31" t="s">
        <v>885</v>
      </c>
      <c r="Z683" s="13" t="s">
        <v>313</v>
      </c>
    </row>
    <row r="684" spans="14:26" x14ac:dyDescent="0.2">
      <c r="N684" s="31" t="s">
        <v>1236</v>
      </c>
      <c r="Z684" s="5" t="s">
        <v>1210</v>
      </c>
    </row>
    <row r="685" spans="14:26" x14ac:dyDescent="0.2">
      <c r="N685" s="31" t="s">
        <v>303</v>
      </c>
      <c r="Z685" s="5" t="s">
        <v>1266</v>
      </c>
    </row>
    <row r="686" spans="14:26" x14ac:dyDescent="0.2">
      <c r="N686" s="1"/>
      <c r="Z686" s="5" t="s">
        <v>1338</v>
      </c>
    </row>
    <row r="687" spans="14:26" x14ac:dyDescent="0.2">
      <c r="N687" s="1"/>
      <c r="Z687" s="52" t="s">
        <v>459</v>
      </c>
    </row>
    <row r="688" spans="14:26" x14ac:dyDescent="0.2">
      <c r="N688" s="1"/>
      <c r="Z688" s="5" t="s">
        <v>1326</v>
      </c>
    </row>
    <row r="689" spans="14:26" x14ac:dyDescent="0.2">
      <c r="N689" s="1"/>
      <c r="Z689" s="5" t="s">
        <v>1118</v>
      </c>
    </row>
    <row r="690" spans="14:26" x14ac:dyDescent="0.2">
      <c r="N690" s="1"/>
      <c r="Z690" s="5" t="s">
        <v>1296</v>
      </c>
    </row>
    <row r="691" spans="14:26" x14ac:dyDescent="0.2">
      <c r="N691" s="1"/>
      <c r="Z691" s="5" t="s">
        <v>1407</v>
      </c>
    </row>
    <row r="692" spans="14:26" x14ac:dyDescent="0.2">
      <c r="N692" s="1"/>
      <c r="Z692" s="5" t="s">
        <v>762</v>
      </c>
    </row>
    <row r="693" spans="14:26" x14ac:dyDescent="0.2">
      <c r="N693" s="1"/>
      <c r="Z693" s="10" t="s">
        <v>443</v>
      </c>
    </row>
    <row r="694" spans="14:26" x14ac:dyDescent="0.2">
      <c r="N694" s="1"/>
      <c r="Z694" s="5" t="s">
        <v>1372</v>
      </c>
    </row>
    <row r="695" spans="14:26" x14ac:dyDescent="0.2">
      <c r="N695" s="1"/>
      <c r="Z695" s="5" t="s">
        <v>771</v>
      </c>
    </row>
    <row r="696" spans="14:26" x14ac:dyDescent="0.2">
      <c r="N696" s="1"/>
      <c r="Z696" s="52" t="s">
        <v>460</v>
      </c>
    </row>
    <row r="697" spans="14:26" x14ac:dyDescent="0.2">
      <c r="N697" s="1"/>
      <c r="Z697" s="5" t="s">
        <v>1145</v>
      </c>
    </row>
    <row r="698" spans="14:26" x14ac:dyDescent="0.2">
      <c r="N698" s="1"/>
      <c r="Z698" s="5" t="s">
        <v>642</v>
      </c>
    </row>
    <row r="699" spans="14:26" x14ac:dyDescent="0.2">
      <c r="N699" s="1"/>
      <c r="Z699" s="10" t="str">
        <f>"ret-1"</f>
        <v>ret-1</v>
      </c>
    </row>
    <row r="700" spans="14:26" x14ac:dyDescent="0.2">
      <c r="N700" s="1"/>
      <c r="Z700" s="5" t="s">
        <v>774</v>
      </c>
    </row>
    <row r="701" spans="14:26" x14ac:dyDescent="0.2">
      <c r="N701" s="1"/>
      <c r="Z701" s="10" t="s">
        <v>225</v>
      </c>
    </row>
    <row r="702" spans="14:26" x14ac:dyDescent="0.2">
      <c r="N702" s="1"/>
      <c r="Z702" s="52" t="s">
        <v>445</v>
      </c>
    </row>
    <row r="703" spans="14:26" x14ac:dyDescent="0.2">
      <c r="N703" s="1"/>
      <c r="Z703" s="13" t="s">
        <v>706</v>
      </c>
    </row>
    <row r="704" spans="14:26" x14ac:dyDescent="0.2">
      <c r="N704" s="1"/>
      <c r="Z704" s="5" t="s">
        <v>727</v>
      </c>
    </row>
    <row r="705" spans="14:26" x14ac:dyDescent="0.2">
      <c r="N705" s="1"/>
      <c r="Z705" s="5" t="s">
        <v>804</v>
      </c>
    </row>
    <row r="706" spans="14:26" x14ac:dyDescent="0.2">
      <c r="N706" s="1"/>
      <c r="Z706" s="5" t="s">
        <v>1114</v>
      </c>
    </row>
    <row r="707" spans="14:26" x14ac:dyDescent="0.2">
      <c r="N707" s="41"/>
      <c r="Z707" s="5" t="s">
        <v>1368</v>
      </c>
    </row>
    <row r="708" spans="14:26" x14ac:dyDescent="0.2">
      <c r="N708" s="41"/>
      <c r="Z708" s="5" t="s">
        <v>740</v>
      </c>
    </row>
    <row r="709" spans="14:26" x14ac:dyDescent="0.2">
      <c r="N709" s="41"/>
      <c r="Z709" s="5" t="s">
        <v>1303</v>
      </c>
    </row>
    <row r="710" spans="14:26" x14ac:dyDescent="0.2">
      <c r="N710" s="41"/>
      <c r="Z710" s="5" t="s">
        <v>770</v>
      </c>
    </row>
    <row r="711" spans="14:26" x14ac:dyDescent="0.2">
      <c r="N711" s="42"/>
      <c r="Z711" s="5" t="s">
        <v>699</v>
      </c>
    </row>
    <row r="712" spans="14:26" x14ac:dyDescent="0.2">
      <c r="N712" s="42"/>
      <c r="Z712" s="5" t="s">
        <v>1446</v>
      </c>
    </row>
    <row r="713" spans="14:26" x14ac:dyDescent="0.2">
      <c r="N713" s="42"/>
      <c r="Z713" s="5" t="s">
        <v>805</v>
      </c>
    </row>
    <row r="714" spans="14:26" x14ac:dyDescent="0.2">
      <c r="N714" s="41"/>
      <c r="Z714" s="5" t="str">
        <f>"rpap-2"</f>
        <v>rpap-2</v>
      </c>
    </row>
    <row r="715" spans="14:26" x14ac:dyDescent="0.2">
      <c r="N715" s="42"/>
      <c r="Z715" s="5" t="s">
        <v>4877</v>
      </c>
    </row>
    <row r="716" spans="14:26" x14ac:dyDescent="0.2">
      <c r="N716" s="41"/>
      <c r="Z716" s="5" t="s">
        <v>1463</v>
      </c>
    </row>
    <row r="717" spans="14:26" x14ac:dyDescent="0.2">
      <c r="N717" s="42"/>
      <c r="Z717" s="5" t="s">
        <v>1223</v>
      </c>
    </row>
    <row r="718" spans="14:26" x14ac:dyDescent="0.2">
      <c r="N718" s="41"/>
      <c r="Z718" s="5" t="s">
        <v>1258</v>
      </c>
    </row>
    <row r="719" spans="14:26" x14ac:dyDescent="0.2">
      <c r="N719" s="42"/>
      <c r="Z719" s="5" t="s">
        <v>1317</v>
      </c>
    </row>
    <row r="720" spans="14:26" x14ac:dyDescent="0.2">
      <c r="N720" s="41"/>
      <c r="Z720" s="5" t="s">
        <v>1334</v>
      </c>
    </row>
    <row r="721" spans="14:26" x14ac:dyDescent="0.2">
      <c r="N721" s="42"/>
      <c r="Z721" s="5" t="s">
        <v>791</v>
      </c>
    </row>
    <row r="722" spans="14:26" x14ac:dyDescent="0.2">
      <c r="N722" s="41"/>
      <c r="Z722" s="52" t="s">
        <v>448</v>
      </c>
    </row>
    <row r="723" spans="14:26" x14ac:dyDescent="0.2">
      <c r="N723" s="41"/>
      <c r="Z723" s="5" t="s">
        <v>1203</v>
      </c>
    </row>
    <row r="724" spans="14:26" x14ac:dyDescent="0.2">
      <c r="N724" s="41"/>
      <c r="Z724" s="5" t="s">
        <v>909</v>
      </c>
    </row>
    <row r="725" spans="14:26" x14ac:dyDescent="0.2">
      <c r="N725" s="41"/>
      <c r="Z725" s="5" t="s">
        <v>4887</v>
      </c>
    </row>
    <row r="726" spans="14:26" x14ac:dyDescent="0.2">
      <c r="N726" s="41"/>
      <c r="Z726" s="5" t="s">
        <v>1370</v>
      </c>
    </row>
    <row r="727" spans="14:26" x14ac:dyDescent="0.2">
      <c r="N727" s="41"/>
      <c r="Z727" s="5" t="s">
        <v>1496</v>
      </c>
    </row>
    <row r="728" spans="14:26" x14ac:dyDescent="0.2">
      <c r="N728" s="41"/>
      <c r="Z728" s="5" t="s">
        <v>1365</v>
      </c>
    </row>
    <row r="729" spans="14:26" x14ac:dyDescent="0.2">
      <c r="N729" s="41"/>
      <c r="Z729" s="5" t="s">
        <v>1493</v>
      </c>
    </row>
    <row r="730" spans="14:26" x14ac:dyDescent="0.2">
      <c r="N730" s="41"/>
      <c r="Z730" s="5" t="s">
        <v>1377</v>
      </c>
    </row>
    <row r="731" spans="14:26" x14ac:dyDescent="0.2">
      <c r="N731" s="41"/>
      <c r="Z731" s="5" t="s">
        <v>1202</v>
      </c>
    </row>
    <row r="732" spans="14:26" x14ac:dyDescent="0.2">
      <c r="N732" s="41"/>
      <c r="Z732" s="5" t="s">
        <v>1207</v>
      </c>
    </row>
    <row r="733" spans="14:26" x14ac:dyDescent="0.2">
      <c r="N733" s="41"/>
      <c r="Z733" s="52" t="s">
        <v>452</v>
      </c>
    </row>
    <row r="734" spans="14:26" x14ac:dyDescent="0.2">
      <c r="N734" s="41"/>
      <c r="Z734" s="5" t="s">
        <v>1373</v>
      </c>
    </row>
    <row r="735" spans="14:26" x14ac:dyDescent="0.2">
      <c r="N735" s="41"/>
      <c r="Z735" s="5" t="s">
        <v>323</v>
      </c>
    </row>
    <row r="736" spans="14:26" x14ac:dyDescent="0.2">
      <c r="N736" s="41"/>
      <c r="Z736" s="52" t="s">
        <v>465</v>
      </c>
    </row>
    <row r="737" spans="14:26" x14ac:dyDescent="0.2">
      <c r="N737" s="41"/>
      <c r="Z737" s="5" t="s">
        <v>767</v>
      </c>
    </row>
    <row r="738" spans="14:26" x14ac:dyDescent="0.2">
      <c r="N738" s="41"/>
      <c r="Z738" s="5" t="s">
        <v>733</v>
      </c>
    </row>
    <row r="739" spans="14:26" x14ac:dyDescent="0.2">
      <c r="N739" s="41"/>
      <c r="Z739" s="5" t="s">
        <v>714</v>
      </c>
    </row>
    <row r="740" spans="14:26" x14ac:dyDescent="0.2">
      <c r="N740" s="41"/>
      <c r="Z740" s="10" t="s">
        <v>442</v>
      </c>
    </row>
    <row r="741" spans="14:26" x14ac:dyDescent="0.2">
      <c r="N741" s="41"/>
      <c r="Z741" s="5" t="s">
        <v>646</v>
      </c>
    </row>
    <row r="742" spans="14:26" x14ac:dyDescent="0.2">
      <c r="N742" s="41"/>
      <c r="Z742" s="5" t="s">
        <v>1280</v>
      </c>
    </row>
    <row r="743" spans="14:26" x14ac:dyDescent="0.2">
      <c r="N743" s="42"/>
      <c r="Z743" s="13" t="s">
        <v>625</v>
      </c>
    </row>
    <row r="744" spans="14:26" x14ac:dyDescent="0.2">
      <c r="N744" s="41"/>
      <c r="Z744" s="5" t="s">
        <v>750</v>
      </c>
    </row>
    <row r="745" spans="14:26" x14ac:dyDescent="0.2">
      <c r="N745" s="41"/>
      <c r="Z745" s="5" t="s">
        <v>1453</v>
      </c>
    </row>
    <row r="746" spans="14:26" x14ac:dyDescent="0.2">
      <c r="N746" s="41"/>
      <c r="Z746" s="52" t="s">
        <v>456</v>
      </c>
    </row>
    <row r="747" spans="14:26" x14ac:dyDescent="0.2">
      <c r="N747" s="41"/>
      <c r="Z747" s="5" t="s">
        <v>1271</v>
      </c>
    </row>
    <row r="748" spans="14:26" x14ac:dyDescent="0.2">
      <c r="N748" s="41"/>
      <c r="Z748" s="5" t="s">
        <v>1292</v>
      </c>
    </row>
    <row r="749" spans="14:26" x14ac:dyDescent="0.2">
      <c r="N749" s="41"/>
      <c r="Z749" s="52" t="s">
        <v>231</v>
      </c>
    </row>
    <row r="750" spans="14:26" x14ac:dyDescent="0.2">
      <c r="N750" s="41"/>
      <c r="Z750" s="5" t="s">
        <v>1312</v>
      </c>
    </row>
    <row r="751" spans="14:26" x14ac:dyDescent="0.2">
      <c r="N751" s="42"/>
      <c r="Z751" s="52" t="s">
        <v>237</v>
      </c>
    </row>
    <row r="752" spans="14:26" x14ac:dyDescent="0.2">
      <c r="N752" s="41"/>
      <c r="Z752" s="10" t="s">
        <v>458</v>
      </c>
    </row>
    <row r="753" spans="14:26" x14ac:dyDescent="0.2">
      <c r="N753" s="41"/>
      <c r="Z753" s="5" t="s">
        <v>1228</v>
      </c>
    </row>
    <row r="754" spans="14:26" x14ac:dyDescent="0.2">
      <c r="N754" s="41"/>
      <c r="Z754" s="5" t="s">
        <v>1388</v>
      </c>
    </row>
    <row r="755" spans="14:26" x14ac:dyDescent="0.2">
      <c r="N755" s="41"/>
      <c r="Z755" s="31" t="s">
        <v>1386</v>
      </c>
    </row>
    <row r="756" spans="14:26" x14ac:dyDescent="0.2">
      <c r="N756" s="41"/>
      <c r="Z756" s="5" t="s">
        <v>690</v>
      </c>
    </row>
    <row r="757" spans="14:26" x14ac:dyDescent="0.2">
      <c r="N757" s="41"/>
      <c r="Z757" s="52" t="s">
        <v>201</v>
      </c>
    </row>
    <row r="758" spans="14:26" x14ac:dyDescent="0.2">
      <c r="N758" s="41"/>
      <c r="Z758" s="5" t="s">
        <v>795</v>
      </c>
    </row>
    <row r="759" spans="14:26" x14ac:dyDescent="0.2">
      <c r="N759" s="41"/>
      <c r="Z759" s="5" t="s">
        <v>1194</v>
      </c>
    </row>
    <row r="760" spans="14:26" x14ac:dyDescent="0.2">
      <c r="N760" s="41"/>
      <c r="Z760" s="5" t="s">
        <v>1096</v>
      </c>
    </row>
    <row r="761" spans="14:26" x14ac:dyDescent="0.2">
      <c r="N761" s="41"/>
      <c r="Z761" s="5" t="s">
        <v>1001</v>
      </c>
    </row>
    <row r="762" spans="14:26" x14ac:dyDescent="0.2">
      <c r="N762" s="41"/>
      <c r="Z762" s="5" t="s">
        <v>639</v>
      </c>
    </row>
    <row r="763" spans="14:26" x14ac:dyDescent="0.2">
      <c r="N763" s="41"/>
      <c r="Z763" s="10" t="s">
        <v>427</v>
      </c>
    </row>
    <row r="764" spans="14:26" x14ac:dyDescent="0.2">
      <c r="N764" s="41"/>
      <c r="Z764" s="5" t="s">
        <v>1180</v>
      </c>
    </row>
    <row r="765" spans="14:26" x14ac:dyDescent="0.2">
      <c r="N765" s="41"/>
      <c r="Z765" s="52" t="s">
        <v>464</v>
      </c>
    </row>
    <row r="766" spans="14:26" x14ac:dyDescent="0.2">
      <c r="N766" s="41"/>
      <c r="Z766" s="52" t="s">
        <v>467</v>
      </c>
    </row>
    <row r="767" spans="14:26" x14ac:dyDescent="0.2">
      <c r="N767" s="42"/>
      <c r="Z767" s="10" t="s">
        <v>243</v>
      </c>
    </row>
    <row r="768" spans="14:26" x14ac:dyDescent="0.2">
      <c r="N768" s="41"/>
      <c r="Z768" s="5" t="s">
        <v>1412</v>
      </c>
    </row>
    <row r="769" spans="14:26" x14ac:dyDescent="0.2">
      <c r="N769" s="41"/>
      <c r="Z769" s="5" t="s">
        <v>1283</v>
      </c>
    </row>
    <row r="770" spans="14:26" x14ac:dyDescent="0.2">
      <c r="N770" s="41"/>
      <c r="Z770" s="10" t="s">
        <v>207</v>
      </c>
    </row>
    <row r="771" spans="14:26" x14ac:dyDescent="0.2">
      <c r="N771" s="41"/>
      <c r="Z771" s="10" t="s">
        <v>454</v>
      </c>
    </row>
    <row r="772" spans="14:26" x14ac:dyDescent="0.2">
      <c r="N772" s="42"/>
      <c r="Z772" s="52" t="s">
        <v>470</v>
      </c>
    </row>
    <row r="773" spans="14:26" x14ac:dyDescent="0.2">
      <c r="N773" s="41"/>
      <c r="Z773" s="52" t="s">
        <v>248</v>
      </c>
    </row>
    <row r="774" spans="14:26" x14ac:dyDescent="0.2">
      <c r="N774" s="42"/>
      <c r="Z774" s="52" t="s">
        <v>254</v>
      </c>
    </row>
    <row r="775" spans="14:26" x14ac:dyDescent="0.2">
      <c r="N775" s="41"/>
      <c r="Z775" s="5" t="s">
        <v>906</v>
      </c>
    </row>
    <row r="776" spans="14:26" x14ac:dyDescent="0.2">
      <c r="N776" s="41"/>
      <c r="Z776" s="52" t="s">
        <v>213</v>
      </c>
    </row>
    <row r="777" spans="14:26" x14ac:dyDescent="0.2">
      <c r="N777" s="41"/>
      <c r="Z777" s="5" t="s">
        <v>766</v>
      </c>
    </row>
    <row r="778" spans="14:26" x14ac:dyDescent="0.2">
      <c r="N778" s="42"/>
      <c r="Z778" s="5" t="s">
        <v>1156</v>
      </c>
    </row>
    <row r="779" spans="14:26" x14ac:dyDescent="0.2">
      <c r="N779" s="41"/>
      <c r="Z779" s="5" t="s">
        <v>683</v>
      </c>
    </row>
    <row r="780" spans="14:26" x14ac:dyDescent="0.2">
      <c r="N780" s="41"/>
      <c r="Z780" s="52" t="s">
        <v>476</v>
      </c>
    </row>
    <row r="781" spans="14:26" x14ac:dyDescent="0.2">
      <c r="N781" s="41"/>
      <c r="Z781" s="5" t="s">
        <v>1216</v>
      </c>
    </row>
    <row r="782" spans="14:26" x14ac:dyDescent="0.2">
      <c r="N782" s="41"/>
      <c r="Z782" s="5" t="s">
        <v>671</v>
      </c>
    </row>
    <row r="783" spans="14:26" x14ac:dyDescent="0.2">
      <c r="N783" s="42"/>
      <c r="Z783" s="5" t="s">
        <v>1261</v>
      </c>
    </row>
    <row r="784" spans="14:26" x14ac:dyDescent="0.2">
      <c r="N784" s="41"/>
      <c r="Z784" s="5" t="s">
        <v>1055</v>
      </c>
    </row>
    <row r="785" spans="14:26" x14ac:dyDescent="0.2">
      <c r="N785" s="41"/>
      <c r="Z785" s="5" t="s">
        <v>879</v>
      </c>
    </row>
    <row r="786" spans="14:26" x14ac:dyDescent="0.2">
      <c r="N786" s="41"/>
      <c r="Z786" s="52" t="s">
        <v>260</v>
      </c>
    </row>
    <row r="787" spans="14:26" x14ac:dyDescent="0.2">
      <c r="N787" s="41"/>
      <c r="Z787" s="52" t="s">
        <v>469</v>
      </c>
    </row>
    <row r="788" spans="14:26" x14ac:dyDescent="0.2">
      <c r="N788" s="41"/>
      <c r="Z788" s="52" t="s">
        <v>479</v>
      </c>
    </row>
    <row r="789" spans="14:26" x14ac:dyDescent="0.2">
      <c r="N789" s="41"/>
      <c r="Z789" s="5" t="s">
        <v>1503</v>
      </c>
    </row>
    <row r="790" spans="14:26" x14ac:dyDescent="0.2">
      <c r="N790" s="42"/>
      <c r="Z790" s="5" t="s">
        <v>708</v>
      </c>
    </row>
    <row r="791" spans="14:26" x14ac:dyDescent="0.2">
      <c r="N791" s="42"/>
      <c r="Z791" s="52" t="s">
        <v>472</v>
      </c>
    </row>
    <row r="792" spans="14:26" x14ac:dyDescent="0.2">
      <c r="N792" s="41"/>
      <c r="Z792" s="5" t="s">
        <v>632</v>
      </c>
    </row>
    <row r="793" spans="14:26" x14ac:dyDescent="0.2">
      <c r="N793" s="42"/>
      <c r="Z793" s="5" t="s">
        <v>1353</v>
      </c>
    </row>
    <row r="794" spans="14:26" x14ac:dyDescent="0.2">
      <c r="N794" s="41"/>
      <c r="Z794" s="5" t="s">
        <v>800</v>
      </c>
    </row>
    <row r="795" spans="14:26" x14ac:dyDescent="0.2">
      <c r="N795" s="41"/>
      <c r="Z795" s="5" t="s">
        <v>1084</v>
      </c>
    </row>
    <row r="796" spans="14:26" x14ac:dyDescent="0.2">
      <c r="N796" s="41"/>
      <c r="Z796" s="5" t="s">
        <v>1081</v>
      </c>
    </row>
    <row r="797" spans="14:26" x14ac:dyDescent="0.2">
      <c r="N797" s="42"/>
      <c r="Z797" s="5" t="s">
        <v>721</v>
      </c>
    </row>
    <row r="798" spans="14:26" x14ac:dyDescent="0.2">
      <c r="N798" s="42"/>
      <c r="Z798" s="5" t="s">
        <v>1206</v>
      </c>
    </row>
    <row r="799" spans="14:26" x14ac:dyDescent="0.2">
      <c r="N799" s="41"/>
      <c r="Z799" s="5" t="s">
        <v>1201</v>
      </c>
    </row>
    <row r="800" spans="14:26" x14ac:dyDescent="0.2">
      <c r="N800" s="41"/>
      <c r="Z800" s="10" t="s">
        <v>265</v>
      </c>
    </row>
    <row r="801" spans="14:26" x14ac:dyDescent="0.2">
      <c r="N801" s="41"/>
      <c r="Z801" s="5" t="s">
        <v>1288</v>
      </c>
    </row>
    <row r="802" spans="14:26" x14ac:dyDescent="0.2">
      <c r="N802" s="41"/>
      <c r="Z802" s="52" t="s">
        <v>482</v>
      </c>
    </row>
    <row r="803" spans="14:26" x14ac:dyDescent="0.2">
      <c r="N803" s="41"/>
      <c r="Z803" s="10" t="str">
        <f>"T02G5.7"</f>
        <v>T02G5.7</v>
      </c>
    </row>
    <row r="804" spans="14:26" x14ac:dyDescent="0.2">
      <c r="N804" s="41"/>
      <c r="Z804" s="52" t="s">
        <v>475</v>
      </c>
    </row>
    <row r="805" spans="14:26" x14ac:dyDescent="0.2">
      <c r="N805" s="41"/>
      <c r="Z805" s="10" t="s">
        <v>478</v>
      </c>
    </row>
    <row r="806" spans="14:26" x14ac:dyDescent="0.2">
      <c r="N806" s="41"/>
      <c r="Z806" s="5" t="s">
        <v>1270</v>
      </c>
    </row>
    <row r="807" spans="14:26" x14ac:dyDescent="0.2">
      <c r="N807" s="41"/>
      <c r="Z807" s="5" t="s">
        <v>1238</v>
      </c>
    </row>
    <row r="808" spans="14:26" x14ac:dyDescent="0.2">
      <c r="N808" s="41"/>
      <c r="Z808" s="5" t="s">
        <v>751</v>
      </c>
    </row>
    <row r="809" spans="14:26" x14ac:dyDescent="0.2">
      <c r="N809" s="41"/>
      <c r="Z809" s="5" t="s">
        <v>718</v>
      </c>
    </row>
    <row r="810" spans="14:26" x14ac:dyDescent="0.2">
      <c r="N810" s="41"/>
      <c r="Z810" s="52" t="s">
        <v>481</v>
      </c>
    </row>
    <row r="811" spans="14:26" x14ac:dyDescent="0.2">
      <c r="N811" s="41"/>
      <c r="Z811" s="5" t="s">
        <v>643</v>
      </c>
    </row>
    <row r="812" spans="14:26" x14ac:dyDescent="0.2">
      <c r="N812" s="41"/>
      <c r="Z812" s="5" t="s">
        <v>908</v>
      </c>
    </row>
    <row r="813" spans="14:26" x14ac:dyDescent="0.2">
      <c r="N813" s="41"/>
      <c r="Z813" s="5" t="s">
        <v>1181</v>
      </c>
    </row>
    <row r="814" spans="14:26" x14ac:dyDescent="0.2">
      <c r="N814" s="42"/>
      <c r="Z814" s="5" t="s">
        <v>1479</v>
      </c>
    </row>
    <row r="815" spans="14:26" x14ac:dyDescent="0.2">
      <c r="N815" s="41"/>
      <c r="Z815" s="52" t="s">
        <v>219</v>
      </c>
    </row>
    <row r="816" spans="14:26" x14ac:dyDescent="0.2">
      <c r="N816" s="41"/>
      <c r="Z816" s="52" t="s">
        <v>483</v>
      </c>
    </row>
    <row r="817" spans="14:26" x14ac:dyDescent="0.2">
      <c r="N817" s="41"/>
      <c r="Z817" s="52" t="s">
        <v>486</v>
      </c>
    </row>
    <row r="818" spans="14:26" x14ac:dyDescent="0.2">
      <c r="N818" s="41"/>
      <c r="Z818" s="5" t="s">
        <v>1052</v>
      </c>
    </row>
    <row r="819" spans="14:26" x14ac:dyDescent="0.2">
      <c r="N819" s="41"/>
      <c r="Z819" s="5" t="s">
        <v>1160</v>
      </c>
    </row>
    <row r="820" spans="14:26" x14ac:dyDescent="0.2">
      <c r="N820" s="42"/>
      <c r="Z820" s="5" t="s">
        <v>658</v>
      </c>
    </row>
    <row r="821" spans="14:26" x14ac:dyDescent="0.2">
      <c r="Z821" s="5" t="s">
        <v>1090</v>
      </c>
    </row>
    <row r="822" spans="14:26" x14ac:dyDescent="0.2">
      <c r="Z822" s="5" t="s">
        <v>1306</v>
      </c>
    </row>
    <row r="823" spans="14:26" x14ac:dyDescent="0.2">
      <c r="Z823" s="5" t="s">
        <v>1440</v>
      </c>
    </row>
    <row r="824" spans="14:26" x14ac:dyDescent="0.2">
      <c r="Z824" s="52" t="s">
        <v>224</v>
      </c>
    </row>
    <row r="825" spans="14:26" x14ac:dyDescent="0.2">
      <c r="Z825" s="5" t="s">
        <v>1086</v>
      </c>
    </row>
    <row r="826" spans="14:26" x14ac:dyDescent="0.2">
      <c r="Z826" s="5" t="s">
        <v>1253</v>
      </c>
    </row>
    <row r="827" spans="14:26" x14ac:dyDescent="0.2">
      <c r="Z827" s="52" t="s">
        <v>485</v>
      </c>
    </row>
    <row r="828" spans="14:26" x14ac:dyDescent="0.2">
      <c r="Z828" s="52" t="s">
        <v>489</v>
      </c>
    </row>
    <row r="829" spans="14:26" x14ac:dyDescent="0.2">
      <c r="Z829" s="52" t="s">
        <v>492</v>
      </c>
    </row>
    <row r="830" spans="14:26" x14ac:dyDescent="0.2">
      <c r="Z830" s="13" t="str">
        <f>"T28F4.5"</f>
        <v>T28F4.5</v>
      </c>
    </row>
    <row r="831" spans="14:26" x14ac:dyDescent="0.2">
      <c r="Z831" s="5" t="s">
        <v>1151</v>
      </c>
    </row>
    <row r="832" spans="14:26" x14ac:dyDescent="0.2">
      <c r="Z832" s="5" t="s">
        <v>1106</v>
      </c>
    </row>
    <row r="833" spans="26:26" x14ac:dyDescent="0.2">
      <c r="Z833" s="5" t="s">
        <v>1087</v>
      </c>
    </row>
    <row r="834" spans="26:26" x14ac:dyDescent="0.2">
      <c r="Z834" s="5" t="s">
        <v>749</v>
      </c>
    </row>
    <row r="835" spans="26:26" x14ac:dyDescent="0.2">
      <c r="Z835" s="5" t="s">
        <v>1153</v>
      </c>
    </row>
    <row r="836" spans="26:26" x14ac:dyDescent="0.2">
      <c r="Z836" s="5" t="s">
        <v>1286</v>
      </c>
    </row>
    <row r="837" spans="26:26" x14ac:dyDescent="0.2">
      <c r="Z837" s="10" t="s">
        <v>495</v>
      </c>
    </row>
    <row r="838" spans="26:26" x14ac:dyDescent="0.2">
      <c r="Z838" s="10" t="s">
        <v>488</v>
      </c>
    </row>
    <row r="839" spans="26:26" x14ac:dyDescent="0.2">
      <c r="Z839" s="5" t="s">
        <v>737</v>
      </c>
    </row>
    <row r="840" spans="26:26" x14ac:dyDescent="0.2">
      <c r="Z840" s="52" t="s">
        <v>491</v>
      </c>
    </row>
    <row r="841" spans="26:26" x14ac:dyDescent="0.2">
      <c r="Z841" s="52" t="s">
        <v>494</v>
      </c>
    </row>
    <row r="842" spans="26:26" x14ac:dyDescent="0.2">
      <c r="Z842" s="52" t="s">
        <v>230</v>
      </c>
    </row>
    <row r="843" spans="26:26" x14ac:dyDescent="0.2">
      <c r="Z843" s="52" t="s">
        <v>498</v>
      </c>
    </row>
    <row r="844" spans="26:26" x14ac:dyDescent="0.2">
      <c r="Z844" s="5" t="s">
        <v>1083</v>
      </c>
    </row>
    <row r="845" spans="26:26" x14ac:dyDescent="0.2">
      <c r="Z845" s="52" t="s">
        <v>500</v>
      </c>
    </row>
    <row r="846" spans="26:26" x14ac:dyDescent="0.2">
      <c r="Z846" s="52" t="s">
        <v>502</v>
      </c>
    </row>
    <row r="847" spans="26:26" x14ac:dyDescent="0.2">
      <c r="Z847" s="52" t="s">
        <v>497</v>
      </c>
    </row>
    <row r="848" spans="26:26" x14ac:dyDescent="0.2">
      <c r="Z848" s="10" t="s">
        <v>596</v>
      </c>
    </row>
    <row r="849" spans="26:26" x14ac:dyDescent="0.2">
      <c r="Z849" s="5" t="s">
        <v>753</v>
      </c>
    </row>
    <row r="850" spans="26:26" x14ac:dyDescent="0.2">
      <c r="Z850" s="10" t="s">
        <v>466</v>
      </c>
    </row>
    <row r="851" spans="26:26" x14ac:dyDescent="0.2">
      <c r="Z851" s="5" t="s">
        <v>1416</v>
      </c>
    </row>
    <row r="852" spans="26:26" x14ac:dyDescent="0.2">
      <c r="Z852" s="5" t="s">
        <v>1351</v>
      </c>
    </row>
    <row r="853" spans="26:26" x14ac:dyDescent="0.2">
      <c r="Z853" s="52" t="s">
        <v>503</v>
      </c>
    </row>
    <row r="854" spans="26:26" x14ac:dyDescent="0.2">
      <c r="Z854" s="5" t="s">
        <v>726</v>
      </c>
    </row>
    <row r="855" spans="26:26" x14ac:dyDescent="0.2">
      <c r="Z855" s="10" t="s">
        <v>584</v>
      </c>
    </row>
    <row r="856" spans="26:26" x14ac:dyDescent="0.2">
      <c r="Z856" s="52" t="s">
        <v>505</v>
      </c>
    </row>
    <row r="857" spans="26:26" x14ac:dyDescent="0.2">
      <c r="Z857" s="5" t="s">
        <v>1251</v>
      </c>
    </row>
    <row r="858" spans="26:26" x14ac:dyDescent="0.2">
      <c r="Z858" s="5" t="s">
        <v>1301</v>
      </c>
    </row>
    <row r="859" spans="26:26" x14ac:dyDescent="0.2">
      <c r="Z859" s="5" t="s">
        <v>1442</v>
      </c>
    </row>
    <row r="860" spans="26:26" x14ac:dyDescent="0.2">
      <c r="Z860" s="5" t="s">
        <v>1376</v>
      </c>
    </row>
    <row r="861" spans="26:26" x14ac:dyDescent="0.2">
      <c r="Z861" s="52" t="s">
        <v>504</v>
      </c>
    </row>
    <row r="862" spans="26:26" x14ac:dyDescent="0.2">
      <c r="Z862" s="52" t="s">
        <v>506</v>
      </c>
    </row>
    <row r="863" spans="26:26" x14ac:dyDescent="0.2">
      <c r="Z863" s="5" t="s">
        <v>921</v>
      </c>
    </row>
    <row r="864" spans="26:26" x14ac:dyDescent="0.2">
      <c r="Z864" s="5" t="s">
        <v>1245</v>
      </c>
    </row>
    <row r="865" spans="26:26" x14ac:dyDescent="0.2">
      <c r="Z865" s="5" t="s">
        <v>1129</v>
      </c>
    </row>
    <row r="866" spans="26:26" x14ac:dyDescent="0.2">
      <c r="Z866" s="52" t="s">
        <v>508</v>
      </c>
    </row>
    <row r="867" spans="26:26" x14ac:dyDescent="0.2">
      <c r="Z867" s="52" t="s">
        <v>511</v>
      </c>
    </row>
    <row r="868" spans="26:26" x14ac:dyDescent="0.2">
      <c r="Z868" s="13" t="s">
        <v>236</v>
      </c>
    </row>
    <row r="869" spans="26:26" x14ac:dyDescent="0.2">
      <c r="Z869" s="52" t="s">
        <v>514</v>
      </c>
    </row>
    <row r="870" spans="26:26" x14ac:dyDescent="0.2">
      <c r="Z870" s="5" t="s">
        <v>677</v>
      </c>
    </row>
    <row r="871" spans="26:26" x14ac:dyDescent="0.2">
      <c r="Z871" s="5" t="s">
        <v>1285</v>
      </c>
    </row>
    <row r="872" spans="26:26" x14ac:dyDescent="0.2">
      <c r="Z872" s="5" t="s">
        <v>1367</v>
      </c>
    </row>
    <row r="873" spans="26:26" x14ac:dyDescent="0.2">
      <c r="Z873" s="5" t="s">
        <v>694</v>
      </c>
    </row>
    <row r="874" spans="26:26" x14ac:dyDescent="0.2">
      <c r="Z874" s="5" t="s">
        <v>688</v>
      </c>
    </row>
    <row r="875" spans="26:26" x14ac:dyDescent="0.2">
      <c r="Z875" s="5" t="s">
        <v>1282</v>
      </c>
    </row>
    <row r="876" spans="26:26" x14ac:dyDescent="0.2">
      <c r="Z876" s="5" t="s">
        <v>754</v>
      </c>
    </row>
    <row r="877" spans="26:26" x14ac:dyDescent="0.2">
      <c r="Z877" s="5" t="s">
        <v>666</v>
      </c>
    </row>
    <row r="878" spans="26:26" x14ac:dyDescent="0.2">
      <c r="Z878" s="5" t="s">
        <v>181</v>
      </c>
    </row>
    <row r="879" spans="26:26" x14ac:dyDescent="0.2">
      <c r="Z879" s="5" t="s">
        <v>1350</v>
      </c>
    </row>
    <row r="880" spans="26:26" x14ac:dyDescent="0.2">
      <c r="Z880" s="5" t="s">
        <v>768</v>
      </c>
    </row>
    <row r="881" spans="26:26" x14ac:dyDescent="0.2">
      <c r="Z881" s="52" t="s">
        <v>515</v>
      </c>
    </row>
    <row r="882" spans="26:26" x14ac:dyDescent="0.2">
      <c r="Z882" s="5" t="s">
        <v>1265</v>
      </c>
    </row>
    <row r="883" spans="26:26" x14ac:dyDescent="0.2">
      <c r="Z883" s="10" t="s">
        <v>510</v>
      </c>
    </row>
    <row r="884" spans="26:26" x14ac:dyDescent="0.2">
      <c r="Z884" s="5" t="s">
        <v>1079</v>
      </c>
    </row>
    <row r="885" spans="26:26" x14ac:dyDescent="0.2">
      <c r="Z885" s="5" t="str">
        <f>"ubc-3"</f>
        <v>ubc-3</v>
      </c>
    </row>
    <row r="886" spans="26:26" x14ac:dyDescent="0.2">
      <c r="Z886" s="10" t="str">
        <f>"ubc-7"</f>
        <v>ubc-7</v>
      </c>
    </row>
    <row r="887" spans="26:26" x14ac:dyDescent="0.2">
      <c r="Z887" s="5" t="s">
        <v>1173</v>
      </c>
    </row>
    <row r="888" spans="26:26" x14ac:dyDescent="0.2">
      <c r="Z888" s="10" t="s">
        <v>513</v>
      </c>
    </row>
    <row r="889" spans="26:26" x14ac:dyDescent="0.2">
      <c r="Z889" s="5" t="s">
        <v>1189</v>
      </c>
    </row>
    <row r="890" spans="26:26" x14ac:dyDescent="0.2">
      <c r="Z890" s="13" t="s">
        <v>829</v>
      </c>
    </row>
    <row r="891" spans="26:26" x14ac:dyDescent="0.2">
      <c r="Z891" s="5" t="s">
        <v>1183</v>
      </c>
    </row>
    <row r="892" spans="26:26" x14ac:dyDescent="0.2">
      <c r="Z892" s="52" t="s">
        <v>517</v>
      </c>
    </row>
    <row r="893" spans="26:26" x14ac:dyDescent="0.2">
      <c r="Z893" s="52" t="s">
        <v>520</v>
      </c>
    </row>
    <row r="894" spans="26:26" x14ac:dyDescent="0.2">
      <c r="Z894" s="5" t="s">
        <v>736</v>
      </c>
    </row>
    <row r="895" spans="26:26" x14ac:dyDescent="0.2">
      <c r="Z895" s="5" t="s">
        <v>1204</v>
      </c>
    </row>
    <row r="896" spans="26:26" x14ac:dyDescent="0.2">
      <c r="Z896" s="5" t="s">
        <v>644</v>
      </c>
    </row>
    <row r="897" spans="26:26" x14ac:dyDescent="0.2">
      <c r="Z897" s="5" t="s">
        <v>673</v>
      </c>
    </row>
    <row r="898" spans="26:26" x14ac:dyDescent="0.2">
      <c r="Z898" s="5" t="s">
        <v>654</v>
      </c>
    </row>
    <row r="899" spans="26:26" x14ac:dyDescent="0.2">
      <c r="Z899" s="5" t="s">
        <v>635</v>
      </c>
    </row>
    <row r="900" spans="26:26" x14ac:dyDescent="0.2">
      <c r="Z900" s="5" t="s">
        <v>662</v>
      </c>
    </row>
    <row r="901" spans="26:26" x14ac:dyDescent="0.2">
      <c r="Z901" s="5" t="s">
        <v>1324</v>
      </c>
    </row>
    <row r="902" spans="26:26" x14ac:dyDescent="0.2">
      <c r="Z902" s="5" t="s">
        <v>1462</v>
      </c>
    </row>
    <row r="903" spans="26:26" x14ac:dyDescent="0.2">
      <c r="Z903" s="52" t="s">
        <v>516</v>
      </c>
    </row>
    <row r="904" spans="26:26" x14ac:dyDescent="0.2">
      <c r="Z904" s="52" t="s">
        <v>269</v>
      </c>
    </row>
    <row r="905" spans="26:26" x14ac:dyDescent="0.2">
      <c r="Z905" s="5" t="str">
        <f>"unc-25"</f>
        <v>unc-25</v>
      </c>
    </row>
    <row r="906" spans="26:26" x14ac:dyDescent="0.2">
      <c r="Z906" s="10" t="s">
        <v>523</v>
      </c>
    </row>
    <row r="907" spans="26:26" x14ac:dyDescent="0.2">
      <c r="Z907" s="10" t="s">
        <v>519</v>
      </c>
    </row>
    <row r="908" spans="26:26" x14ac:dyDescent="0.2">
      <c r="Z908" s="52" t="s">
        <v>525</v>
      </c>
    </row>
    <row r="909" spans="26:26" x14ac:dyDescent="0.2">
      <c r="Z909" s="5" t="s">
        <v>1141</v>
      </c>
    </row>
    <row r="910" spans="26:26" x14ac:dyDescent="0.2">
      <c r="Z910" s="5" t="s">
        <v>1065</v>
      </c>
    </row>
    <row r="911" spans="26:26" x14ac:dyDescent="0.2">
      <c r="Z911" s="5" t="s">
        <v>372</v>
      </c>
    </row>
    <row r="912" spans="26:26" x14ac:dyDescent="0.2">
      <c r="Z912" s="5" t="s">
        <v>1336</v>
      </c>
    </row>
    <row r="913" spans="26:26" x14ac:dyDescent="0.2">
      <c r="Z913" s="5" t="s">
        <v>785</v>
      </c>
    </row>
    <row r="914" spans="26:26" x14ac:dyDescent="0.2">
      <c r="Z914" s="5" t="s">
        <v>986</v>
      </c>
    </row>
    <row r="915" spans="26:26" x14ac:dyDescent="0.2">
      <c r="Z915" s="5" t="s">
        <v>1497</v>
      </c>
    </row>
    <row r="916" spans="26:26" x14ac:dyDescent="0.2">
      <c r="Z916" s="52" t="s">
        <v>522</v>
      </c>
    </row>
    <row r="917" spans="26:26" x14ac:dyDescent="0.2">
      <c r="Z917" s="5" t="s">
        <v>1272</v>
      </c>
    </row>
    <row r="918" spans="26:26" x14ac:dyDescent="0.2">
      <c r="Z918" s="10" t="s">
        <v>524</v>
      </c>
    </row>
    <row r="919" spans="26:26" x14ac:dyDescent="0.2">
      <c r="Z919" s="52" t="s">
        <v>242</v>
      </c>
    </row>
    <row r="920" spans="26:26" x14ac:dyDescent="0.2">
      <c r="Z920" s="10" t="s">
        <v>527</v>
      </c>
    </row>
    <row r="921" spans="26:26" x14ac:dyDescent="0.2">
      <c r="Z921" s="5" t="s">
        <v>1281</v>
      </c>
    </row>
    <row r="922" spans="26:26" x14ac:dyDescent="0.2">
      <c r="Z922" s="10" t="s">
        <v>595</v>
      </c>
    </row>
    <row r="923" spans="26:26" x14ac:dyDescent="0.2">
      <c r="Z923" s="10" t="s">
        <v>374</v>
      </c>
    </row>
    <row r="924" spans="26:26" x14ac:dyDescent="0.2">
      <c r="Z924" s="10" t="s">
        <v>582</v>
      </c>
    </row>
    <row r="925" spans="26:26" x14ac:dyDescent="0.2">
      <c r="Z925" s="5" t="s">
        <v>1316</v>
      </c>
    </row>
    <row r="926" spans="26:26" x14ac:dyDescent="0.2">
      <c r="Z926" s="5" t="s">
        <v>769</v>
      </c>
    </row>
    <row r="927" spans="26:26" x14ac:dyDescent="0.2">
      <c r="Z927" s="5" t="s">
        <v>1263</v>
      </c>
    </row>
    <row r="928" spans="26:26" x14ac:dyDescent="0.2">
      <c r="Z928" s="52" t="s">
        <v>528</v>
      </c>
    </row>
    <row r="929" spans="26:26" x14ac:dyDescent="0.2">
      <c r="Z929" s="5" t="s">
        <v>651</v>
      </c>
    </row>
    <row r="930" spans="26:26" x14ac:dyDescent="0.2">
      <c r="Z930" s="5" t="s">
        <v>655</v>
      </c>
    </row>
    <row r="931" spans="26:26" x14ac:dyDescent="0.2">
      <c r="Z931" s="5" t="s">
        <v>647</v>
      </c>
    </row>
    <row r="932" spans="26:26" x14ac:dyDescent="0.2">
      <c r="Z932" s="5" t="s">
        <v>650</v>
      </c>
    </row>
    <row r="933" spans="26:26" x14ac:dyDescent="0.2">
      <c r="Z933" s="5" t="s">
        <v>648</v>
      </c>
    </row>
    <row r="934" spans="26:26" x14ac:dyDescent="0.2">
      <c r="Z934" s="5" t="s">
        <v>653</v>
      </c>
    </row>
    <row r="935" spans="26:26" x14ac:dyDescent="0.2">
      <c r="Z935" s="52" t="s">
        <v>529</v>
      </c>
    </row>
    <row r="936" spans="26:26" x14ac:dyDescent="0.2">
      <c r="Z936" s="5" t="s">
        <v>1304</v>
      </c>
    </row>
    <row r="937" spans="26:26" x14ac:dyDescent="0.2">
      <c r="Z937" s="10" t="s">
        <v>282</v>
      </c>
    </row>
    <row r="938" spans="26:26" x14ac:dyDescent="0.2">
      <c r="Z938" s="10" t="s">
        <v>574</v>
      </c>
    </row>
    <row r="939" spans="26:26" x14ac:dyDescent="0.2">
      <c r="Z939" s="5" t="s">
        <v>1379</v>
      </c>
    </row>
    <row r="940" spans="26:26" x14ac:dyDescent="0.2">
      <c r="Z940" s="5" t="s">
        <v>1290</v>
      </c>
    </row>
    <row r="941" spans="26:26" x14ac:dyDescent="0.2">
      <c r="Z941" s="5" t="s">
        <v>1187</v>
      </c>
    </row>
    <row r="942" spans="26:26" x14ac:dyDescent="0.2">
      <c r="Z942" s="52" t="s">
        <v>532</v>
      </c>
    </row>
    <row r="943" spans="26:26" x14ac:dyDescent="0.2">
      <c r="Z943" s="5" t="s">
        <v>756</v>
      </c>
    </row>
    <row r="944" spans="26:26" x14ac:dyDescent="0.2">
      <c r="Z944" s="13" t="s">
        <v>531</v>
      </c>
    </row>
    <row r="945" spans="26:26" x14ac:dyDescent="0.2">
      <c r="Z945" s="5" t="s">
        <v>667</v>
      </c>
    </row>
    <row r="946" spans="26:26" x14ac:dyDescent="0.2">
      <c r="Z946" s="5" t="s">
        <v>1098</v>
      </c>
    </row>
    <row r="947" spans="26:26" x14ac:dyDescent="0.2">
      <c r="Z947" s="5" t="s">
        <v>1230</v>
      </c>
    </row>
    <row r="948" spans="26:26" x14ac:dyDescent="0.2">
      <c r="Z948" s="10" t="s">
        <v>533</v>
      </c>
    </row>
    <row r="949" spans="26:26" x14ac:dyDescent="0.2">
      <c r="Z949" s="5" t="s">
        <v>744</v>
      </c>
    </row>
    <row r="950" spans="26:26" x14ac:dyDescent="0.2">
      <c r="Z950" s="5" t="s">
        <v>698</v>
      </c>
    </row>
    <row r="951" spans="26:26" x14ac:dyDescent="0.2">
      <c r="Z951" s="52" t="s">
        <v>247</v>
      </c>
    </row>
    <row r="952" spans="26:26" x14ac:dyDescent="0.2">
      <c r="Z952" s="5" t="s">
        <v>1117</v>
      </c>
    </row>
    <row r="953" spans="26:26" x14ac:dyDescent="0.2">
      <c r="Z953" s="5" t="s">
        <v>1205</v>
      </c>
    </row>
    <row r="954" spans="26:26" x14ac:dyDescent="0.2">
      <c r="Z954" s="5" t="s">
        <v>1120</v>
      </c>
    </row>
    <row r="955" spans="26:26" x14ac:dyDescent="0.2">
      <c r="Z955" s="52" t="s">
        <v>538</v>
      </c>
    </row>
    <row r="956" spans="26:26" x14ac:dyDescent="0.2">
      <c r="Z956" s="5" t="s">
        <v>1122</v>
      </c>
    </row>
    <row r="957" spans="26:26" x14ac:dyDescent="0.2">
      <c r="Z957" s="10" t="s">
        <v>594</v>
      </c>
    </row>
    <row r="958" spans="26:26" x14ac:dyDescent="0.2">
      <c r="Z958" s="5" t="s">
        <v>1341</v>
      </c>
    </row>
    <row r="959" spans="26:26" x14ac:dyDescent="0.2">
      <c r="Z959" s="5" t="s">
        <v>801</v>
      </c>
    </row>
    <row r="960" spans="26:26" x14ac:dyDescent="0.2">
      <c r="Z960" s="52" t="s">
        <v>534</v>
      </c>
    </row>
    <row r="961" spans="26:26" x14ac:dyDescent="0.2">
      <c r="Z961" s="52" t="s">
        <v>536</v>
      </c>
    </row>
    <row r="962" spans="26:26" x14ac:dyDescent="0.2">
      <c r="Z962" s="52" t="s">
        <v>539</v>
      </c>
    </row>
    <row r="963" spans="26:26" x14ac:dyDescent="0.2">
      <c r="Z963" s="52" t="s">
        <v>541</v>
      </c>
    </row>
    <row r="964" spans="26:26" x14ac:dyDescent="0.2">
      <c r="Z964" s="52" t="s">
        <v>544</v>
      </c>
    </row>
    <row r="965" spans="26:26" x14ac:dyDescent="0.2">
      <c r="Z965" s="10" t="s">
        <v>540</v>
      </c>
    </row>
    <row r="966" spans="26:26" x14ac:dyDescent="0.2">
      <c r="Z966" s="5" t="s">
        <v>679</v>
      </c>
    </row>
    <row r="967" spans="26:26" x14ac:dyDescent="0.2">
      <c r="Z967" s="5" t="s">
        <v>645</v>
      </c>
    </row>
    <row r="968" spans="26:26" x14ac:dyDescent="0.2">
      <c r="Z968" s="52" t="s">
        <v>543</v>
      </c>
    </row>
    <row r="969" spans="26:26" x14ac:dyDescent="0.2">
      <c r="Z969" s="5" t="s">
        <v>720</v>
      </c>
    </row>
    <row r="970" spans="26:26" x14ac:dyDescent="0.2">
      <c r="Z970" s="5" t="s">
        <v>669</v>
      </c>
    </row>
    <row r="971" spans="26:26" x14ac:dyDescent="0.2">
      <c r="Z971" s="10" t="s">
        <v>546</v>
      </c>
    </row>
    <row r="972" spans="26:26" x14ac:dyDescent="0.2">
      <c r="Z972" s="5" t="s">
        <v>1037</v>
      </c>
    </row>
    <row r="973" spans="26:26" x14ac:dyDescent="0.2">
      <c r="Z973" s="5" t="s">
        <v>1381</v>
      </c>
    </row>
    <row r="974" spans="26:26" x14ac:dyDescent="0.2">
      <c r="Z974" s="52" t="s">
        <v>547</v>
      </c>
    </row>
    <row r="975" spans="26:26" x14ac:dyDescent="0.2">
      <c r="Z975" s="5" t="s">
        <v>1359</v>
      </c>
    </row>
    <row r="976" spans="26:26" x14ac:dyDescent="0.2">
      <c r="Z976" s="5" t="s">
        <v>1315</v>
      </c>
    </row>
    <row r="977" spans="26:26" x14ac:dyDescent="0.2">
      <c r="Z977" s="5" t="s">
        <v>1099</v>
      </c>
    </row>
    <row r="978" spans="26:26" x14ac:dyDescent="0.2">
      <c r="Z978" s="5" t="s">
        <v>1077</v>
      </c>
    </row>
    <row r="979" spans="26:26" x14ac:dyDescent="0.2">
      <c r="Z979" s="52" t="s">
        <v>549</v>
      </c>
    </row>
    <row r="980" spans="26:26" x14ac:dyDescent="0.2">
      <c r="Z980" s="5" t="s">
        <v>743</v>
      </c>
    </row>
    <row r="981" spans="26:26" x14ac:dyDescent="0.2">
      <c r="Z981" s="5" t="s">
        <v>634</v>
      </c>
    </row>
    <row r="982" spans="26:26" x14ac:dyDescent="0.2">
      <c r="Z982" s="52" t="s">
        <v>550</v>
      </c>
    </row>
    <row r="983" spans="26:26" x14ac:dyDescent="0.2">
      <c r="Z983" s="5" t="s">
        <v>1191</v>
      </c>
    </row>
    <row r="984" spans="26:26" x14ac:dyDescent="0.2">
      <c r="Z984" s="5" t="s">
        <v>1344</v>
      </c>
    </row>
    <row r="985" spans="26:26" x14ac:dyDescent="0.2">
      <c r="Z985" s="5" t="str">
        <f>"Y54G2A.40"</f>
        <v>Y54G2A.40</v>
      </c>
    </row>
    <row r="986" spans="26:26" x14ac:dyDescent="0.2">
      <c r="Z986" s="5" t="s">
        <v>1302</v>
      </c>
    </row>
    <row r="987" spans="26:26" x14ac:dyDescent="0.2">
      <c r="Z987" s="10" t="s">
        <v>573</v>
      </c>
    </row>
    <row r="988" spans="26:26" x14ac:dyDescent="0.2">
      <c r="Z988" s="13" t="s">
        <v>545</v>
      </c>
    </row>
    <row r="989" spans="26:26" x14ac:dyDescent="0.2">
      <c r="Z989" s="5" t="s">
        <v>1148</v>
      </c>
    </row>
    <row r="990" spans="26:26" x14ac:dyDescent="0.2">
      <c r="Z990" s="52" t="s">
        <v>551</v>
      </c>
    </row>
    <row r="991" spans="26:26" x14ac:dyDescent="0.2">
      <c r="Z991" s="5" t="s">
        <v>1354</v>
      </c>
    </row>
    <row r="992" spans="26:26" x14ac:dyDescent="0.2">
      <c r="Z992" s="52" t="s">
        <v>553</v>
      </c>
    </row>
    <row r="993" spans="26:26" x14ac:dyDescent="0.2">
      <c r="Z993" s="13" t="str">
        <f>"Y62E10A.13"</f>
        <v>Y62E10A.13</v>
      </c>
    </row>
    <row r="994" spans="26:26" x14ac:dyDescent="0.2">
      <c r="Z994" s="5" t="s">
        <v>661</v>
      </c>
    </row>
    <row r="995" spans="26:26" x14ac:dyDescent="0.2">
      <c r="Z995" s="5" t="s">
        <v>705</v>
      </c>
    </row>
    <row r="996" spans="26:26" x14ac:dyDescent="0.2">
      <c r="Z996" s="5" t="s">
        <v>1328</v>
      </c>
    </row>
    <row r="997" spans="26:26" x14ac:dyDescent="0.2">
      <c r="Z997" s="5" t="s">
        <v>1291</v>
      </c>
    </row>
    <row r="998" spans="26:26" x14ac:dyDescent="0.2">
      <c r="Z998" s="5" t="s">
        <v>1278</v>
      </c>
    </row>
    <row r="999" spans="26:26" x14ac:dyDescent="0.2">
      <c r="Z999" s="5" t="s">
        <v>1219</v>
      </c>
    </row>
    <row r="1000" spans="26:26" x14ac:dyDescent="0.2">
      <c r="Z1000" s="5" t="s">
        <v>1094</v>
      </c>
    </row>
    <row r="1001" spans="26:26" x14ac:dyDescent="0.2">
      <c r="Z1001" s="5" t="s">
        <v>1269</v>
      </c>
    </row>
    <row r="1002" spans="26:26" x14ac:dyDescent="0.2">
      <c r="Z1002" s="10" t="s">
        <v>253</v>
      </c>
    </row>
    <row r="1003" spans="26:26" x14ac:dyDescent="0.2">
      <c r="Z1003" s="52" t="s">
        <v>555</v>
      </c>
    </row>
    <row r="1004" spans="26:26" x14ac:dyDescent="0.2">
      <c r="Z1004" s="52" t="s">
        <v>548</v>
      </c>
    </row>
    <row r="1005" spans="26:26" x14ac:dyDescent="0.2">
      <c r="Z1005" s="10" t="s">
        <v>490</v>
      </c>
    </row>
    <row r="1006" spans="26:26" x14ac:dyDescent="0.2">
      <c r="Z1006" s="13" t="s">
        <v>626</v>
      </c>
    </row>
    <row r="1007" spans="26:26" x14ac:dyDescent="0.2">
      <c r="Z1007" s="5" t="s">
        <v>1231</v>
      </c>
    </row>
    <row r="1008" spans="26:26" x14ac:dyDescent="0.2">
      <c r="Z1008" s="52" t="s">
        <v>259</v>
      </c>
    </row>
    <row r="1009" spans="26:26" x14ac:dyDescent="0.2">
      <c r="Z1009" s="5" t="s">
        <v>1352</v>
      </c>
    </row>
    <row r="1010" spans="26:26" x14ac:dyDescent="0.2">
      <c r="Z1010" s="5" t="s">
        <v>1329</v>
      </c>
    </row>
    <row r="1011" spans="26:26" x14ac:dyDescent="0.2">
      <c r="Z1011" s="13" t="s">
        <v>299</v>
      </c>
    </row>
    <row r="1012" spans="26:26" x14ac:dyDescent="0.2">
      <c r="Z1012" s="5" t="s">
        <v>681</v>
      </c>
    </row>
    <row r="1013" spans="26:26" x14ac:dyDescent="0.2">
      <c r="Z1013" s="10" t="s">
        <v>556</v>
      </c>
    </row>
    <row r="1014" spans="26:26" x14ac:dyDescent="0.2">
      <c r="Z1014" s="5" t="s">
        <v>713</v>
      </c>
    </row>
    <row r="1015" spans="26:26" x14ac:dyDescent="0.2">
      <c r="Z1015" s="5" t="s">
        <v>707</v>
      </c>
    </row>
    <row r="1016" spans="26:26" x14ac:dyDescent="0.2">
      <c r="Z1016" s="52" t="s">
        <v>4901</v>
      </c>
    </row>
    <row r="1017" spans="26:26" x14ac:dyDescent="0.2">
      <c r="Z1017" s="5" t="s">
        <v>704</v>
      </c>
    </row>
    <row r="1018" spans="26:26" x14ac:dyDescent="0.2">
      <c r="Z1018" s="5" t="s">
        <v>1107</v>
      </c>
    </row>
    <row r="1019" spans="26:26" x14ac:dyDescent="0.2">
      <c r="Z1019" s="5" t="s">
        <v>1170</v>
      </c>
    </row>
    <row r="1020" spans="26:26" x14ac:dyDescent="0.2">
      <c r="Z1020" s="52" t="s">
        <v>552</v>
      </c>
    </row>
    <row r="1021" spans="26:26" x14ac:dyDescent="0.2">
      <c r="Z1021" s="5" t="s">
        <v>1277</v>
      </c>
    </row>
    <row r="1022" spans="26:26" x14ac:dyDescent="0.2">
      <c r="Z1022" s="5" t="s">
        <v>810</v>
      </c>
    </row>
    <row r="1023" spans="26:26" x14ac:dyDescent="0.2">
      <c r="Z1023" s="13" t="s">
        <v>615</v>
      </c>
    </row>
    <row r="1024" spans="26:26" x14ac:dyDescent="0.2">
      <c r="Z1024" s="5" t="s">
        <v>674</v>
      </c>
    </row>
    <row r="1025" spans="26:26" x14ac:dyDescent="0.2">
      <c r="Z1025" s="5" t="s">
        <v>657</v>
      </c>
    </row>
    <row r="1026" spans="26:26" x14ac:dyDescent="0.2">
      <c r="Z1026" s="5" t="s">
        <v>885</v>
      </c>
    </row>
    <row r="1027" spans="26:26" x14ac:dyDescent="0.2">
      <c r="Z1027" s="5" t="s">
        <v>1236</v>
      </c>
    </row>
    <row r="1028" spans="26:26" x14ac:dyDescent="0.2">
      <c r="Z1028" s="10" t="s">
        <v>554</v>
      </c>
    </row>
    <row r="1029" spans="26:26" x14ac:dyDescent="0.2">
      <c r="Z1029" s="52" t="s">
        <v>303</v>
      </c>
    </row>
    <row r="1030" spans="26:26" x14ac:dyDescent="0.2">
      <c r="Z1030" s="10" t="str">
        <f>"znf-622"</f>
        <v>znf-622</v>
      </c>
    </row>
    <row r="1031" spans="26:26" x14ac:dyDescent="0.2">
      <c r="Z1031" s="5" t="s">
        <v>700</v>
      </c>
    </row>
    <row r="1032" spans="26:26" x14ac:dyDescent="0.2">
      <c r="Z1032" s="52" t="s">
        <v>308</v>
      </c>
    </row>
    <row r="1217" spans="1:1" x14ac:dyDescent="0.2">
      <c r="A1217" s="21"/>
    </row>
    <row r="1813" spans="1:1" x14ac:dyDescent="0.2">
      <c r="A1813" s="22"/>
    </row>
  </sheetData>
  <autoFilter ref="M1:M1814" xr:uid="{53F38462-5621-D444-9EDA-19D66141944B}">
    <sortState xmlns:xlrd2="http://schemas.microsoft.com/office/spreadsheetml/2017/richdata2" ref="M2:M1814">
      <sortCondition sortBy="cellColor" ref="M1:M1814" dxfId="513"/>
    </sortState>
  </autoFilter>
  <sortState xmlns:xlrd2="http://schemas.microsoft.com/office/spreadsheetml/2017/richdata2" ref="M2:M1820">
    <sortCondition ref="M1:M1820"/>
  </sortState>
  <conditionalFormatting sqref="A2:A12">
    <cfRule type="duplicateValues" dxfId="507" priority="131"/>
  </conditionalFormatting>
  <conditionalFormatting sqref="A13:A37">
    <cfRule type="duplicateValues" dxfId="506" priority="126"/>
  </conditionalFormatting>
  <conditionalFormatting sqref="A38:A108">
    <cfRule type="duplicateValues" dxfId="505" priority="124"/>
  </conditionalFormatting>
  <conditionalFormatting sqref="A109:A124">
    <cfRule type="duplicateValues" dxfId="504" priority="122"/>
  </conditionalFormatting>
  <conditionalFormatting sqref="A125:A133">
    <cfRule type="duplicateValues" dxfId="503" priority="121"/>
  </conditionalFormatting>
  <conditionalFormatting sqref="A285:A293">
    <cfRule type="duplicateValues" dxfId="502" priority="113"/>
    <cfRule type="duplicateValues" dxfId="501" priority="114"/>
  </conditionalFormatting>
  <conditionalFormatting sqref="A294:A302">
    <cfRule type="duplicateValues" dxfId="500" priority="110"/>
    <cfRule type="duplicateValues" dxfId="499" priority="111"/>
  </conditionalFormatting>
  <conditionalFormatting sqref="A321:A1048576 A1:A284">
    <cfRule type="duplicateValues" dxfId="498" priority="115"/>
  </conditionalFormatting>
  <conditionalFormatting sqref="A321:A1048576 A1:A293">
    <cfRule type="duplicateValues" dxfId="497" priority="112"/>
  </conditionalFormatting>
  <conditionalFormatting sqref="A321:A1048576 A1:A302">
    <cfRule type="duplicateValues" dxfId="496" priority="109"/>
  </conditionalFormatting>
  <conditionalFormatting sqref="A350:A384">
    <cfRule type="duplicateValues" dxfId="495" priority="117"/>
    <cfRule type="duplicateValues" dxfId="494" priority="116"/>
  </conditionalFormatting>
  <conditionalFormatting sqref="A385:A1048576 A1">
    <cfRule type="duplicateValues" dxfId="493" priority="130"/>
    <cfRule type="duplicateValues" dxfId="492" priority="129"/>
    <cfRule type="duplicateValues" dxfId="491" priority="128"/>
  </conditionalFormatting>
  <conditionalFormatting sqref="A385:A1048576 A1:A12">
    <cfRule type="duplicateValues" dxfId="490" priority="127"/>
  </conditionalFormatting>
  <conditionalFormatting sqref="A385:A1048576 A1:A37">
    <cfRule type="duplicateValues" dxfId="489" priority="125"/>
  </conditionalFormatting>
  <conditionalFormatting sqref="A385:A1048576 A1:A108">
    <cfRule type="duplicateValues" dxfId="488" priority="123"/>
  </conditionalFormatting>
  <conditionalFormatting sqref="A385:A1048576 A1:A133">
    <cfRule type="duplicateValues" dxfId="487" priority="120"/>
  </conditionalFormatting>
  <conditionalFormatting sqref="A385:A1048576 A1:A156">
    <cfRule type="duplicateValues" dxfId="486" priority="119"/>
  </conditionalFormatting>
  <conditionalFormatting sqref="A385:A1048576 A1:A190">
    <cfRule type="duplicateValues" dxfId="485" priority="118"/>
  </conditionalFormatting>
  <conditionalFormatting sqref="B1:B1048576">
    <cfRule type="duplicateValues" dxfId="484" priority="93"/>
  </conditionalFormatting>
  <conditionalFormatting sqref="B192:B203">
    <cfRule type="duplicateValues" dxfId="483" priority="108"/>
  </conditionalFormatting>
  <conditionalFormatting sqref="B204:B209">
    <cfRule type="duplicateValues" dxfId="482" priority="106"/>
  </conditionalFormatting>
  <conditionalFormatting sqref="B210:B223">
    <cfRule type="duplicateValues" dxfId="481" priority="104"/>
  </conditionalFormatting>
  <conditionalFormatting sqref="B224:B237">
    <cfRule type="duplicateValues" dxfId="480" priority="102"/>
  </conditionalFormatting>
  <conditionalFormatting sqref="B238:B262">
    <cfRule type="duplicateValues" dxfId="479" priority="100"/>
  </conditionalFormatting>
  <conditionalFormatting sqref="B292:B318">
    <cfRule type="duplicateValues" dxfId="478" priority="95"/>
    <cfRule type="duplicateValues" dxfId="477" priority="94"/>
  </conditionalFormatting>
  <conditionalFormatting sqref="B319:B1048576 B1:B291">
    <cfRule type="duplicateValues" dxfId="476" priority="96"/>
  </conditionalFormatting>
  <conditionalFormatting sqref="B431:B465">
    <cfRule type="duplicateValues" dxfId="475" priority="98"/>
    <cfRule type="duplicateValues" dxfId="474" priority="97"/>
  </conditionalFormatting>
  <conditionalFormatting sqref="B466:B1048576 B1:B203">
    <cfRule type="duplicateValues" dxfId="473" priority="107"/>
  </conditionalFormatting>
  <conditionalFormatting sqref="B466:B1048576 B1:B209">
    <cfRule type="duplicateValues" dxfId="472" priority="105"/>
  </conditionalFormatting>
  <conditionalFormatting sqref="B466:B1048576 B1:B223">
    <cfRule type="duplicateValues" dxfId="471" priority="103"/>
  </conditionalFormatting>
  <conditionalFormatting sqref="B466:B1048576 B1:B237">
    <cfRule type="duplicateValues" dxfId="470" priority="101"/>
  </conditionalFormatting>
  <conditionalFormatting sqref="B466:B1048576 B1:B271">
    <cfRule type="duplicateValues" dxfId="469" priority="99"/>
  </conditionalFormatting>
  <conditionalFormatting sqref="C1:C1048576">
    <cfRule type="duplicateValues" dxfId="468" priority="73"/>
  </conditionalFormatting>
  <conditionalFormatting sqref="C2:C10">
    <cfRule type="duplicateValues" dxfId="467" priority="92"/>
  </conditionalFormatting>
  <conditionalFormatting sqref="C11:C36">
    <cfRule type="duplicateValues" dxfId="466" priority="88"/>
  </conditionalFormatting>
  <conditionalFormatting sqref="C37:C112">
    <cfRule type="duplicateValues" dxfId="465" priority="86"/>
  </conditionalFormatting>
  <conditionalFormatting sqref="C113:C128">
    <cfRule type="duplicateValues" dxfId="464" priority="84"/>
  </conditionalFormatting>
  <conditionalFormatting sqref="C129:C133">
    <cfRule type="duplicateValues" dxfId="463" priority="83"/>
  </conditionalFormatting>
  <conditionalFormatting sqref="C280:C306">
    <cfRule type="duplicateValues" dxfId="462" priority="75"/>
    <cfRule type="duplicateValues" dxfId="461" priority="74"/>
  </conditionalFormatting>
  <conditionalFormatting sqref="C307:C1048576 C1:C279">
    <cfRule type="duplicateValues" dxfId="460" priority="76"/>
  </conditionalFormatting>
  <conditionalFormatting sqref="C349:C383">
    <cfRule type="duplicateValues" dxfId="459" priority="78"/>
    <cfRule type="duplicateValues" dxfId="458" priority="77"/>
  </conditionalFormatting>
  <conditionalFormatting sqref="C384:C1048576 C1">
    <cfRule type="duplicateValues" dxfId="457" priority="91"/>
  </conditionalFormatting>
  <conditionalFormatting sqref="C384:C1048576 C1:C10">
    <cfRule type="duplicateValues" dxfId="456" priority="89"/>
  </conditionalFormatting>
  <conditionalFormatting sqref="C384:C1048576 C1:C36">
    <cfRule type="duplicateValues" dxfId="455" priority="87"/>
  </conditionalFormatting>
  <conditionalFormatting sqref="C384:C1048576 C1:C112">
    <cfRule type="duplicateValues" dxfId="454" priority="85"/>
  </conditionalFormatting>
  <conditionalFormatting sqref="C384:C1048576 C1:C133">
    <cfRule type="duplicateValues" dxfId="453" priority="82"/>
    <cfRule type="duplicateValues" dxfId="452" priority="81"/>
  </conditionalFormatting>
  <conditionalFormatting sqref="C384:C1048576 C1:C155">
    <cfRule type="duplicateValues" dxfId="451" priority="80"/>
  </conditionalFormatting>
  <conditionalFormatting sqref="C384:C1048576 C1:C189">
    <cfRule type="duplicateValues" dxfId="450" priority="79"/>
  </conditionalFormatting>
  <conditionalFormatting sqref="C384:C1048576">
    <cfRule type="duplicateValues" dxfId="449" priority="90"/>
  </conditionalFormatting>
  <conditionalFormatting sqref="J1:J4 J32:J1048576">
    <cfRule type="duplicateValues" dxfId="448" priority="72"/>
  </conditionalFormatting>
  <conditionalFormatting sqref="J1:J1048576">
    <cfRule type="duplicateValues" dxfId="447" priority="67"/>
  </conditionalFormatting>
  <conditionalFormatting sqref="K1:K9 K37:K1048576">
    <cfRule type="duplicateValues" dxfId="446" priority="71"/>
  </conditionalFormatting>
  <conditionalFormatting sqref="K1:K1048576">
    <cfRule type="duplicateValues" dxfId="445" priority="66"/>
  </conditionalFormatting>
  <conditionalFormatting sqref="L1:L49 L77:L1048576">
    <cfRule type="duplicateValues" dxfId="444" priority="70"/>
  </conditionalFormatting>
  <conditionalFormatting sqref="L1:L1048576">
    <cfRule type="duplicateValues" dxfId="443" priority="65"/>
  </conditionalFormatting>
  <conditionalFormatting sqref="M1:M1048576">
    <cfRule type="duplicateValues" dxfId="442" priority="62"/>
  </conditionalFormatting>
  <conditionalFormatting sqref="M186:M1048576 M1:M154">
    <cfRule type="duplicateValues" dxfId="441" priority="69"/>
  </conditionalFormatting>
  <conditionalFormatting sqref="M186:M1048576 M1:M158">
    <cfRule type="duplicateValues" dxfId="440" priority="64"/>
  </conditionalFormatting>
  <conditionalFormatting sqref="N1:N1048576">
    <cfRule type="duplicateValues" dxfId="439" priority="63"/>
  </conditionalFormatting>
  <conditionalFormatting sqref="N707:N1048576 N1:N679">
    <cfRule type="duplicateValues" dxfId="438" priority="68"/>
  </conditionalFormatting>
  <conditionalFormatting sqref="Z1">
    <cfRule type="duplicateValues" dxfId="437" priority="60"/>
    <cfRule type="duplicateValues" dxfId="436" priority="59"/>
    <cfRule type="duplicateValues" dxfId="435" priority="58"/>
  </conditionalFormatting>
  <conditionalFormatting sqref="Z1:Z12">
    <cfRule type="duplicateValues" dxfId="434" priority="57"/>
  </conditionalFormatting>
  <conditionalFormatting sqref="Z1:Z37">
    <cfRule type="duplicateValues" dxfId="433" priority="55"/>
  </conditionalFormatting>
  <conditionalFormatting sqref="Z1:Z108">
    <cfRule type="duplicateValues" dxfId="432" priority="53"/>
  </conditionalFormatting>
  <conditionalFormatting sqref="Z1:Z133">
    <cfRule type="duplicateValues" dxfId="431" priority="50"/>
  </conditionalFormatting>
  <conditionalFormatting sqref="Z1:Z156">
    <cfRule type="duplicateValues" dxfId="430" priority="49"/>
  </conditionalFormatting>
  <conditionalFormatting sqref="Z1:Z190">
    <cfRule type="duplicateValues" dxfId="429" priority="48"/>
  </conditionalFormatting>
  <conditionalFormatting sqref="Z1:Z284">
    <cfRule type="duplicateValues" dxfId="428" priority="47"/>
  </conditionalFormatting>
  <conditionalFormatting sqref="Z1:Z293">
    <cfRule type="duplicateValues" dxfId="427" priority="44"/>
  </conditionalFormatting>
  <conditionalFormatting sqref="Z1:Z302">
    <cfRule type="duplicateValues" dxfId="426" priority="41"/>
  </conditionalFormatting>
  <conditionalFormatting sqref="Z2:Z12">
    <cfRule type="duplicateValues" dxfId="425" priority="61"/>
  </conditionalFormatting>
  <conditionalFormatting sqref="Z13:Z37">
    <cfRule type="duplicateValues" dxfId="424" priority="56"/>
  </conditionalFormatting>
  <conditionalFormatting sqref="Z38:Z108">
    <cfRule type="duplicateValues" dxfId="423" priority="54"/>
  </conditionalFormatting>
  <conditionalFormatting sqref="Z109:Z124">
    <cfRule type="duplicateValues" dxfId="422" priority="52"/>
  </conditionalFormatting>
  <conditionalFormatting sqref="Z125:Z133">
    <cfRule type="duplicateValues" dxfId="421" priority="51"/>
  </conditionalFormatting>
  <conditionalFormatting sqref="Z285:Z293">
    <cfRule type="duplicateValues" dxfId="420" priority="46"/>
    <cfRule type="duplicateValues" dxfId="419" priority="45"/>
  </conditionalFormatting>
  <conditionalFormatting sqref="Z294:Z302">
    <cfRule type="duplicateValues" dxfId="418" priority="43"/>
    <cfRule type="duplicateValues" dxfId="417" priority="42"/>
  </conditionalFormatting>
  <conditionalFormatting sqref="Z303:Z504">
    <cfRule type="duplicateValues" dxfId="416" priority="39"/>
  </conditionalFormatting>
  <conditionalFormatting sqref="Z303:Z510">
    <cfRule type="duplicateValues" dxfId="415" priority="37"/>
  </conditionalFormatting>
  <conditionalFormatting sqref="Z303:Z524">
    <cfRule type="duplicateValues" dxfId="414" priority="35"/>
  </conditionalFormatting>
  <conditionalFormatting sqref="Z303:Z538">
    <cfRule type="duplicateValues" dxfId="413" priority="33"/>
  </conditionalFormatting>
  <conditionalFormatting sqref="Z303:Z572">
    <cfRule type="duplicateValues" dxfId="412" priority="31"/>
  </conditionalFormatting>
  <conditionalFormatting sqref="Z303:Z592">
    <cfRule type="duplicateValues" dxfId="411" priority="30"/>
  </conditionalFormatting>
  <conditionalFormatting sqref="Z303:Z594">
    <cfRule type="duplicateValues" dxfId="410" priority="27"/>
  </conditionalFormatting>
  <conditionalFormatting sqref="Z493:Z504">
    <cfRule type="duplicateValues" dxfId="409" priority="40"/>
  </conditionalFormatting>
  <conditionalFormatting sqref="Z505:Z510">
    <cfRule type="duplicateValues" dxfId="408" priority="38"/>
  </conditionalFormatting>
  <conditionalFormatting sqref="Z511:Z524">
    <cfRule type="duplicateValues" dxfId="407" priority="36"/>
  </conditionalFormatting>
  <conditionalFormatting sqref="Z525:Z538">
    <cfRule type="duplicateValues" dxfId="406" priority="34"/>
  </conditionalFormatting>
  <conditionalFormatting sqref="Z539:Z563">
    <cfRule type="duplicateValues" dxfId="405" priority="32"/>
  </conditionalFormatting>
  <conditionalFormatting sqref="Z593:Z594">
    <cfRule type="duplicateValues" dxfId="404" priority="28"/>
    <cfRule type="duplicateValues" dxfId="403" priority="29"/>
  </conditionalFormatting>
  <conditionalFormatting sqref="Z595:Z603">
    <cfRule type="duplicateValues" dxfId="402" priority="26"/>
    <cfRule type="duplicateValues" dxfId="401" priority="25"/>
  </conditionalFormatting>
  <conditionalFormatting sqref="Z595:Z629">
    <cfRule type="duplicateValues" dxfId="400" priority="23"/>
  </conditionalFormatting>
  <conditionalFormatting sqref="Z595:Z705">
    <cfRule type="duplicateValues" dxfId="399" priority="21"/>
  </conditionalFormatting>
  <conditionalFormatting sqref="Z595:Z726">
    <cfRule type="duplicateValues" dxfId="398" priority="18"/>
    <cfRule type="duplicateValues" dxfId="397" priority="17"/>
  </conditionalFormatting>
  <conditionalFormatting sqref="Z595:Z748">
    <cfRule type="duplicateValues" dxfId="396" priority="16"/>
  </conditionalFormatting>
  <conditionalFormatting sqref="Z595:Z782">
    <cfRule type="duplicateValues" dxfId="395" priority="15"/>
  </conditionalFormatting>
  <conditionalFormatting sqref="Z595:Z872">
    <cfRule type="duplicateValues" dxfId="394" priority="14"/>
  </conditionalFormatting>
  <conditionalFormatting sqref="Z595:Z884">
    <cfRule type="duplicateValues" dxfId="393" priority="11"/>
  </conditionalFormatting>
  <conditionalFormatting sqref="Z604:Z629">
    <cfRule type="duplicateValues" dxfId="392" priority="24"/>
  </conditionalFormatting>
  <conditionalFormatting sqref="Z630:Z705">
    <cfRule type="duplicateValues" dxfId="391" priority="22"/>
  </conditionalFormatting>
  <conditionalFormatting sqref="Z706:Z721">
    <cfRule type="duplicateValues" dxfId="390" priority="20"/>
  </conditionalFormatting>
  <conditionalFormatting sqref="Z722:Z726">
    <cfRule type="duplicateValues" dxfId="389" priority="19"/>
  </conditionalFormatting>
  <conditionalFormatting sqref="Z873:Z884">
    <cfRule type="duplicateValues" dxfId="388" priority="13"/>
    <cfRule type="duplicateValues" dxfId="387" priority="12"/>
  </conditionalFormatting>
  <conditionalFormatting sqref="Z885:Z929">
    <cfRule type="duplicateValues" dxfId="386" priority="10"/>
  </conditionalFormatting>
  <conditionalFormatting sqref="Z885:Z950">
    <cfRule type="duplicateValues" dxfId="385" priority="9"/>
  </conditionalFormatting>
  <conditionalFormatting sqref="Z885:Z1000">
    <cfRule type="duplicateValues" dxfId="384" priority="8"/>
  </conditionalFormatting>
  <conditionalFormatting sqref="Z885:Z1009">
    <cfRule type="duplicateValues" dxfId="383" priority="5"/>
  </conditionalFormatting>
  <conditionalFormatting sqref="Z885:Z1031">
    <cfRule type="duplicateValues" dxfId="382" priority="4"/>
  </conditionalFormatting>
  <conditionalFormatting sqref="Z885:Z1033">
    <cfRule type="duplicateValues" dxfId="381" priority="3"/>
    <cfRule type="duplicateValues" dxfId="380" priority="2"/>
    <cfRule type="duplicateValues" dxfId="379" priority="1"/>
  </conditionalFormatting>
  <conditionalFormatting sqref="Z1001:Z1009">
    <cfRule type="duplicateValues" dxfId="378" priority="7"/>
    <cfRule type="duplicateValues" dxfId="377" priority="6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8085-0DEB-2A4E-9DDB-DBBA0D8D1405}">
  <dimension ref="A1:X1122"/>
  <sheetViews>
    <sheetView topLeftCell="J1" zoomScaleNormal="120" workbookViewId="0">
      <pane ySplit="1" topLeftCell="A2" activePane="bottomLeft" state="frozen"/>
      <selection pane="bottomLeft" activeCell="H588" sqref="H588"/>
    </sheetView>
  </sheetViews>
  <sheetFormatPr baseColWidth="10" defaultRowHeight="16" x14ac:dyDescent="0.2"/>
  <cols>
    <col min="1" max="1" width="16.5" style="5" customWidth="1"/>
    <col min="2" max="2" width="14.6640625" style="28" customWidth="1"/>
    <col min="3" max="3" width="15.6640625" style="4" customWidth="1"/>
    <col min="4" max="4" width="17.6640625" style="5" customWidth="1"/>
    <col min="5" max="5" width="16.6640625" style="4" customWidth="1"/>
    <col min="6" max="13" width="10.83203125" style="4"/>
    <col min="14" max="14" width="14.33203125" style="4" customWidth="1"/>
    <col min="15" max="15" width="10.83203125" style="4"/>
    <col min="16" max="16" width="34.1640625" style="5" customWidth="1"/>
    <col min="17" max="16384" width="10.83203125" style="4"/>
  </cols>
  <sheetData>
    <row r="1" spans="1:24" x14ac:dyDescent="0.2">
      <c r="A1" s="1" t="s">
        <v>1970</v>
      </c>
      <c r="B1" s="36" t="s">
        <v>1971</v>
      </c>
      <c r="C1" s="2" t="s">
        <v>1972</v>
      </c>
      <c r="D1" s="1" t="s">
        <v>1973</v>
      </c>
      <c r="E1" s="2" t="s">
        <v>1974</v>
      </c>
      <c r="J1" s="3" t="s">
        <v>1995</v>
      </c>
      <c r="K1" s="26" t="s">
        <v>1996</v>
      </c>
      <c r="L1" s="3" t="s">
        <v>1997</v>
      </c>
      <c r="M1" s="3" t="s">
        <v>1998</v>
      </c>
      <c r="N1" s="27" t="s">
        <v>4899</v>
      </c>
      <c r="P1" s="1" t="s">
        <v>4920</v>
      </c>
      <c r="R1" s="50" t="s">
        <v>4886</v>
      </c>
      <c r="S1" s="50" t="s">
        <v>4879</v>
      </c>
      <c r="T1" s="50" t="s">
        <v>4880</v>
      </c>
      <c r="U1" s="50" t="s">
        <v>4881</v>
      </c>
      <c r="V1" s="50" t="s">
        <v>4882</v>
      </c>
      <c r="W1" s="1" t="s">
        <v>4878</v>
      </c>
      <c r="X1" s="1" t="s">
        <v>4885</v>
      </c>
    </row>
    <row r="2" spans="1:24" x14ac:dyDescent="0.2">
      <c r="A2" s="5" t="s">
        <v>1</v>
      </c>
      <c r="B2" s="35" t="s">
        <v>1077</v>
      </c>
      <c r="C2" s="6" t="s">
        <v>396</v>
      </c>
      <c r="D2" s="14" t="s">
        <v>313</v>
      </c>
      <c r="E2" s="9" t="s">
        <v>313</v>
      </c>
      <c r="J2" s="12" t="s">
        <v>403</v>
      </c>
      <c r="K2" s="7" t="s">
        <v>380</v>
      </c>
      <c r="L2" s="7" t="s">
        <v>40</v>
      </c>
      <c r="M2" s="7" t="s">
        <v>621</v>
      </c>
      <c r="N2" s="7" t="s">
        <v>13</v>
      </c>
      <c r="P2" s="15" t="s">
        <v>579</v>
      </c>
      <c r="R2" s="48" t="s">
        <v>4883</v>
      </c>
      <c r="S2" s="49">
        <v>5</v>
      </c>
      <c r="T2" s="49">
        <v>9</v>
      </c>
      <c r="U2" s="49">
        <v>32</v>
      </c>
      <c r="V2" s="49">
        <v>4</v>
      </c>
      <c r="W2" s="5">
        <f>SUM(S2:V2)</f>
        <v>50</v>
      </c>
      <c r="X2" s="5">
        <f>((S2+T2)/W2)*100</f>
        <v>28.000000000000004</v>
      </c>
    </row>
    <row r="3" spans="1:24" x14ac:dyDescent="0.2">
      <c r="A3" s="5" t="s">
        <v>6</v>
      </c>
      <c r="B3" s="37" t="s">
        <v>531</v>
      </c>
      <c r="C3" s="11" t="s">
        <v>383</v>
      </c>
      <c r="D3" s="6" t="s">
        <v>806</v>
      </c>
      <c r="E3" s="11" t="s">
        <v>488</v>
      </c>
      <c r="J3" s="12" t="s">
        <v>420</v>
      </c>
      <c r="K3" s="4" t="s">
        <v>85</v>
      </c>
      <c r="L3" s="7" t="s">
        <v>202</v>
      </c>
      <c r="M3" s="7" t="s">
        <v>620</v>
      </c>
      <c r="N3" s="7" t="s">
        <v>616</v>
      </c>
      <c r="P3" s="15" t="s">
        <v>457</v>
      </c>
      <c r="R3" s="48" t="s">
        <v>4884</v>
      </c>
      <c r="S3" s="49">
        <v>109</v>
      </c>
      <c r="T3" s="49">
        <v>11</v>
      </c>
      <c r="U3" s="49">
        <v>892</v>
      </c>
      <c r="V3" s="49">
        <v>1</v>
      </c>
      <c r="W3" s="5">
        <f>SUM(S3:V3)</f>
        <v>1013</v>
      </c>
      <c r="X3" s="5">
        <f>((S3+T3)/W3)*100</f>
        <v>11.846001974333662</v>
      </c>
    </row>
    <row r="4" spans="1:24" x14ac:dyDescent="0.2">
      <c r="A4" s="5" t="s">
        <v>4</v>
      </c>
      <c r="B4" s="35" t="s">
        <v>1081</v>
      </c>
      <c r="C4" s="6" t="s">
        <v>1264</v>
      </c>
      <c r="D4" s="14" t="s">
        <v>202</v>
      </c>
      <c r="E4" s="6" t="s">
        <v>980</v>
      </c>
      <c r="J4" s="7" t="s">
        <v>313</v>
      </c>
      <c r="K4" s="7" t="s">
        <v>200</v>
      </c>
      <c r="L4" s="7" t="s">
        <v>545</v>
      </c>
      <c r="M4" s="7" t="s">
        <v>624</v>
      </c>
      <c r="N4" s="7" t="s">
        <v>617</v>
      </c>
      <c r="P4" s="15" t="s">
        <v>611</v>
      </c>
    </row>
    <row r="5" spans="1:24" x14ac:dyDescent="0.2">
      <c r="A5" s="13" t="s">
        <v>13</v>
      </c>
      <c r="B5" s="35" t="s">
        <v>1094</v>
      </c>
      <c r="C5" s="6" t="s">
        <v>997</v>
      </c>
      <c r="D5" s="14" t="s">
        <v>236</v>
      </c>
      <c r="E5" s="6" t="s">
        <v>396</v>
      </c>
      <c r="J5" s="4" t="s">
        <v>469</v>
      </c>
      <c r="K5" s="4" t="s">
        <v>223</v>
      </c>
      <c r="L5" s="7" t="s">
        <v>187</v>
      </c>
      <c r="M5" s="7" t="s">
        <v>626</v>
      </c>
      <c r="N5" s="7" t="s">
        <v>619</v>
      </c>
      <c r="P5" s="15" t="s">
        <v>23</v>
      </c>
    </row>
    <row r="6" spans="1:24" x14ac:dyDescent="0.2">
      <c r="A6" s="5" t="s">
        <v>20</v>
      </c>
      <c r="B6" s="39" t="s">
        <v>573</v>
      </c>
      <c r="C6" s="6" t="s">
        <v>268</v>
      </c>
      <c r="D6" s="6" t="s">
        <v>628</v>
      </c>
      <c r="E6" s="9" t="s">
        <v>187</v>
      </c>
      <c r="J6" s="1"/>
      <c r="K6" s="4" t="s">
        <v>268</v>
      </c>
      <c r="L6" s="8" t="s">
        <v>23</v>
      </c>
      <c r="M6" s="7" t="s">
        <v>299</v>
      </c>
      <c r="N6" s="7" t="s">
        <v>614</v>
      </c>
      <c r="P6" s="15" t="s">
        <v>35</v>
      </c>
    </row>
    <row r="7" spans="1:24" x14ac:dyDescent="0.2">
      <c r="A7" s="5" t="s">
        <v>8</v>
      </c>
      <c r="B7" s="35" t="s">
        <v>1726</v>
      </c>
      <c r="C7" s="6" t="s">
        <v>1266</v>
      </c>
      <c r="D7" s="14" t="s">
        <v>299</v>
      </c>
      <c r="E7" s="11" t="s">
        <v>563</v>
      </c>
      <c r="J7" s="1"/>
      <c r="K7" s="8" t="s">
        <v>307</v>
      </c>
      <c r="L7" s="8" t="s">
        <v>212</v>
      </c>
      <c r="M7" s="8" t="s">
        <v>63</v>
      </c>
      <c r="N7" s="7" t="s">
        <v>625</v>
      </c>
      <c r="P7" s="15" t="s">
        <v>39</v>
      </c>
    </row>
    <row r="8" spans="1:24" x14ac:dyDescent="0.2">
      <c r="A8" s="10" t="s">
        <v>23</v>
      </c>
      <c r="B8" s="35" t="s">
        <v>469</v>
      </c>
      <c r="C8" s="9" t="s">
        <v>202</v>
      </c>
      <c r="D8" s="6" t="s">
        <v>631</v>
      </c>
      <c r="E8" s="11" t="s">
        <v>150</v>
      </c>
      <c r="J8" s="1"/>
      <c r="K8" s="4" t="s">
        <v>384</v>
      </c>
      <c r="L8" s="8" t="s">
        <v>150</v>
      </c>
      <c r="M8" s="8" t="s">
        <v>169</v>
      </c>
      <c r="N8" s="8" t="s">
        <v>39</v>
      </c>
      <c r="P8" s="15" t="s">
        <v>562</v>
      </c>
    </row>
    <row r="9" spans="1:24" x14ac:dyDescent="0.2">
      <c r="A9" s="5" t="s">
        <v>31</v>
      </c>
      <c r="B9" s="35" t="s">
        <v>1086</v>
      </c>
      <c r="C9" s="11" t="s">
        <v>289</v>
      </c>
      <c r="D9" s="14" t="s">
        <v>200</v>
      </c>
      <c r="E9" s="11" t="s">
        <v>433</v>
      </c>
      <c r="J9" s="1"/>
      <c r="K9" s="4" t="s">
        <v>481</v>
      </c>
      <c r="L9" s="4" t="s">
        <v>8</v>
      </c>
      <c r="M9" s="8" t="s">
        <v>229</v>
      </c>
      <c r="N9" s="8" t="s">
        <v>496</v>
      </c>
      <c r="P9" s="15" t="s">
        <v>496</v>
      </c>
    </row>
    <row r="10" spans="1:24" x14ac:dyDescent="0.2">
      <c r="A10" s="5" t="s">
        <v>11</v>
      </c>
      <c r="B10" s="35" t="s">
        <v>1085</v>
      </c>
      <c r="C10" s="9" t="s">
        <v>531</v>
      </c>
      <c r="D10" s="15" t="s">
        <v>307</v>
      </c>
      <c r="E10" s="11" t="s">
        <v>477</v>
      </c>
      <c r="J10" s="1"/>
      <c r="K10" s="8" t="s">
        <v>488</v>
      </c>
      <c r="L10" s="4" t="s">
        <v>32</v>
      </c>
      <c r="M10" s="8" t="s">
        <v>477</v>
      </c>
      <c r="N10" s="8" t="s">
        <v>77</v>
      </c>
      <c r="P10" s="15" t="s">
        <v>77</v>
      </c>
    </row>
    <row r="11" spans="1:24" x14ac:dyDescent="0.2">
      <c r="A11" s="5" t="s">
        <v>28</v>
      </c>
      <c r="B11" s="35" t="s">
        <v>1084</v>
      </c>
      <c r="C11" s="6" t="s">
        <v>1567</v>
      </c>
      <c r="D11" s="15" t="s">
        <v>563</v>
      </c>
      <c r="E11" s="9" t="s">
        <v>624</v>
      </c>
      <c r="J11" s="1"/>
      <c r="K11" s="7" t="s">
        <v>236</v>
      </c>
      <c r="L11" s="4" t="s">
        <v>82</v>
      </c>
      <c r="M11" s="8" t="s">
        <v>252</v>
      </c>
      <c r="N11" s="8" t="s">
        <v>507</v>
      </c>
      <c r="P11" s="15" t="s">
        <v>501</v>
      </c>
    </row>
    <row r="12" spans="1:24" x14ac:dyDescent="0.2">
      <c r="A12" s="5" t="s">
        <v>70</v>
      </c>
      <c r="B12" s="35" t="s">
        <v>1315</v>
      </c>
      <c r="C12" s="11" t="s">
        <v>64</v>
      </c>
      <c r="D12" s="6" t="s">
        <v>807</v>
      </c>
      <c r="E12" s="6" t="s">
        <v>469</v>
      </c>
      <c r="J12" s="1"/>
      <c r="K12" s="7" t="s">
        <v>531</v>
      </c>
      <c r="L12" s="4" t="s">
        <v>33</v>
      </c>
      <c r="M12" s="8" t="s">
        <v>563</v>
      </c>
      <c r="N12" s="8" t="s">
        <v>108</v>
      </c>
      <c r="P12" s="15" t="s">
        <v>507</v>
      </c>
    </row>
    <row r="13" spans="1:24" x14ac:dyDescent="0.2">
      <c r="A13" s="5" t="s">
        <v>16</v>
      </c>
      <c r="B13" s="35" t="s">
        <v>1727</v>
      </c>
      <c r="C13" s="9" t="s">
        <v>380</v>
      </c>
      <c r="D13" s="6" t="s">
        <v>491</v>
      </c>
      <c r="E13" s="11" t="s">
        <v>63</v>
      </c>
      <c r="J13" s="1"/>
      <c r="K13" s="1"/>
      <c r="L13" s="4" t="s">
        <v>142</v>
      </c>
      <c r="M13" s="8" t="s">
        <v>289</v>
      </c>
      <c r="N13" s="8" t="s">
        <v>512</v>
      </c>
      <c r="P13" s="10" t="s">
        <v>81</v>
      </c>
    </row>
    <row r="14" spans="1:24" x14ac:dyDescent="0.2">
      <c r="A14" s="5" t="s">
        <v>36</v>
      </c>
      <c r="B14" s="35" t="s">
        <v>924</v>
      </c>
      <c r="C14" s="9" t="s">
        <v>299</v>
      </c>
      <c r="D14" s="6" t="s">
        <v>32</v>
      </c>
      <c r="E14" s="20" t="s">
        <v>420</v>
      </c>
      <c r="J14" s="1"/>
      <c r="K14" s="1"/>
      <c r="L14" s="4" t="s">
        <v>83</v>
      </c>
      <c r="M14" s="8" t="s">
        <v>343</v>
      </c>
      <c r="N14" s="8" t="s">
        <v>571</v>
      </c>
      <c r="P14" s="15" t="s">
        <v>108</v>
      </c>
    </row>
    <row r="15" spans="1:24" x14ac:dyDescent="0.2">
      <c r="A15" s="5" t="s">
        <v>85</v>
      </c>
      <c r="B15" s="35" t="s">
        <v>1728</v>
      </c>
      <c r="C15" s="6" t="s">
        <v>1261</v>
      </c>
      <c r="D15" s="14" t="s">
        <v>545</v>
      </c>
      <c r="E15" s="6" t="s">
        <v>33</v>
      </c>
      <c r="J15" s="1"/>
      <c r="K15" s="1"/>
      <c r="L15" s="4" t="s">
        <v>78</v>
      </c>
      <c r="M15" s="8" t="s">
        <v>564</v>
      </c>
      <c r="N15" s="8" t="s">
        <v>152</v>
      </c>
      <c r="P15" s="15" t="s">
        <v>422</v>
      </c>
    </row>
    <row r="16" spans="1:24" x14ac:dyDescent="0.2">
      <c r="A16" s="5" t="s">
        <v>24</v>
      </c>
      <c r="B16" s="35" t="s">
        <v>1079</v>
      </c>
      <c r="C16" s="6" t="s">
        <v>552</v>
      </c>
      <c r="D16" s="6" t="s">
        <v>634</v>
      </c>
      <c r="E16" s="11" t="s">
        <v>343</v>
      </c>
      <c r="J16" s="1"/>
      <c r="K16" s="1"/>
      <c r="L16" s="4" t="s">
        <v>79</v>
      </c>
      <c r="M16" s="8" t="s">
        <v>398</v>
      </c>
      <c r="N16" s="8" t="s">
        <v>558</v>
      </c>
      <c r="P16" s="15" t="s">
        <v>535</v>
      </c>
    </row>
    <row r="17" spans="1:16" x14ac:dyDescent="0.2">
      <c r="A17" s="5" t="s">
        <v>32</v>
      </c>
      <c r="B17" s="35" t="s">
        <v>1729</v>
      </c>
      <c r="C17" s="11" t="s">
        <v>574</v>
      </c>
      <c r="D17" s="6" t="s">
        <v>633</v>
      </c>
      <c r="E17" s="11" t="s">
        <v>398</v>
      </c>
      <c r="J17" s="1"/>
      <c r="K17" s="1"/>
      <c r="L17" s="4" t="s">
        <v>26</v>
      </c>
      <c r="M17" s="8" t="s">
        <v>463</v>
      </c>
      <c r="N17" s="8" t="s">
        <v>557</v>
      </c>
      <c r="P17" s="15" t="s">
        <v>512</v>
      </c>
    </row>
    <row r="18" spans="1:16" x14ac:dyDescent="0.2">
      <c r="A18" s="5" t="s">
        <v>18</v>
      </c>
      <c r="B18" s="35" t="s">
        <v>1088</v>
      </c>
      <c r="C18" s="11" t="s">
        <v>507</v>
      </c>
      <c r="D18" s="6" t="s">
        <v>632</v>
      </c>
      <c r="E18" s="11" t="s">
        <v>252</v>
      </c>
      <c r="J18" s="1"/>
      <c r="K18" s="1"/>
      <c r="L18" s="4" t="s">
        <v>826</v>
      </c>
      <c r="M18" s="8" t="s">
        <v>423</v>
      </c>
      <c r="N18" s="8" t="s">
        <v>379</v>
      </c>
      <c r="P18" s="15" t="s">
        <v>568</v>
      </c>
    </row>
    <row r="19" spans="1:16" x14ac:dyDescent="0.2">
      <c r="A19" s="13" t="s">
        <v>40</v>
      </c>
      <c r="B19" s="37" t="s">
        <v>236</v>
      </c>
      <c r="C19" s="6" t="s">
        <v>5</v>
      </c>
      <c r="D19" s="14" t="s">
        <v>380</v>
      </c>
      <c r="E19" s="19" t="s">
        <v>403</v>
      </c>
      <c r="J19" s="1"/>
      <c r="K19" s="1"/>
      <c r="L19" s="4" t="s">
        <v>180</v>
      </c>
      <c r="M19" s="8" t="s">
        <v>433</v>
      </c>
      <c r="N19" s="8" t="s">
        <v>226</v>
      </c>
      <c r="P19" s="15" t="s">
        <v>571</v>
      </c>
    </row>
    <row r="20" spans="1:16" x14ac:dyDescent="0.2">
      <c r="A20" s="5" t="s">
        <v>44</v>
      </c>
      <c r="B20" s="37" t="s">
        <v>200</v>
      </c>
      <c r="C20" s="6" t="s">
        <v>1291</v>
      </c>
      <c r="D20" s="14" t="s">
        <v>625</v>
      </c>
      <c r="E20" s="11" t="s">
        <v>526</v>
      </c>
      <c r="J20" s="1"/>
      <c r="K20" s="1"/>
      <c r="L20" s="4" t="s">
        <v>857</v>
      </c>
      <c r="M20" s="8" t="s">
        <v>225</v>
      </c>
      <c r="N20" s="8" t="s">
        <v>188</v>
      </c>
      <c r="P20" s="15" t="s">
        <v>521</v>
      </c>
    </row>
    <row r="21" spans="1:16" x14ac:dyDescent="0.2">
      <c r="A21" s="5" t="s">
        <v>52</v>
      </c>
      <c r="B21" s="35" t="s">
        <v>1097</v>
      </c>
      <c r="C21" s="6" t="s">
        <v>1568</v>
      </c>
      <c r="D21" s="14" t="s">
        <v>626</v>
      </c>
      <c r="E21" s="6" t="s">
        <v>85</v>
      </c>
      <c r="J21" s="1"/>
      <c r="K21" s="1"/>
      <c r="L21" s="4" t="s">
        <v>342</v>
      </c>
      <c r="M21" s="8" t="s">
        <v>442</v>
      </c>
      <c r="N21" s="8" t="s">
        <v>244</v>
      </c>
      <c r="P21" s="15" t="s">
        <v>152</v>
      </c>
    </row>
    <row r="22" spans="1:16" x14ac:dyDescent="0.2">
      <c r="A22" s="5" t="s">
        <v>116</v>
      </c>
      <c r="B22" s="35" t="s">
        <v>767</v>
      </c>
      <c r="C22" s="11" t="s">
        <v>513</v>
      </c>
      <c r="D22" s="14" t="s">
        <v>531</v>
      </c>
      <c r="E22" s="11" t="s">
        <v>458</v>
      </c>
      <c r="J22" s="1"/>
      <c r="K22" s="1"/>
      <c r="L22" s="4" t="s">
        <v>396</v>
      </c>
      <c r="M22" s="8" t="s">
        <v>458</v>
      </c>
      <c r="N22" s="8" t="s">
        <v>71</v>
      </c>
      <c r="P22" s="15" t="s">
        <v>493</v>
      </c>
    </row>
    <row r="23" spans="1:16" x14ac:dyDescent="0.2">
      <c r="A23" s="5" t="s">
        <v>67</v>
      </c>
      <c r="B23" s="35" t="s">
        <v>816</v>
      </c>
      <c r="C23" s="6" t="s">
        <v>479</v>
      </c>
      <c r="D23" s="15" t="s">
        <v>513</v>
      </c>
      <c r="E23" s="11" t="s">
        <v>442</v>
      </c>
      <c r="J23" s="1"/>
      <c r="K23" s="1"/>
      <c r="L23" s="12" t="s">
        <v>406</v>
      </c>
      <c r="M23" s="8" t="s">
        <v>344</v>
      </c>
      <c r="N23" s="8" t="s">
        <v>99</v>
      </c>
      <c r="P23" s="15" t="s">
        <v>558</v>
      </c>
    </row>
    <row r="24" spans="1:16" x14ac:dyDescent="0.2">
      <c r="A24" s="5" t="s">
        <v>75</v>
      </c>
      <c r="B24" s="35" t="s">
        <v>1104</v>
      </c>
      <c r="C24" s="6" t="s">
        <v>269</v>
      </c>
      <c r="D24" s="6" t="s">
        <v>630</v>
      </c>
      <c r="E24" s="11" t="s">
        <v>23</v>
      </c>
      <c r="J24" s="1"/>
      <c r="K24" s="1"/>
      <c r="L24" s="12" t="s">
        <v>171</v>
      </c>
      <c r="M24" s="8" t="s">
        <v>478</v>
      </c>
      <c r="N24" s="8" t="s">
        <v>575</v>
      </c>
      <c r="P24" s="15" t="s">
        <v>557</v>
      </c>
    </row>
    <row r="25" spans="1:16" x14ac:dyDescent="0.2">
      <c r="A25" s="5" t="s">
        <v>82</v>
      </c>
      <c r="B25" s="35" t="s">
        <v>322</v>
      </c>
      <c r="C25" s="6" t="s">
        <v>112</v>
      </c>
      <c r="D25" s="15" t="s">
        <v>225</v>
      </c>
      <c r="E25" s="11" t="s">
        <v>335</v>
      </c>
      <c r="J25" s="1"/>
      <c r="K25" s="1"/>
      <c r="L25" s="4" t="s">
        <v>183</v>
      </c>
      <c r="M25" s="8" t="s">
        <v>466</v>
      </c>
      <c r="N25" s="8" t="s">
        <v>266</v>
      </c>
      <c r="P25" s="15" t="s">
        <v>63</v>
      </c>
    </row>
    <row r="26" spans="1:16" x14ac:dyDescent="0.2">
      <c r="A26" s="5" t="s">
        <v>48</v>
      </c>
      <c r="B26" s="39" t="s">
        <v>307</v>
      </c>
      <c r="C26" s="11" t="s">
        <v>454</v>
      </c>
      <c r="D26" s="6" t="s">
        <v>808</v>
      </c>
      <c r="E26" s="6" t="s">
        <v>223</v>
      </c>
      <c r="J26" s="1"/>
      <c r="K26" s="1"/>
      <c r="L26" s="4" t="s">
        <v>706</v>
      </c>
      <c r="M26" s="8" t="s">
        <v>513</v>
      </c>
      <c r="N26" s="8" t="s">
        <v>279</v>
      </c>
      <c r="P26" s="15" t="s">
        <v>379</v>
      </c>
    </row>
    <row r="27" spans="1:16" x14ac:dyDescent="0.2">
      <c r="A27" s="5" t="s">
        <v>90</v>
      </c>
      <c r="B27" s="35" t="s">
        <v>1096</v>
      </c>
      <c r="C27" s="6" t="s">
        <v>1280</v>
      </c>
      <c r="D27" s="6" t="s">
        <v>809</v>
      </c>
      <c r="E27" s="11" t="s">
        <v>564</v>
      </c>
      <c r="J27" s="1"/>
      <c r="K27" s="1"/>
      <c r="L27" s="4" t="s">
        <v>201</v>
      </c>
      <c r="M27" s="8" t="s">
        <v>519</v>
      </c>
      <c r="N27" s="8" t="s">
        <v>526</v>
      </c>
      <c r="P27" s="10" t="s">
        <v>149</v>
      </c>
    </row>
    <row r="28" spans="1:16" x14ac:dyDescent="0.2">
      <c r="A28" s="5" t="s">
        <v>98</v>
      </c>
      <c r="B28" s="35" t="s">
        <v>865</v>
      </c>
      <c r="C28" s="6" t="s">
        <v>550</v>
      </c>
      <c r="D28" s="14" t="s">
        <v>621</v>
      </c>
      <c r="E28" s="6" t="s">
        <v>846</v>
      </c>
      <c r="J28" s="1"/>
      <c r="K28" s="1"/>
      <c r="L28" s="4" t="s">
        <v>491</v>
      </c>
      <c r="M28" s="8" t="s">
        <v>524</v>
      </c>
      <c r="N28" s="8" t="s">
        <v>64</v>
      </c>
      <c r="P28" s="15" t="s">
        <v>169</v>
      </c>
    </row>
    <row r="29" spans="1:16" x14ac:dyDescent="0.2">
      <c r="A29" s="5" t="s">
        <v>106</v>
      </c>
      <c r="B29" s="39" t="s">
        <v>289</v>
      </c>
      <c r="C29" s="11" t="s">
        <v>477</v>
      </c>
      <c r="D29" s="6" t="s">
        <v>322</v>
      </c>
      <c r="E29" s="11" t="s">
        <v>375</v>
      </c>
      <c r="J29" s="1"/>
      <c r="K29" s="1"/>
      <c r="L29" s="4" t="s">
        <v>497</v>
      </c>
      <c r="M29" s="8" t="s">
        <v>573</v>
      </c>
      <c r="N29" s="8" t="s">
        <v>127</v>
      </c>
      <c r="P29" s="10" t="s">
        <v>580</v>
      </c>
    </row>
    <row r="30" spans="1:16" x14ac:dyDescent="0.2">
      <c r="A30" s="5" t="s">
        <v>56</v>
      </c>
      <c r="B30" s="35" t="s">
        <v>1117</v>
      </c>
      <c r="C30" s="11" t="s">
        <v>430</v>
      </c>
      <c r="D30" s="6" t="s">
        <v>635</v>
      </c>
      <c r="E30" s="6" t="s">
        <v>657</v>
      </c>
      <c r="J30" s="1"/>
      <c r="K30" s="1"/>
      <c r="L30" s="4" t="s">
        <v>504</v>
      </c>
      <c r="M30" s="8" t="s">
        <v>554</v>
      </c>
      <c r="N30" s="8" t="s">
        <v>326</v>
      </c>
      <c r="P30" s="15" t="s">
        <v>226</v>
      </c>
    </row>
    <row r="31" spans="1:16" x14ac:dyDescent="0.2">
      <c r="A31" s="5" t="s">
        <v>142</v>
      </c>
      <c r="B31" s="35" t="s">
        <v>1108</v>
      </c>
      <c r="C31" s="6" t="s">
        <v>364</v>
      </c>
      <c r="D31" s="6" t="s">
        <v>810</v>
      </c>
      <c r="E31" s="11" t="s">
        <v>344</v>
      </c>
      <c r="J31" s="2"/>
      <c r="K31" s="1"/>
      <c r="L31" s="4" t="s">
        <v>651</v>
      </c>
      <c r="M31" s="4" t="s">
        <v>1053</v>
      </c>
      <c r="N31" s="8" t="s">
        <v>95</v>
      </c>
      <c r="P31" s="15" t="s">
        <v>572</v>
      </c>
    </row>
    <row r="32" spans="1:16" x14ac:dyDescent="0.2">
      <c r="A32" s="5" t="s">
        <v>176</v>
      </c>
      <c r="B32" s="35" t="s">
        <v>1730</v>
      </c>
      <c r="C32" s="6" t="s">
        <v>1265</v>
      </c>
      <c r="D32" s="6" t="s">
        <v>811</v>
      </c>
      <c r="E32" s="6" t="s">
        <v>809</v>
      </c>
      <c r="J32" s="2"/>
      <c r="K32" s="1"/>
      <c r="L32" s="4" t="s">
        <v>655</v>
      </c>
      <c r="M32" s="4" t="s">
        <v>783</v>
      </c>
      <c r="N32" s="8" t="s">
        <v>609</v>
      </c>
      <c r="P32" s="15" t="s">
        <v>188</v>
      </c>
    </row>
    <row r="33" spans="1:16" x14ac:dyDescent="0.2">
      <c r="A33" s="5" t="s">
        <v>182</v>
      </c>
      <c r="B33" s="35" t="s">
        <v>1103</v>
      </c>
      <c r="C33" s="6" t="s">
        <v>365</v>
      </c>
      <c r="D33" s="6" t="s">
        <v>812</v>
      </c>
      <c r="E33" s="6" t="s">
        <v>662</v>
      </c>
      <c r="J33" s="2"/>
      <c r="K33" s="2"/>
      <c r="L33" s="4" t="s">
        <v>650</v>
      </c>
      <c r="M33" s="4" t="s">
        <v>31</v>
      </c>
      <c r="N33" s="8" t="s">
        <v>302</v>
      </c>
      <c r="P33" s="15" t="s">
        <v>244</v>
      </c>
    </row>
    <row r="34" spans="1:16" x14ac:dyDescent="0.2">
      <c r="A34" s="5" t="s">
        <v>194</v>
      </c>
      <c r="B34" s="38" t="s">
        <v>171</v>
      </c>
      <c r="C34" s="6" t="s">
        <v>14</v>
      </c>
      <c r="D34" s="6" t="s">
        <v>552</v>
      </c>
      <c r="E34" s="6" t="s">
        <v>1041</v>
      </c>
      <c r="J34" s="2"/>
      <c r="K34" s="1"/>
      <c r="L34" s="4" t="s">
        <v>648</v>
      </c>
      <c r="M34" s="4" t="s">
        <v>831</v>
      </c>
      <c r="N34" s="8" t="s">
        <v>118</v>
      </c>
      <c r="P34" s="15" t="s">
        <v>91</v>
      </c>
    </row>
    <row r="35" spans="1:16" x14ac:dyDescent="0.2">
      <c r="A35" s="5" t="s">
        <v>113</v>
      </c>
      <c r="B35" s="35" t="s">
        <v>1731</v>
      </c>
      <c r="C35" s="6" t="s">
        <v>434</v>
      </c>
      <c r="D35" s="14" t="s">
        <v>40</v>
      </c>
      <c r="E35" s="11" t="s">
        <v>212</v>
      </c>
      <c r="J35" s="2"/>
      <c r="K35" s="2"/>
      <c r="L35" s="4" t="s">
        <v>653</v>
      </c>
      <c r="M35" s="4" t="s">
        <v>11</v>
      </c>
      <c r="N35" s="8" t="s">
        <v>353</v>
      </c>
      <c r="P35" s="15" t="s">
        <v>71</v>
      </c>
    </row>
    <row r="36" spans="1:16" x14ac:dyDescent="0.2">
      <c r="A36" s="13" t="s">
        <v>200</v>
      </c>
      <c r="B36" s="35" t="s">
        <v>342</v>
      </c>
      <c r="C36" s="11" t="s">
        <v>463</v>
      </c>
      <c r="D36" s="6" t="s">
        <v>813</v>
      </c>
      <c r="E36" s="6" t="s">
        <v>705</v>
      </c>
      <c r="J36" s="2"/>
      <c r="K36" s="2"/>
      <c r="L36" s="4" t="s">
        <v>552</v>
      </c>
      <c r="M36" s="4" t="s">
        <v>872</v>
      </c>
      <c r="N36" s="8" t="s">
        <v>335</v>
      </c>
      <c r="P36" s="10" t="s">
        <v>585</v>
      </c>
    </row>
    <row r="37" spans="1:16" x14ac:dyDescent="0.2">
      <c r="A37" s="5" t="s">
        <v>120</v>
      </c>
      <c r="B37" s="35" t="s">
        <v>1732</v>
      </c>
      <c r="C37" s="6" t="s">
        <v>847</v>
      </c>
      <c r="D37" s="6" t="s">
        <v>208</v>
      </c>
      <c r="E37" s="6" t="s">
        <v>912</v>
      </c>
      <c r="J37" s="2"/>
      <c r="K37" s="2"/>
      <c r="L37" s="1"/>
      <c r="M37" s="4" t="s">
        <v>16</v>
      </c>
      <c r="N37" s="8" t="s">
        <v>346</v>
      </c>
      <c r="P37" s="10" t="s">
        <v>255</v>
      </c>
    </row>
    <row r="38" spans="1:16" x14ac:dyDescent="0.2">
      <c r="A38" s="10" t="s">
        <v>212</v>
      </c>
      <c r="B38" s="35" t="s">
        <v>1095</v>
      </c>
      <c r="C38" s="6" t="s">
        <v>1275</v>
      </c>
      <c r="D38" s="14" t="s">
        <v>624</v>
      </c>
      <c r="E38" s="6" t="s">
        <v>994</v>
      </c>
      <c r="J38" s="2"/>
      <c r="K38" s="2"/>
      <c r="L38" s="1"/>
      <c r="M38" s="4" t="s">
        <v>18</v>
      </c>
      <c r="N38" s="8" t="s">
        <v>405</v>
      </c>
      <c r="P38" s="15" t="s">
        <v>99</v>
      </c>
    </row>
    <row r="39" spans="1:16" x14ac:dyDescent="0.2">
      <c r="A39" s="5" t="s">
        <v>78</v>
      </c>
      <c r="B39" s="35" t="s">
        <v>1130</v>
      </c>
      <c r="C39" s="6" t="s">
        <v>1268</v>
      </c>
      <c r="D39" s="6" t="s">
        <v>814</v>
      </c>
      <c r="E39" s="6" t="s">
        <v>1017</v>
      </c>
      <c r="J39" s="2"/>
      <c r="K39" s="2"/>
      <c r="L39" s="1"/>
      <c r="M39" s="4" t="s">
        <v>809</v>
      </c>
      <c r="N39" s="8" t="s">
        <v>419</v>
      </c>
      <c r="P39" s="15" t="s">
        <v>603</v>
      </c>
    </row>
    <row r="40" spans="1:16" x14ac:dyDescent="0.2">
      <c r="A40" s="5" t="s">
        <v>126</v>
      </c>
      <c r="B40" s="35" t="s">
        <v>1110</v>
      </c>
      <c r="C40" s="9" t="s">
        <v>617</v>
      </c>
      <c r="D40" s="6" t="s">
        <v>638</v>
      </c>
      <c r="E40" s="11" t="s">
        <v>169</v>
      </c>
      <c r="J40" s="2"/>
      <c r="K40" s="2"/>
      <c r="L40" s="1"/>
      <c r="M40" s="4" t="s">
        <v>680</v>
      </c>
      <c r="N40" s="8" t="s">
        <v>395</v>
      </c>
      <c r="P40" s="15" t="s">
        <v>212</v>
      </c>
    </row>
    <row r="41" spans="1:16" x14ac:dyDescent="0.2">
      <c r="A41" s="5" t="s">
        <v>94</v>
      </c>
      <c r="B41" s="35" t="s">
        <v>1105</v>
      </c>
      <c r="C41" s="6" t="s">
        <v>1569</v>
      </c>
      <c r="D41" s="14" t="s">
        <v>620</v>
      </c>
      <c r="E41" s="6" t="s">
        <v>8</v>
      </c>
      <c r="J41" s="2"/>
      <c r="K41" s="2"/>
      <c r="L41" s="1"/>
      <c r="M41" s="4" t="s">
        <v>116</v>
      </c>
      <c r="N41" s="8" t="s">
        <v>376</v>
      </c>
      <c r="P41" s="15" t="s">
        <v>575</v>
      </c>
    </row>
    <row r="42" spans="1:16" x14ac:dyDescent="0.2">
      <c r="A42" s="5" t="s">
        <v>223</v>
      </c>
      <c r="B42" s="35" t="s">
        <v>1099</v>
      </c>
      <c r="C42" s="6" t="s">
        <v>260</v>
      </c>
      <c r="D42" s="6" t="s">
        <v>636</v>
      </c>
      <c r="E42" s="11" t="s">
        <v>594</v>
      </c>
      <c r="J42" s="2"/>
      <c r="K42" s="2"/>
      <c r="L42" s="1"/>
      <c r="M42" s="4" t="s">
        <v>1049</v>
      </c>
      <c r="N42" s="8" t="s">
        <v>437</v>
      </c>
      <c r="P42" s="15" t="s">
        <v>266</v>
      </c>
    </row>
    <row r="43" spans="1:16" x14ac:dyDescent="0.2">
      <c r="A43" s="10" t="s">
        <v>229</v>
      </c>
      <c r="B43" s="35" t="s">
        <v>1733</v>
      </c>
      <c r="C43" s="11" t="s">
        <v>595</v>
      </c>
      <c r="D43" s="6" t="s">
        <v>18</v>
      </c>
      <c r="E43" s="6" t="s">
        <v>1014</v>
      </c>
      <c r="J43" s="1"/>
      <c r="K43" s="2"/>
      <c r="L43" s="1"/>
      <c r="M43" s="4" t="s">
        <v>660</v>
      </c>
      <c r="N43" s="8" t="s">
        <v>130</v>
      </c>
      <c r="P43" s="15" t="s">
        <v>218</v>
      </c>
    </row>
    <row r="44" spans="1:16" x14ac:dyDescent="0.2">
      <c r="A44" s="5" t="s">
        <v>235</v>
      </c>
      <c r="B44" s="35" t="s">
        <v>1100</v>
      </c>
      <c r="C44" s="11" t="s">
        <v>495</v>
      </c>
      <c r="D44" s="6" t="s">
        <v>637</v>
      </c>
      <c r="E44" s="6" t="s">
        <v>742</v>
      </c>
      <c r="J44" s="1"/>
      <c r="K44" s="2"/>
      <c r="L44" s="1"/>
      <c r="M44" s="4" t="s">
        <v>48</v>
      </c>
      <c r="N44" s="8" t="s">
        <v>239</v>
      </c>
      <c r="P44" s="15" t="s">
        <v>279</v>
      </c>
    </row>
    <row r="45" spans="1:16" x14ac:dyDescent="0.2">
      <c r="A45" s="5" t="s">
        <v>241</v>
      </c>
      <c r="B45" s="35" t="s">
        <v>1102</v>
      </c>
      <c r="C45" s="6" t="s">
        <v>237</v>
      </c>
      <c r="D45" s="6" t="s">
        <v>815</v>
      </c>
      <c r="E45" s="6" t="s">
        <v>997</v>
      </c>
      <c r="J45" s="1"/>
      <c r="K45" s="2"/>
      <c r="L45" s="1"/>
      <c r="M45" s="4" t="s">
        <v>197</v>
      </c>
      <c r="N45" s="8" t="s">
        <v>421</v>
      </c>
      <c r="P45" s="15" t="s">
        <v>229</v>
      </c>
    </row>
    <row r="46" spans="1:16" x14ac:dyDescent="0.2">
      <c r="A46" s="5" t="s">
        <v>133</v>
      </c>
      <c r="B46" s="35" t="s">
        <v>1734</v>
      </c>
      <c r="C46" s="6" t="s">
        <v>1570</v>
      </c>
      <c r="D46" s="6" t="s">
        <v>816</v>
      </c>
      <c r="E46" s="6" t="s">
        <v>1050</v>
      </c>
      <c r="J46" s="2"/>
      <c r="K46" s="2"/>
      <c r="L46" s="1"/>
      <c r="M46" s="4" t="s">
        <v>832</v>
      </c>
      <c r="N46" s="8" t="s">
        <v>245</v>
      </c>
      <c r="P46" s="10" t="s">
        <v>477</v>
      </c>
    </row>
    <row r="47" spans="1:16" x14ac:dyDescent="0.2">
      <c r="A47" s="5" t="s">
        <v>258</v>
      </c>
      <c r="B47" s="35" t="s">
        <v>183</v>
      </c>
      <c r="C47" s="6" t="s">
        <v>41</v>
      </c>
      <c r="D47" s="6" t="s">
        <v>308</v>
      </c>
      <c r="E47" s="6" t="s">
        <v>26</v>
      </c>
      <c r="J47" s="1"/>
      <c r="K47" s="1"/>
      <c r="L47" s="1"/>
      <c r="M47" s="4" t="s">
        <v>682</v>
      </c>
      <c r="N47" s="8" t="s">
        <v>165</v>
      </c>
      <c r="P47" s="15" t="s">
        <v>589</v>
      </c>
    </row>
    <row r="48" spans="1:16" x14ac:dyDescent="0.2">
      <c r="A48" s="5" t="s">
        <v>102</v>
      </c>
      <c r="B48" s="35" t="s">
        <v>1111</v>
      </c>
      <c r="C48" s="6" t="s">
        <v>414</v>
      </c>
      <c r="D48" s="6" t="s">
        <v>221</v>
      </c>
      <c r="E48" s="6" t="s">
        <v>1044</v>
      </c>
      <c r="J48" s="2"/>
      <c r="K48" s="1"/>
      <c r="L48" s="1"/>
      <c r="M48" s="4" t="s">
        <v>840</v>
      </c>
      <c r="N48" s="8" t="s">
        <v>588</v>
      </c>
      <c r="P48" s="15" t="s">
        <v>451</v>
      </c>
    </row>
    <row r="49" spans="1:16" x14ac:dyDescent="0.2">
      <c r="A49" s="5" t="s">
        <v>268</v>
      </c>
      <c r="B49" s="35" t="s">
        <v>1140</v>
      </c>
      <c r="C49" s="6" t="s">
        <v>222</v>
      </c>
      <c r="D49" s="14" t="s">
        <v>619</v>
      </c>
      <c r="E49" s="6" t="s">
        <v>142</v>
      </c>
      <c r="J49" s="1"/>
      <c r="K49" s="1"/>
      <c r="L49" s="1"/>
      <c r="M49" s="4" t="s">
        <v>729</v>
      </c>
      <c r="N49" s="8" t="s">
        <v>170</v>
      </c>
      <c r="P49" s="15" t="s">
        <v>526</v>
      </c>
    </row>
    <row r="50" spans="1:16" x14ac:dyDescent="0.2">
      <c r="A50" s="5" t="s">
        <v>26</v>
      </c>
      <c r="B50" s="35" t="s">
        <v>1121</v>
      </c>
      <c r="C50" s="6" t="s">
        <v>1285</v>
      </c>
      <c r="D50" s="15" t="s">
        <v>463</v>
      </c>
      <c r="E50" s="6" t="s">
        <v>1048</v>
      </c>
      <c r="J50" s="1"/>
      <c r="K50" s="2"/>
      <c r="L50" s="1"/>
      <c r="M50" s="4" t="s">
        <v>693</v>
      </c>
      <c r="N50" s="8" t="s">
        <v>430</v>
      </c>
      <c r="P50" s="15" t="s">
        <v>64</v>
      </c>
    </row>
    <row r="51" spans="1:16" x14ac:dyDescent="0.2">
      <c r="A51" s="5" t="s">
        <v>140</v>
      </c>
      <c r="B51" s="35" t="s">
        <v>1128</v>
      </c>
      <c r="C51" s="6" t="s">
        <v>32</v>
      </c>
      <c r="D51" s="6" t="s">
        <v>817</v>
      </c>
      <c r="E51" s="6" t="s">
        <v>504</v>
      </c>
      <c r="J51" s="2"/>
      <c r="K51" s="2"/>
      <c r="L51" s="1"/>
      <c r="M51" s="4" t="s">
        <v>865</v>
      </c>
      <c r="N51" s="8" t="s">
        <v>375</v>
      </c>
      <c r="P51" s="15" t="s">
        <v>114</v>
      </c>
    </row>
    <row r="52" spans="1:16" x14ac:dyDescent="0.2">
      <c r="A52" s="5" t="s">
        <v>285</v>
      </c>
      <c r="B52" s="35" t="s">
        <v>1122</v>
      </c>
      <c r="C52" s="9" t="s">
        <v>545</v>
      </c>
      <c r="D52" s="14" t="s">
        <v>616</v>
      </c>
      <c r="E52" s="6" t="s">
        <v>674</v>
      </c>
      <c r="J52" s="1"/>
      <c r="K52" s="1"/>
      <c r="L52" s="1"/>
      <c r="M52" s="4" t="s">
        <v>194</v>
      </c>
      <c r="N52" s="8" t="s">
        <v>438</v>
      </c>
      <c r="P52" s="10" t="s">
        <v>300</v>
      </c>
    </row>
    <row r="53" spans="1:16" x14ac:dyDescent="0.2">
      <c r="A53" s="5" t="s">
        <v>146</v>
      </c>
      <c r="B53" s="35" t="s">
        <v>1132</v>
      </c>
      <c r="C53" s="11" t="s">
        <v>575</v>
      </c>
      <c r="D53" s="6" t="s">
        <v>818</v>
      </c>
      <c r="E53" s="6" t="s">
        <v>661</v>
      </c>
      <c r="J53" s="2"/>
      <c r="K53" s="2"/>
      <c r="L53" s="1"/>
      <c r="M53" s="4" t="s">
        <v>113</v>
      </c>
      <c r="N53" s="8" t="s">
        <v>383</v>
      </c>
      <c r="P53" s="15" t="s">
        <v>518</v>
      </c>
    </row>
    <row r="54" spans="1:16" x14ac:dyDescent="0.2">
      <c r="A54" s="5" t="s">
        <v>153</v>
      </c>
      <c r="B54" s="35" t="s">
        <v>1116</v>
      </c>
      <c r="C54" s="6" t="s">
        <v>1272</v>
      </c>
      <c r="D54" s="14" t="s">
        <v>614</v>
      </c>
      <c r="E54" s="6" t="s">
        <v>1051</v>
      </c>
      <c r="J54" s="2"/>
      <c r="K54" s="2"/>
      <c r="L54" s="1"/>
      <c r="M54" s="4" t="s">
        <v>997</v>
      </c>
      <c r="N54" s="8" t="s">
        <v>214</v>
      </c>
      <c r="P54" s="15" t="s">
        <v>252</v>
      </c>
    </row>
    <row r="55" spans="1:16" x14ac:dyDescent="0.2">
      <c r="A55" s="5" t="s">
        <v>34</v>
      </c>
      <c r="B55" s="35" t="s">
        <v>1107</v>
      </c>
      <c r="C55" s="9" t="s">
        <v>40</v>
      </c>
      <c r="D55" s="6" t="s">
        <v>339</v>
      </c>
      <c r="E55" s="6" t="s">
        <v>1046</v>
      </c>
      <c r="J55" s="2"/>
      <c r="K55" s="1"/>
      <c r="L55" s="1"/>
      <c r="M55" s="4" t="s">
        <v>1656</v>
      </c>
      <c r="N55" s="8" t="s">
        <v>576</v>
      </c>
      <c r="P55" s="15" t="s">
        <v>127</v>
      </c>
    </row>
    <row r="56" spans="1:16" x14ac:dyDescent="0.2">
      <c r="A56" s="5" t="s">
        <v>160</v>
      </c>
      <c r="B56" s="35" t="s">
        <v>1125</v>
      </c>
      <c r="C56" s="6" t="s">
        <v>1571</v>
      </c>
      <c r="D56" s="6" t="s">
        <v>639</v>
      </c>
      <c r="E56" s="6" t="s">
        <v>441</v>
      </c>
      <c r="J56" s="2"/>
      <c r="K56" s="2"/>
      <c r="L56" s="1"/>
      <c r="M56" s="4" t="s">
        <v>633</v>
      </c>
      <c r="N56" s="8" t="s">
        <v>443</v>
      </c>
      <c r="P56" s="10" t="s">
        <v>272</v>
      </c>
    </row>
    <row r="57" spans="1:16" x14ac:dyDescent="0.2">
      <c r="A57" s="5" t="s">
        <v>42</v>
      </c>
      <c r="B57" s="35" t="s">
        <v>1109</v>
      </c>
      <c r="C57" s="6" t="s">
        <v>1572</v>
      </c>
      <c r="D57" s="6" t="s">
        <v>819</v>
      </c>
      <c r="E57" s="6" t="s">
        <v>1009</v>
      </c>
      <c r="J57" s="2"/>
      <c r="K57" s="2"/>
      <c r="L57" s="1"/>
      <c r="M57" s="4" t="s">
        <v>287</v>
      </c>
      <c r="N57" s="8" t="s">
        <v>581</v>
      </c>
      <c r="P57" s="15" t="s">
        <v>277</v>
      </c>
    </row>
    <row r="58" spans="1:16" x14ac:dyDescent="0.2">
      <c r="A58" s="5" t="s">
        <v>294</v>
      </c>
      <c r="B58" s="35" t="s">
        <v>1134</v>
      </c>
      <c r="C58" s="6" t="s">
        <v>1269</v>
      </c>
      <c r="D58" s="6" t="s">
        <v>820</v>
      </c>
      <c r="E58" s="6" t="s">
        <v>287</v>
      </c>
      <c r="J58" s="2"/>
      <c r="K58" s="2"/>
      <c r="L58" s="1"/>
      <c r="M58" s="4" t="s">
        <v>1705</v>
      </c>
      <c r="N58" s="8" t="s">
        <v>373</v>
      </c>
      <c r="P58" s="10" t="s">
        <v>563</v>
      </c>
    </row>
    <row r="59" spans="1:16" x14ac:dyDescent="0.2">
      <c r="A59" s="5" t="s">
        <v>167</v>
      </c>
      <c r="B59" s="35" t="s">
        <v>259</v>
      </c>
      <c r="C59" s="6" t="s">
        <v>1282</v>
      </c>
      <c r="D59" s="6" t="s">
        <v>643</v>
      </c>
      <c r="E59" s="6" t="s">
        <v>446</v>
      </c>
      <c r="J59" s="2"/>
      <c r="K59" s="2"/>
      <c r="L59" s="1"/>
      <c r="M59" s="4" t="s">
        <v>133</v>
      </c>
      <c r="N59" s="8" t="s">
        <v>462</v>
      </c>
      <c r="P59" s="15" t="s">
        <v>326</v>
      </c>
    </row>
    <row r="60" spans="1:16" x14ac:dyDescent="0.2">
      <c r="A60" s="5" t="s">
        <v>50</v>
      </c>
      <c r="B60" s="35" t="s">
        <v>1124</v>
      </c>
      <c r="C60" s="6" t="s">
        <v>1278</v>
      </c>
      <c r="D60" s="6" t="s">
        <v>644</v>
      </c>
      <c r="E60" s="6" t="s">
        <v>720</v>
      </c>
      <c r="J60" s="2"/>
      <c r="K60" s="2"/>
      <c r="L60" s="2"/>
      <c r="M60" s="4" t="s">
        <v>1009</v>
      </c>
      <c r="N60" s="8" t="s">
        <v>207</v>
      </c>
      <c r="P60" s="15" t="s">
        <v>95</v>
      </c>
    </row>
    <row r="61" spans="1:16" x14ac:dyDescent="0.2">
      <c r="A61" s="10" t="s">
        <v>307</v>
      </c>
      <c r="B61" s="35" t="s">
        <v>1119</v>
      </c>
      <c r="C61" s="6" t="s">
        <v>469</v>
      </c>
      <c r="D61" s="6" t="s">
        <v>642</v>
      </c>
      <c r="E61" s="6" t="s">
        <v>1045</v>
      </c>
      <c r="J61" s="2"/>
      <c r="K61" s="2"/>
      <c r="L61" s="1"/>
      <c r="M61" s="4" t="s">
        <v>258</v>
      </c>
      <c r="N61" s="8" t="s">
        <v>454</v>
      </c>
      <c r="P61" s="15" t="s">
        <v>289</v>
      </c>
    </row>
    <row r="62" spans="1:16" x14ac:dyDescent="0.2">
      <c r="A62" s="5" t="s">
        <v>173</v>
      </c>
      <c r="B62" s="35" t="s">
        <v>1127</v>
      </c>
      <c r="C62" s="6" t="s">
        <v>494</v>
      </c>
      <c r="D62" s="6" t="s">
        <v>82</v>
      </c>
      <c r="E62" s="6" t="s">
        <v>180</v>
      </c>
      <c r="J62" s="2"/>
      <c r="K62" s="2"/>
      <c r="L62" s="2"/>
      <c r="M62" s="4" t="s">
        <v>847</v>
      </c>
      <c r="N62" s="8" t="s">
        <v>473</v>
      </c>
      <c r="P62" s="15" t="s">
        <v>609</v>
      </c>
    </row>
    <row r="63" spans="1:16" x14ac:dyDescent="0.2">
      <c r="A63" s="5" t="s">
        <v>180</v>
      </c>
      <c r="B63" s="35" t="s">
        <v>1113</v>
      </c>
      <c r="C63" s="11" t="s">
        <v>127</v>
      </c>
      <c r="D63" s="6" t="s">
        <v>821</v>
      </c>
      <c r="E63" s="6" t="s">
        <v>708</v>
      </c>
      <c r="J63" s="2"/>
      <c r="K63" s="2"/>
      <c r="L63" s="2"/>
      <c r="M63" s="4" t="s">
        <v>285</v>
      </c>
      <c r="N63" s="8" t="s">
        <v>265</v>
      </c>
      <c r="P63" s="15" t="s">
        <v>302</v>
      </c>
    </row>
    <row r="64" spans="1:16" x14ac:dyDescent="0.2">
      <c r="A64" s="5" t="s">
        <v>318</v>
      </c>
      <c r="B64" s="35" t="s">
        <v>1735</v>
      </c>
      <c r="C64" s="6" t="s">
        <v>1293</v>
      </c>
      <c r="D64" s="14" t="s">
        <v>187</v>
      </c>
      <c r="E64" s="6" t="s">
        <v>1015</v>
      </c>
      <c r="J64" s="2"/>
      <c r="K64" s="2"/>
      <c r="L64" s="2"/>
      <c r="M64" s="4" t="s">
        <v>322</v>
      </c>
      <c r="N64" s="8" t="s">
        <v>432</v>
      </c>
      <c r="P64" s="15" t="s">
        <v>118</v>
      </c>
    </row>
    <row r="65" spans="1:16" x14ac:dyDescent="0.2">
      <c r="A65" s="5" t="s">
        <v>321</v>
      </c>
      <c r="B65" s="35" t="s">
        <v>1736</v>
      </c>
      <c r="C65" s="11" t="s">
        <v>225</v>
      </c>
      <c r="D65" s="6" t="s">
        <v>822</v>
      </c>
      <c r="E65" s="6" t="s">
        <v>1040</v>
      </c>
      <c r="J65" s="2"/>
      <c r="K65" s="2"/>
      <c r="L65" s="2"/>
      <c r="M65" s="4" t="s">
        <v>34</v>
      </c>
      <c r="N65" s="8" t="s">
        <v>495</v>
      </c>
      <c r="P65" s="10" t="s">
        <v>307</v>
      </c>
    </row>
    <row r="66" spans="1:16" x14ac:dyDescent="0.2">
      <c r="A66" s="5" t="s">
        <v>325</v>
      </c>
      <c r="B66" s="35" t="s">
        <v>1115</v>
      </c>
      <c r="C66" s="6" t="s">
        <v>1270</v>
      </c>
      <c r="D66" s="15" t="s">
        <v>214</v>
      </c>
      <c r="E66" s="6" t="s">
        <v>1042</v>
      </c>
      <c r="J66" s="2"/>
      <c r="K66" s="2"/>
      <c r="L66" s="2"/>
      <c r="M66" s="4" t="s">
        <v>103</v>
      </c>
      <c r="N66" s="8" t="s">
        <v>393</v>
      </c>
      <c r="P66" s="10" t="s">
        <v>471</v>
      </c>
    </row>
    <row r="67" spans="1:16" x14ac:dyDescent="0.2">
      <c r="A67" s="5" t="s">
        <v>328</v>
      </c>
      <c r="B67" s="35" t="s">
        <v>1737</v>
      </c>
      <c r="C67" s="6" t="s">
        <v>1573</v>
      </c>
      <c r="D67" s="6" t="s">
        <v>645</v>
      </c>
      <c r="E67" s="6" t="s">
        <v>1052</v>
      </c>
      <c r="J67" s="2"/>
      <c r="K67" s="2"/>
      <c r="L67" s="2"/>
      <c r="M67" s="4" t="s">
        <v>1176</v>
      </c>
      <c r="N67" s="8" t="s">
        <v>608</v>
      </c>
      <c r="P67" s="10" t="s">
        <v>343</v>
      </c>
    </row>
    <row r="68" spans="1:16" x14ac:dyDescent="0.2">
      <c r="A68" s="5" t="s">
        <v>109</v>
      </c>
      <c r="B68" s="35" t="s">
        <v>1126</v>
      </c>
      <c r="C68" s="6" t="s">
        <v>486</v>
      </c>
      <c r="D68" s="18" t="s">
        <v>171</v>
      </c>
      <c r="E68" s="6" t="s">
        <v>744</v>
      </c>
      <c r="J68" s="2"/>
      <c r="K68" s="2"/>
      <c r="L68" s="2"/>
      <c r="M68" s="4" t="s">
        <v>851</v>
      </c>
      <c r="N68" s="8" t="s">
        <v>584</v>
      </c>
      <c r="P68" s="15" t="s">
        <v>593</v>
      </c>
    </row>
    <row r="69" spans="1:16" x14ac:dyDescent="0.2">
      <c r="A69" s="5" t="s">
        <v>186</v>
      </c>
      <c r="B69" s="35" t="s">
        <v>1129</v>
      </c>
      <c r="C69" s="11" t="s">
        <v>510</v>
      </c>
      <c r="D69" s="6" t="s">
        <v>646</v>
      </c>
      <c r="E69" s="6" t="s">
        <v>1053</v>
      </c>
      <c r="J69" s="2"/>
      <c r="K69" s="2"/>
      <c r="L69" s="2"/>
      <c r="M69" s="4" t="s">
        <v>837</v>
      </c>
      <c r="N69" s="8" t="s">
        <v>366</v>
      </c>
      <c r="P69" s="15" t="s">
        <v>353</v>
      </c>
    </row>
    <row r="70" spans="1:16" x14ac:dyDescent="0.2">
      <c r="A70" s="5" t="s">
        <v>192</v>
      </c>
      <c r="B70" s="35" t="s">
        <v>1133</v>
      </c>
      <c r="C70" s="6" t="s">
        <v>201</v>
      </c>
      <c r="D70" s="6" t="s">
        <v>823</v>
      </c>
      <c r="E70" s="6" t="s">
        <v>1049</v>
      </c>
      <c r="J70" s="2"/>
      <c r="K70" s="2"/>
      <c r="L70" s="2"/>
      <c r="M70" s="4" t="s">
        <v>816</v>
      </c>
      <c r="N70" s="8" t="s">
        <v>510</v>
      </c>
      <c r="P70" s="15" t="s">
        <v>131</v>
      </c>
    </row>
    <row r="71" spans="1:16" x14ac:dyDescent="0.2">
      <c r="A71" s="5" t="s">
        <v>339</v>
      </c>
      <c r="B71" s="35" t="s">
        <v>1142</v>
      </c>
      <c r="C71" s="6" t="s">
        <v>522</v>
      </c>
      <c r="D71" s="23" t="s">
        <v>420</v>
      </c>
      <c r="E71" s="6" t="s">
        <v>409</v>
      </c>
      <c r="J71" s="2"/>
      <c r="K71" s="2"/>
      <c r="L71" s="2"/>
      <c r="M71" s="4" t="s">
        <v>845</v>
      </c>
      <c r="N71" s="8" t="s">
        <v>591</v>
      </c>
      <c r="P71" s="15" t="s">
        <v>314</v>
      </c>
    </row>
    <row r="72" spans="1:16" x14ac:dyDescent="0.2">
      <c r="A72" s="5" t="s">
        <v>342</v>
      </c>
      <c r="B72" s="35" t="s">
        <v>1738</v>
      </c>
      <c r="C72" s="11" t="s">
        <v>581</v>
      </c>
      <c r="D72" s="18" t="s">
        <v>403</v>
      </c>
      <c r="E72" s="6" t="s">
        <v>769</v>
      </c>
      <c r="J72" s="2"/>
      <c r="K72" s="2"/>
      <c r="L72" s="2"/>
      <c r="M72" s="4" t="s">
        <v>318</v>
      </c>
      <c r="N72" s="8" t="s">
        <v>484</v>
      </c>
      <c r="P72" s="15" t="s">
        <v>335</v>
      </c>
    </row>
    <row r="73" spans="1:16" x14ac:dyDescent="0.2">
      <c r="A73" s="5" t="s">
        <v>349</v>
      </c>
      <c r="B73" s="35" t="s">
        <v>1739</v>
      </c>
      <c r="C73" s="6" t="s">
        <v>208</v>
      </c>
      <c r="D73" s="6" t="s">
        <v>650</v>
      </c>
      <c r="E73" s="6" t="s">
        <v>1039</v>
      </c>
      <c r="J73" s="2"/>
      <c r="K73" s="2"/>
      <c r="L73" s="2"/>
      <c r="M73" s="4" t="s">
        <v>328</v>
      </c>
      <c r="N73" s="8" t="s">
        <v>523</v>
      </c>
      <c r="P73" s="15" t="s">
        <v>360</v>
      </c>
    </row>
    <row r="74" spans="1:16" x14ac:dyDescent="0.2">
      <c r="A74" s="5" t="s">
        <v>356</v>
      </c>
      <c r="B74" s="35" t="s">
        <v>1138</v>
      </c>
      <c r="C74" s="6" t="s">
        <v>1286</v>
      </c>
      <c r="D74" s="6" t="s">
        <v>651</v>
      </c>
      <c r="E74" s="6" t="s">
        <v>1047</v>
      </c>
      <c r="J74" s="2"/>
      <c r="K74" s="2"/>
      <c r="L74" s="2"/>
      <c r="M74" s="4" t="s">
        <v>109</v>
      </c>
      <c r="N74" s="8" t="s">
        <v>273</v>
      </c>
      <c r="P74" s="15" t="s">
        <v>346</v>
      </c>
    </row>
    <row r="75" spans="1:16" x14ac:dyDescent="0.2">
      <c r="A75" s="5" t="s">
        <v>198</v>
      </c>
      <c r="B75" s="35" t="s">
        <v>1740</v>
      </c>
      <c r="C75" s="11" t="s">
        <v>307</v>
      </c>
      <c r="D75" s="6" t="s">
        <v>647</v>
      </c>
      <c r="E75" s="6" t="s">
        <v>1043</v>
      </c>
      <c r="J75" s="2"/>
      <c r="K75" s="2"/>
      <c r="L75" s="1"/>
      <c r="M75" s="4" t="s">
        <v>138</v>
      </c>
      <c r="N75" s="8" t="s">
        <v>527</v>
      </c>
      <c r="P75" s="10" t="s">
        <v>359</v>
      </c>
    </row>
    <row r="76" spans="1:16" x14ac:dyDescent="0.2">
      <c r="A76" s="5" t="s">
        <v>58</v>
      </c>
      <c r="B76" s="35" t="s">
        <v>1145</v>
      </c>
      <c r="C76" s="6" t="s">
        <v>426</v>
      </c>
      <c r="D76" s="6" t="s">
        <v>766</v>
      </c>
      <c r="E76" s="6"/>
      <c r="J76" s="2"/>
      <c r="K76" s="2"/>
      <c r="L76" s="1"/>
      <c r="M76" s="4" t="s">
        <v>1227</v>
      </c>
      <c r="N76" s="8" t="s">
        <v>537</v>
      </c>
      <c r="P76" s="15" t="s">
        <v>583</v>
      </c>
    </row>
    <row r="77" spans="1:16" x14ac:dyDescent="0.2">
      <c r="A77" s="5" t="s">
        <v>204</v>
      </c>
      <c r="B77" s="35" t="s">
        <v>1137</v>
      </c>
      <c r="C77" s="6" t="s">
        <v>1574</v>
      </c>
      <c r="D77" s="6" t="s">
        <v>648</v>
      </c>
      <c r="E77" s="6"/>
      <c r="J77" s="2"/>
      <c r="K77" s="2"/>
      <c r="L77" s="1"/>
      <c r="M77" s="4" t="s">
        <v>734</v>
      </c>
      <c r="N77" s="8" t="s">
        <v>595</v>
      </c>
      <c r="P77" s="10" t="s">
        <v>405</v>
      </c>
    </row>
    <row r="78" spans="1:16" x14ac:dyDescent="0.2">
      <c r="A78" s="5" t="s">
        <v>364</v>
      </c>
      <c r="B78" s="35" t="s">
        <v>1143</v>
      </c>
      <c r="C78" s="6" t="s">
        <v>1575</v>
      </c>
      <c r="D78" s="6" t="s">
        <v>660</v>
      </c>
      <c r="E78" s="6"/>
      <c r="J78" s="2"/>
      <c r="K78" s="2"/>
      <c r="L78" s="2"/>
      <c r="M78" s="4" t="s">
        <v>869</v>
      </c>
      <c r="N78" s="8" t="s">
        <v>374</v>
      </c>
      <c r="P78" s="15" t="s">
        <v>607</v>
      </c>
    </row>
    <row r="79" spans="1:16" x14ac:dyDescent="0.2">
      <c r="A79" s="5" t="s">
        <v>210</v>
      </c>
      <c r="B79" s="35" t="s">
        <v>1741</v>
      </c>
      <c r="C79" s="9" t="s">
        <v>620</v>
      </c>
      <c r="D79" s="6" t="s">
        <v>653</v>
      </c>
      <c r="E79" s="6"/>
      <c r="J79" s="2"/>
      <c r="K79" s="2"/>
      <c r="L79" s="1"/>
      <c r="M79" s="4" t="s">
        <v>339</v>
      </c>
      <c r="N79" s="8" t="s">
        <v>570</v>
      </c>
      <c r="P79" s="15" t="s">
        <v>599</v>
      </c>
    </row>
    <row r="80" spans="1:16" x14ac:dyDescent="0.2">
      <c r="A80" s="5" t="s">
        <v>222</v>
      </c>
      <c r="B80" s="37" t="s">
        <v>313</v>
      </c>
      <c r="C80" s="11" t="s">
        <v>265</v>
      </c>
      <c r="D80" s="6" t="s">
        <v>268</v>
      </c>
      <c r="E80" s="6"/>
      <c r="J80" s="2"/>
      <c r="K80" s="2"/>
      <c r="L80" s="2"/>
      <c r="M80" s="4" t="s">
        <v>144</v>
      </c>
      <c r="N80" s="8" t="s">
        <v>582</v>
      </c>
      <c r="P80" s="15" t="s">
        <v>415</v>
      </c>
    </row>
    <row r="81" spans="1:16" x14ac:dyDescent="0.2">
      <c r="A81" s="5" t="s">
        <v>65</v>
      </c>
      <c r="B81" s="40" t="s">
        <v>420</v>
      </c>
      <c r="C81" s="6" t="s">
        <v>1284</v>
      </c>
      <c r="D81" s="6" t="s">
        <v>652</v>
      </c>
      <c r="E81" s="6"/>
      <c r="J81" s="1"/>
      <c r="K81" s="2"/>
      <c r="L81" s="1"/>
      <c r="M81" s="4" t="s">
        <v>1047</v>
      </c>
      <c r="N81" s="8" t="s">
        <v>602</v>
      </c>
      <c r="P81" s="15" t="s">
        <v>419</v>
      </c>
    </row>
    <row r="82" spans="1:16" x14ac:dyDescent="0.2">
      <c r="A82" s="5" t="s">
        <v>227</v>
      </c>
      <c r="B82" s="38" t="s">
        <v>403</v>
      </c>
      <c r="C82" s="6" t="s">
        <v>1267</v>
      </c>
      <c r="D82" s="6" t="s">
        <v>655</v>
      </c>
      <c r="E82" s="6"/>
      <c r="J82" s="2"/>
      <c r="K82" s="2"/>
      <c r="L82" s="2"/>
      <c r="M82" s="4" t="s">
        <v>369</v>
      </c>
      <c r="N82" s="8" t="s">
        <v>590</v>
      </c>
      <c r="P82" s="15" t="s">
        <v>216</v>
      </c>
    </row>
    <row r="83" spans="1:16" x14ac:dyDescent="0.2">
      <c r="A83" s="13" t="s">
        <v>380</v>
      </c>
      <c r="B83" s="35" t="s">
        <v>651</v>
      </c>
      <c r="C83" s="6" t="s">
        <v>1576</v>
      </c>
      <c r="D83" s="6" t="s">
        <v>658</v>
      </c>
      <c r="E83" s="6"/>
      <c r="J83" s="2"/>
      <c r="K83" s="2"/>
      <c r="L83" s="1"/>
      <c r="M83" s="4" t="s">
        <v>381</v>
      </c>
      <c r="N83" s="8" t="s">
        <v>282</v>
      </c>
      <c r="P83" s="15" t="s">
        <v>610</v>
      </c>
    </row>
    <row r="84" spans="1:16" x14ac:dyDescent="0.2">
      <c r="A84" s="5" t="s">
        <v>384</v>
      </c>
      <c r="B84" s="35" t="s">
        <v>268</v>
      </c>
      <c r="C84" s="11" t="s">
        <v>554</v>
      </c>
      <c r="D84" s="6" t="s">
        <v>85</v>
      </c>
      <c r="E84" s="6"/>
      <c r="J84" s="2"/>
      <c r="K84" s="1"/>
      <c r="L84" s="2"/>
      <c r="M84" s="4" t="s">
        <v>364</v>
      </c>
      <c r="N84" s="8" t="s">
        <v>574</v>
      </c>
      <c r="P84" s="15" t="s">
        <v>395</v>
      </c>
    </row>
    <row r="85" spans="1:16" x14ac:dyDescent="0.2">
      <c r="A85" s="5" t="s">
        <v>123</v>
      </c>
      <c r="B85" s="35" t="s">
        <v>1742</v>
      </c>
      <c r="C85" s="6" t="s">
        <v>1577</v>
      </c>
      <c r="D85" s="6" t="s">
        <v>649</v>
      </c>
      <c r="E85" s="6"/>
      <c r="J85" s="2"/>
      <c r="K85" s="2"/>
      <c r="L85" s="1"/>
      <c r="M85" s="4" t="s">
        <v>210</v>
      </c>
      <c r="N85" s="8" t="s">
        <v>533</v>
      </c>
      <c r="P85" s="10" t="s">
        <v>376</v>
      </c>
    </row>
    <row r="86" spans="1:16" x14ac:dyDescent="0.2">
      <c r="A86" s="5" t="s">
        <v>233</v>
      </c>
      <c r="B86" s="35" t="s">
        <v>1154</v>
      </c>
      <c r="C86" s="6" t="s">
        <v>1271</v>
      </c>
      <c r="D86" s="6" t="s">
        <v>666</v>
      </c>
      <c r="E86" s="6"/>
      <c r="J86" s="2"/>
      <c r="K86" s="2"/>
      <c r="L86" s="2"/>
      <c r="M86" s="4" t="s">
        <v>222</v>
      </c>
      <c r="N86" s="8" t="s">
        <v>594</v>
      </c>
      <c r="P86" s="15" t="s">
        <v>564</v>
      </c>
    </row>
    <row r="87" spans="1:16" x14ac:dyDescent="0.2">
      <c r="A87" s="5" t="s">
        <v>73</v>
      </c>
      <c r="B87" s="37" t="s">
        <v>380</v>
      </c>
      <c r="C87" s="6" t="s">
        <v>1578</v>
      </c>
      <c r="D87" s="6" t="s">
        <v>824</v>
      </c>
      <c r="E87" s="6"/>
      <c r="J87" s="2"/>
      <c r="K87" s="2"/>
      <c r="L87" s="2"/>
      <c r="M87" s="4" t="s">
        <v>866</v>
      </c>
      <c r="N87" s="8" t="s">
        <v>540</v>
      </c>
      <c r="P87" s="15" t="s">
        <v>389</v>
      </c>
    </row>
    <row r="88" spans="1:16" x14ac:dyDescent="0.2">
      <c r="A88" s="5" t="s">
        <v>390</v>
      </c>
      <c r="B88" s="35" t="s">
        <v>1146</v>
      </c>
      <c r="C88" s="19" t="s">
        <v>406</v>
      </c>
      <c r="D88" s="6" t="s">
        <v>659</v>
      </c>
      <c r="E88" s="6"/>
      <c r="J88" s="2"/>
      <c r="K88" s="2"/>
      <c r="L88" s="2"/>
      <c r="M88" s="4" t="s">
        <v>685</v>
      </c>
      <c r="N88" s="8" t="s">
        <v>286</v>
      </c>
      <c r="P88" s="15" t="s">
        <v>437</v>
      </c>
    </row>
    <row r="89" spans="1:16" x14ac:dyDescent="0.2">
      <c r="A89" s="5" t="s">
        <v>394</v>
      </c>
      <c r="B89" s="39" t="s">
        <v>496</v>
      </c>
      <c r="C89" s="6" t="s">
        <v>1305</v>
      </c>
      <c r="D89" s="6" t="s">
        <v>656</v>
      </c>
      <c r="E89" s="6"/>
      <c r="J89" s="2"/>
      <c r="K89" s="2"/>
      <c r="L89" s="2"/>
      <c r="M89" s="4" t="s">
        <v>123</v>
      </c>
      <c r="N89" s="8" t="s">
        <v>468</v>
      </c>
      <c r="P89" s="15" t="s">
        <v>559</v>
      </c>
    </row>
    <row r="90" spans="1:16" x14ac:dyDescent="0.2">
      <c r="A90" s="5" t="s">
        <v>396</v>
      </c>
      <c r="B90" s="35" t="s">
        <v>658</v>
      </c>
      <c r="C90" s="6" t="s">
        <v>394</v>
      </c>
      <c r="D90" s="6" t="s">
        <v>825</v>
      </c>
      <c r="E90" s="6"/>
      <c r="J90" s="2"/>
      <c r="K90" s="2"/>
      <c r="L90" s="2"/>
      <c r="M90" s="4" t="s">
        <v>1014</v>
      </c>
      <c r="N90" s="8" t="s">
        <v>253</v>
      </c>
      <c r="P90" s="15" t="s">
        <v>130</v>
      </c>
    </row>
    <row r="91" spans="1:16" x14ac:dyDescent="0.2">
      <c r="A91" s="5" t="s">
        <v>137</v>
      </c>
      <c r="B91" s="35" t="s">
        <v>384</v>
      </c>
      <c r="C91" s="11" t="s">
        <v>584</v>
      </c>
      <c r="D91" s="6" t="s">
        <v>701</v>
      </c>
      <c r="E91" s="6"/>
      <c r="J91" s="2"/>
      <c r="K91" s="2"/>
      <c r="L91" s="2"/>
      <c r="M91" s="4" t="s">
        <v>233</v>
      </c>
      <c r="N91" s="8" t="s">
        <v>490</v>
      </c>
      <c r="P91" s="15" t="s">
        <v>239</v>
      </c>
    </row>
    <row r="92" spans="1:16" x14ac:dyDescent="0.2">
      <c r="A92" s="5" t="s">
        <v>143</v>
      </c>
      <c r="B92" s="35" t="s">
        <v>1158</v>
      </c>
      <c r="C92" s="6" t="s">
        <v>27</v>
      </c>
      <c r="D92" s="6" t="s">
        <v>715</v>
      </c>
      <c r="E92" s="6"/>
      <c r="J92" s="1"/>
      <c r="K92" s="2"/>
      <c r="L92" s="2"/>
      <c r="M92" s="4" t="s">
        <v>409</v>
      </c>
      <c r="N92" s="8" t="s">
        <v>556</v>
      </c>
      <c r="P92" s="15" t="s">
        <v>418</v>
      </c>
    </row>
    <row r="93" spans="1:16" x14ac:dyDescent="0.2">
      <c r="A93" s="10" t="s">
        <v>150</v>
      </c>
      <c r="B93" s="35" t="s">
        <v>650</v>
      </c>
      <c r="C93" s="6" t="s">
        <v>287</v>
      </c>
      <c r="D93" s="6" t="s">
        <v>826</v>
      </c>
      <c r="E93" s="6"/>
      <c r="J93" s="1"/>
      <c r="K93" s="2"/>
      <c r="L93" s="2"/>
      <c r="M93" s="4" t="s">
        <v>390</v>
      </c>
      <c r="N93" s="4" t="s">
        <v>1346</v>
      </c>
      <c r="P93" s="15" t="s">
        <v>421</v>
      </c>
    </row>
    <row r="94" spans="1:16" x14ac:dyDescent="0.2">
      <c r="A94" s="5" t="s">
        <v>250</v>
      </c>
      <c r="B94" s="35" t="s">
        <v>647</v>
      </c>
      <c r="C94" s="6" t="s">
        <v>1297</v>
      </c>
      <c r="D94" s="6" t="s">
        <v>679</v>
      </c>
      <c r="E94" s="6"/>
      <c r="J94" s="2"/>
      <c r="K94" s="2"/>
      <c r="L94" s="2"/>
      <c r="M94" s="4" t="s">
        <v>649</v>
      </c>
      <c r="N94" s="4" t="s">
        <v>1358</v>
      </c>
      <c r="P94" s="15" t="s">
        <v>561</v>
      </c>
    </row>
    <row r="95" spans="1:16" x14ac:dyDescent="0.2">
      <c r="A95" s="5" t="s">
        <v>88</v>
      </c>
      <c r="B95" s="35" t="s">
        <v>827</v>
      </c>
      <c r="C95" s="6" t="s">
        <v>1579</v>
      </c>
      <c r="D95" s="6" t="s">
        <v>481</v>
      </c>
      <c r="E95" s="6"/>
      <c r="J95" s="2"/>
      <c r="K95" s="1"/>
      <c r="L95" s="2"/>
      <c r="M95" s="4" t="s">
        <v>394</v>
      </c>
      <c r="N95" s="4" t="s">
        <v>1679</v>
      </c>
      <c r="P95" s="10" t="s">
        <v>612</v>
      </c>
    </row>
    <row r="96" spans="1:16" x14ac:dyDescent="0.2">
      <c r="A96" s="16" t="s">
        <v>401</v>
      </c>
      <c r="B96" s="35" t="s">
        <v>1159</v>
      </c>
      <c r="C96" s="6" t="s">
        <v>1023</v>
      </c>
      <c r="D96" s="6" t="s">
        <v>711</v>
      </c>
      <c r="E96" s="6"/>
      <c r="J96" s="1"/>
      <c r="K96" s="2"/>
      <c r="L96" s="2"/>
      <c r="M96" s="4" t="s">
        <v>137</v>
      </c>
      <c r="N96" s="4" t="s">
        <v>1720</v>
      </c>
      <c r="P96" s="10" t="s">
        <v>410</v>
      </c>
    </row>
    <row r="97" spans="1:16" x14ac:dyDescent="0.2">
      <c r="A97" s="16" t="s">
        <v>403</v>
      </c>
      <c r="B97" s="35" t="s">
        <v>1149</v>
      </c>
      <c r="C97" s="9" t="s">
        <v>200</v>
      </c>
      <c r="D97" s="6" t="s">
        <v>686</v>
      </c>
      <c r="E97" s="6"/>
      <c r="J97" s="2"/>
      <c r="K97" s="2"/>
      <c r="L97" s="2"/>
      <c r="M97" s="4" t="s">
        <v>143</v>
      </c>
      <c r="N97" s="4" t="s">
        <v>1</v>
      </c>
      <c r="P97" s="15" t="s">
        <v>245</v>
      </c>
    </row>
    <row r="98" spans="1:16" x14ac:dyDescent="0.2">
      <c r="A98" s="16" t="s">
        <v>406</v>
      </c>
      <c r="B98" s="35" t="s">
        <v>1743</v>
      </c>
      <c r="C98" s="6" t="s">
        <v>1580</v>
      </c>
      <c r="D98" s="6" t="s">
        <v>735</v>
      </c>
      <c r="E98" s="6"/>
      <c r="J98" s="2"/>
      <c r="K98" s="1"/>
      <c r="L98" s="2"/>
      <c r="M98" s="4" t="s">
        <v>763</v>
      </c>
      <c r="N98" s="4" t="s">
        <v>6</v>
      </c>
      <c r="P98" s="15" t="s">
        <v>150</v>
      </c>
    </row>
    <row r="99" spans="1:16" x14ac:dyDescent="0.2">
      <c r="A99" s="5" t="s">
        <v>408</v>
      </c>
      <c r="B99" s="35" t="s">
        <v>648</v>
      </c>
      <c r="C99" s="6" t="s">
        <v>34</v>
      </c>
      <c r="D99" s="6" t="s">
        <v>827</v>
      </c>
      <c r="E99" s="6"/>
      <c r="J99" s="2"/>
      <c r="K99" s="2"/>
      <c r="L99" s="2"/>
      <c r="M99" s="4" t="s">
        <v>775</v>
      </c>
      <c r="N99" s="4" t="s">
        <v>1048</v>
      </c>
      <c r="P99" s="15" t="s">
        <v>399</v>
      </c>
    </row>
    <row r="100" spans="1:16" x14ac:dyDescent="0.2">
      <c r="A100" s="5" t="s">
        <v>157</v>
      </c>
      <c r="B100" s="39" t="s">
        <v>488</v>
      </c>
      <c r="C100" s="6" t="s">
        <v>21</v>
      </c>
      <c r="D100" s="6" t="s">
        <v>654</v>
      </c>
      <c r="E100" s="6"/>
      <c r="J100" s="2"/>
      <c r="K100" s="2"/>
      <c r="L100" s="2"/>
      <c r="M100" s="12" t="s">
        <v>401</v>
      </c>
      <c r="N100" s="4" t="s">
        <v>4</v>
      </c>
      <c r="P100" s="15" t="s">
        <v>604</v>
      </c>
    </row>
    <row r="101" spans="1:16" x14ac:dyDescent="0.2">
      <c r="A101" s="5" t="s">
        <v>256</v>
      </c>
      <c r="B101" s="35" t="s">
        <v>660</v>
      </c>
      <c r="C101" s="6" t="s">
        <v>416</v>
      </c>
      <c r="D101" s="6" t="s">
        <v>469</v>
      </c>
      <c r="E101" s="6"/>
      <c r="J101" s="1"/>
      <c r="K101" s="2"/>
      <c r="L101" s="2"/>
      <c r="M101" s="4" t="s">
        <v>1040</v>
      </c>
      <c r="N101" s="4" t="s">
        <v>1149</v>
      </c>
      <c r="P101" s="15" t="s">
        <v>158</v>
      </c>
    </row>
    <row r="102" spans="1:16" x14ac:dyDescent="0.2">
      <c r="A102" s="5" t="s">
        <v>412</v>
      </c>
      <c r="B102" s="35" t="s">
        <v>1167</v>
      </c>
      <c r="C102" s="6" t="s">
        <v>1003</v>
      </c>
      <c r="D102" s="6" t="s">
        <v>682</v>
      </c>
      <c r="E102" s="6"/>
      <c r="J102" s="2"/>
      <c r="K102" s="2"/>
      <c r="L102" s="2"/>
      <c r="M102" s="4" t="s">
        <v>675</v>
      </c>
      <c r="N102" s="4" t="s">
        <v>1147</v>
      </c>
      <c r="P102" s="15" t="s">
        <v>165</v>
      </c>
    </row>
    <row r="103" spans="1:16" x14ac:dyDescent="0.2">
      <c r="A103" s="5" t="s">
        <v>262</v>
      </c>
      <c r="B103" s="35" t="s">
        <v>837</v>
      </c>
      <c r="C103" s="6" t="s">
        <v>1281</v>
      </c>
      <c r="D103" s="6" t="s">
        <v>699</v>
      </c>
      <c r="E103" s="6"/>
      <c r="J103" s="1"/>
      <c r="K103" s="1"/>
      <c r="L103" s="2"/>
      <c r="M103" s="4" t="s">
        <v>280</v>
      </c>
      <c r="N103" s="4" t="s">
        <v>1752</v>
      </c>
      <c r="P103" s="15" t="s">
        <v>588</v>
      </c>
    </row>
    <row r="104" spans="1:16" x14ac:dyDescent="0.2">
      <c r="A104" s="17" t="s">
        <v>420</v>
      </c>
      <c r="B104" s="35" t="s">
        <v>1177</v>
      </c>
      <c r="C104" s="6" t="s">
        <v>308</v>
      </c>
      <c r="D104" s="6" t="s">
        <v>667</v>
      </c>
      <c r="E104" s="6"/>
      <c r="J104" s="2"/>
      <c r="K104" s="2"/>
      <c r="L104" s="2"/>
      <c r="M104" s="4" t="s">
        <v>284</v>
      </c>
      <c r="N104" s="4" t="s">
        <v>1745</v>
      </c>
      <c r="P104" s="15" t="s">
        <v>398</v>
      </c>
    </row>
    <row r="105" spans="1:16" x14ac:dyDescent="0.2">
      <c r="A105" s="5" t="s">
        <v>267</v>
      </c>
      <c r="B105" s="35" t="s">
        <v>747</v>
      </c>
      <c r="C105" s="6" t="s">
        <v>1292</v>
      </c>
      <c r="D105" s="6" t="s">
        <v>662</v>
      </c>
      <c r="E105" s="6"/>
      <c r="J105" s="2"/>
      <c r="K105" s="1"/>
      <c r="L105" s="2"/>
      <c r="M105" s="4" t="s">
        <v>288</v>
      </c>
      <c r="N105" s="4" t="s">
        <v>1314</v>
      </c>
      <c r="P105" s="10" t="s">
        <v>463</v>
      </c>
    </row>
    <row r="106" spans="1:16" x14ac:dyDescent="0.2">
      <c r="A106" s="5" t="s">
        <v>96</v>
      </c>
      <c r="B106" s="35" t="s">
        <v>1233</v>
      </c>
      <c r="C106" s="6" t="s">
        <v>467</v>
      </c>
      <c r="D106" s="6" t="s">
        <v>384</v>
      </c>
      <c r="E106" s="6"/>
      <c r="J106" s="2"/>
      <c r="K106" s="2"/>
      <c r="L106" s="2"/>
      <c r="M106" s="4" t="s">
        <v>441</v>
      </c>
      <c r="N106" s="4" t="s">
        <v>14</v>
      </c>
      <c r="P106" s="15" t="s">
        <v>578</v>
      </c>
    </row>
    <row r="107" spans="1:16" x14ac:dyDescent="0.2">
      <c r="A107" s="5" t="s">
        <v>271</v>
      </c>
      <c r="B107" s="39" t="s">
        <v>466</v>
      </c>
      <c r="C107" s="6" t="s">
        <v>1581</v>
      </c>
      <c r="D107" s="6" t="s">
        <v>736</v>
      </c>
      <c r="E107" s="6"/>
      <c r="J107" s="2"/>
      <c r="K107" s="2"/>
      <c r="L107" s="2"/>
      <c r="M107" s="4" t="s">
        <v>425</v>
      </c>
      <c r="N107" s="4" t="s">
        <v>21</v>
      </c>
      <c r="P107" s="15" t="s">
        <v>170</v>
      </c>
    </row>
    <row r="108" spans="1:16" x14ac:dyDescent="0.2">
      <c r="A108" s="5" t="s">
        <v>275</v>
      </c>
      <c r="B108" s="35" t="s">
        <v>653</v>
      </c>
      <c r="C108" s="6" t="s">
        <v>1290</v>
      </c>
      <c r="D108" s="6" t="s">
        <v>83</v>
      </c>
      <c r="E108" s="6"/>
      <c r="J108" s="2"/>
      <c r="K108" s="2"/>
      <c r="L108" s="2"/>
      <c r="M108" s="4" t="s">
        <v>446</v>
      </c>
      <c r="N108" s="4" t="s">
        <v>716</v>
      </c>
      <c r="P108" s="15" t="s">
        <v>606</v>
      </c>
    </row>
    <row r="109" spans="1:16" x14ac:dyDescent="0.2">
      <c r="A109" s="5" t="s">
        <v>280</v>
      </c>
      <c r="B109" s="39" t="s">
        <v>540</v>
      </c>
      <c r="C109" s="11" t="s">
        <v>239</v>
      </c>
      <c r="D109" s="6" t="s">
        <v>547</v>
      </c>
      <c r="E109" s="6"/>
      <c r="J109" s="2"/>
      <c r="K109" s="2"/>
      <c r="L109" s="2"/>
      <c r="M109" s="4" t="s">
        <v>742</v>
      </c>
      <c r="N109" s="4" t="s">
        <v>1241</v>
      </c>
      <c r="P109" s="15" t="s">
        <v>423</v>
      </c>
    </row>
    <row r="110" spans="1:16" x14ac:dyDescent="0.2">
      <c r="A110" s="5" t="s">
        <v>284</v>
      </c>
      <c r="B110" s="35" t="s">
        <v>781</v>
      </c>
      <c r="C110" s="9" t="s">
        <v>621</v>
      </c>
      <c r="D110" s="6" t="s">
        <v>688</v>
      </c>
      <c r="E110" s="6"/>
      <c r="J110" s="2"/>
      <c r="K110" s="2"/>
      <c r="L110" s="2"/>
      <c r="M110" s="4" t="s">
        <v>1215</v>
      </c>
      <c r="N110" s="4" t="s">
        <v>1200</v>
      </c>
      <c r="P110" s="15" t="s">
        <v>190</v>
      </c>
    </row>
    <row r="111" spans="1:16" x14ac:dyDescent="0.2">
      <c r="A111" s="5" t="s">
        <v>288</v>
      </c>
      <c r="B111" s="35" t="s">
        <v>689</v>
      </c>
      <c r="C111" s="6" t="s">
        <v>1582</v>
      </c>
      <c r="D111" s="6" t="s">
        <v>671</v>
      </c>
      <c r="E111" s="6"/>
      <c r="J111" s="2"/>
      <c r="K111" s="2"/>
      <c r="L111" s="2"/>
      <c r="M111" s="4" t="s">
        <v>689</v>
      </c>
      <c r="N111" s="4" t="s">
        <v>20</v>
      </c>
      <c r="P111" s="15" t="s">
        <v>565</v>
      </c>
    </row>
    <row r="112" spans="1:16" x14ac:dyDescent="0.2">
      <c r="A112" s="5" t="s">
        <v>292</v>
      </c>
      <c r="B112" s="35" t="s">
        <v>690</v>
      </c>
      <c r="C112" s="6" t="s">
        <v>354</v>
      </c>
      <c r="D112" s="6" t="s">
        <v>712</v>
      </c>
      <c r="E112" s="6"/>
      <c r="J112" s="2"/>
      <c r="K112" s="2"/>
      <c r="L112" s="2"/>
      <c r="M112" s="4" t="s">
        <v>846</v>
      </c>
      <c r="N112" s="4" t="s">
        <v>1546</v>
      </c>
      <c r="P112" s="15" t="s">
        <v>430</v>
      </c>
    </row>
    <row r="113" spans="1:16" x14ac:dyDescent="0.2">
      <c r="A113" s="10" t="s">
        <v>423</v>
      </c>
      <c r="B113" s="35" t="s">
        <v>693</v>
      </c>
      <c r="C113" s="6" t="s">
        <v>872</v>
      </c>
      <c r="D113" s="6" t="s">
        <v>698</v>
      </c>
      <c r="E113" s="6"/>
      <c r="J113" s="1"/>
      <c r="K113" s="2"/>
      <c r="L113" s="1"/>
      <c r="M113" s="4" t="s">
        <v>970</v>
      </c>
      <c r="N113" s="4" t="s">
        <v>1061</v>
      </c>
      <c r="P113" s="15" t="s">
        <v>433</v>
      </c>
    </row>
    <row r="114" spans="1:16" x14ac:dyDescent="0.2">
      <c r="A114" s="5" t="s">
        <v>425</v>
      </c>
      <c r="B114" s="35" t="s">
        <v>1343</v>
      </c>
      <c r="C114" s="6" t="s">
        <v>1583</v>
      </c>
      <c r="D114" s="6" t="s">
        <v>828</v>
      </c>
      <c r="E114" s="6"/>
      <c r="J114" s="2"/>
      <c r="K114" s="2"/>
      <c r="L114" s="2"/>
      <c r="M114" s="4" t="s">
        <v>864</v>
      </c>
      <c r="N114" s="4" t="s">
        <v>1133</v>
      </c>
      <c r="P114" s="15" t="s">
        <v>375</v>
      </c>
    </row>
    <row r="115" spans="1:16" x14ac:dyDescent="0.2">
      <c r="A115" s="5" t="s">
        <v>297</v>
      </c>
      <c r="B115" s="35" t="s">
        <v>1247</v>
      </c>
      <c r="C115" s="11" t="s">
        <v>437</v>
      </c>
      <c r="D115" s="18" t="s">
        <v>406</v>
      </c>
      <c r="E115" s="6"/>
      <c r="J115" s="2"/>
      <c r="K115" s="1"/>
      <c r="L115" s="2"/>
      <c r="M115" s="4" t="s">
        <v>435</v>
      </c>
      <c r="N115" s="4" t="s">
        <v>1119</v>
      </c>
      <c r="P115" s="15" t="s">
        <v>438</v>
      </c>
    </row>
    <row r="116" spans="1:16" x14ac:dyDescent="0.2">
      <c r="A116" s="10" t="s">
        <v>433</v>
      </c>
      <c r="B116" s="35" t="s">
        <v>1176</v>
      </c>
      <c r="C116" s="6" t="s">
        <v>1273</v>
      </c>
      <c r="D116" s="6" t="s">
        <v>748</v>
      </c>
      <c r="E116" s="6"/>
      <c r="J116" s="2"/>
      <c r="K116" s="2"/>
      <c r="L116" s="2"/>
      <c r="M116" s="4" t="s">
        <v>1193</v>
      </c>
      <c r="N116" s="4" t="s">
        <v>1711</v>
      </c>
      <c r="P116" s="15" t="s">
        <v>383</v>
      </c>
    </row>
    <row r="117" spans="1:16" x14ac:dyDescent="0.2">
      <c r="A117" s="5" t="s">
        <v>435</v>
      </c>
      <c r="B117" s="35" t="s">
        <v>1212</v>
      </c>
      <c r="C117" s="6" t="s">
        <v>719</v>
      </c>
      <c r="D117" s="6" t="s">
        <v>829</v>
      </c>
      <c r="E117" s="6"/>
      <c r="J117" s="2"/>
      <c r="K117" s="2"/>
      <c r="L117" s="2"/>
      <c r="M117" s="4" t="s">
        <v>772</v>
      </c>
      <c r="N117" s="4" t="s">
        <v>1483</v>
      </c>
      <c r="P117" s="10" t="s">
        <v>487</v>
      </c>
    </row>
    <row r="118" spans="1:16" x14ac:dyDescent="0.2">
      <c r="A118" s="5" t="s">
        <v>301</v>
      </c>
      <c r="B118" s="35" t="s">
        <v>1744</v>
      </c>
      <c r="C118" s="11" t="s">
        <v>379</v>
      </c>
      <c r="D118" s="6" t="s">
        <v>664</v>
      </c>
      <c r="E118" s="6"/>
      <c r="J118" s="2"/>
      <c r="K118" s="2"/>
      <c r="L118" s="2"/>
      <c r="M118" s="4" t="s">
        <v>747</v>
      </c>
      <c r="N118" s="4" t="s">
        <v>1300</v>
      </c>
      <c r="P118" s="15" t="s">
        <v>600</v>
      </c>
    </row>
    <row r="119" spans="1:16" x14ac:dyDescent="0.2">
      <c r="A119" s="5" t="s">
        <v>305</v>
      </c>
      <c r="B119" s="35" t="s">
        <v>826</v>
      </c>
      <c r="C119" s="6" t="s">
        <v>502</v>
      </c>
      <c r="D119" s="6" t="s">
        <v>718</v>
      </c>
      <c r="E119" s="6"/>
      <c r="J119" s="2"/>
      <c r="K119" s="2"/>
      <c r="L119" s="2"/>
      <c r="M119" s="4" t="s">
        <v>440</v>
      </c>
      <c r="N119" s="4" t="s">
        <v>1698</v>
      </c>
      <c r="P119" s="10" t="s">
        <v>214</v>
      </c>
    </row>
    <row r="120" spans="1:16" x14ac:dyDescent="0.2">
      <c r="A120" s="5" t="s">
        <v>183</v>
      </c>
      <c r="B120" s="35" t="s">
        <v>857</v>
      </c>
      <c r="C120" s="6" t="s">
        <v>1279</v>
      </c>
      <c r="D120" s="6" t="s">
        <v>830</v>
      </c>
      <c r="E120" s="6"/>
      <c r="J120" s="1"/>
      <c r="K120" s="2"/>
      <c r="L120" s="2"/>
      <c r="M120" s="4" t="s">
        <v>208</v>
      </c>
      <c r="N120" s="4" t="s">
        <v>27</v>
      </c>
      <c r="P120" s="15" t="s">
        <v>576</v>
      </c>
    </row>
    <row r="121" spans="1:16" x14ac:dyDescent="0.2">
      <c r="A121" s="10" t="s">
        <v>438</v>
      </c>
      <c r="B121" s="35" t="s">
        <v>532</v>
      </c>
      <c r="C121" s="6" t="s">
        <v>1584</v>
      </c>
      <c r="D121" s="6" t="s">
        <v>831</v>
      </c>
      <c r="E121" s="6"/>
      <c r="J121" s="2"/>
      <c r="K121" s="2"/>
      <c r="L121" s="2"/>
      <c r="M121" s="4" t="s">
        <v>774</v>
      </c>
      <c r="N121" s="4" t="s">
        <v>1124</v>
      </c>
      <c r="P121" s="15" t="s">
        <v>443</v>
      </c>
    </row>
    <row r="122" spans="1:16" x14ac:dyDescent="0.2">
      <c r="A122" s="5" t="s">
        <v>440</v>
      </c>
      <c r="B122" s="35" t="s">
        <v>1153</v>
      </c>
      <c r="C122" s="6" t="s">
        <v>633</v>
      </c>
      <c r="D122" s="6" t="s">
        <v>702</v>
      </c>
      <c r="E122" s="6"/>
      <c r="J122" s="1"/>
      <c r="K122" s="1"/>
      <c r="L122" s="2"/>
      <c r="M122" s="4" t="s">
        <v>445</v>
      </c>
      <c r="N122" s="4" t="s">
        <v>1572</v>
      </c>
      <c r="P122" s="15" t="s">
        <v>581</v>
      </c>
    </row>
    <row r="123" spans="1:16" x14ac:dyDescent="0.2">
      <c r="A123" s="5" t="s">
        <v>310</v>
      </c>
      <c r="B123" s="35" t="s">
        <v>788</v>
      </c>
      <c r="C123" s="6" t="s">
        <v>1585</v>
      </c>
      <c r="D123" s="6" t="s">
        <v>677</v>
      </c>
      <c r="E123" s="6"/>
      <c r="J123" s="2"/>
      <c r="K123" s="2"/>
      <c r="L123" s="2"/>
      <c r="M123" s="4" t="s">
        <v>770</v>
      </c>
      <c r="N123" s="4" t="s">
        <v>1680</v>
      </c>
      <c r="P123" s="15" t="s">
        <v>195</v>
      </c>
    </row>
    <row r="124" spans="1:16" x14ac:dyDescent="0.2">
      <c r="A124" s="13" t="s">
        <v>313</v>
      </c>
      <c r="B124" s="35" t="s">
        <v>845</v>
      </c>
      <c r="C124" s="6" t="s">
        <v>1586</v>
      </c>
      <c r="D124" s="6" t="s">
        <v>716</v>
      </c>
      <c r="E124" s="6"/>
      <c r="J124" s="2"/>
      <c r="K124" s="1"/>
      <c r="L124" s="1"/>
      <c r="M124" s="4" t="s">
        <v>699</v>
      </c>
      <c r="N124" s="4" t="s">
        <v>1411</v>
      </c>
      <c r="P124" s="10" t="s">
        <v>225</v>
      </c>
    </row>
    <row r="125" spans="1:16" x14ac:dyDescent="0.2">
      <c r="A125" s="5" t="s">
        <v>1266</v>
      </c>
      <c r="B125" s="35" t="s">
        <v>698</v>
      </c>
      <c r="C125" s="6" t="s">
        <v>475</v>
      </c>
      <c r="D125" s="6" t="s">
        <v>693</v>
      </c>
      <c r="E125" s="6"/>
      <c r="J125" s="2"/>
      <c r="K125" s="2"/>
      <c r="L125" s="1"/>
      <c r="M125" s="4" t="s">
        <v>452</v>
      </c>
      <c r="N125" s="4" t="s">
        <v>1666</v>
      </c>
      <c r="P125" s="15" t="s">
        <v>373</v>
      </c>
    </row>
    <row r="126" spans="1:16" x14ac:dyDescent="0.2">
      <c r="A126" s="5" t="s">
        <v>316</v>
      </c>
      <c r="B126" s="35" t="s">
        <v>1152</v>
      </c>
      <c r="C126" s="6" t="s">
        <v>1276</v>
      </c>
      <c r="D126" s="6" t="s">
        <v>684</v>
      </c>
      <c r="E126" s="6"/>
      <c r="J126" s="2"/>
      <c r="K126" s="2"/>
      <c r="L126" s="2"/>
      <c r="M126" s="4" t="s">
        <v>767</v>
      </c>
      <c r="N126" s="4" t="s">
        <v>630</v>
      </c>
      <c r="P126" s="15" t="s">
        <v>530</v>
      </c>
    </row>
    <row r="127" spans="1:16" x14ac:dyDescent="0.2">
      <c r="A127" s="5" t="s">
        <v>320</v>
      </c>
      <c r="B127" s="35" t="s">
        <v>1147</v>
      </c>
      <c r="C127" s="6" t="s">
        <v>1411</v>
      </c>
      <c r="D127" s="6" t="s">
        <v>691</v>
      </c>
      <c r="E127" s="6"/>
      <c r="J127" s="1"/>
      <c r="K127" s="2"/>
      <c r="L127" s="2"/>
      <c r="M127" s="4" t="s">
        <v>464</v>
      </c>
      <c r="N127" s="4" t="s">
        <v>1571</v>
      </c>
      <c r="P127" s="15" t="s">
        <v>587</v>
      </c>
    </row>
    <row r="128" spans="1:16" x14ac:dyDescent="0.2">
      <c r="A128" s="5" t="s">
        <v>445</v>
      </c>
      <c r="B128" s="35" t="s">
        <v>1206</v>
      </c>
      <c r="C128" s="6" t="s">
        <v>121</v>
      </c>
      <c r="D128" s="6" t="s">
        <v>832</v>
      </c>
      <c r="E128" s="6"/>
      <c r="J128" s="2"/>
      <c r="K128" s="2"/>
      <c r="L128" s="1"/>
      <c r="M128" s="4" t="s">
        <v>479</v>
      </c>
      <c r="N128" s="4" t="s">
        <v>1695</v>
      </c>
      <c r="P128" s="15" t="s">
        <v>586</v>
      </c>
    </row>
    <row r="129" spans="1:16" x14ac:dyDescent="0.2">
      <c r="A129" s="5" t="s">
        <v>448</v>
      </c>
      <c r="B129" s="35" t="s">
        <v>1217</v>
      </c>
      <c r="C129" s="11" t="s">
        <v>395</v>
      </c>
      <c r="D129" s="6" t="s">
        <v>201</v>
      </c>
      <c r="E129" s="6"/>
      <c r="J129" s="1"/>
      <c r="K129" s="1"/>
      <c r="L129" s="2"/>
      <c r="M129" s="4" t="s">
        <v>708</v>
      </c>
      <c r="N129" s="4" t="s">
        <v>1643</v>
      </c>
      <c r="P129" s="15" t="s">
        <v>567</v>
      </c>
    </row>
    <row r="130" spans="1:16" x14ac:dyDescent="0.2">
      <c r="A130" s="5" t="s">
        <v>452</v>
      </c>
      <c r="B130" s="35" t="s">
        <v>685</v>
      </c>
      <c r="C130" s="6" t="s">
        <v>1418</v>
      </c>
      <c r="D130" s="6" t="s">
        <v>764</v>
      </c>
      <c r="E130" s="6"/>
      <c r="J130" s="2"/>
      <c r="K130" s="2"/>
      <c r="L130" s="2"/>
      <c r="M130" s="4" t="s">
        <v>472</v>
      </c>
      <c r="N130" s="4" t="s">
        <v>53</v>
      </c>
      <c r="P130" s="15" t="s">
        <v>442</v>
      </c>
    </row>
    <row r="131" spans="1:16" x14ac:dyDescent="0.2">
      <c r="A131" s="5" t="s">
        <v>323</v>
      </c>
      <c r="B131" s="35" t="s">
        <v>718</v>
      </c>
      <c r="C131" s="6" t="s">
        <v>1295</v>
      </c>
      <c r="D131" s="6" t="s">
        <v>833</v>
      </c>
      <c r="E131" s="6"/>
      <c r="J131" s="2"/>
      <c r="K131" s="1"/>
      <c r="L131" s="2"/>
      <c r="M131" s="4" t="s">
        <v>354</v>
      </c>
      <c r="N131" s="4" t="s">
        <v>1717</v>
      </c>
      <c r="P131" s="15" t="s">
        <v>458</v>
      </c>
    </row>
    <row r="132" spans="1:16" x14ac:dyDescent="0.2">
      <c r="A132" s="5" t="s">
        <v>327</v>
      </c>
      <c r="B132" s="35" t="s">
        <v>851</v>
      </c>
      <c r="C132" s="6" t="s">
        <v>197</v>
      </c>
      <c r="D132" s="6" t="s">
        <v>834</v>
      </c>
      <c r="E132" s="6"/>
      <c r="J132" s="2"/>
      <c r="K132" s="2"/>
      <c r="L132" s="2"/>
      <c r="M132" s="4" t="s">
        <v>475</v>
      </c>
      <c r="N132" s="4" t="s">
        <v>1146</v>
      </c>
      <c r="P132" s="10" t="s">
        <v>461</v>
      </c>
    </row>
    <row r="133" spans="1:16" x14ac:dyDescent="0.2">
      <c r="A133" s="5" t="s">
        <v>456</v>
      </c>
      <c r="B133" s="35" t="s">
        <v>1213</v>
      </c>
      <c r="C133" s="6" t="s">
        <v>548</v>
      </c>
      <c r="D133" s="6" t="s">
        <v>732</v>
      </c>
      <c r="E133" s="6"/>
      <c r="J133" s="2"/>
      <c r="K133" s="2"/>
      <c r="L133" s="1"/>
      <c r="M133" s="4" t="s">
        <v>718</v>
      </c>
      <c r="N133" s="4" t="s">
        <v>5</v>
      </c>
      <c r="P133" s="10" t="s">
        <v>427</v>
      </c>
    </row>
    <row r="134" spans="1:16" x14ac:dyDescent="0.2">
      <c r="A134" s="10" t="s">
        <v>458</v>
      </c>
      <c r="B134" s="35" t="s">
        <v>729</v>
      </c>
      <c r="C134" s="6" t="s">
        <v>1296</v>
      </c>
      <c r="D134" s="6" t="s">
        <v>79</v>
      </c>
      <c r="E134" s="6"/>
      <c r="J134" s="2"/>
      <c r="K134" s="2"/>
      <c r="L134" s="2"/>
      <c r="M134" s="4" t="s">
        <v>658</v>
      </c>
      <c r="N134" s="4" t="s">
        <v>28</v>
      </c>
      <c r="P134" s="10" t="s">
        <v>592</v>
      </c>
    </row>
    <row r="135" spans="1:16" x14ac:dyDescent="0.2">
      <c r="A135" s="5" t="s">
        <v>330</v>
      </c>
      <c r="B135" s="35" t="s">
        <v>381</v>
      </c>
      <c r="C135" s="6" t="s">
        <v>103</v>
      </c>
      <c r="D135" s="6" t="s">
        <v>369</v>
      </c>
      <c r="E135" s="6"/>
      <c r="J135" s="2"/>
      <c r="K135" s="2"/>
      <c r="L135" s="1"/>
      <c r="M135" s="4" t="s">
        <v>224</v>
      </c>
      <c r="N135" s="4" t="s">
        <v>884</v>
      </c>
      <c r="P135" s="15" t="s">
        <v>542</v>
      </c>
    </row>
    <row r="136" spans="1:16" x14ac:dyDescent="0.2">
      <c r="A136" s="5" t="s">
        <v>201</v>
      </c>
      <c r="B136" s="35" t="s">
        <v>1251</v>
      </c>
      <c r="C136" s="6" t="s">
        <v>1587</v>
      </c>
      <c r="D136" s="6" t="s">
        <v>689</v>
      </c>
      <c r="E136" s="6"/>
      <c r="J136" s="1"/>
      <c r="K136" s="2"/>
      <c r="L136" s="2"/>
      <c r="M136" s="4" t="s">
        <v>494</v>
      </c>
      <c r="N136" s="4" t="s">
        <v>843</v>
      </c>
      <c r="P136" s="15" t="s">
        <v>462</v>
      </c>
    </row>
    <row r="137" spans="1:16" x14ac:dyDescent="0.2">
      <c r="A137" s="5" t="s">
        <v>333</v>
      </c>
      <c r="B137" s="35" t="s">
        <v>1238</v>
      </c>
      <c r="C137" s="6" t="s">
        <v>1288</v>
      </c>
      <c r="D137" s="6" t="s">
        <v>672</v>
      </c>
      <c r="E137" s="6"/>
      <c r="J137" s="1"/>
      <c r="K137" s="2"/>
      <c r="L137" s="2"/>
      <c r="M137" s="4" t="s">
        <v>666</v>
      </c>
      <c r="N137" s="4" t="s">
        <v>765</v>
      </c>
      <c r="P137" s="15" t="s">
        <v>243</v>
      </c>
    </row>
    <row r="138" spans="1:16" x14ac:dyDescent="0.2">
      <c r="A138" s="5" t="s">
        <v>464</v>
      </c>
      <c r="B138" s="35" t="s">
        <v>1215</v>
      </c>
      <c r="C138" s="6" t="s">
        <v>1298</v>
      </c>
      <c r="D138" s="6" t="s">
        <v>786</v>
      </c>
      <c r="E138" s="6"/>
      <c r="J138" s="2"/>
      <c r="K138" s="1"/>
      <c r="L138" s="2"/>
      <c r="M138" s="4" t="s">
        <v>520</v>
      </c>
      <c r="N138" s="4" t="s">
        <v>1332</v>
      </c>
      <c r="P138" s="15" t="s">
        <v>207</v>
      </c>
    </row>
    <row r="139" spans="1:16" x14ac:dyDescent="0.2">
      <c r="A139" s="10" t="s">
        <v>207</v>
      </c>
      <c r="B139" s="35" t="s">
        <v>738</v>
      </c>
      <c r="C139" s="6" t="s">
        <v>31</v>
      </c>
      <c r="D139" s="6" t="s">
        <v>835</v>
      </c>
      <c r="E139" s="6"/>
      <c r="J139" s="2"/>
      <c r="K139" s="1"/>
      <c r="L139" s="2"/>
      <c r="M139" s="4" t="s">
        <v>662</v>
      </c>
      <c r="N139" s="4" t="s">
        <v>70</v>
      </c>
      <c r="P139" s="15" t="s">
        <v>454</v>
      </c>
    </row>
    <row r="140" spans="1:16" x14ac:dyDescent="0.2">
      <c r="A140" s="5" t="s">
        <v>337</v>
      </c>
      <c r="B140" s="35" t="s">
        <v>1195</v>
      </c>
      <c r="C140" s="6" t="s">
        <v>1277</v>
      </c>
      <c r="D140" s="6" t="s">
        <v>103</v>
      </c>
      <c r="E140" s="6"/>
      <c r="J140" s="2"/>
      <c r="K140" s="2"/>
      <c r="L140" s="2"/>
      <c r="M140" s="4" t="s">
        <v>372</v>
      </c>
      <c r="N140" s="4" t="s">
        <v>1454</v>
      </c>
      <c r="P140" s="15" t="s">
        <v>473</v>
      </c>
    </row>
    <row r="141" spans="1:16" x14ac:dyDescent="0.2">
      <c r="A141" s="5" t="s">
        <v>341</v>
      </c>
      <c r="B141" s="35" t="s">
        <v>790</v>
      </c>
      <c r="C141" s="6" t="s">
        <v>1303</v>
      </c>
      <c r="D141" s="6" t="s">
        <v>836</v>
      </c>
      <c r="E141" s="6"/>
      <c r="J141" s="1"/>
      <c r="K141" s="2"/>
      <c r="L141" s="2"/>
      <c r="M141" s="4" t="s">
        <v>522</v>
      </c>
      <c r="N141" s="4" t="s">
        <v>1584</v>
      </c>
      <c r="P141" s="15" t="s">
        <v>344</v>
      </c>
    </row>
    <row r="142" spans="1:16" x14ac:dyDescent="0.2">
      <c r="A142" s="5" t="s">
        <v>213</v>
      </c>
      <c r="B142" s="35" t="s">
        <v>1227</v>
      </c>
      <c r="C142" s="6" t="s">
        <v>1588</v>
      </c>
      <c r="D142" s="6" t="s">
        <v>717</v>
      </c>
      <c r="E142" s="6"/>
      <c r="J142" s="2"/>
      <c r="K142" s="2"/>
      <c r="L142" s="2"/>
      <c r="M142" s="4" t="s">
        <v>769</v>
      </c>
      <c r="N142" s="4" t="s">
        <v>1577</v>
      </c>
      <c r="P142" s="10" t="s">
        <v>265</v>
      </c>
    </row>
    <row r="143" spans="1:16" x14ac:dyDescent="0.2">
      <c r="A143" s="5" t="s">
        <v>469</v>
      </c>
      <c r="B143" s="35" t="s">
        <v>868</v>
      </c>
      <c r="C143" s="6" t="s">
        <v>1589</v>
      </c>
      <c r="D143" s="6" t="s">
        <v>837</v>
      </c>
      <c r="E143" s="6"/>
      <c r="J143" s="2"/>
      <c r="K143" s="1"/>
      <c r="L143" s="2"/>
      <c r="M143" s="4" t="s">
        <v>647</v>
      </c>
      <c r="N143" s="4" t="s">
        <v>1121</v>
      </c>
      <c r="P143" s="10" t="s">
        <v>432</v>
      </c>
    </row>
    <row r="144" spans="1:16" x14ac:dyDescent="0.2">
      <c r="A144" s="10" t="s">
        <v>344</v>
      </c>
      <c r="B144" s="35" t="s">
        <v>1745</v>
      </c>
      <c r="C144" s="6" t="s">
        <v>1309</v>
      </c>
      <c r="D144" s="6" t="s">
        <v>798</v>
      </c>
      <c r="E144" s="6"/>
      <c r="J144" s="2"/>
      <c r="K144" s="2"/>
      <c r="L144" s="2"/>
      <c r="M144" s="4" t="s">
        <v>532</v>
      </c>
      <c r="N144" s="4" t="s">
        <v>1140</v>
      </c>
      <c r="P144" s="15" t="s">
        <v>478</v>
      </c>
    </row>
    <row r="145" spans="1:16" x14ac:dyDescent="0.2">
      <c r="A145" s="5" t="s">
        <v>472</v>
      </c>
      <c r="B145" s="35" t="s">
        <v>1746</v>
      </c>
      <c r="C145" s="6" t="s">
        <v>285</v>
      </c>
      <c r="D145" s="6" t="s">
        <v>657</v>
      </c>
      <c r="E145" s="6"/>
      <c r="J145" s="2"/>
      <c r="K145" s="2"/>
      <c r="L145" s="1"/>
      <c r="M145" s="4" t="s">
        <v>698</v>
      </c>
      <c r="N145" s="4" t="s">
        <v>1274</v>
      </c>
      <c r="P145" s="15" t="s">
        <v>577</v>
      </c>
    </row>
    <row r="146" spans="1:16" x14ac:dyDescent="0.2">
      <c r="A146" s="5" t="s">
        <v>348</v>
      </c>
      <c r="B146" s="35" t="s">
        <v>709</v>
      </c>
      <c r="C146" s="6" t="s">
        <v>470</v>
      </c>
      <c r="D146" s="6" t="s">
        <v>541</v>
      </c>
      <c r="E146" s="6"/>
      <c r="J146" s="2"/>
      <c r="K146" s="2"/>
      <c r="L146" s="2"/>
      <c r="M146" s="4" t="s">
        <v>679</v>
      </c>
      <c r="N146" s="4" t="s">
        <v>1612</v>
      </c>
      <c r="P146" s="15" t="s">
        <v>509</v>
      </c>
    </row>
    <row r="147" spans="1:16" x14ac:dyDescent="0.2">
      <c r="A147" s="5" t="s">
        <v>351</v>
      </c>
      <c r="B147" s="35" t="s">
        <v>765</v>
      </c>
      <c r="C147" s="6" t="s">
        <v>1590</v>
      </c>
      <c r="D147" s="6" t="s">
        <v>838</v>
      </c>
      <c r="E147" s="6"/>
      <c r="J147" s="1"/>
      <c r="K147" s="2"/>
      <c r="L147" s="2"/>
      <c r="M147" s="4" t="s">
        <v>543</v>
      </c>
      <c r="N147" s="4" t="s">
        <v>1758</v>
      </c>
      <c r="P147" s="15" t="s">
        <v>566</v>
      </c>
    </row>
    <row r="148" spans="1:16" x14ac:dyDescent="0.2">
      <c r="A148" s="5" t="s">
        <v>354</v>
      </c>
      <c r="B148" s="35" t="s">
        <v>1237</v>
      </c>
      <c r="C148" s="6" t="s">
        <v>1263</v>
      </c>
      <c r="D148" s="6" t="s">
        <v>839</v>
      </c>
      <c r="E148" s="6"/>
      <c r="J148" s="1"/>
      <c r="K148" s="2"/>
      <c r="L148" s="2"/>
      <c r="M148" s="4" t="s">
        <v>827</v>
      </c>
      <c r="N148" s="4" t="s">
        <v>1627</v>
      </c>
      <c r="P148" s="15" t="s">
        <v>495</v>
      </c>
    </row>
    <row r="149" spans="1:16" x14ac:dyDescent="0.2">
      <c r="A149" s="5" t="s">
        <v>475</v>
      </c>
      <c r="B149" s="35" t="s">
        <v>699</v>
      </c>
      <c r="C149" s="6" t="s">
        <v>1312</v>
      </c>
      <c r="D149" s="6" t="s">
        <v>779</v>
      </c>
      <c r="E149" s="6"/>
      <c r="J149" s="1"/>
      <c r="K149" s="1"/>
      <c r="L149" s="2"/>
      <c r="M149" s="4" t="s">
        <v>1315</v>
      </c>
      <c r="N149" s="4" t="s">
        <v>1581</v>
      </c>
      <c r="P149" s="10" t="s">
        <v>488</v>
      </c>
    </row>
    <row r="150" spans="1:16" x14ac:dyDescent="0.2">
      <c r="A150" s="10" t="s">
        <v>478</v>
      </c>
      <c r="B150" s="35" t="s">
        <v>1193</v>
      </c>
      <c r="C150" s="6" t="s">
        <v>59</v>
      </c>
      <c r="D150" s="6" t="s">
        <v>726</v>
      </c>
      <c r="E150" s="6"/>
      <c r="J150" s="1"/>
      <c r="K150" s="1"/>
      <c r="L150" s="2"/>
      <c r="M150" s="4" t="s">
        <v>868</v>
      </c>
      <c r="N150" s="4" t="s">
        <v>59</v>
      </c>
      <c r="P150" s="15" t="s">
        <v>499</v>
      </c>
    </row>
    <row r="151" spans="1:16" x14ac:dyDescent="0.2">
      <c r="A151" s="5" t="s">
        <v>481</v>
      </c>
      <c r="B151" s="35" t="s">
        <v>755</v>
      </c>
      <c r="C151" s="6" t="s">
        <v>1591</v>
      </c>
      <c r="D151" s="6" t="s">
        <v>767</v>
      </c>
      <c r="E151" s="6"/>
      <c r="J151" s="2"/>
      <c r="K151" s="1"/>
      <c r="L151" s="2"/>
      <c r="M151" s="4" t="s">
        <v>1645</v>
      </c>
      <c r="N151" s="4" t="s">
        <v>36</v>
      </c>
      <c r="P151" s="15" t="s">
        <v>596</v>
      </c>
    </row>
    <row r="152" spans="1:16" x14ac:dyDescent="0.2">
      <c r="A152" s="5" t="s">
        <v>219</v>
      </c>
      <c r="B152" s="35" t="s">
        <v>1166</v>
      </c>
      <c r="C152" s="6" t="s">
        <v>1592</v>
      </c>
      <c r="D152" s="6" t="s">
        <v>680</v>
      </c>
      <c r="E152" s="6"/>
      <c r="J152" s="1"/>
      <c r="K152" s="1"/>
      <c r="L152" s="1"/>
      <c r="M152" s="4" t="s">
        <v>661</v>
      </c>
      <c r="N152" s="4" t="s">
        <v>24</v>
      </c>
      <c r="P152" s="15" t="s">
        <v>393</v>
      </c>
    </row>
    <row r="153" spans="1:16" x14ac:dyDescent="0.2">
      <c r="A153" s="5" t="s">
        <v>224</v>
      </c>
      <c r="B153" s="35" t="s">
        <v>138</v>
      </c>
      <c r="C153" s="6" t="s">
        <v>857</v>
      </c>
      <c r="D153" s="6" t="s">
        <v>840</v>
      </c>
      <c r="E153" s="6"/>
      <c r="J153" s="1"/>
      <c r="K153" s="2"/>
      <c r="L153" s="2"/>
      <c r="M153" s="4" t="s">
        <v>548</v>
      </c>
      <c r="N153" s="4" t="s">
        <v>66</v>
      </c>
      <c r="P153" s="10" t="s">
        <v>466</v>
      </c>
    </row>
    <row r="154" spans="1:16" x14ac:dyDescent="0.2">
      <c r="A154" s="5" t="s">
        <v>485</v>
      </c>
      <c r="B154" s="35" t="s">
        <v>763</v>
      </c>
      <c r="C154" s="6" t="s">
        <v>17</v>
      </c>
      <c r="D154" s="6" t="s">
        <v>685</v>
      </c>
      <c r="E154" s="6"/>
      <c r="J154" s="2"/>
      <c r="K154" s="1"/>
      <c r="L154" s="1"/>
      <c r="M154" s="4" t="s">
        <v>259</v>
      </c>
      <c r="N154" s="4" t="s">
        <v>74</v>
      </c>
      <c r="P154" s="15" t="s">
        <v>569</v>
      </c>
    </row>
    <row r="155" spans="1:16" x14ac:dyDescent="0.2">
      <c r="A155" s="5" t="s">
        <v>358</v>
      </c>
      <c r="B155" s="35" t="s">
        <v>734</v>
      </c>
      <c r="C155" s="6" t="s">
        <v>1593</v>
      </c>
      <c r="D155" s="6" t="s">
        <v>713</v>
      </c>
      <c r="E155" s="6"/>
      <c r="J155" s="2"/>
      <c r="K155" s="1"/>
      <c r="L155" s="2"/>
      <c r="M155" s="4" t="s">
        <v>810</v>
      </c>
      <c r="N155" s="4" t="s">
        <v>886</v>
      </c>
      <c r="P155" s="15" t="s">
        <v>608</v>
      </c>
    </row>
    <row r="156" spans="1:16" x14ac:dyDescent="0.2">
      <c r="A156" s="10" t="s">
        <v>488</v>
      </c>
      <c r="B156" s="35" t="s">
        <v>1747</v>
      </c>
      <c r="C156" s="6" t="s">
        <v>362</v>
      </c>
      <c r="D156" s="6" t="s">
        <v>841</v>
      </c>
      <c r="E156" s="6"/>
      <c r="J156" s="2"/>
      <c r="K156" s="2"/>
      <c r="L156" s="2"/>
      <c r="M156" s="4" t="s">
        <v>657</v>
      </c>
      <c r="N156" s="4" t="s">
        <v>1267</v>
      </c>
      <c r="P156" s="10" t="s">
        <v>584</v>
      </c>
    </row>
    <row r="157" spans="1:16" x14ac:dyDescent="0.2">
      <c r="A157" s="5" t="s">
        <v>361</v>
      </c>
      <c r="B157" s="35" t="s">
        <v>1748</v>
      </c>
      <c r="C157" s="11" t="s">
        <v>266</v>
      </c>
      <c r="D157" s="6" t="s">
        <v>792</v>
      </c>
      <c r="E157" s="6"/>
      <c r="J157" s="2"/>
      <c r="K157" s="2"/>
      <c r="L157" s="2"/>
      <c r="M157" s="4" t="s">
        <v>885</v>
      </c>
      <c r="N157" s="4" t="s">
        <v>1356</v>
      </c>
      <c r="P157" s="10" t="s">
        <v>366</v>
      </c>
    </row>
    <row r="158" spans="1:16" x14ac:dyDescent="0.2">
      <c r="A158" s="5" t="s">
        <v>491</v>
      </c>
      <c r="B158" s="35" t="s">
        <v>1172</v>
      </c>
      <c r="C158" s="6" t="s">
        <v>224</v>
      </c>
      <c r="D158" s="6" t="s">
        <v>800</v>
      </c>
      <c r="E158" s="6"/>
      <c r="J158" s="1"/>
      <c r="K158" s="2"/>
      <c r="L158" s="2"/>
      <c r="M158" s="4" t="s">
        <v>308</v>
      </c>
      <c r="N158" s="4" t="s">
        <v>1237</v>
      </c>
      <c r="P158" s="15" t="s">
        <v>474</v>
      </c>
    </row>
    <row r="159" spans="1:16" x14ac:dyDescent="0.2">
      <c r="A159" s="5" t="s">
        <v>494</v>
      </c>
      <c r="B159" s="35" t="s">
        <v>832</v>
      </c>
      <c r="C159" s="6" t="s">
        <v>1274</v>
      </c>
      <c r="D159" s="6" t="s">
        <v>747</v>
      </c>
      <c r="E159" s="6"/>
      <c r="J159" s="2"/>
      <c r="K159" s="2"/>
      <c r="L159" s="1"/>
      <c r="M159" s="1"/>
      <c r="N159" s="4" t="s">
        <v>17</v>
      </c>
      <c r="P159" s="15" t="s">
        <v>510</v>
      </c>
    </row>
    <row r="160" spans="1:16" x14ac:dyDescent="0.2">
      <c r="A160" s="5" t="s">
        <v>230</v>
      </c>
      <c r="B160" s="35" t="s">
        <v>783</v>
      </c>
      <c r="C160" s="6" t="s">
        <v>66</v>
      </c>
      <c r="D160" s="6" t="s">
        <v>749</v>
      </c>
      <c r="E160" s="6"/>
      <c r="J160" s="2"/>
      <c r="K160" s="1"/>
      <c r="L160" s="2"/>
      <c r="M160" s="1"/>
      <c r="N160" s="4" t="s">
        <v>874</v>
      </c>
      <c r="P160" s="15" t="s">
        <v>591</v>
      </c>
    </row>
    <row r="161" spans="1:16" x14ac:dyDescent="0.2">
      <c r="A161" s="5" t="s">
        <v>497</v>
      </c>
      <c r="B161" s="35" t="s">
        <v>770</v>
      </c>
      <c r="C161" s="6" t="s">
        <v>1020</v>
      </c>
      <c r="D161" s="6" t="s">
        <v>842</v>
      </c>
      <c r="E161" s="6"/>
      <c r="J161" s="1"/>
      <c r="K161" s="2"/>
      <c r="L161" s="1"/>
      <c r="M161" s="1"/>
      <c r="N161" s="4" t="s">
        <v>1608</v>
      </c>
      <c r="P161" s="10" t="s">
        <v>513</v>
      </c>
    </row>
    <row r="162" spans="1:16" x14ac:dyDescent="0.2">
      <c r="A162" s="10" t="s">
        <v>466</v>
      </c>
      <c r="B162" s="35" t="s">
        <v>1749</v>
      </c>
      <c r="C162" s="6" t="s">
        <v>1594</v>
      </c>
      <c r="D162" s="6" t="s">
        <v>733</v>
      </c>
      <c r="E162" s="6"/>
      <c r="J162" s="2"/>
      <c r="K162" s="2"/>
      <c r="L162" s="2"/>
      <c r="M162" s="1"/>
      <c r="N162" s="4" t="s">
        <v>44</v>
      </c>
      <c r="P162" s="15" t="s">
        <v>484</v>
      </c>
    </row>
    <row r="163" spans="1:16" x14ac:dyDescent="0.2">
      <c r="A163" s="5" t="s">
        <v>363</v>
      </c>
      <c r="B163" s="35" t="s">
        <v>1750</v>
      </c>
      <c r="C163" s="6" t="s">
        <v>1460</v>
      </c>
      <c r="D163" s="6" t="s">
        <v>729</v>
      </c>
      <c r="E163" s="6"/>
      <c r="J163" s="1"/>
      <c r="K163" s="1"/>
      <c r="L163" s="2"/>
      <c r="M163" s="1"/>
      <c r="N163" s="4" t="s">
        <v>1764</v>
      </c>
      <c r="P163" s="15" t="s">
        <v>523</v>
      </c>
    </row>
    <row r="164" spans="1:16" x14ac:dyDescent="0.2">
      <c r="A164" s="5" t="s">
        <v>504</v>
      </c>
      <c r="B164" s="35" t="s">
        <v>1751</v>
      </c>
      <c r="C164" s="6" t="s">
        <v>1595</v>
      </c>
      <c r="D164" s="6" t="s">
        <v>661</v>
      </c>
      <c r="E164" s="6"/>
      <c r="J164" s="2"/>
      <c r="K164" s="2"/>
      <c r="L164" s="2"/>
      <c r="M164" s="1"/>
      <c r="N164" s="4" t="s">
        <v>1573</v>
      </c>
      <c r="P164" s="15" t="s">
        <v>519</v>
      </c>
    </row>
    <row r="165" spans="1:16" x14ac:dyDescent="0.2">
      <c r="A165" s="10" t="s">
        <v>366</v>
      </c>
      <c r="B165" s="35" t="s">
        <v>772</v>
      </c>
      <c r="C165" s="6" t="s">
        <v>303</v>
      </c>
      <c r="D165" s="6" t="s">
        <v>843</v>
      </c>
      <c r="E165" s="6"/>
      <c r="J165" s="2"/>
      <c r="K165" s="1"/>
      <c r="L165" s="2"/>
      <c r="M165" s="1"/>
      <c r="N165" s="4" t="s">
        <v>1594</v>
      </c>
      <c r="P165" s="15" t="s">
        <v>273</v>
      </c>
    </row>
    <row r="166" spans="1:16" x14ac:dyDescent="0.2">
      <c r="A166" s="13" t="s">
        <v>236</v>
      </c>
      <c r="B166" s="35" t="s">
        <v>1752</v>
      </c>
      <c r="C166" s="6" t="s">
        <v>1596</v>
      </c>
      <c r="D166" s="6" t="s">
        <v>676</v>
      </c>
      <c r="E166" s="6"/>
      <c r="J166" s="2"/>
      <c r="K166" s="2"/>
      <c r="L166" s="2"/>
      <c r="M166" s="1"/>
      <c r="N166" s="4" t="s">
        <v>1589</v>
      </c>
      <c r="P166" s="15" t="s">
        <v>560</v>
      </c>
    </row>
    <row r="167" spans="1:16" x14ac:dyDescent="0.2">
      <c r="A167" s="5" t="s">
        <v>516</v>
      </c>
      <c r="B167" s="35" t="s">
        <v>1753</v>
      </c>
      <c r="C167" s="6" t="s">
        <v>429</v>
      </c>
      <c r="D167" s="6" t="s">
        <v>771</v>
      </c>
      <c r="E167" s="6"/>
      <c r="J167" s="2"/>
      <c r="K167" s="2"/>
      <c r="L167" s="2"/>
      <c r="M167" s="1"/>
      <c r="N167" s="4" t="s">
        <v>719</v>
      </c>
      <c r="P167" s="15" t="s">
        <v>601</v>
      </c>
    </row>
    <row r="168" spans="1:16" x14ac:dyDescent="0.2">
      <c r="A168" s="5" t="s">
        <v>368</v>
      </c>
      <c r="B168" s="35" t="s">
        <v>1170</v>
      </c>
      <c r="C168" s="6" t="s">
        <v>1597</v>
      </c>
      <c r="D168" s="6" t="s">
        <v>844</v>
      </c>
      <c r="E168" s="6"/>
      <c r="J168" s="2"/>
      <c r="K168" s="2"/>
      <c r="L168" s="1"/>
      <c r="M168" s="1"/>
      <c r="N168" s="4" t="s">
        <v>52</v>
      </c>
      <c r="P168" s="15" t="s">
        <v>524</v>
      </c>
    </row>
    <row r="169" spans="1:16" x14ac:dyDescent="0.2">
      <c r="A169" s="10" t="s">
        <v>519</v>
      </c>
      <c r="B169" s="35" t="s">
        <v>1198</v>
      </c>
      <c r="C169" s="6" t="s">
        <v>1304</v>
      </c>
      <c r="D169" s="6" t="s">
        <v>673</v>
      </c>
      <c r="E169" s="6"/>
      <c r="J169" s="2"/>
      <c r="K169" s="2"/>
      <c r="L169" s="1"/>
      <c r="M169" s="1"/>
      <c r="N169" s="4" t="s">
        <v>652</v>
      </c>
      <c r="P169" s="15" t="s">
        <v>527</v>
      </c>
    </row>
    <row r="170" spans="1:16" x14ac:dyDescent="0.2">
      <c r="A170" s="5" t="s">
        <v>370</v>
      </c>
      <c r="B170" s="35" t="s">
        <v>1249</v>
      </c>
      <c r="C170" s="6" t="s">
        <v>183</v>
      </c>
      <c r="D170" s="6" t="s">
        <v>700</v>
      </c>
      <c r="E170" s="6"/>
      <c r="J170" s="2"/>
      <c r="K170" s="2"/>
      <c r="L170" s="2"/>
      <c r="M170" s="1"/>
      <c r="N170" s="4" t="s">
        <v>1607</v>
      </c>
      <c r="P170" s="15" t="s">
        <v>537</v>
      </c>
    </row>
    <row r="171" spans="1:16" x14ac:dyDescent="0.2">
      <c r="A171" s="5" t="s">
        <v>372</v>
      </c>
      <c r="B171" s="35" t="s">
        <v>1754</v>
      </c>
      <c r="C171" s="6" t="s">
        <v>1299</v>
      </c>
      <c r="D171" s="6" t="s">
        <v>845</v>
      </c>
      <c r="E171" s="6"/>
      <c r="J171" s="2"/>
      <c r="K171" s="2"/>
      <c r="L171" s="2"/>
      <c r="M171" s="1"/>
      <c r="N171" s="4" t="s">
        <v>1126</v>
      </c>
      <c r="P171" s="10" t="s">
        <v>595</v>
      </c>
    </row>
    <row r="172" spans="1:16" x14ac:dyDescent="0.2">
      <c r="A172" s="5" t="s">
        <v>522</v>
      </c>
      <c r="B172" s="35" t="s">
        <v>775</v>
      </c>
      <c r="C172" s="6" t="s">
        <v>72</v>
      </c>
      <c r="D172" s="6" t="s">
        <v>846</v>
      </c>
      <c r="E172" s="6"/>
      <c r="J172" s="2"/>
      <c r="K172" s="2"/>
      <c r="L172" s="2"/>
      <c r="M172" s="1"/>
      <c r="N172" s="4" t="s">
        <v>1264</v>
      </c>
      <c r="P172" s="15" t="s">
        <v>374</v>
      </c>
    </row>
    <row r="173" spans="1:16" x14ac:dyDescent="0.2">
      <c r="A173" s="10" t="s">
        <v>524</v>
      </c>
      <c r="B173" s="35" t="s">
        <v>1755</v>
      </c>
      <c r="C173" s="11" t="s">
        <v>591</v>
      </c>
      <c r="D173" s="6" t="s">
        <v>532</v>
      </c>
      <c r="E173" s="6"/>
      <c r="J173" s="2"/>
      <c r="K173" s="2"/>
      <c r="L173" s="1"/>
      <c r="M173" s="1"/>
      <c r="N173" s="4" t="s">
        <v>67</v>
      </c>
      <c r="P173" s="15" t="s">
        <v>570</v>
      </c>
    </row>
    <row r="174" spans="1:16" x14ac:dyDescent="0.2">
      <c r="A174" s="5" t="s">
        <v>242</v>
      </c>
      <c r="B174" s="35" t="s">
        <v>1756</v>
      </c>
      <c r="C174" s="11" t="s">
        <v>244</v>
      </c>
      <c r="D174" s="6" t="s">
        <v>669</v>
      </c>
      <c r="E174" s="6"/>
      <c r="J174" s="2"/>
      <c r="K174" s="2"/>
      <c r="L174" s="2"/>
      <c r="M174" s="1"/>
      <c r="N174" s="4" t="s">
        <v>1243</v>
      </c>
      <c r="P174" s="15" t="s">
        <v>582</v>
      </c>
    </row>
    <row r="175" spans="1:16" x14ac:dyDescent="0.2">
      <c r="A175" s="5" t="s">
        <v>528</v>
      </c>
      <c r="B175" s="35" t="s">
        <v>1757</v>
      </c>
      <c r="C175" s="6" t="s">
        <v>1301</v>
      </c>
      <c r="D175" s="6" t="s">
        <v>708</v>
      </c>
      <c r="E175" s="6"/>
      <c r="J175" s="2"/>
      <c r="K175" s="2"/>
      <c r="L175" s="2"/>
      <c r="M175" s="1"/>
      <c r="N175" s="4" t="s">
        <v>112</v>
      </c>
      <c r="P175" s="15" t="s">
        <v>602</v>
      </c>
    </row>
    <row r="176" spans="1:16" x14ac:dyDescent="0.2">
      <c r="A176" s="13" t="s">
        <v>531</v>
      </c>
      <c r="B176" s="35" t="s">
        <v>1758</v>
      </c>
      <c r="C176" s="6" t="s">
        <v>1307</v>
      </c>
      <c r="D176" s="6" t="s">
        <v>721</v>
      </c>
      <c r="E176" s="6"/>
      <c r="J176" s="2"/>
      <c r="K176" s="2"/>
      <c r="L176" s="2"/>
      <c r="M176" s="1"/>
      <c r="N176" s="4" t="s">
        <v>1689</v>
      </c>
      <c r="P176" s="15" t="s">
        <v>590</v>
      </c>
    </row>
    <row r="177" spans="1:16" x14ac:dyDescent="0.2">
      <c r="A177" s="5" t="s">
        <v>247</v>
      </c>
      <c r="B177" s="35" t="s">
        <v>1656</v>
      </c>
      <c r="C177" s="6" t="s">
        <v>1308</v>
      </c>
      <c r="D177" s="6" t="s">
        <v>133</v>
      </c>
      <c r="E177" s="6"/>
      <c r="J177" s="2"/>
      <c r="K177" s="2"/>
      <c r="L177" s="2"/>
      <c r="M177" s="1"/>
      <c r="N177" s="4" t="s">
        <v>1320</v>
      </c>
      <c r="P177" s="10" t="s">
        <v>282</v>
      </c>
    </row>
    <row r="178" spans="1:16" x14ac:dyDescent="0.2">
      <c r="A178" s="5" t="s">
        <v>538</v>
      </c>
      <c r="B178" s="35" t="s">
        <v>802</v>
      </c>
      <c r="C178" s="6" t="s">
        <v>1598</v>
      </c>
      <c r="D178" s="6" t="s">
        <v>847</v>
      </c>
      <c r="E178" s="6"/>
      <c r="J178" s="2"/>
      <c r="K178" s="2"/>
      <c r="L178" s="2"/>
      <c r="M178" s="1"/>
      <c r="N178" s="4" t="s">
        <v>1110</v>
      </c>
      <c r="P178" s="15" t="s">
        <v>574</v>
      </c>
    </row>
    <row r="179" spans="1:16" x14ac:dyDescent="0.2">
      <c r="A179" s="5" t="s">
        <v>543</v>
      </c>
      <c r="B179" s="35" t="s">
        <v>1259</v>
      </c>
      <c r="C179" s="6" t="s">
        <v>357</v>
      </c>
      <c r="D179" s="6" t="s">
        <v>848</v>
      </c>
      <c r="E179" s="6"/>
      <c r="J179" s="2"/>
      <c r="K179" s="2"/>
      <c r="L179" s="1"/>
      <c r="M179" s="1"/>
      <c r="N179" s="4" t="s">
        <v>1157</v>
      </c>
      <c r="P179" s="15" t="s">
        <v>533</v>
      </c>
    </row>
    <row r="180" spans="1:16" x14ac:dyDescent="0.2">
      <c r="A180" s="5" t="s">
        <v>378</v>
      </c>
      <c r="B180" s="35" t="s">
        <v>1759</v>
      </c>
      <c r="C180" s="6" t="s">
        <v>11</v>
      </c>
      <c r="D180" s="6" t="s">
        <v>849</v>
      </c>
      <c r="E180" s="6"/>
      <c r="J180" s="2"/>
      <c r="K180" s="2"/>
      <c r="L180" s="1"/>
      <c r="M180" s="1"/>
      <c r="N180" s="4" t="s">
        <v>75</v>
      </c>
      <c r="P180" s="15" t="s">
        <v>605</v>
      </c>
    </row>
    <row r="181" spans="1:16" x14ac:dyDescent="0.2">
      <c r="A181" s="13" t="s">
        <v>545</v>
      </c>
      <c r="B181" s="35" t="s">
        <v>970</v>
      </c>
      <c r="C181" s="6" t="s">
        <v>1599</v>
      </c>
      <c r="D181" s="6" t="s">
        <v>850</v>
      </c>
      <c r="E181" s="6"/>
      <c r="J181" s="1"/>
      <c r="K181" s="2"/>
      <c r="L181" s="1"/>
      <c r="M181" s="2"/>
      <c r="N181" s="4" t="s">
        <v>1309</v>
      </c>
      <c r="P181" s="10" t="s">
        <v>594</v>
      </c>
    </row>
    <row r="182" spans="1:16" x14ac:dyDescent="0.2">
      <c r="A182" s="5" t="s">
        <v>382</v>
      </c>
      <c r="B182" s="35" t="s">
        <v>1760</v>
      </c>
      <c r="C182" s="6" t="s">
        <v>1300</v>
      </c>
      <c r="D182" s="6" t="s">
        <v>851</v>
      </c>
      <c r="E182" s="6"/>
      <c r="J182" s="2"/>
      <c r="K182" s="2"/>
      <c r="L182" s="1"/>
      <c r="M182" s="2"/>
      <c r="N182" s="4" t="s">
        <v>1190</v>
      </c>
      <c r="P182" s="10" t="s">
        <v>540</v>
      </c>
    </row>
    <row r="183" spans="1:16" x14ac:dyDescent="0.2">
      <c r="A183" s="10" t="s">
        <v>253</v>
      </c>
      <c r="B183" s="35" t="s">
        <v>1230</v>
      </c>
      <c r="C183" s="6" t="s">
        <v>1600</v>
      </c>
      <c r="D183" s="6" t="s">
        <v>759</v>
      </c>
      <c r="E183" s="6"/>
      <c r="J183" s="2"/>
      <c r="K183" s="1"/>
      <c r="L183" s="2"/>
      <c r="M183" s="2"/>
      <c r="N183" s="4" t="s">
        <v>1743</v>
      </c>
      <c r="P183" s="15" t="s">
        <v>286</v>
      </c>
    </row>
    <row r="184" spans="1:16" x14ac:dyDescent="0.2">
      <c r="A184" s="5" t="s">
        <v>548</v>
      </c>
      <c r="B184" s="35" t="s">
        <v>83</v>
      </c>
      <c r="C184" s="6" t="s">
        <v>145</v>
      </c>
      <c r="D184" s="6" t="s">
        <v>740</v>
      </c>
      <c r="E184" s="6"/>
      <c r="J184" s="2"/>
      <c r="K184" s="2"/>
      <c r="L184" s="1"/>
      <c r="M184" s="2"/>
      <c r="N184" s="4" t="s">
        <v>1137</v>
      </c>
      <c r="P184" s="15" t="s">
        <v>468</v>
      </c>
    </row>
    <row r="185" spans="1:16" x14ac:dyDescent="0.2">
      <c r="A185" s="5" t="s">
        <v>259</v>
      </c>
      <c r="B185" s="35" t="s">
        <v>1200</v>
      </c>
      <c r="C185" s="6" t="s">
        <v>1289</v>
      </c>
      <c r="D185" s="6" t="s">
        <v>770</v>
      </c>
      <c r="E185" s="6"/>
      <c r="J185" s="2"/>
      <c r="K185" s="2"/>
      <c r="L185" s="1"/>
      <c r="M185" s="2"/>
      <c r="N185" s="4" t="s">
        <v>659</v>
      </c>
      <c r="P185" s="10" t="s">
        <v>546</v>
      </c>
    </row>
    <row r="186" spans="1:16" x14ac:dyDescent="0.2">
      <c r="A186" s="5" t="s">
        <v>386</v>
      </c>
      <c r="B186" s="35" t="s">
        <v>1645</v>
      </c>
      <c r="C186" s="6" t="s">
        <v>291</v>
      </c>
      <c r="D186" s="6" t="s">
        <v>852</v>
      </c>
      <c r="E186" s="6"/>
      <c r="J186" s="2"/>
      <c r="K186" s="2"/>
      <c r="L186" s="2"/>
      <c r="M186" s="2"/>
      <c r="N186" s="4" t="s">
        <v>834</v>
      </c>
      <c r="P186" s="15" t="s">
        <v>598</v>
      </c>
    </row>
    <row r="187" spans="1:16" x14ac:dyDescent="0.2">
      <c r="A187" s="5" t="s">
        <v>388</v>
      </c>
      <c r="B187" s="35" t="s">
        <v>1705</v>
      </c>
      <c r="C187" s="11" t="s">
        <v>490</v>
      </c>
      <c r="D187" s="6" t="s">
        <v>734</v>
      </c>
      <c r="E187" s="6"/>
      <c r="J187" s="2"/>
      <c r="K187" s="2"/>
      <c r="L187" s="2"/>
      <c r="M187" s="2"/>
      <c r="N187" s="4" t="s">
        <v>835</v>
      </c>
      <c r="P187" s="10" t="s">
        <v>290</v>
      </c>
    </row>
    <row r="188" spans="1:16" x14ac:dyDescent="0.2">
      <c r="A188" s="5" t="s">
        <v>552</v>
      </c>
      <c r="B188" s="35" t="s">
        <v>810</v>
      </c>
      <c r="C188" s="6" t="s">
        <v>1601</v>
      </c>
      <c r="D188" s="6" t="s">
        <v>853</v>
      </c>
      <c r="E188" s="6"/>
      <c r="J188" s="2"/>
      <c r="K188" s="2"/>
      <c r="L188" s="2"/>
      <c r="M188" s="2"/>
      <c r="N188" s="4" t="s">
        <v>1747</v>
      </c>
      <c r="P188" s="15" t="s">
        <v>295</v>
      </c>
    </row>
    <row r="189" spans="1:16" x14ac:dyDescent="0.2">
      <c r="A189" s="5" t="s">
        <v>104</v>
      </c>
      <c r="B189" s="35" t="s">
        <v>1157</v>
      </c>
      <c r="C189" s="6" t="s">
        <v>1602</v>
      </c>
      <c r="D189" s="6" t="s">
        <v>706</v>
      </c>
      <c r="E189" s="6"/>
      <c r="J189" s="2"/>
      <c r="K189" s="2"/>
      <c r="L189" s="2"/>
      <c r="M189" s="2"/>
      <c r="N189" s="4" t="s">
        <v>125</v>
      </c>
      <c r="P189" s="15" t="s">
        <v>573</v>
      </c>
    </row>
    <row r="190" spans="1:16" x14ac:dyDescent="0.2">
      <c r="A190" s="5" t="s">
        <v>111</v>
      </c>
      <c r="B190" s="35" t="s">
        <v>1330</v>
      </c>
      <c r="C190" s="6" t="s">
        <v>1306</v>
      </c>
      <c r="D190" s="6" t="s">
        <v>745</v>
      </c>
      <c r="E190" s="6"/>
      <c r="J190" s="2"/>
      <c r="K190" s="2"/>
      <c r="L190" s="1"/>
      <c r="M190" s="2"/>
      <c r="N190" s="4" t="s">
        <v>1647</v>
      </c>
      <c r="P190" s="10" t="s">
        <v>253</v>
      </c>
    </row>
    <row r="191" spans="1:16" x14ac:dyDescent="0.2">
      <c r="A191" s="10" t="s">
        <v>554</v>
      </c>
      <c r="B191" s="35" t="s">
        <v>1761</v>
      </c>
      <c r="C191" s="6" t="s">
        <v>1603</v>
      </c>
      <c r="D191" s="6" t="s">
        <v>727</v>
      </c>
      <c r="E191" s="6"/>
      <c r="J191" s="1"/>
      <c r="K191" s="2"/>
      <c r="L191" s="2"/>
      <c r="M191" s="2"/>
      <c r="N191" s="4" t="s">
        <v>1576</v>
      </c>
      <c r="P191" s="15" t="s">
        <v>490</v>
      </c>
    </row>
    <row r="192" spans="1:16" x14ac:dyDescent="0.2">
      <c r="A192" s="5" t="s">
        <v>392</v>
      </c>
      <c r="B192" s="35" t="s">
        <v>144</v>
      </c>
      <c r="C192" s="6" t="s">
        <v>840</v>
      </c>
      <c r="D192" s="6" t="s">
        <v>854</v>
      </c>
      <c r="E192" s="6"/>
      <c r="K192" s="2"/>
      <c r="L192" s="2"/>
      <c r="M192" s="1"/>
      <c r="N192" s="4" t="s">
        <v>145</v>
      </c>
      <c r="P192" s="10" t="s">
        <v>556</v>
      </c>
    </row>
    <row r="193" spans="1:16" x14ac:dyDescent="0.2">
      <c r="A193" s="1"/>
      <c r="B193" s="35" t="s">
        <v>1762</v>
      </c>
      <c r="C193" s="6" t="s">
        <v>1604</v>
      </c>
      <c r="D193" s="6" t="s">
        <v>483</v>
      </c>
      <c r="E193" s="6"/>
      <c r="K193" s="1"/>
      <c r="L193" s="1"/>
      <c r="M193" s="2"/>
      <c r="N193" s="4" t="s">
        <v>1307</v>
      </c>
      <c r="P193" s="15" t="s">
        <v>480</v>
      </c>
    </row>
    <row r="194" spans="1:16" x14ac:dyDescent="0.2">
      <c r="A194" s="2"/>
      <c r="B194" s="35" t="s">
        <v>1219</v>
      </c>
      <c r="C194" s="6" t="s">
        <v>288</v>
      </c>
      <c r="D194" s="6" t="s">
        <v>714</v>
      </c>
      <c r="E194" s="6"/>
      <c r="L194" s="2"/>
      <c r="M194" s="1"/>
      <c r="N194" s="4" t="s">
        <v>1097</v>
      </c>
      <c r="P194" s="15" t="s">
        <v>554</v>
      </c>
    </row>
    <row r="195" spans="1:16" x14ac:dyDescent="0.2">
      <c r="A195" s="2"/>
      <c r="B195" s="35" t="s">
        <v>1763</v>
      </c>
      <c r="C195" s="6" t="s">
        <v>1302</v>
      </c>
      <c r="D195" s="6" t="s">
        <v>855</v>
      </c>
      <c r="E195" s="6"/>
      <c r="L195" s="1"/>
      <c r="M195" s="2"/>
      <c r="N195" s="4" t="s">
        <v>1415</v>
      </c>
      <c r="P195" s="15" t="s">
        <v>597</v>
      </c>
    </row>
    <row r="196" spans="1:16" x14ac:dyDescent="0.2">
      <c r="A196" s="2"/>
      <c r="B196" s="35" t="s">
        <v>655</v>
      </c>
      <c r="C196" s="6" t="s">
        <v>472</v>
      </c>
      <c r="D196" s="6" t="s">
        <v>856</v>
      </c>
      <c r="E196" s="6"/>
      <c r="L196" s="2"/>
      <c r="M196" s="2"/>
      <c r="N196" s="4" t="s">
        <v>752</v>
      </c>
      <c r="P196" s="13" t="s">
        <v>13</v>
      </c>
    </row>
    <row r="197" spans="1:16" x14ac:dyDescent="0.2">
      <c r="A197" s="1"/>
      <c r="B197" s="35" t="s">
        <v>1764</v>
      </c>
      <c r="C197" s="6" t="s">
        <v>1605</v>
      </c>
      <c r="D197" s="6" t="s">
        <v>857</v>
      </c>
      <c r="E197" s="6"/>
      <c r="L197" s="2"/>
      <c r="M197" s="1"/>
      <c r="N197" s="4" t="s">
        <v>1051</v>
      </c>
      <c r="P197" s="13" t="s">
        <v>40</v>
      </c>
    </row>
    <row r="198" spans="1:16" x14ac:dyDescent="0.2">
      <c r="A198" s="2"/>
      <c r="B198" s="35" t="s">
        <v>1765</v>
      </c>
      <c r="C198" s="6" t="s">
        <v>1606</v>
      </c>
      <c r="D198" s="6" t="s">
        <v>858</v>
      </c>
      <c r="E198" s="6"/>
      <c r="L198" s="2"/>
      <c r="M198" s="2"/>
      <c r="N198" s="4" t="s">
        <v>1670</v>
      </c>
      <c r="P198" s="13" t="s">
        <v>613</v>
      </c>
    </row>
    <row r="199" spans="1:16" x14ac:dyDescent="0.2">
      <c r="A199" s="1"/>
      <c r="B199" s="35" t="s">
        <v>1173</v>
      </c>
      <c r="C199" s="6" t="s">
        <v>1415</v>
      </c>
      <c r="D199" s="6" t="s">
        <v>752</v>
      </c>
      <c r="E199" s="6"/>
      <c r="L199" s="2"/>
      <c r="M199" s="1"/>
      <c r="N199" s="4" t="s">
        <v>684</v>
      </c>
      <c r="P199" s="13" t="s">
        <v>621</v>
      </c>
    </row>
    <row r="200" spans="1:16" x14ac:dyDescent="0.2">
      <c r="A200" s="2"/>
      <c r="B200" s="35" t="s">
        <v>1766</v>
      </c>
      <c r="C200" s="6" t="s">
        <v>74</v>
      </c>
      <c r="D200" s="6" t="s">
        <v>859</v>
      </c>
      <c r="E200" s="6"/>
      <c r="L200" s="2"/>
      <c r="M200" s="2"/>
      <c r="N200" s="4" t="s">
        <v>880</v>
      </c>
      <c r="P200" s="13" t="s">
        <v>616</v>
      </c>
    </row>
    <row r="201" spans="1:16" x14ac:dyDescent="0.2">
      <c r="A201" s="2"/>
      <c r="B201" s="35" t="s">
        <v>1767</v>
      </c>
      <c r="C201" s="6" t="s">
        <v>371</v>
      </c>
      <c r="D201" s="6" t="s">
        <v>860</v>
      </c>
      <c r="E201" s="6"/>
      <c r="L201" s="2"/>
      <c r="M201" s="2"/>
      <c r="N201" s="4" t="s">
        <v>858</v>
      </c>
      <c r="P201" s="13" t="s">
        <v>620</v>
      </c>
    </row>
    <row r="202" spans="1:16" x14ac:dyDescent="0.2">
      <c r="A202" s="2"/>
      <c r="B202" s="35" t="s">
        <v>866</v>
      </c>
      <c r="C202" s="6" t="s">
        <v>328</v>
      </c>
      <c r="D202" s="6" t="s">
        <v>763</v>
      </c>
      <c r="E202" s="6"/>
      <c r="L202" s="2"/>
      <c r="M202" s="2"/>
      <c r="N202" s="4" t="s">
        <v>166</v>
      </c>
      <c r="P202" s="13" t="s">
        <v>200</v>
      </c>
    </row>
    <row r="203" spans="1:16" x14ac:dyDescent="0.2">
      <c r="A203" s="2"/>
      <c r="B203" s="35" t="s">
        <v>1768</v>
      </c>
      <c r="C203" s="6" t="s">
        <v>1607</v>
      </c>
      <c r="D203" s="6" t="s">
        <v>861</v>
      </c>
      <c r="E203" s="6"/>
      <c r="L203" s="2"/>
      <c r="M203" s="2"/>
      <c r="N203" s="4" t="s">
        <v>1305</v>
      </c>
      <c r="P203" s="13" t="s">
        <v>270</v>
      </c>
    </row>
    <row r="204" spans="1:16" x14ac:dyDescent="0.2">
      <c r="A204" s="2"/>
      <c r="B204" s="35" t="s">
        <v>1769</v>
      </c>
      <c r="C204" s="6" t="s">
        <v>1193</v>
      </c>
      <c r="D204" s="6" t="s">
        <v>697</v>
      </c>
      <c r="E204" s="6"/>
      <c r="L204" s="2"/>
      <c r="M204" s="2"/>
      <c r="N204" s="4" t="s">
        <v>1100</v>
      </c>
      <c r="P204" s="13" t="s">
        <v>617</v>
      </c>
    </row>
    <row r="205" spans="1:16" x14ac:dyDescent="0.2">
      <c r="A205" s="2"/>
      <c r="B205" s="35" t="s">
        <v>1770</v>
      </c>
      <c r="C205" s="6" t="s">
        <v>1608</v>
      </c>
      <c r="D205" s="6" t="s">
        <v>862</v>
      </c>
      <c r="E205" s="6"/>
      <c r="L205" s="2"/>
      <c r="M205" s="2"/>
      <c r="N205" s="4" t="s">
        <v>1707</v>
      </c>
      <c r="P205" s="13" t="s">
        <v>380</v>
      </c>
    </row>
    <row r="206" spans="1:16" x14ac:dyDescent="0.2">
      <c r="A206" s="1"/>
      <c r="B206" s="35" t="s">
        <v>1180</v>
      </c>
      <c r="C206" s="6" t="s">
        <v>1609</v>
      </c>
      <c r="D206" s="6" t="s">
        <v>863</v>
      </c>
      <c r="E206" s="6"/>
      <c r="L206" s="2"/>
      <c r="M206" s="2"/>
      <c r="N206" s="4" t="s">
        <v>90</v>
      </c>
      <c r="P206" s="13" t="s">
        <v>618</v>
      </c>
    </row>
    <row r="207" spans="1:16" x14ac:dyDescent="0.2">
      <c r="A207" s="2"/>
      <c r="B207" s="35" t="s">
        <v>1771</v>
      </c>
      <c r="C207" s="6" t="s">
        <v>445</v>
      </c>
      <c r="D207" s="6" t="s">
        <v>762</v>
      </c>
      <c r="E207" s="6"/>
      <c r="L207" s="2"/>
      <c r="M207" s="2"/>
      <c r="N207" s="4" t="s">
        <v>1611</v>
      </c>
      <c r="P207" s="13" t="s">
        <v>619</v>
      </c>
    </row>
    <row r="208" spans="1:16" x14ac:dyDescent="0.2">
      <c r="A208" s="2"/>
      <c r="B208" s="35" t="s">
        <v>232</v>
      </c>
      <c r="C208" s="6" t="s">
        <v>482</v>
      </c>
      <c r="D208" s="6" t="s">
        <v>707</v>
      </c>
      <c r="E208" s="6"/>
      <c r="L208" s="2"/>
      <c r="M208" s="2"/>
      <c r="N208" s="4" t="s">
        <v>98</v>
      </c>
      <c r="P208" s="13" t="s">
        <v>202</v>
      </c>
    </row>
    <row r="209" spans="1:16" x14ac:dyDescent="0.2">
      <c r="A209" s="2"/>
      <c r="B209" s="35" t="s">
        <v>481</v>
      </c>
      <c r="C209" s="6" t="s">
        <v>144</v>
      </c>
      <c r="D209" s="6" t="s">
        <v>864</v>
      </c>
      <c r="E209" s="6"/>
      <c r="L209" s="2"/>
      <c r="M209" s="2"/>
      <c r="N209" s="4" t="s">
        <v>1767</v>
      </c>
      <c r="P209" s="13" t="s">
        <v>614</v>
      </c>
    </row>
    <row r="210" spans="1:16" x14ac:dyDescent="0.2">
      <c r="A210" s="2"/>
      <c r="B210" s="35" t="s">
        <v>113</v>
      </c>
      <c r="C210" s="6" t="s">
        <v>125</v>
      </c>
      <c r="D210" s="6" t="s">
        <v>865</v>
      </c>
      <c r="E210" s="6"/>
      <c r="L210" s="2"/>
      <c r="M210" s="2"/>
      <c r="N210" s="4" t="s">
        <v>106</v>
      </c>
      <c r="P210" s="13" t="s">
        <v>313</v>
      </c>
    </row>
    <row r="211" spans="1:16" x14ac:dyDescent="0.2">
      <c r="A211" s="1"/>
      <c r="B211" s="35" t="s">
        <v>1772</v>
      </c>
      <c r="C211" s="6" t="s">
        <v>1310</v>
      </c>
      <c r="D211" s="6" t="s">
        <v>391</v>
      </c>
      <c r="E211" s="6"/>
      <c r="L211" s="2"/>
      <c r="M211" s="2"/>
      <c r="N211" s="4" t="s">
        <v>1164</v>
      </c>
      <c r="P211" s="13" t="s">
        <v>625</v>
      </c>
    </row>
    <row r="212" spans="1:16" x14ac:dyDescent="0.2">
      <c r="A212" s="1"/>
      <c r="B212" s="35" t="s">
        <v>1773</v>
      </c>
      <c r="C212" s="6" t="s">
        <v>1311</v>
      </c>
      <c r="D212" s="6" t="s">
        <v>520</v>
      </c>
      <c r="E212" s="6"/>
      <c r="L212" s="2"/>
      <c r="M212" s="2"/>
      <c r="N212" s="4" t="s">
        <v>1754</v>
      </c>
      <c r="P212" s="13" t="s">
        <v>622</v>
      </c>
    </row>
    <row r="213" spans="1:16" x14ac:dyDescent="0.2">
      <c r="A213" s="2"/>
      <c r="B213" s="35" t="s">
        <v>79</v>
      </c>
      <c r="C213" s="6" t="s">
        <v>1610</v>
      </c>
      <c r="D213" s="6" t="s">
        <v>866</v>
      </c>
      <c r="E213" s="6"/>
      <c r="L213" s="1"/>
      <c r="M213" s="2"/>
      <c r="N213" s="4" t="s">
        <v>1749</v>
      </c>
      <c r="P213" s="13" t="s">
        <v>624</v>
      </c>
    </row>
    <row r="214" spans="1:16" x14ac:dyDescent="0.2">
      <c r="A214" s="2"/>
      <c r="B214" s="35" t="s">
        <v>675</v>
      </c>
      <c r="C214" s="11" t="s">
        <v>576</v>
      </c>
      <c r="D214" s="6" t="s">
        <v>867</v>
      </c>
      <c r="E214" s="6"/>
      <c r="L214" s="2"/>
      <c r="M214" s="2"/>
      <c r="N214" s="4" t="s">
        <v>701</v>
      </c>
      <c r="P214" s="13" t="s">
        <v>236</v>
      </c>
    </row>
    <row r="215" spans="1:16" x14ac:dyDescent="0.2">
      <c r="A215" s="2"/>
      <c r="B215" s="35" t="s">
        <v>1774</v>
      </c>
      <c r="C215" s="19" t="s">
        <v>171</v>
      </c>
      <c r="D215" s="6" t="s">
        <v>868</v>
      </c>
      <c r="E215" s="6"/>
      <c r="L215" s="2"/>
      <c r="M215" s="2"/>
      <c r="N215" s="4" t="s">
        <v>808</v>
      </c>
      <c r="P215" s="13" t="s">
        <v>531</v>
      </c>
    </row>
    <row r="216" spans="1:16" x14ac:dyDescent="0.2">
      <c r="A216" s="1"/>
      <c r="B216" s="35" t="s">
        <v>679</v>
      </c>
      <c r="C216" s="9" t="s">
        <v>313</v>
      </c>
      <c r="D216" s="6" t="s">
        <v>746</v>
      </c>
      <c r="E216" s="6"/>
      <c r="L216" s="2"/>
      <c r="M216" s="2"/>
      <c r="N216" s="4" t="s">
        <v>41</v>
      </c>
      <c r="P216" s="13" t="s">
        <v>545</v>
      </c>
    </row>
    <row r="217" spans="1:16" x14ac:dyDescent="0.2">
      <c r="A217" s="2"/>
      <c r="B217" s="35" t="s">
        <v>48</v>
      </c>
      <c r="C217" s="11" t="s">
        <v>573</v>
      </c>
      <c r="D217" s="6" t="s">
        <v>731</v>
      </c>
      <c r="E217" s="6"/>
      <c r="L217" s="2"/>
      <c r="M217" s="2"/>
      <c r="N217" s="4" t="s">
        <v>1104</v>
      </c>
      <c r="P217" s="13" t="s">
        <v>187</v>
      </c>
    </row>
    <row r="218" spans="1:16" x14ac:dyDescent="0.2">
      <c r="A218" s="1"/>
      <c r="B218" s="35" t="s">
        <v>760</v>
      </c>
      <c r="C218" s="6" t="s">
        <v>452</v>
      </c>
      <c r="D218" s="6" t="s">
        <v>772</v>
      </c>
      <c r="E218" s="6"/>
      <c r="L218" s="2"/>
      <c r="M218" s="2"/>
      <c r="N218" s="4" t="s">
        <v>638</v>
      </c>
      <c r="P218" s="13" t="s">
        <v>626</v>
      </c>
    </row>
    <row r="219" spans="1:16" x14ac:dyDescent="0.2">
      <c r="A219" s="2"/>
      <c r="B219" s="35" t="s">
        <v>1775</v>
      </c>
      <c r="C219" s="11" t="s">
        <v>39</v>
      </c>
      <c r="D219" s="6" t="s">
        <v>869</v>
      </c>
      <c r="E219" s="6"/>
      <c r="L219" s="2"/>
      <c r="M219" s="2"/>
      <c r="N219" s="4" t="s">
        <v>709</v>
      </c>
      <c r="P219" s="13" t="s">
        <v>627</v>
      </c>
    </row>
    <row r="220" spans="1:16" x14ac:dyDescent="0.2">
      <c r="A220" s="2"/>
      <c r="B220" s="35" t="s">
        <v>82</v>
      </c>
      <c r="C220" s="11" t="s">
        <v>226</v>
      </c>
      <c r="D220" s="6" t="s">
        <v>783</v>
      </c>
      <c r="E220" s="6"/>
      <c r="L220" s="2"/>
      <c r="M220" s="2"/>
      <c r="N220" s="4" t="s">
        <v>882</v>
      </c>
      <c r="P220" s="13" t="s">
        <v>299</v>
      </c>
    </row>
    <row r="221" spans="1:16" x14ac:dyDescent="0.2">
      <c r="A221" s="2"/>
      <c r="B221" s="35" t="s">
        <v>1776</v>
      </c>
      <c r="C221" s="11" t="s">
        <v>374</v>
      </c>
      <c r="D221" s="6" t="s">
        <v>692</v>
      </c>
      <c r="E221" s="6"/>
      <c r="L221" s="2"/>
      <c r="M221" s="2"/>
      <c r="N221" s="4" t="s">
        <v>1197</v>
      </c>
      <c r="P221" s="13" t="s">
        <v>615</v>
      </c>
    </row>
    <row r="222" spans="1:16" x14ac:dyDescent="0.2">
      <c r="A222" s="1"/>
      <c r="B222" s="35" t="s">
        <v>742</v>
      </c>
      <c r="C222" s="11" t="s">
        <v>524</v>
      </c>
      <c r="D222" s="6" t="s">
        <v>497</v>
      </c>
      <c r="E222" s="6"/>
      <c r="L222" s="2"/>
      <c r="M222" s="2"/>
      <c r="N222" s="4" t="s">
        <v>56</v>
      </c>
      <c r="P222" s="13" t="s">
        <v>623</v>
      </c>
    </row>
    <row r="223" spans="1:16" x14ac:dyDescent="0.2">
      <c r="A223" s="1"/>
      <c r="B223" s="35" t="s">
        <v>197</v>
      </c>
      <c r="C223" s="9" t="s">
        <v>236</v>
      </c>
      <c r="D223" s="6" t="s">
        <v>775</v>
      </c>
      <c r="E223" s="6"/>
      <c r="L223" s="1"/>
      <c r="M223" s="2"/>
      <c r="N223" s="4" t="s">
        <v>927</v>
      </c>
    </row>
    <row r="224" spans="1:16" x14ac:dyDescent="0.2">
      <c r="A224" s="2"/>
      <c r="B224" s="37" t="s">
        <v>202</v>
      </c>
      <c r="C224" s="6" t="s">
        <v>369</v>
      </c>
      <c r="D224" s="6" t="s">
        <v>870</v>
      </c>
      <c r="E224" s="6"/>
      <c r="M224" s="2"/>
      <c r="N224" s="4" t="s">
        <v>1111</v>
      </c>
    </row>
    <row r="225" spans="1:14" x14ac:dyDescent="0.2">
      <c r="A225" s="2"/>
      <c r="B225" s="35" t="s">
        <v>1150</v>
      </c>
      <c r="C225" s="11" t="s">
        <v>432</v>
      </c>
      <c r="D225" s="6" t="s">
        <v>871</v>
      </c>
      <c r="E225" s="6"/>
      <c r="M225" s="2"/>
      <c r="N225" s="4" t="s">
        <v>1590</v>
      </c>
    </row>
    <row r="226" spans="1:14" x14ac:dyDescent="0.2">
      <c r="A226" s="1"/>
      <c r="B226" s="35" t="s">
        <v>1777</v>
      </c>
      <c r="C226" s="11" t="s">
        <v>442</v>
      </c>
      <c r="D226" s="6" t="s">
        <v>872</v>
      </c>
      <c r="E226" s="6"/>
      <c r="M226" s="2"/>
      <c r="N226" s="4" t="s">
        <v>1339</v>
      </c>
    </row>
    <row r="227" spans="1:14" x14ac:dyDescent="0.2">
      <c r="A227" s="2"/>
      <c r="B227" s="35" t="s">
        <v>1778</v>
      </c>
      <c r="C227" s="11" t="s">
        <v>170</v>
      </c>
      <c r="D227" s="6" t="s">
        <v>873</v>
      </c>
      <c r="E227" s="6"/>
      <c r="M227" s="2"/>
      <c r="N227" s="4" t="s">
        <v>1592</v>
      </c>
    </row>
    <row r="228" spans="1:14" x14ac:dyDescent="0.2">
      <c r="A228" s="2"/>
      <c r="B228" s="35" t="s">
        <v>520</v>
      </c>
      <c r="C228" s="6" t="s">
        <v>1332</v>
      </c>
      <c r="D228" s="6" t="s">
        <v>774</v>
      </c>
      <c r="E228" s="6"/>
      <c r="M228" s="1"/>
      <c r="N228" s="4" t="s">
        <v>1333</v>
      </c>
    </row>
    <row r="229" spans="1:14" x14ac:dyDescent="0.2">
      <c r="A229" s="1"/>
      <c r="B229" s="35" t="s">
        <v>1779</v>
      </c>
      <c r="C229" s="6" t="s">
        <v>481</v>
      </c>
      <c r="D229" s="6" t="s">
        <v>874</v>
      </c>
      <c r="E229" s="6"/>
      <c r="M229" s="2"/>
      <c r="N229" s="4" t="s">
        <v>1614</v>
      </c>
    </row>
    <row r="230" spans="1:14" x14ac:dyDescent="0.2">
      <c r="A230" s="2"/>
      <c r="B230" s="35" t="s">
        <v>1148</v>
      </c>
      <c r="C230" s="11" t="s">
        <v>169</v>
      </c>
      <c r="D230" s="6" t="s">
        <v>875</v>
      </c>
      <c r="E230" s="6"/>
      <c r="M230" s="2"/>
      <c r="N230" s="4" t="s">
        <v>76</v>
      </c>
    </row>
    <row r="231" spans="1:14" x14ac:dyDescent="0.2">
      <c r="A231" s="2"/>
      <c r="B231" s="35" t="s">
        <v>1780</v>
      </c>
      <c r="C231" s="11" t="s">
        <v>152</v>
      </c>
      <c r="D231" s="6" t="s">
        <v>789</v>
      </c>
      <c r="E231" s="6"/>
      <c r="M231" s="2"/>
      <c r="N231" s="4" t="s">
        <v>1641</v>
      </c>
    </row>
    <row r="232" spans="1:14" x14ac:dyDescent="0.2">
      <c r="A232" s="1"/>
      <c r="B232" s="35" t="s">
        <v>1197</v>
      </c>
      <c r="C232" s="6" t="s">
        <v>1040</v>
      </c>
      <c r="D232" s="6" t="s">
        <v>876</v>
      </c>
      <c r="E232" s="6"/>
      <c r="M232" s="2"/>
      <c r="N232" s="4" t="s">
        <v>631</v>
      </c>
    </row>
    <row r="233" spans="1:14" x14ac:dyDescent="0.2">
      <c r="A233" s="1"/>
      <c r="B233" s="35" t="s">
        <v>1178</v>
      </c>
      <c r="C233" s="11" t="s">
        <v>63</v>
      </c>
      <c r="D233" s="6" t="s">
        <v>479</v>
      </c>
      <c r="E233" s="6"/>
      <c r="M233" s="2"/>
      <c r="N233" s="4" t="s">
        <v>221</v>
      </c>
    </row>
    <row r="234" spans="1:14" x14ac:dyDescent="0.2">
      <c r="A234" s="1"/>
      <c r="B234" s="35" t="s">
        <v>1781</v>
      </c>
      <c r="C234" s="11" t="s">
        <v>443</v>
      </c>
      <c r="D234" s="6" t="s">
        <v>877</v>
      </c>
      <c r="E234" s="6"/>
      <c r="M234" s="2"/>
      <c r="N234" s="4" t="s">
        <v>1378</v>
      </c>
    </row>
    <row r="235" spans="1:14" x14ac:dyDescent="0.2">
      <c r="A235" s="1"/>
      <c r="B235" s="35" t="s">
        <v>774</v>
      </c>
      <c r="C235" s="11" t="s">
        <v>150</v>
      </c>
      <c r="D235" s="6" t="s">
        <v>878</v>
      </c>
      <c r="E235" s="6"/>
      <c r="M235" s="2"/>
      <c r="N235" s="4" t="s">
        <v>1323</v>
      </c>
    </row>
    <row r="236" spans="1:14" x14ac:dyDescent="0.2">
      <c r="A236" s="2"/>
      <c r="B236" s="35" t="s">
        <v>223</v>
      </c>
      <c r="C236" s="11" t="s">
        <v>343</v>
      </c>
      <c r="D236" s="6" t="s">
        <v>879</v>
      </c>
      <c r="E236" s="6"/>
      <c r="M236" s="2"/>
      <c r="N236" s="4" t="s">
        <v>1624</v>
      </c>
    </row>
    <row r="237" spans="1:14" x14ac:dyDescent="0.2">
      <c r="A237" s="1"/>
      <c r="B237" s="35" t="s">
        <v>1192</v>
      </c>
      <c r="C237" s="11" t="s">
        <v>533</v>
      </c>
      <c r="D237" s="6" t="s">
        <v>880</v>
      </c>
      <c r="E237" s="6"/>
      <c r="M237" s="2"/>
      <c r="N237" s="4" t="s">
        <v>1642</v>
      </c>
    </row>
    <row r="238" spans="1:14" x14ac:dyDescent="0.2">
      <c r="A238" s="1"/>
      <c r="B238" s="37" t="s">
        <v>187</v>
      </c>
      <c r="C238" s="11" t="s">
        <v>99</v>
      </c>
      <c r="D238" s="6" t="s">
        <v>675</v>
      </c>
      <c r="E238" s="6"/>
      <c r="M238" s="2"/>
      <c r="N238" s="4" t="s">
        <v>1722</v>
      </c>
    </row>
    <row r="239" spans="1:14" x14ac:dyDescent="0.2">
      <c r="A239" s="2"/>
      <c r="B239" s="35" t="s">
        <v>1165</v>
      </c>
      <c r="C239" s="11" t="s">
        <v>473</v>
      </c>
      <c r="D239" s="6" t="s">
        <v>881</v>
      </c>
      <c r="E239" s="6"/>
      <c r="M239" s="1"/>
      <c r="N239" s="4" t="s">
        <v>697</v>
      </c>
    </row>
    <row r="240" spans="1:14" x14ac:dyDescent="0.2">
      <c r="A240" s="2"/>
      <c r="B240" s="35" t="s">
        <v>973</v>
      </c>
      <c r="C240" s="6" t="s">
        <v>1341</v>
      </c>
      <c r="D240" s="6" t="s">
        <v>33</v>
      </c>
      <c r="E240" s="6"/>
      <c r="M240" s="2"/>
      <c r="N240" s="4" t="s">
        <v>1579</v>
      </c>
    </row>
    <row r="241" spans="1:14" x14ac:dyDescent="0.2">
      <c r="A241" s="2"/>
      <c r="B241" s="35" t="s">
        <v>1250</v>
      </c>
      <c r="C241" s="11" t="s">
        <v>419</v>
      </c>
      <c r="D241" s="6" t="s">
        <v>882</v>
      </c>
      <c r="E241" s="6"/>
      <c r="M241" s="2"/>
      <c r="N241" s="4" t="s">
        <v>176</v>
      </c>
    </row>
    <row r="242" spans="1:14" x14ac:dyDescent="0.2">
      <c r="A242" s="2"/>
      <c r="B242" s="35" t="s">
        <v>665</v>
      </c>
      <c r="C242" s="6" t="s">
        <v>223</v>
      </c>
      <c r="D242" s="6" t="s">
        <v>883</v>
      </c>
      <c r="E242" s="6"/>
      <c r="M242" s="2"/>
      <c r="N242" s="4" t="s">
        <v>735</v>
      </c>
    </row>
    <row r="243" spans="1:14" x14ac:dyDescent="0.2">
      <c r="A243" s="1"/>
      <c r="B243" s="35" t="s">
        <v>1037</v>
      </c>
      <c r="C243" s="11" t="s">
        <v>523</v>
      </c>
      <c r="D243" s="6" t="s">
        <v>884</v>
      </c>
      <c r="E243" s="6"/>
      <c r="M243" s="2"/>
      <c r="N243" s="4" t="s">
        <v>1115</v>
      </c>
    </row>
    <row r="244" spans="1:14" x14ac:dyDescent="0.2">
      <c r="A244" s="2"/>
      <c r="B244" s="35" t="s">
        <v>1164</v>
      </c>
      <c r="C244" s="19" t="s">
        <v>403</v>
      </c>
      <c r="D244" s="6" t="s">
        <v>885</v>
      </c>
      <c r="E244" s="6"/>
      <c r="M244" s="2"/>
      <c r="N244" s="4" t="s">
        <v>1669</v>
      </c>
    </row>
    <row r="245" spans="1:14" x14ac:dyDescent="0.2">
      <c r="A245" s="2"/>
      <c r="B245" s="35" t="s">
        <v>1243</v>
      </c>
      <c r="C245" s="6" t="s">
        <v>497</v>
      </c>
      <c r="D245" s="6" t="s">
        <v>138</v>
      </c>
      <c r="E245" s="6"/>
      <c r="M245" s="1"/>
      <c r="N245" s="4" t="s">
        <v>1639</v>
      </c>
    </row>
    <row r="246" spans="1:14" x14ac:dyDescent="0.2">
      <c r="A246" s="2"/>
      <c r="B246" s="35" t="s">
        <v>1190</v>
      </c>
      <c r="C246" s="11" t="s">
        <v>282</v>
      </c>
      <c r="D246" s="6" t="s">
        <v>886</v>
      </c>
      <c r="E246" s="6"/>
      <c r="M246" s="2"/>
      <c r="N246" s="4" t="s">
        <v>182</v>
      </c>
    </row>
    <row r="247" spans="1:14" x14ac:dyDescent="0.2">
      <c r="A247" s="1"/>
      <c r="B247" s="35" t="s">
        <v>706</v>
      </c>
      <c r="C247" s="6" t="s">
        <v>464</v>
      </c>
      <c r="E247" s="6"/>
      <c r="M247" s="1"/>
      <c r="N247" s="4" t="s">
        <v>1039</v>
      </c>
    </row>
    <row r="248" spans="1:14" x14ac:dyDescent="0.2">
      <c r="A248" s="1"/>
      <c r="B248" s="35" t="s">
        <v>449</v>
      </c>
      <c r="C248" s="11" t="s">
        <v>405</v>
      </c>
      <c r="E248" s="6"/>
      <c r="M248" s="2"/>
      <c r="N248" s="4" t="s">
        <v>637</v>
      </c>
    </row>
    <row r="249" spans="1:14" x14ac:dyDescent="0.2">
      <c r="A249" s="2"/>
      <c r="B249" s="35" t="s">
        <v>1782</v>
      </c>
      <c r="C249" s="11" t="s">
        <v>326</v>
      </c>
      <c r="E249" s="6"/>
      <c r="M249" s="2"/>
      <c r="N249" s="4" t="s">
        <v>1299</v>
      </c>
    </row>
    <row r="250" spans="1:14" x14ac:dyDescent="0.2">
      <c r="A250" s="2"/>
      <c r="B250" s="35" t="s">
        <v>1194</v>
      </c>
      <c r="C250" s="11" t="s">
        <v>71</v>
      </c>
      <c r="E250" s="6"/>
      <c r="M250" s="2"/>
      <c r="N250" s="4" t="s">
        <v>692</v>
      </c>
    </row>
    <row r="251" spans="1:14" x14ac:dyDescent="0.2">
      <c r="A251" s="2"/>
      <c r="B251" s="35" t="s">
        <v>16</v>
      </c>
      <c r="C251" s="11" t="s">
        <v>519</v>
      </c>
      <c r="E251" s="6"/>
      <c r="M251" s="2"/>
      <c r="N251" s="4" t="s">
        <v>1693</v>
      </c>
    </row>
    <row r="252" spans="1:14" x14ac:dyDescent="0.2">
      <c r="A252" s="2"/>
      <c r="B252" s="35" t="s">
        <v>78</v>
      </c>
      <c r="C252" s="6" t="s">
        <v>1001</v>
      </c>
      <c r="E252" s="6"/>
      <c r="M252" s="2"/>
      <c r="N252" s="4" t="s">
        <v>1132</v>
      </c>
    </row>
    <row r="253" spans="1:14" x14ac:dyDescent="0.2">
      <c r="A253" s="2"/>
      <c r="B253" s="35" t="s">
        <v>1155</v>
      </c>
      <c r="C253" s="11" t="s">
        <v>252</v>
      </c>
      <c r="E253" s="6"/>
      <c r="M253" s="2"/>
      <c r="N253" s="4" t="s">
        <v>1109</v>
      </c>
    </row>
    <row r="254" spans="1:14" x14ac:dyDescent="0.2">
      <c r="A254" s="1"/>
      <c r="B254" s="35" t="s">
        <v>1783</v>
      </c>
      <c r="C254" s="6" t="s">
        <v>1327</v>
      </c>
      <c r="E254" s="6"/>
      <c r="M254" s="1"/>
      <c r="N254" s="4" t="s">
        <v>1045</v>
      </c>
    </row>
    <row r="255" spans="1:14" x14ac:dyDescent="0.2">
      <c r="A255" s="1"/>
      <c r="B255" s="35" t="s">
        <v>1036</v>
      </c>
      <c r="C255" s="11" t="s">
        <v>478</v>
      </c>
      <c r="E255" s="6"/>
      <c r="M255" s="2"/>
      <c r="N255" s="4" t="s">
        <v>232</v>
      </c>
    </row>
    <row r="256" spans="1:14" x14ac:dyDescent="0.2">
      <c r="A256" s="2"/>
      <c r="B256" s="35" t="s">
        <v>831</v>
      </c>
      <c r="C256" s="6" t="s">
        <v>83</v>
      </c>
      <c r="D256" s="6"/>
      <c r="E256" s="6"/>
      <c r="M256" s="2"/>
      <c r="N256" s="4" t="s">
        <v>833</v>
      </c>
    </row>
    <row r="257" spans="1:14" x14ac:dyDescent="0.2">
      <c r="A257" s="1"/>
      <c r="B257" s="35" t="s">
        <v>1187</v>
      </c>
      <c r="C257" s="6" t="s">
        <v>987</v>
      </c>
      <c r="D257" s="6"/>
      <c r="E257" s="6"/>
      <c r="M257" s="2"/>
      <c r="N257" s="4" t="s">
        <v>830</v>
      </c>
    </row>
    <row r="258" spans="1:14" x14ac:dyDescent="0.2">
      <c r="A258" s="1"/>
      <c r="B258" s="36"/>
      <c r="C258" s="6" t="s">
        <v>504</v>
      </c>
      <c r="D258" s="6"/>
      <c r="E258" s="6"/>
      <c r="M258" s="2"/>
      <c r="N258" s="4" t="s">
        <v>715</v>
      </c>
    </row>
    <row r="259" spans="1:14" x14ac:dyDescent="0.2">
      <c r="A259" s="2"/>
      <c r="B259" s="36"/>
      <c r="C259" s="11" t="s">
        <v>512</v>
      </c>
      <c r="D259" s="6"/>
      <c r="E259" s="6"/>
      <c r="M259" s="2"/>
      <c r="N259" s="4" t="s">
        <v>813</v>
      </c>
    </row>
    <row r="260" spans="1:14" x14ac:dyDescent="0.2">
      <c r="A260" s="2"/>
      <c r="B260" s="36"/>
      <c r="C260" s="11" t="s">
        <v>273</v>
      </c>
      <c r="D260" s="6"/>
      <c r="E260" s="6"/>
      <c r="M260" s="1"/>
      <c r="N260" s="4" t="s">
        <v>1113</v>
      </c>
    </row>
    <row r="261" spans="1:14" x14ac:dyDescent="0.2">
      <c r="A261" s="2"/>
      <c r="B261" s="36"/>
      <c r="C261" s="6" t="s">
        <v>210</v>
      </c>
      <c r="D261" s="6"/>
      <c r="E261" s="6"/>
      <c r="M261" s="2"/>
      <c r="N261" s="4" t="s">
        <v>1770</v>
      </c>
    </row>
    <row r="262" spans="1:14" x14ac:dyDescent="0.2">
      <c r="A262" s="2"/>
      <c r="B262" s="36"/>
      <c r="C262" s="11" t="s">
        <v>398</v>
      </c>
      <c r="E262" s="6"/>
      <c r="M262" s="1"/>
      <c r="N262" s="4" t="s">
        <v>664</v>
      </c>
    </row>
    <row r="263" spans="1:14" x14ac:dyDescent="0.2">
      <c r="A263" s="1"/>
      <c r="B263" s="36"/>
      <c r="C263" s="6" t="s">
        <v>85</v>
      </c>
      <c r="D263" s="6"/>
      <c r="E263" s="6"/>
      <c r="M263" s="2"/>
      <c r="N263" s="4" t="s">
        <v>1279</v>
      </c>
    </row>
    <row r="264" spans="1:14" x14ac:dyDescent="0.2">
      <c r="A264" s="1"/>
      <c r="B264" s="36"/>
      <c r="C264" s="11" t="s">
        <v>353</v>
      </c>
      <c r="D264" s="6"/>
      <c r="E264" s="6"/>
      <c r="M264" s="2"/>
      <c r="N264" s="4" t="s">
        <v>1125</v>
      </c>
    </row>
    <row r="265" spans="1:14" x14ac:dyDescent="0.2">
      <c r="A265" s="1"/>
      <c r="B265" s="36"/>
      <c r="C265" s="6" t="s">
        <v>1319</v>
      </c>
      <c r="D265" s="6"/>
      <c r="E265" s="6"/>
      <c r="M265" s="2"/>
      <c r="N265" s="4" t="s">
        <v>863</v>
      </c>
    </row>
    <row r="266" spans="1:14" x14ac:dyDescent="0.2">
      <c r="A266" s="2"/>
      <c r="B266" s="36"/>
      <c r="C266" s="11" t="s">
        <v>95</v>
      </c>
      <c r="D266" s="6"/>
      <c r="E266" s="6"/>
      <c r="M266" s="1"/>
      <c r="N266" s="4" t="s">
        <v>1371</v>
      </c>
    </row>
    <row r="267" spans="1:14" x14ac:dyDescent="0.2">
      <c r="A267" s="2"/>
      <c r="B267" s="36"/>
      <c r="C267" s="6" t="s">
        <v>1320</v>
      </c>
      <c r="D267" s="6"/>
      <c r="E267" s="6"/>
      <c r="M267" s="2"/>
      <c r="N267" s="4" t="s">
        <v>1588</v>
      </c>
    </row>
    <row r="268" spans="1:14" x14ac:dyDescent="0.2">
      <c r="A268" s="2"/>
      <c r="B268" s="36"/>
      <c r="C268" s="6" t="s">
        <v>1049</v>
      </c>
      <c r="D268" s="6"/>
      <c r="E268" s="6"/>
      <c r="M268" s="1"/>
      <c r="N268" s="4" t="s">
        <v>1343</v>
      </c>
    </row>
    <row r="269" spans="1:14" x14ac:dyDescent="0.2">
      <c r="A269" s="2"/>
      <c r="B269" s="36"/>
      <c r="C269" s="6" t="s">
        <v>1315</v>
      </c>
      <c r="D269" s="6"/>
      <c r="E269" s="6"/>
      <c r="M269" s="2"/>
      <c r="N269" s="4" t="s">
        <v>1008</v>
      </c>
    </row>
    <row r="270" spans="1:14" x14ac:dyDescent="0.2">
      <c r="A270" s="1"/>
      <c r="B270" s="36"/>
      <c r="C270" s="20" t="s">
        <v>420</v>
      </c>
      <c r="D270" s="6"/>
      <c r="E270" s="6"/>
      <c r="M270" s="2"/>
      <c r="N270" s="4" t="s">
        <v>1750</v>
      </c>
    </row>
    <row r="271" spans="1:14" x14ac:dyDescent="0.2">
      <c r="A271" s="2"/>
      <c r="B271" s="36"/>
      <c r="C271" s="11" t="s">
        <v>564</v>
      </c>
      <c r="D271" s="6"/>
      <c r="E271" s="6"/>
      <c r="M271" s="2"/>
      <c r="N271" s="4" t="s">
        <v>1615</v>
      </c>
    </row>
    <row r="272" spans="1:14" x14ac:dyDescent="0.2">
      <c r="A272" s="2"/>
      <c r="B272" s="36"/>
      <c r="C272" s="6" t="s">
        <v>1318</v>
      </c>
      <c r="E272" s="6"/>
      <c r="M272" s="2"/>
      <c r="N272" s="4" t="s">
        <v>1606</v>
      </c>
    </row>
    <row r="273" spans="1:14" x14ac:dyDescent="0.2">
      <c r="A273" s="2"/>
      <c r="B273" s="36"/>
      <c r="C273" s="19" t="s">
        <v>401</v>
      </c>
      <c r="E273" s="6"/>
      <c r="M273" s="2"/>
      <c r="N273" s="4" t="s">
        <v>1600</v>
      </c>
    </row>
    <row r="274" spans="1:14" x14ac:dyDescent="0.2">
      <c r="A274" s="1"/>
      <c r="B274" s="36"/>
      <c r="C274" s="11" t="s">
        <v>212</v>
      </c>
      <c r="D274" s="6"/>
      <c r="E274" s="6"/>
      <c r="M274" s="2"/>
      <c r="N274" s="4" t="s">
        <v>1212</v>
      </c>
    </row>
    <row r="275" spans="1:14" x14ac:dyDescent="0.2">
      <c r="A275" s="1"/>
      <c r="B275" s="36"/>
      <c r="C275" s="6" t="s">
        <v>79</v>
      </c>
      <c r="D275" s="6"/>
      <c r="E275" s="6"/>
      <c r="M275" s="1"/>
      <c r="N275" s="4" t="s">
        <v>120</v>
      </c>
    </row>
    <row r="276" spans="1:14" x14ac:dyDescent="0.2">
      <c r="A276" s="2"/>
      <c r="B276" s="36"/>
      <c r="C276" s="6" t="s">
        <v>706</v>
      </c>
      <c r="E276" s="6"/>
      <c r="M276" s="1"/>
      <c r="N276" s="4" t="s">
        <v>1570</v>
      </c>
    </row>
    <row r="277" spans="1:14" x14ac:dyDescent="0.2">
      <c r="A277" s="2"/>
      <c r="B277" s="36"/>
      <c r="C277" s="6" t="s">
        <v>1611</v>
      </c>
      <c r="D277" s="6"/>
      <c r="E277" s="6"/>
      <c r="M277" s="2"/>
      <c r="N277" s="4" t="s">
        <v>1692</v>
      </c>
    </row>
    <row r="278" spans="1:14" x14ac:dyDescent="0.2">
      <c r="A278" s="1"/>
      <c r="B278" s="36"/>
      <c r="C278" s="6" t="s">
        <v>543</v>
      </c>
      <c r="D278" s="6"/>
      <c r="E278" s="6"/>
      <c r="M278" s="2"/>
      <c r="N278" s="4" t="s">
        <v>1703</v>
      </c>
    </row>
    <row r="279" spans="1:14" x14ac:dyDescent="0.2">
      <c r="A279" s="2"/>
      <c r="B279" s="36"/>
      <c r="C279" s="11" t="s">
        <v>373</v>
      </c>
      <c r="D279" s="6"/>
      <c r="E279" s="6"/>
      <c r="M279" s="2"/>
      <c r="N279" s="4" t="s">
        <v>1357</v>
      </c>
    </row>
    <row r="280" spans="1:14" x14ac:dyDescent="0.2">
      <c r="A280" s="2"/>
      <c r="B280" s="36"/>
      <c r="C280" s="6" t="s">
        <v>53</v>
      </c>
      <c r="D280" s="6"/>
      <c r="E280" s="6"/>
      <c r="M280" s="1"/>
      <c r="N280" s="4" t="s">
        <v>1673</v>
      </c>
    </row>
    <row r="281" spans="1:14" x14ac:dyDescent="0.2">
      <c r="A281" s="1"/>
      <c r="B281" s="36"/>
      <c r="C281" s="11" t="s">
        <v>188</v>
      </c>
      <c r="D281" s="6"/>
      <c r="E281" s="6"/>
      <c r="M281" s="2"/>
      <c r="N281" s="4" t="s">
        <v>1275</v>
      </c>
    </row>
    <row r="282" spans="1:14" x14ac:dyDescent="0.2">
      <c r="A282" s="2"/>
      <c r="B282" s="36"/>
      <c r="C282" s="6" t="s">
        <v>142</v>
      </c>
      <c r="D282" s="6"/>
      <c r="E282" s="6"/>
      <c r="M282" s="2"/>
      <c r="N282" s="4" t="s">
        <v>1195</v>
      </c>
    </row>
    <row r="283" spans="1:14" x14ac:dyDescent="0.2">
      <c r="A283" s="2"/>
      <c r="B283" s="36"/>
      <c r="C283" s="6" t="s">
        <v>1337</v>
      </c>
      <c r="E283" s="6"/>
      <c r="M283" s="2"/>
      <c r="N283" s="4" t="s">
        <v>1360</v>
      </c>
    </row>
    <row r="284" spans="1:14" x14ac:dyDescent="0.2">
      <c r="A284" s="2"/>
      <c r="B284" s="36"/>
      <c r="C284" s="11" t="s">
        <v>570</v>
      </c>
      <c r="D284" s="6"/>
      <c r="E284" s="6"/>
      <c r="M284" s="2"/>
      <c r="N284" s="4" t="s">
        <v>126</v>
      </c>
    </row>
    <row r="285" spans="1:14" x14ac:dyDescent="0.2">
      <c r="A285" s="1"/>
      <c r="B285" s="36"/>
      <c r="C285" s="6" t="s">
        <v>1340</v>
      </c>
      <c r="D285" s="6"/>
      <c r="E285" s="6"/>
      <c r="M285" s="1"/>
      <c r="N285" s="4" t="s">
        <v>1657</v>
      </c>
    </row>
    <row r="286" spans="1:14" x14ac:dyDescent="0.2">
      <c r="A286" s="2"/>
      <c r="B286" s="36"/>
      <c r="C286" s="11" t="s">
        <v>245</v>
      </c>
      <c r="D286" s="6"/>
      <c r="E286" s="6"/>
      <c r="M286" s="1"/>
      <c r="N286" s="4" t="s">
        <v>842</v>
      </c>
    </row>
    <row r="287" spans="1:14" x14ac:dyDescent="0.2">
      <c r="A287" s="2"/>
      <c r="B287" s="36"/>
      <c r="C287" s="6" t="s">
        <v>491</v>
      </c>
      <c r="D287" s="6"/>
      <c r="E287" s="6"/>
      <c r="M287" s="1"/>
      <c r="N287" s="4" t="s">
        <v>1721</v>
      </c>
    </row>
    <row r="288" spans="1:14" x14ac:dyDescent="0.2">
      <c r="A288" s="1"/>
      <c r="B288" s="36"/>
      <c r="C288" s="11" t="s">
        <v>302</v>
      </c>
      <c r="D288" s="6"/>
      <c r="E288" s="6"/>
      <c r="M288" s="1"/>
      <c r="N288" s="4" t="s">
        <v>1095</v>
      </c>
    </row>
    <row r="289" spans="1:14" x14ac:dyDescent="0.2">
      <c r="A289" s="2"/>
      <c r="B289" s="36"/>
      <c r="C289" s="11" t="s">
        <v>376</v>
      </c>
      <c r="D289" s="6"/>
      <c r="E289" s="6"/>
      <c r="M289" s="2"/>
      <c r="N289" s="4" t="s">
        <v>94</v>
      </c>
    </row>
    <row r="290" spans="1:14" x14ac:dyDescent="0.2">
      <c r="A290" s="2"/>
      <c r="B290" s="36"/>
      <c r="C290" s="11" t="s">
        <v>484</v>
      </c>
      <c r="E290" s="6"/>
      <c r="M290" s="1"/>
      <c r="N290" s="4" t="s">
        <v>1348</v>
      </c>
    </row>
    <row r="291" spans="1:14" x14ac:dyDescent="0.2">
      <c r="A291" s="2"/>
      <c r="B291" s="36"/>
      <c r="C291" s="11" t="s">
        <v>108</v>
      </c>
      <c r="D291" s="6"/>
      <c r="E291" s="6"/>
      <c r="M291" s="1"/>
      <c r="N291" s="4" t="s">
        <v>1213</v>
      </c>
    </row>
    <row r="292" spans="1:14" x14ac:dyDescent="0.2">
      <c r="A292" s="2"/>
      <c r="B292" s="36"/>
      <c r="C292" s="6" t="s">
        <v>446</v>
      </c>
      <c r="D292" s="6"/>
      <c r="E292" s="6"/>
      <c r="M292" s="2"/>
      <c r="N292" s="4" t="s">
        <v>672</v>
      </c>
    </row>
    <row r="293" spans="1:14" x14ac:dyDescent="0.2">
      <c r="A293" s="2"/>
      <c r="B293" s="36"/>
      <c r="C293" s="11" t="s">
        <v>582</v>
      </c>
      <c r="D293" s="6"/>
      <c r="E293" s="6"/>
      <c r="M293" s="2"/>
      <c r="N293" s="4" t="s">
        <v>1631</v>
      </c>
    </row>
    <row r="294" spans="1:14" x14ac:dyDescent="0.2">
      <c r="A294" s="1"/>
      <c r="B294" s="36"/>
      <c r="C294" s="11" t="s">
        <v>602</v>
      </c>
      <c r="D294" s="6"/>
      <c r="E294" s="6"/>
      <c r="M294" s="2"/>
      <c r="N294" s="4" t="s">
        <v>1708</v>
      </c>
    </row>
    <row r="295" spans="1:14" x14ac:dyDescent="0.2">
      <c r="A295" s="2"/>
      <c r="B295" s="36"/>
      <c r="C295" s="6" t="s">
        <v>258</v>
      </c>
      <c r="E295" s="6"/>
      <c r="M295" s="2"/>
      <c r="N295" s="4" t="s">
        <v>291</v>
      </c>
    </row>
    <row r="296" spans="1:14" x14ac:dyDescent="0.2">
      <c r="A296" s="2"/>
      <c r="B296" s="36"/>
      <c r="C296" s="6" t="s">
        <v>695</v>
      </c>
      <c r="D296" s="6"/>
      <c r="E296" s="6"/>
      <c r="M296" s="1"/>
      <c r="N296" s="4" t="s">
        <v>1335</v>
      </c>
    </row>
    <row r="297" spans="1:14" x14ac:dyDescent="0.2">
      <c r="A297" s="2"/>
      <c r="B297" s="36"/>
      <c r="C297" s="6" t="s">
        <v>372</v>
      </c>
      <c r="D297" s="6"/>
      <c r="E297" s="6"/>
      <c r="M297" s="2"/>
      <c r="N297" s="4" t="s">
        <v>235</v>
      </c>
    </row>
    <row r="298" spans="1:14" x14ac:dyDescent="0.2">
      <c r="A298" s="2"/>
      <c r="B298" s="36"/>
      <c r="C298" s="6" t="s">
        <v>390</v>
      </c>
      <c r="E298" s="6"/>
      <c r="M298" s="2"/>
      <c r="N298" s="4" t="s">
        <v>1233</v>
      </c>
    </row>
    <row r="299" spans="1:14" x14ac:dyDescent="0.2">
      <c r="A299" s="2"/>
      <c r="B299" s="36"/>
      <c r="C299" s="11" t="s">
        <v>130</v>
      </c>
      <c r="E299" s="6"/>
      <c r="M299" s="2"/>
      <c r="N299" s="4" t="s">
        <v>1325</v>
      </c>
    </row>
    <row r="300" spans="1:14" x14ac:dyDescent="0.2">
      <c r="A300" s="1"/>
      <c r="B300" s="36"/>
      <c r="C300" s="11" t="s">
        <v>527</v>
      </c>
      <c r="D300" s="6"/>
      <c r="E300" s="6"/>
      <c r="M300" s="2"/>
      <c r="N300" s="4" t="s">
        <v>1295</v>
      </c>
    </row>
    <row r="301" spans="1:14" x14ac:dyDescent="0.2">
      <c r="A301" s="2"/>
      <c r="B301" s="36"/>
      <c r="C301" s="6" t="s">
        <v>1346</v>
      </c>
      <c r="D301" s="6"/>
      <c r="E301" s="6"/>
      <c r="M301" s="2"/>
      <c r="N301" s="4" t="s">
        <v>1345</v>
      </c>
    </row>
    <row r="302" spans="1:14" x14ac:dyDescent="0.2">
      <c r="A302" s="2"/>
      <c r="B302" s="36"/>
      <c r="C302" s="11" t="s">
        <v>556</v>
      </c>
      <c r="D302" s="6"/>
      <c r="E302" s="6"/>
      <c r="M302" s="2"/>
      <c r="N302" s="4" t="s">
        <v>748</v>
      </c>
    </row>
    <row r="303" spans="1:14" x14ac:dyDescent="0.2">
      <c r="A303" s="2"/>
      <c r="B303" s="36"/>
      <c r="C303" s="6" t="s">
        <v>233</v>
      </c>
      <c r="D303" s="6"/>
      <c r="E303" s="6"/>
      <c r="M303" s="2"/>
      <c r="N303" s="4" t="s">
        <v>1593</v>
      </c>
    </row>
    <row r="304" spans="1:14" x14ac:dyDescent="0.2">
      <c r="A304" s="2"/>
      <c r="B304" s="36"/>
      <c r="C304" s="11" t="s">
        <v>421</v>
      </c>
      <c r="D304" s="6"/>
      <c r="E304" s="6"/>
      <c r="M304" s="2"/>
      <c r="N304" s="4" t="s">
        <v>1247</v>
      </c>
    </row>
    <row r="305" spans="1:14" x14ac:dyDescent="0.2">
      <c r="A305" s="2"/>
      <c r="B305" s="36"/>
      <c r="C305" s="6" t="s">
        <v>1372</v>
      </c>
      <c r="D305" s="6"/>
      <c r="E305" s="6"/>
      <c r="M305" s="2"/>
      <c r="N305" s="4" t="s">
        <v>241</v>
      </c>
    </row>
    <row r="306" spans="1:14" x14ac:dyDescent="0.2">
      <c r="A306" s="2"/>
      <c r="B306" s="36"/>
      <c r="C306" s="11" t="s">
        <v>488</v>
      </c>
      <c r="E306" s="6"/>
      <c r="M306" s="2"/>
      <c r="N306" s="4" t="s">
        <v>850</v>
      </c>
    </row>
    <row r="307" spans="1:14" x14ac:dyDescent="0.2">
      <c r="A307" s="2"/>
      <c r="B307" s="36"/>
      <c r="C307" s="6" t="s">
        <v>1612</v>
      </c>
      <c r="E307" s="6"/>
      <c r="M307" s="2"/>
      <c r="N307" s="4" t="s">
        <v>798</v>
      </c>
    </row>
    <row r="308" spans="1:14" x14ac:dyDescent="0.2">
      <c r="A308" s="2"/>
      <c r="B308" s="36"/>
      <c r="C308" s="11" t="s">
        <v>286</v>
      </c>
      <c r="D308" s="6"/>
      <c r="E308" s="6"/>
      <c r="M308" s="2"/>
      <c r="N308" s="4" t="s">
        <v>1733</v>
      </c>
    </row>
    <row r="309" spans="1:14" x14ac:dyDescent="0.2">
      <c r="A309" s="2"/>
      <c r="B309" s="36"/>
      <c r="C309" s="6" t="s">
        <v>1324</v>
      </c>
      <c r="E309" s="6"/>
      <c r="M309" s="2"/>
      <c r="N309" s="4" t="s">
        <v>1130</v>
      </c>
    </row>
    <row r="310" spans="1:14" x14ac:dyDescent="0.2">
      <c r="A310" s="2"/>
      <c r="B310" s="36"/>
      <c r="C310" s="11" t="s">
        <v>393</v>
      </c>
      <c r="D310" s="6"/>
      <c r="E310" s="6"/>
      <c r="M310" s="2"/>
      <c r="N310" s="4" t="s">
        <v>1102</v>
      </c>
    </row>
    <row r="311" spans="1:14" x14ac:dyDescent="0.2">
      <c r="A311" s="2"/>
      <c r="B311" s="36"/>
      <c r="C311" s="11" t="s">
        <v>462</v>
      </c>
      <c r="D311" s="6"/>
      <c r="E311" s="6"/>
      <c r="M311" s="2"/>
      <c r="N311" s="4" t="s">
        <v>1165</v>
      </c>
    </row>
    <row r="312" spans="1:14" x14ac:dyDescent="0.2">
      <c r="A312" s="2"/>
      <c r="B312" s="36"/>
      <c r="C312" s="6" t="s">
        <v>1169</v>
      </c>
      <c r="D312" s="6"/>
      <c r="E312" s="6"/>
      <c r="M312" s="2"/>
      <c r="N312" s="4" t="s">
        <v>72</v>
      </c>
    </row>
    <row r="313" spans="1:14" x14ac:dyDescent="0.2">
      <c r="A313" s="2"/>
      <c r="B313" s="36"/>
      <c r="C313" s="6" t="s">
        <v>1358</v>
      </c>
      <c r="E313" s="6"/>
      <c r="M313" s="1"/>
      <c r="N313" s="4" t="s">
        <v>824</v>
      </c>
    </row>
    <row r="314" spans="1:14" x14ac:dyDescent="0.2">
      <c r="A314" s="2"/>
      <c r="B314" s="36"/>
      <c r="C314" s="6" t="s">
        <v>143</v>
      </c>
      <c r="D314" s="6"/>
      <c r="E314" s="6"/>
      <c r="M314" s="2"/>
      <c r="N314" s="4" t="s">
        <v>628</v>
      </c>
    </row>
    <row r="315" spans="1:14" x14ac:dyDescent="0.2">
      <c r="A315" s="2"/>
      <c r="B315" s="36"/>
      <c r="C315" s="11" t="s">
        <v>571</v>
      </c>
      <c r="D315" s="6"/>
      <c r="E315" s="6"/>
      <c r="M315" s="2"/>
      <c r="N315" s="4" t="s">
        <v>838</v>
      </c>
    </row>
    <row r="316" spans="1:14" x14ac:dyDescent="0.2">
      <c r="A316" s="2"/>
      <c r="B316" s="36"/>
      <c r="C316" s="6" t="s">
        <v>180</v>
      </c>
      <c r="D316" s="6"/>
      <c r="E316" s="6"/>
      <c r="M316" s="2"/>
      <c r="N316" s="4" t="s">
        <v>1154</v>
      </c>
    </row>
    <row r="317" spans="1:14" x14ac:dyDescent="0.2">
      <c r="A317" s="2"/>
      <c r="B317" s="36"/>
      <c r="C317" s="6" t="s">
        <v>1613</v>
      </c>
      <c r="D317" s="6"/>
      <c r="E317" s="6"/>
      <c r="M317" s="2"/>
      <c r="N317" s="4" t="s">
        <v>1042</v>
      </c>
    </row>
    <row r="318" spans="1:14" x14ac:dyDescent="0.2">
      <c r="A318" s="1"/>
      <c r="B318" s="36"/>
      <c r="C318" s="11" t="s">
        <v>558</v>
      </c>
      <c r="D318" s="6"/>
      <c r="E318" s="6"/>
      <c r="M318" s="2"/>
      <c r="N318" s="4" t="s">
        <v>1610</v>
      </c>
    </row>
    <row r="319" spans="1:14" x14ac:dyDescent="0.2">
      <c r="B319" s="36"/>
      <c r="C319" s="6" t="s">
        <v>1335</v>
      </c>
      <c r="D319" s="6"/>
      <c r="E319" s="6"/>
      <c r="M319" s="2"/>
      <c r="N319" s="4" t="s">
        <v>862</v>
      </c>
    </row>
    <row r="320" spans="1:14" x14ac:dyDescent="0.2">
      <c r="B320" s="36"/>
      <c r="C320" s="6" t="s">
        <v>666</v>
      </c>
      <c r="D320" s="6"/>
      <c r="E320" s="6"/>
      <c r="M320" s="2"/>
      <c r="N320" s="4" t="s">
        <v>102</v>
      </c>
    </row>
    <row r="321" spans="2:14" x14ac:dyDescent="0.2">
      <c r="B321" s="36"/>
      <c r="C321" s="11" t="s">
        <v>23</v>
      </c>
      <c r="D321" s="6"/>
      <c r="E321" s="6"/>
      <c r="M321" s="2"/>
      <c r="N321" s="4" t="s">
        <v>121</v>
      </c>
    </row>
    <row r="322" spans="2:14" x14ac:dyDescent="0.2">
      <c r="B322" s="36"/>
      <c r="C322" s="6" t="s">
        <v>1323</v>
      </c>
      <c r="D322" s="6"/>
      <c r="E322" s="6"/>
      <c r="M322" s="2"/>
      <c r="N322" s="4" t="s">
        <v>1591</v>
      </c>
    </row>
    <row r="323" spans="2:14" x14ac:dyDescent="0.2">
      <c r="B323" s="36"/>
      <c r="C323" s="11" t="s">
        <v>165</v>
      </c>
      <c r="D323" s="6"/>
      <c r="E323" s="6"/>
      <c r="M323" s="1"/>
      <c r="N323" s="4" t="s">
        <v>1739</v>
      </c>
    </row>
    <row r="324" spans="2:14" x14ac:dyDescent="0.2">
      <c r="B324" s="36"/>
      <c r="C324" s="6" t="s">
        <v>409</v>
      </c>
      <c r="D324" s="6"/>
      <c r="E324" s="6"/>
      <c r="N324" s="4" t="s">
        <v>1050</v>
      </c>
    </row>
    <row r="325" spans="2:14" x14ac:dyDescent="0.2">
      <c r="B325" s="36"/>
      <c r="C325" s="6" t="s">
        <v>1351</v>
      </c>
      <c r="D325" s="6"/>
      <c r="E325" s="6"/>
      <c r="N325" s="4" t="s">
        <v>1621</v>
      </c>
    </row>
    <row r="326" spans="2:14" x14ac:dyDescent="0.2">
      <c r="B326" s="36"/>
      <c r="C326" s="6" t="s">
        <v>431</v>
      </c>
      <c r="E326" s="6"/>
      <c r="N326" s="4" t="s">
        <v>1697</v>
      </c>
    </row>
    <row r="327" spans="2:14" x14ac:dyDescent="0.2">
      <c r="B327" s="36"/>
      <c r="C327" s="6" t="s">
        <v>447</v>
      </c>
      <c r="D327" s="6"/>
      <c r="E327" s="6"/>
      <c r="N327" s="4" t="s">
        <v>1298</v>
      </c>
    </row>
    <row r="328" spans="2:14" x14ac:dyDescent="0.2">
      <c r="B328" s="36"/>
      <c r="C328" s="6" t="s">
        <v>280</v>
      </c>
      <c r="D328" s="6"/>
      <c r="E328" s="6"/>
      <c r="N328" s="4" t="s">
        <v>807</v>
      </c>
    </row>
    <row r="329" spans="2:14" x14ac:dyDescent="0.2">
      <c r="B329" s="36"/>
      <c r="C329" s="11" t="s">
        <v>588</v>
      </c>
      <c r="D329" s="6"/>
      <c r="E329" s="6"/>
      <c r="N329" s="4" t="s">
        <v>1108</v>
      </c>
    </row>
    <row r="330" spans="2:14" x14ac:dyDescent="0.2">
      <c r="B330" s="36"/>
      <c r="C330" s="6" t="s">
        <v>1345</v>
      </c>
      <c r="D330" s="6"/>
      <c r="E330" s="6"/>
      <c r="N330" s="4" t="s">
        <v>140</v>
      </c>
    </row>
    <row r="331" spans="2:14" x14ac:dyDescent="0.2">
      <c r="B331" s="36"/>
      <c r="C331" s="6" t="s">
        <v>1350</v>
      </c>
      <c r="E331" s="6"/>
      <c r="N331" s="4" t="s">
        <v>146</v>
      </c>
    </row>
    <row r="332" spans="2:14" x14ac:dyDescent="0.2">
      <c r="B332" s="36"/>
      <c r="C332" s="6" t="s">
        <v>1614</v>
      </c>
      <c r="E332" s="6"/>
      <c r="N332" s="4" t="s">
        <v>711</v>
      </c>
    </row>
    <row r="333" spans="2:14" x14ac:dyDescent="0.2">
      <c r="B333" s="36"/>
      <c r="C333" s="6" t="s">
        <v>194</v>
      </c>
      <c r="E333" s="6"/>
      <c r="N333" s="4" t="s">
        <v>1127</v>
      </c>
    </row>
    <row r="334" spans="2:14" x14ac:dyDescent="0.2">
      <c r="B334" s="36"/>
      <c r="C334" s="11" t="s">
        <v>229</v>
      </c>
      <c r="E334" s="6"/>
      <c r="N334" s="4" t="s">
        <v>1727</v>
      </c>
    </row>
    <row r="335" spans="2:14" x14ac:dyDescent="0.2">
      <c r="B335" s="36"/>
      <c r="C335" s="6" t="s">
        <v>1615</v>
      </c>
      <c r="E335" s="6"/>
      <c r="N335" s="4" t="s">
        <v>1658</v>
      </c>
    </row>
    <row r="336" spans="2:14" x14ac:dyDescent="0.2">
      <c r="B336" s="36"/>
      <c r="C336" s="6" t="s">
        <v>682</v>
      </c>
      <c r="E336" s="6"/>
      <c r="N336" s="4" t="s">
        <v>153</v>
      </c>
    </row>
    <row r="337" spans="2:14" x14ac:dyDescent="0.2">
      <c r="B337" s="36"/>
      <c r="C337" s="6" t="s">
        <v>1314</v>
      </c>
      <c r="E337" s="6"/>
      <c r="N337" s="4" t="s">
        <v>792</v>
      </c>
    </row>
    <row r="338" spans="2:14" x14ac:dyDescent="0.2">
      <c r="B338" s="36"/>
      <c r="C338" s="6" t="s">
        <v>1329</v>
      </c>
      <c r="E338" s="6"/>
      <c r="N338" s="4" t="s">
        <v>1774</v>
      </c>
    </row>
    <row r="339" spans="2:14" x14ac:dyDescent="0.2">
      <c r="B339" s="36"/>
      <c r="C339" s="6" t="s">
        <v>425</v>
      </c>
      <c r="E339" s="6"/>
      <c r="N339" s="4" t="s">
        <v>160</v>
      </c>
    </row>
    <row r="340" spans="2:14" x14ac:dyDescent="0.2">
      <c r="B340" s="36"/>
      <c r="C340" s="11" t="s">
        <v>468</v>
      </c>
      <c r="E340" s="6"/>
      <c r="N340" s="4" t="s">
        <v>1723</v>
      </c>
    </row>
    <row r="341" spans="2:14" x14ac:dyDescent="0.2">
      <c r="B341" s="36"/>
      <c r="C341" s="6" t="s">
        <v>1029</v>
      </c>
      <c r="E341" s="6"/>
      <c r="N341" s="4" t="s">
        <v>1569</v>
      </c>
    </row>
    <row r="342" spans="2:14" x14ac:dyDescent="0.2">
      <c r="B342" s="36"/>
      <c r="C342" s="11" t="s">
        <v>118</v>
      </c>
      <c r="E342" s="6"/>
      <c r="N342" s="4" t="s">
        <v>42</v>
      </c>
    </row>
    <row r="343" spans="2:14" x14ac:dyDescent="0.2">
      <c r="B343" s="36"/>
      <c r="C343" s="6" t="s">
        <v>1616</v>
      </c>
      <c r="E343" s="6"/>
      <c r="N343" s="4" t="s">
        <v>294</v>
      </c>
    </row>
    <row r="344" spans="2:14" x14ac:dyDescent="0.2">
      <c r="B344" s="36"/>
      <c r="C344" s="6" t="s">
        <v>1617</v>
      </c>
      <c r="E344" s="6"/>
      <c r="N344" s="4" t="s">
        <v>922</v>
      </c>
    </row>
    <row r="345" spans="2:14" x14ac:dyDescent="0.2">
      <c r="B345" s="36"/>
      <c r="C345" s="6" t="s">
        <v>1618</v>
      </c>
      <c r="E345" s="6"/>
      <c r="N345" s="4" t="s">
        <v>1143</v>
      </c>
    </row>
    <row r="346" spans="2:14" x14ac:dyDescent="0.2">
      <c r="B346" s="36"/>
      <c r="C346" s="6" t="s">
        <v>1006</v>
      </c>
      <c r="E346" s="6"/>
      <c r="N346" s="4" t="s">
        <v>1751</v>
      </c>
    </row>
    <row r="347" spans="2:14" x14ac:dyDescent="0.2">
      <c r="B347" s="36"/>
      <c r="C347" s="6" t="s">
        <v>1619</v>
      </c>
      <c r="E347" s="6"/>
      <c r="N347" s="4" t="s">
        <v>167</v>
      </c>
    </row>
    <row r="348" spans="2:14" x14ac:dyDescent="0.2">
      <c r="B348" s="36"/>
      <c r="C348" s="6" t="s">
        <v>1009</v>
      </c>
      <c r="E348" s="6"/>
      <c r="N348" s="4" t="s">
        <v>110</v>
      </c>
    </row>
    <row r="349" spans="2:14" x14ac:dyDescent="0.2">
      <c r="B349" s="36"/>
      <c r="C349" s="6" t="s">
        <v>1338</v>
      </c>
      <c r="E349" s="6"/>
      <c r="N349" s="4" t="s">
        <v>50</v>
      </c>
    </row>
    <row r="350" spans="2:14" x14ac:dyDescent="0.2">
      <c r="B350" s="36"/>
      <c r="C350" s="6" t="s">
        <v>801</v>
      </c>
      <c r="E350" s="6"/>
      <c r="N350" s="4" t="s">
        <v>1769</v>
      </c>
    </row>
    <row r="351" spans="2:14" x14ac:dyDescent="0.2">
      <c r="B351" s="36"/>
      <c r="C351" s="6" t="s">
        <v>1361</v>
      </c>
      <c r="E351" s="6"/>
      <c r="N351" s="4" t="s">
        <v>1598</v>
      </c>
    </row>
    <row r="352" spans="2:14" x14ac:dyDescent="0.2">
      <c r="B352" s="36"/>
      <c r="C352" s="6" t="s">
        <v>1321</v>
      </c>
      <c r="E352" s="6"/>
      <c r="N352" s="4" t="s">
        <v>1308</v>
      </c>
    </row>
    <row r="353" spans="2:14" x14ac:dyDescent="0.2">
      <c r="B353" s="36"/>
      <c r="C353" s="6" t="s">
        <v>885</v>
      </c>
      <c r="E353" s="6"/>
      <c r="N353" s="4" t="s">
        <v>1019</v>
      </c>
    </row>
    <row r="354" spans="2:14" x14ac:dyDescent="0.2">
      <c r="B354" s="36"/>
      <c r="C354" s="6" t="s">
        <v>1620</v>
      </c>
      <c r="E354" s="6"/>
      <c r="N354" s="4" t="s">
        <v>1736</v>
      </c>
    </row>
    <row r="355" spans="2:14" x14ac:dyDescent="0.2">
      <c r="B355" s="36"/>
      <c r="C355" s="6" t="s">
        <v>440</v>
      </c>
      <c r="E355" s="6"/>
      <c r="N355" s="4" t="s">
        <v>1152</v>
      </c>
    </row>
    <row r="356" spans="2:14" x14ac:dyDescent="0.2">
      <c r="B356" s="36"/>
      <c r="C356" s="6" t="s">
        <v>549</v>
      </c>
      <c r="E356" s="6"/>
      <c r="N356" s="4" t="s">
        <v>1729</v>
      </c>
    </row>
    <row r="357" spans="2:14" x14ac:dyDescent="0.2">
      <c r="B357" s="36"/>
      <c r="C357" s="11" t="s">
        <v>537</v>
      </c>
      <c r="E357" s="6"/>
      <c r="N357" s="4" t="s">
        <v>1105</v>
      </c>
    </row>
    <row r="358" spans="2:14" x14ac:dyDescent="0.2">
      <c r="B358" s="36"/>
      <c r="C358" s="6" t="s">
        <v>78</v>
      </c>
      <c r="E358" s="6"/>
      <c r="N358" s="4" t="s">
        <v>656</v>
      </c>
    </row>
    <row r="359" spans="2:14" x14ac:dyDescent="0.2">
      <c r="B359" s="36"/>
      <c r="C359" s="6" t="s">
        <v>1241</v>
      </c>
      <c r="E359" s="6"/>
      <c r="N359" s="4" t="s">
        <v>1783</v>
      </c>
    </row>
    <row r="360" spans="2:14" x14ac:dyDescent="0.2">
      <c r="B360" s="36"/>
      <c r="C360" s="6" t="s">
        <v>1326</v>
      </c>
      <c r="E360" s="6"/>
      <c r="N360" s="4" t="s">
        <v>873</v>
      </c>
    </row>
    <row r="361" spans="2:14" x14ac:dyDescent="0.2">
      <c r="B361" s="36"/>
      <c r="C361" s="6" t="s">
        <v>384</v>
      </c>
      <c r="E361" s="6"/>
      <c r="N361" s="4" t="s">
        <v>1676</v>
      </c>
    </row>
    <row r="362" spans="2:14" x14ac:dyDescent="0.2">
      <c r="B362" s="36"/>
      <c r="C362" s="6" t="s">
        <v>1621</v>
      </c>
      <c r="E362" s="6"/>
      <c r="N362" s="4" t="s">
        <v>1613</v>
      </c>
    </row>
    <row r="363" spans="2:14" x14ac:dyDescent="0.2">
      <c r="B363" s="36"/>
      <c r="C363" s="6" t="s">
        <v>1331</v>
      </c>
      <c r="E363" s="6"/>
      <c r="N363" s="4" t="s">
        <v>849</v>
      </c>
    </row>
    <row r="364" spans="2:14" x14ac:dyDescent="0.2">
      <c r="B364" s="36"/>
      <c r="C364" s="6" t="s">
        <v>1333</v>
      </c>
      <c r="E364" s="6"/>
      <c r="N364" s="4" t="s">
        <v>924</v>
      </c>
    </row>
    <row r="365" spans="2:14" x14ac:dyDescent="0.2">
      <c r="B365" s="36"/>
      <c r="C365" s="6" t="s">
        <v>318</v>
      </c>
      <c r="E365" s="6"/>
      <c r="N365" s="4" t="s">
        <v>867</v>
      </c>
    </row>
    <row r="366" spans="2:14" x14ac:dyDescent="0.2">
      <c r="B366" s="36"/>
      <c r="C366" s="6" t="s">
        <v>1622</v>
      </c>
      <c r="E366" s="6"/>
      <c r="N366" s="4" t="s">
        <v>853</v>
      </c>
    </row>
    <row r="367" spans="2:14" x14ac:dyDescent="0.2">
      <c r="B367" s="36"/>
      <c r="C367" s="6" t="s">
        <v>1623</v>
      </c>
      <c r="E367" s="6"/>
      <c r="N367" s="4" t="s">
        <v>1337</v>
      </c>
    </row>
    <row r="368" spans="2:14" x14ac:dyDescent="0.2">
      <c r="B368" s="36"/>
      <c r="C368" s="6" t="s">
        <v>33</v>
      </c>
      <c r="E368" s="6"/>
      <c r="N368" s="4" t="s">
        <v>1628</v>
      </c>
    </row>
    <row r="369" spans="2:14" x14ac:dyDescent="0.2">
      <c r="B369" s="36"/>
      <c r="C369" s="6" t="s">
        <v>1353</v>
      </c>
      <c r="E369" s="6"/>
      <c r="N369" s="4" t="s">
        <v>1159</v>
      </c>
    </row>
    <row r="370" spans="2:14" x14ac:dyDescent="0.2">
      <c r="B370" s="36"/>
      <c r="C370" s="6" t="s">
        <v>1325</v>
      </c>
      <c r="E370" s="6"/>
      <c r="N370" s="4" t="s">
        <v>1702</v>
      </c>
    </row>
    <row r="371" spans="2:14" x14ac:dyDescent="0.2">
      <c r="B371" s="36"/>
      <c r="C371" s="6" t="s">
        <v>1624</v>
      </c>
      <c r="E371" s="6"/>
      <c r="N371" s="4" t="s">
        <v>994</v>
      </c>
    </row>
    <row r="372" spans="2:14" x14ac:dyDescent="0.2">
      <c r="B372" s="36"/>
      <c r="C372" s="11" t="s">
        <v>77</v>
      </c>
      <c r="E372" s="6"/>
      <c r="N372" s="4" t="s">
        <v>1006</v>
      </c>
    </row>
    <row r="373" spans="2:14" x14ac:dyDescent="0.2">
      <c r="B373" s="36"/>
      <c r="C373" s="11" t="s">
        <v>557</v>
      </c>
      <c r="E373" s="6"/>
      <c r="N373" s="4" t="s">
        <v>173</v>
      </c>
    </row>
    <row r="374" spans="2:14" x14ac:dyDescent="0.2">
      <c r="B374" s="36"/>
      <c r="C374" s="11" t="s">
        <v>346</v>
      </c>
      <c r="E374" s="6"/>
      <c r="N374" s="4" t="s">
        <v>321</v>
      </c>
    </row>
    <row r="375" spans="2:14" x14ac:dyDescent="0.2">
      <c r="B375" s="36"/>
      <c r="C375" s="6" t="s">
        <v>529</v>
      </c>
      <c r="E375" s="6"/>
      <c r="N375" s="4" t="s">
        <v>1775</v>
      </c>
    </row>
    <row r="376" spans="2:14" x14ac:dyDescent="0.2">
      <c r="B376" s="36"/>
      <c r="C376" s="6" t="s">
        <v>1008</v>
      </c>
      <c r="E376" s="6"/>
      <c r="N376" s="4" t="s">
        <v>1134</v>
      </c>
    </row>
    <row r="377" spans="2:14" x14ac:dyDescent="0.2">
      <c r="B377" s="36"/>
      <c r="C377" s="6" t="s">
        <v>1253</v>
      </c>
      <c r="E377" s="6"/>
      <c r="N377" s="4" t="s">
        <v>325</v>
      </c>
    </row>
    <row r="378" spans="2:14" x14ac:dyDescent="0.2">
      <c r="B378" s="36"/>
      <c r="C378" s="6" t="s">
        <v>1625</v>
      </c>
      <c r="E378" s="6"/>
      <c r="N378" s="4" t="s">
        <v>786</v>
      </c>
    </row>
    <row r="379" spans="2:14" x14ac:dyDescent="0.2">
      <c r="B379" s="36"/>
      <c r="C379" s="6" t="s">
        <v>1376</v>
      </c>
      <c r="E379" s="6"/>
      <c r="N379" s="4" t="s">
        <v>1663</v>
      </c>
    </row>
    <row r="380" spans="2:14" x14ac:dyDescent="0.2">
      <c r="B380" s="36"/>
      <c r="C380" s="6" t="s">
        <v>110</v>
      </c>
      <c r="E380" s="6"/>
      <c r="N380" s="4" t="s">
        <v>1638</v>
      </c>
    </row>
    <row r="381" spans="2:14" x14ac:dyDescent="0.2">
      <c r="B381" s="36"/>
      <c r="C381" s="6" t="s">
        <v>1626</v>
      </c>
      <c r="E381" s="6"/>
      <c r="N381" s="4" t="s">
        <v>1710</v>
      </c>
    </row>
    <row r="382" spans="2:14" x14ac:dyDescent="0.2">
      <c r="B382" s="36"/>
      <c r="C382" s="6" t="s">
        <v>441</v>
      </c>
      <c r="E382" s="6"/>
      <c r="N382" s="4" t="s">
        <v>781</v>
      </c>
    </row>
    <row r="383" spans="2:14" x14ac:dyDescent="0.2">
      <c r="B383" s="36"/>
      <c r="C383" s="6" t="s">
        <v>1373</v>
      </c>
      <c r="E383" s="6"/>
      <c r="N383" s="4" t="s">
        <v>1311</v>
      </c>
    </row>
    <row r="384" spans="2:14" x14ac:dyDescent="0.2">
      <c r="B384" s="36"/>
      <c r="C384" s="6" t="s">
        <v>1374</v>
      </c>
      <c r="E384" s="6"/>
      <c r="N384" s="4" t="s">
        <v>186</v>
      </c>
    </row>
    <row r="385" spans="2:14" x14ac:dyDescent="0.2">
      <c r="B385" s="36"/>
      <c r="C385" s="11" t="s">
        <v>608</v>
      </c>
      <c r="E385" s="6"/>
      <c r="N385" s="4" t="s">
        <v>738</v>
      </c>
    </row>
    <row r="386" spans="2:14" x14ac:dyDescent="0.2">
      <c r="B386" s="36"/>
      <c r="C386" s="6" t="s">
        <v>1627</v>
      </c>
      <c r="E386" s="6"/>
      <c r="N386" s="4" t="s">
        <v>691</v>
      </c>
    </row>
    <row r="387" spans="2:14" x14ac:dyDescent="0.2">
      <c r="B387" s="36"/>
      <c r="C387" s="11" t="s">
        <v>590</v>
      </c>
      <c r="E387" s="6"/>
      <c r="N387" s="4" t="s">
        <v>192</v>
      </c>
    </row>
    <row r="388" spans="2:14" x14ac:dyDescent="0.2">
      <c r="B388" s="36"/>
      <c r="C388" s="6" t="s">
        <v>1628</v>
      </c>
      <c r="E388" s="6"/>
      <c r="N388" s="4" t="s">
        <v>357</v>
      </c>
    </row>
    <row r="389" spans="2:14" x14ac:dyDescent="0.2">
      <c r="B389" s="36"/>
      <c r="C389" s="6" t="s">
        <v>1336</v>
      </c>
      <c r="E389" s="6"/>
      <c r="N389" s="4" t="s">
        <v>1650</v>
      </c>
    </row>
    <row r="390" spans="2:14" x14ac:dyDescent="0.2">
      <c r="B390" s="36"/>
      <c r="C390" s="6" t="s">
        <v>196</v>
      </c>
      <c r="E390" s="6"/>
      <c r="N390" s="4" t="s">
        <v>1583</v>
      </c>
    </row>
    <row r="391" spans="2:14" x14ac:dyDescent="0.2">
      <c r="B391" s="36"/>
      <c r="C391" s="6" t="s">
        <v>1629</v>
      </c>
      <c r="E391" s="6"/>
      <c r="N391" s="4" t="s">
        <v>912</v>
      </c>
    </row>
    <row r="392" spans="2:14" x14ac:dyDescent="0.2">
      <c r="B392" s="36"/>
      <c r="C392" s="6" t="s">
        <v>1630</v>
      </c>
      <c r="E392" s="6"/>
      <c r="N392" s="4" t="s">
        <v>1623</v>
      </c>
    </row>
    <row r="393" spans="2:14" x14ac:dyDescent="0.2">
      <c r="B393" s="36"/>
      <c r="C393" s="6" t="s">
        <v>76</v>
      </c>
      <c r="E393" s="6"/>
      <c r="N393" s="4" t="s">
        <v>1116</v>
      </c>
    </row>
    <row r="394" spans="2:14" x14ac:dyDescent="0.2">
      <c r="B394" s="36"/>
      <c r="C394" s="6" t="s">
        <v>1454</v>
      </c>
      <c r="E394" s="6"/>
      <c r="N394" s="4" t="s">
        <v>1629</v>
      </c>
    </row>
    <row r="395" spans="2:14" x14ac:dyDescent="0.2">
      <c r="B395" s="36"/>
      <c r="C395" s="6" t="s">
        <v>1352</v>
      </c>
      <c r="E395" s="6"/>
      <c r="N395" s="4" t="s">
        <v>1659</v>
      </c>
    </row>
    <row r="396" spans="2:14" x14ac:dyDescent="0.2">
      <c r="B396" s="36"/>
      <c r="C396" s="6" t="s">
        <v>1631</v>
      </c>
      <c r="E396" s="6"/>
      <c r="N396" s="4" t="s">
        <v>883</v>
      </c>
    </row>
    <row r="397" spans="2:14" x14ac:dyDescent="0.2">
      <c r="B397" s="36"/>
      <c r="C397" s="6" t="s">
        <v>1371</v>
      </c>
      <c r="E397" s="6"/>
      <c r="N397" s="4" t="s">
        <v>1674</v>
      </c>
    </row>
    <row r="398" spans="2:14" x14ac:dyDescent="0.2">
      <c r="B398" s="36"/>
      <c r="C398" s="6" t="s">
        <v>1632</v>
      </c>
      <c r="E398" s="6"/>
      <c r="N398" s="4" t="s">
        <v>1724</v>
      </c>
    </row>
    <row r="399" spans="2:14" x14ac:dyDescent="0.2">
      <c r="B399" s="36"/>
      <c r="C399" s="6" t="s">
        <v>506</v>
      </c>
      <c r="E399" s="6"/>
      <c r="N399" s="4" t="s">
        <v>362</v>
      </c>
    </row>
    <row r="400" spans="2:14" x14ac:dyDescent="0.2">
      <c r="B400" s="36"/>
      <c r="C400" s="11" t="s">
        <v>423</v>
      </c>
      <c r="E400" s="6"/>
      <c r="N400" s="4" t="s">
        <v>870</v>
      </c>
    </row>
    <row r="401" spans="2:14" x14ac:dyDescent="0.2">
      <c r="B401" s="36"/>
      <c r="C401" s="11" t="s">
        <v>279</v>
      </c>
      <c r="E401" s="6"/>
      <c r="N401" s="4" t="s">
        <v>349</v>
      </c>
    </row>
    <row r="402" spans="2:14" x14ac:dyDescent="0.2">
      <c r="B402" s="36"/>
      <c r="C402" s="6" t="s">
        <v>1633</v>
      </c>
      <c r="E402" s="6"/>
      <c r="N402" s="4" t="s">
        <v>1762</v>
      </c>
    </row>
    <row r="403" spans="2:14" x14ac:dyDescent="0.2">
      <c r="B403" s="36"/>
      <c r="C403" s="6" t="s">
        <v>498</v>
      </c>
      <c r="E403" s="6"/>
      <c r="N403" s="4" t="s">
        <v>365</v>
      </c>
    </row>
    <row r="404" spans="2:14" x14ac:dyDescent="0.2">
      <c r="B404" s="36"/>
      <c r="C404" s="6" t="s">
        <v>1634</v>
      </c>
      <c r="E404" s="6"/>
      <c r="N404" s="4" t="s">
        <v>1150</v>
      </c>
    </row>
    <row r="405" spans="2:14" x14ac:dyDescent="0.2">
      <c r="C405" s="6" t="s">
        <v>1367</v>
      </c>
      <c r="E405" s="6"/>
      <c r="N405" s="4" t="s">
        <v>1618</v>
      </c>
    </row>
    <row r="406" spans="2:14" x14ac:dyDescent="0.2">
      <c r="C406" s="6" t="s">
        <v>8</v>
      </c>
      <c r="E406" s="6"/>
      <c r="N406" s="4" t="s">
        <v>356</v>
      </c>
    </row>
    <row r="407" spans="2:14" x14ac:dyDescent="0.2">
      <c r="C407" s="6" t="s">
        <v>663</v>
      </c>
      <c r="E407" s="6"/>
      <c r="N407" s="4" t="s">
        <v>198</v>
      </c>
    </row>
    <row r="408" spans="2:14" x14ac:dyDescent="0.2">
      <c r="C408" s="6" t="s">
        <v>1014</v>
      </c>
      <c r="E408" s="6"/>
      <c r="N408" s="4" t="s">
        <v>881</v>
      </c>
    </row>
    <row r="409" spans="2:14" x14ac:dyDescent="0.2">
      <c r="C409" s="6" t="s">
        <v>864</v>
      </c>
      <c r="E409" s="6"/>
      <c r="N409" s="4" t="s">
        <v>58</v>
      </c>
    </row>
    <row r="410" spans="2:14" x14ac:dyDescent="0.2">
      <c r="C410" s="6" t="s">
        <v>1317</v>
      </c>
      <c r="E410" s="6"/>
      <c r="N410" s="4" t="s">
        <v>1765</v>
      </c>
    </row>
    <row r="411" spans="2:14" x14ac:dyDescent="0.2">
      <c r="C411" s="6" t="s">
        <v>1635</v>
      </c>
      <c r="E411" s="6"/>
      <c r="N411" s="4" t="s">
        <v>1035</v>
      </c>
    </row>
    <row r="412" spans="2:14" x14ac:dyDescent="0.2">
      <c r="C412" s="6" t="s">
        <v>741</v>
      </c>
      <c r="E412" s="6"/>
      <c r="N412" s="4" t="s">
        <v>371</v>
      </c>
    </row>
    <row r="413" spans="2:14" x14ac:dyDescent="0.2">
      <c r="C413" s="6" t="s">
        <v>1636</v>
      </c>
      <c r="E413" s="6"/>
      <c r="N413" s="4" t="s">
        <v>779</v>
      </c>
    </row>
    <row r="414" spans="2:14" x14ac:dyDescent="0.2">
      <c r="C414" s="6" t="s">
        <v>1637</v>
      </c>
      <c r="E414" s="6"/>
      <c r="N414" s="4" t="s">
        <v>839</v>
      </c>
    </row>
    <row r="415" spans="2:14" x14ac:dyDescent="0.2">
      <c r="C415" s="6" t="s">
        <v>1348</v>
      </c>
      <c r="E415" s="6"/>
      <c r="N415" s="4" t="s">
        <v>377</v>
      </c>
    </row>
    <row r="416" spans="2:14" x14ac:dyDescent="0.2">
      <c r="C416" s="6" t="s">
        <v>1638</v>
      </c>
      <c r="E416" s="6"/>
      <c r="N416" s="4" t="s">
        <v>204</v>
      </c>
    </row>
    <row r="417" spans="3:14" x14ac:dyDescent="0.2">
      <c r="C417" s="6" t="s">
        <v>951</v>
      </c>
      <c r="E417" s="6"/>
      <c r="N417" s="4" t="s">
        <v>1330</v>
      </c>
    </row>
    <row r="418" spans="3:14" x14ac:dyDescent="0.2">
      <c r="C418" s="6" t="s">
        <v>1639</v>
      </c>
      <c r="E418" s="6"/>
      <c r="N418" s="4" t="s">
        <v>665</v>
      </c>
    </row>
    <row r="419" spans="3:14" x14ac:dyDescent="0.2">
      <c r="C419" s="6" t="s">
        <v>1640</v>
      </c>
      <c r="E419" s="6"/>
      <c r="N419" s="4" t="s">
        <v>676</v>
      </c>
    </row>
    <row r="420" spans="3:14" x14ac:dyDescent="0.2">
      <c r="C420" s="6" t="s">
        <v>1339</v>
      </c>
      <c r="E420" s="6"/>
      <c r="N420" s="4" t="s">
        <v>1276</v>
      </c>
    </row>
    <row r="421" spans="3:14" x14ac:dyDescent="0.2">
      <c r="C421" s="6" t="s">
        <v>1019</v>
      </c>
      <c r="E421" s="6"/>
      <c r="N421" s="4" t="s">
        <v>1719</v>
      </c>
    </row>
    <row r="422" spans="3:14" x14ac:dyDescent="0.2">
      <c r="C422" s="6" t="s">
        <v>413</v>
      </c>
      <c r="E422" s="6"/>
      <c r="N422" s="4" t="s">
        <v>1331</v>
      </c>
    </row>
    <row r="423" spans="3:14" x14ac:dyDescent="0.2">
      <c r="C423" s="6" t="s">
        <v>1356</v>
      </c>
      <c r="E423" s="6"/>
      <c r="N423" s="4" t="s">
        <v>1696</v>
      </c>
    </row>
    <row r="424" spans="3:14" x14ac:dyDescent="0.2">
      <c r="C424" s="6" t="s">
        <v>137</v>
      </c>
      <c r="E424" s="6"/>
      <c r="N424" s="4" t="s">
        <v>844</v>
      </c>
    </row>
    <row r="425" spans="3:14" x14ac:dyDescent="0.2">
      <c r="C425" s="6" t="s">
        <v>680</v>
      </c>
      <c r="E425" s="6"/>
      <c r="N425" s="4" t="s">
        <v>1626</v>
      </c>
    </row>
    <row r="426" spans="3:14" x14ac:dyDescent="0.2">
      <c r="C426" s="6" t="s">
        <v>1316</v>
      </c>
      <c r="E426" s="6"/>
      <c r="N426" s="4" t="s">
        <v>1654</v>
      </c>
    </row>
    <row r="427" spans="3:14" x14ac:dyDescent="0.2">
      <c r="C427" s="6" t="s">
        <v>1328</v>
      </c>
      <c r="E427" s="6"/>
      <c r="N427" s="4" t="s">
        <v>741</v>
      </c>
    </row>
    <row r="428" spans="3:14" x14ac:dyDescent="0.2">
      <c r="C428" s="6" t="s">
        <v>342</v>
      </c>
      <c r="E428" s="6"/>
      <c r="N428" s="4" t="s">
        <v>797</v>
      </c>
    </row>
    <row r="429" spans="3:14" x14ac:dyDescent="0.2">
      <c r="C429" s="6" t="s">
        <v>1641</v>
      </c>
      <c r="E429" s="6"/>
      <c r="N429" s="4" t="s">
        <v>1776</v>
      </c>
    </row>
    <row r="430" spans="3:14" x14ac:dyDescent="0.2">
      <c r="C430" s="6" t="s">
        <v>1642</v>
      </c>
      <c r="E430" s="6"/>
      <c r="N430" s="4" t="s">
        <v>702</v>
      </c>
    </row>
    <row r="431" spans="3:14" x14ac:dyDescent="0.2">
      <c r="C431" s="6" t="s">
        <v>248</v>
      </c>
      <c r="E431" s="6"/>
      <c r="N431" s="4" t="s">
        <v>1636</v>
      </c>
    </row>
    <row r="432" spans="3:14" x14ac:dyDescent="0.2">
      <c r="C432" s="6" t="s">
        <v>1643</v>
      </c>
      <c r="E432" s="6"/>
      <c r="N432" s="4" t="s">
        <v>732</v>
      </c>
    </row>
    <row r="433" spans="3:14" x14ac:dyDescent="0.2">
      <c r="C433" s="6" t="s">
        <v>435</v>
      </c>
      <c r="E433" s="6"/>
      <c r="N433" s="4" t="s">
        <v>1760</v>
      </c>
    </row>
    <row r="434" spans="3:14" x14ac:dyDescent="0.2">
      <c r="C434" s="6" t="s">
        <v>1644</v>
      </c>
      <c r="E434" s="6"/>
      <c r="N434" s="4" t="s">
        <v>1128</v>
      </c>
    </row>
    <row r="435" spans="3:14" x14ac:dyDescent="0.2">
      <c r="C435" s="6" t="s">
        <v>1645</v>
      </c>
      <c r="E435" s="6"/>
      <c r="N435" s="4" t="s">
        <v>391</v>
      </c>
    </row>
    <row r="436" spans="3:14" x14ac:dyDescent="0.2">
      <c r="C436" s="6" t="s">
        <v>1646</v>
      </c>
      <c r="E436" s="6"/>
      <c r="N436" s="4" t="s">
        <v>814</v>
      </c>
    </row>
    <row r="437" spans="3:14" x14ac:dyDescent="0.2">
      <c r="C437" s="6" t="s">
        <v>1035</v>
      </c>
      <c r="E437" s="6"/>
      <c r="N437" s="4" t="s">
        <v>717</v>
      </c>
    </row>
    <row r="438" spans="3:14" x14ac:dyDescent="0.2">
      <c r="C438" s="6" t="s">
        <v>922</v>
      </c>
      <c r="E438" s="6"/>
      <c r="N438" s="4" t="s">
        <v>1438</v>
      </c>
    </row>
    <row r="439" spans="3:14" x14ac:dyDescent="0.2">
      <c r="C439" s="6" t="s">
        <v>1647</v>
      </c>
      <c r="E439" s="6"/>
      <c r="N439" s="4" t="s">
        <v>875</v>
      </c>
    </row>
    <row r="440" spans="3:14" x14ac:dyDescent="0.2">
      <c r="C440" s="11" t="s">
        <v>609</v>
      </c>
      <c r="E440" s="6"/>
      <c r="N440" s="4" t="s">
        <v>1198</v>
      </c>
    </row>
    <row r="441" spans="3:14" x14ac:dyDescent="0.2">
      <c r="C441" s="6" t="s">
        <v>648</v>
      </c>
      <c r="E441" s="6"/>
      <c r="N441" s="4" t="s">
        <v>65</v>
      </c>
    </row>
    <row r="442" spans="3:14" x14ac:dyDescent="0.2">
      <c r="C442" s="6" t="s">
        <v>1648</v>
      </c>
      <c r="E442" s="6"/>
      <c r="N442" s="4" t="s">
        <v>1634</v>
      </c>
    </row>
    <row r="443" spans="3:14" x14ac:dyDescent="0.2">
      <c r="C443" s="6" t="s">
        <v>694</v>
      </c>
      <c r="E443" s="6"/>
      <c r="N443" s="4" t="s">
        <v>227</v>
      </c>
    </row>
    <row r="444" spans="3:14" x14ac:dyDescent="0.2">
      <c r="C444" s="6" t="s">
        <v>109</v>
      </c>
      <c r="E444" s="6"/>
      <c r="N444" s="4" t="s">
        <v>860</v>
      </c>
    </row>
    <row r="445" spans="3:14" x14ac:dyDescent="0.2">
      <c r="C445" s="6" t="s">
        <v>1649</v>
      </c>
      <c r="E445" s="6"/>
      <c r="N445" s="4" t="s">
        <v>1036</v>
      </c>
    </row>
    <row r="446" spans="3:14" x14ac:dyDescent="0.2">
      <c r="C446" s="6" t="s">
        <v>722</v>
      </c>
      <c r="E446" s="6"/>
      <c r="N446" s="4" t="s">
        <v>1249</v>
      </c>
    </row>
    <row r="447" spans="3:14" x14ac:dyDescent="0.2">
      <c r="C447" s="6" t="s">
        <v>1650</v>
      </c>
      <c r="E447" s="6"/>
      <c r="N447" s="4" t="s">
        <v>1178</v>
      </c>
    </row>
    <row r="448" spans="3:14" x14ac:dyDescent="0.2">
      <c r="C448" s="6" t="s">
        <v>826</v>
      </c>
      <c r="E448" s="6"/>
      <c r="N448" s="4" t="s">
        <v>1318</v>
      </c>
    </row>
    <row r="449" spans="3:14" x14ac:dyDescent="0.2">
      <c r="C449" s="6" t="s">
        <v>905</v>
      </c>
      <c r="E449" s="6"/>
      <c r="N449" s="4" t="s">
        <v>905</v>
      </c>
    </row>
    <row r="450" spans="3:14" x14ac:dyDescent="0.2">
      <c r="C450" s="6" t="s">
        <v>655</v>
      </c>
      <c r="E450" s="6"/>
      <c r="N450" s="4" t="s">
        <v>1366</v>
      </c>
    </row>
    <row r="451" spans="3:14" x14ac:dyDescent="0.2">
      <c r="C451" s="6" t="s">
        <v>869</v>
      </c>
      <c r="E451" s="6"/>
      <c r="N451" s="4" t="s">
        <v>1023</v>
      </c>
    </row>
    <row r="452" spans="3:14" x14ac:dyDescent="0.2">
      <c r="C452" s="6" t="s">
        <v>1651</v>
      </c>
      <c r="E452" s="6"/>
      <c r="N452" s="4" t="s">
        <v>1616</v>
      </c>
    </row>
    <row r="453" spans="3:14" x14ac:dyDescent="0.2">
      <c r="C453" s="6" t="s">
        <v>1652</v>
      </c>
      <c r="E453" s="6"/>
      <c r="N453" s="4" t="s">
        <v>1043</v>
      </c>
    </row>
    <row r="454" spans="3:14" x14ac:dyDescent="0.2">
      <c r="C454" s="6" t="s">
        <v>1380</v>
      </c>
      <c r="E454" s="6"/>
      <c r="N454" s="4" t="s">
        <v>1665</v>
      </c>
    </row>
    <row r="455" spans="3:14" x14ac:dyDescent="0.2">
      <c r="C455" s="6" t="s">
        <v>284</v>
      </c>
      <c r="E455" s="6"/>
      <c r="N455" s="4" t="s">
        <v>1460</v>
      </c>
    </row>
    <row r="456" spans="3:14" x14ac:dyDescent="0.2">
      <c r="C456" s="6" t="s">
        <v>1653</v>
      </c>
      <c r="E456" s="6"/>
      <c r="N456" s="4" t="s">
        <v>755</v>
      </c>
    </row>
    <row r="457" spans="3:14" x14ac:dyDescent="0.2">
      <c r="C457" s="6" t="s">
        <v>1654</v>
      </c>
      <c r="E457" s="6"/>
      <c r="N457" s="4" t="s">
        <v>1778</v>
      </c>
    </row>
    <row r="458" spans="3:14" x14ac:dyDescent="0.2">
      <c r="C458" s="6" t="s">
        <v>1357</v>
      </c>
      <c r="E458" s="6"/>
      <c r="N458" s="4" t="s">
        <v>73</v>
      </c>
    </row>
    <row r="459" spans="3:14" x14ac:dyDescent="0.2">
      <c r="C459" s="6" t="s">
        <v>1655</v>
      </c>
      <c r="E459" s="6"/>
      <c r="N459" s="4" t="s">
        <v>686</v>
      </c>
    </row>
    <row r="460" spans="3:14" x14ac:dyDescent="0.2">
      <c r="C460" s="6" t="s">
        <v>1656</v>
      </c>
      <c r="E460" s="6"/>
      <c r="N460" s="4" t="s">
        <v>413</v>
      </c>
    </row>
    <row r="461" spans="3:14" x14ac:dyDescent="0.2">
      <c r="C461" s="6" t="s">
        <v>1657</v>
      </c>
      <c r="E461" s="6"/>
      <c r="N461" s="4" t="s">
        <v>1759</v>
      </c>
    </row>
    <row r="462" spans="3:14" x14ac:dyDescent="0.2">
      <c r="C462" s="6" t="s">
        <v>1658</v>
      </c>
      <c r="E462" s="6"/>
      <c r="N462" s="4" t="s">
        <v>822</v>
      </c>
    </row>
    <row r="463" spans="3:14" x14ac:dyDescent="0.2">
      <c r="C463" s="6" t="s">
        <v>650</v>
      </c>
      <c r="E463" s="6"/>
      <c r="N463" s="4" t="s">
        <v>1731</v>
      </c>
    </row>
    <row r="464" spans="3:14" x14ac:dyDescent="0.2">
      <c r="C464" s="6" t="s">
        <v>381</v>
      </c>
      <c r="E464" s="6"/>
      <c r="N464" s="4" t="s">
        <v>788</v>
      </c>
    </row>
    <row r="465" spans="3:14" x14ac:dyDescent="0.2">
      <c r="C465" s="6" t="s">
        <v>1659</v>
      </c>
      <c r="E465" s="6"/>
      <c r="N465" s="4" t="s">
        <v>1327</v>
      </c>
    </row>
    <row r="466" spans="3:14" x14ac:dyDescent="0.2">
      <c r="C466" s="6" t="s">
        <v>1379</v>
      </c>
      <c r="E466" s="6"/>
      <c r="N466" s="4" t="s">
        <v>414</v>
      </c>
    </row>
    <row r="467" spans="3:14" x14ac:dyDescent="0.2">
      <c r="C467" s="6" t="s">
        <v>1660</v>
      </c>
      <c r="E467" s="6"/>
      <c r="N467" s="4" t="s">
        <v>1166</v>
      </c>
    </row>
    <row r="468" spans="3:14" x14ac:dyDescent="0.2">
      <c r="C468" s="6" t="s">
        <v>1546</v>
      </c>
      <c r="E468" s="6"/>
      <c r="N468" s="4" t="s">
        <v>1172</v>
      </c>
    </row>
    <row r="469" spans="3:14" x14ac:dyDescent="0.2">
      <c r="C469" s="6" t="s">
        <v>1661</v>
      </c>
      <c r="E469" s="6"/>
      <c r="N469" s="4" t="s">
        <v>825</v>
      </c>
    </row>
    <row r="470" spans="3:14" x14ac:dyDescent="0.2">
      <c r="C470" s="6" t="s">
        <v>1662</v>
      </c>
      <c r="E470" s="6"/>
      <c r="N470" s="4" t="s">
        <v>1742</v>
      </c>
    </row>
    <row r="471" spans="3:14" x14ac:dyDescent="0.2">
      <c r="C471" s="6" t="s">
        <v>670</v>
      </c>
      <c r="E471" s="6"/>
      <c r="N471" s="4" t="s">
        <v>1744</v>
      </c>
    </row>
    <row r="472" spans="3:14" x14ac:dyDescent="0.2">
      <c r="C472" s="6" t="s">
        <v>1663</v>
      </c>
      <c r="E472" s="6"/>
      <c r="N472" s="4" t="s">
        <v>1683</v>
      </c>
    </row>
    <row r="473" spans="3:14" x14ac:dyDescent="0.2">
      <c r="C473" s="6" t="s">
        <v>1664</v>
      </c>
      <c r="E473" s="6"/>
      <c r="N473" s="4" t="s">
        <v>1682</v>
      </c>
    </row>
    <row r="474" spans="3:14" x14ac:dyDescent="0.2">
      <c r="C474" s="6" t="s">
        <v>1665</v>
      </c>
      <c r="E474" s="6"/>
      <c r="N474" s="4" t="s">
        <v>416</v>
      </c>
    </row>
    <row r="475" spans="3:14" x14ac:dyDescent="0.2">
      <c r="C475" s="6" t="s">
        <v>1666</v>
      </c>
      <c r="E475" s="6"/>
      <c r="N475" s="4" t="s">
        <v>1293</v>
      </c>
    </row>
    <row r="476" spans="3:14" x14ac:dyDescent="0.2">
      <c r="C476" s="6" t="s">
        <v>1667</v>
      </c>
      <c r="E476" s="6"/>
      <c r="N476" s="4" t="s">
        <v>1192</v>
      </c>
    </row>
    <row r="477" spans="3:14" x14ac:dyDescent="0.2">
      <c r="C477" s="6" t="s">
        <v>123</v>
      </c>
      <c r="E477" s="6"/>
      <c r="N477" s="4" t="s">
        <v>1319</v>
      </c>
    </row>
    <row r="478" spans="3:14" x14ac:dyDescent="0.2">
      <c r="C478" s="6" t="s">
        <v>1668</v>
      </c>
      <c r="E478" s="6"/>
      <c r="N478" s="4" t="s">
        <v>1284</v>
      </c>
    </row>
    <row r="479" spans="3:14" x14ac:dyDescent="0.2">
      <c r="C479" s="6" t="s">
        <v>1669</v>
      </c>
      <c r="E479" s="6"/>
      <c r="N479" s="4" t="s">
        <v>1361</v>
      </c>
    </row>
    <row r="480" spans="3:14" x14ac:dyDescent="0.2">
      <c r="C480" s="6" t="s">
        <v>1002</v>
      </c>
      <c r="E480" s="6"/>
      <c r="N480" s="4" t="s">
        <v>1002</v>
      </c>
    </row>
    <row r="481" spans="3:14" x14ac:dyDescent="0.2">
      <c r="C481" s="6" t="s">
        <v>769</v>
      </c>
      <c r="E481" s="6"/>
      <c r="N481" s="4" t="s">
        <v>1763</v>
      </c>
    </row>
    <row r="482" spans="3:14" x14ac:dyDescent="0.2">
      <c r="C482" s="6" t="s">
        <v>534</v>
      </c>
      <c r="E482" s="6"/>
      <c r="N482" s="4" t="s">
        <v>1582</v>
      </c>
    </row>
    <row r="483" spans="3:14" x14ac:dyDescent="0.2">
      <c r="C483" s="6" t="s">
        <v>1354</v>
      </c>
      <c r="E483" s="6"/>
      <c r="N483" s="4" t="s">
        <v>854</v>
      </c>
    </row>
    <row r="484" spans="3:14" x14ac:dyDescent="0.2">
      <c r="C484" s="6" t="s">
        <v>1670</v>
      </c>
      <c r="E484" s="6"/>
      <c r="N484" s="4" t="s">
        <v>859</v>
      </c>
    </row>
    <row r="485" spans="3:14" x14ac:dyDescent="0.2">
      <c r="C485" s="6" t="s">
        <v>1671</v>
      </c>
      <c r="E485" s="6"/>
      <c r="N485" s="4" t="s">
        <v>1158</v>
      </c>
    </row>
    <row r="486" spans="3:14" x14ac:dyDescent="0.2">
      <c r="C486" s="6" t="s">
        <v>1381</v>
      </c>
      <c r="E486" s="6"/>
      <c r="N486" s="4" t="s">
        <v>1690</v>
      </c>
    </row>
    <row r="487" spans="3:14" x14ac:dyDescent="0.2">
      <c r="C487" s="6" t="s">
        <v>927</v>
      </c>
      <c r="E487" s="6"/>
      <c r="N487" s="4" t="s">
        <v>802</v>
      </c>
    </row>
    <row r="488" spans="3:14" x14ac:dyDescent="0.2">
      <c r="C488" s="6" t="s">
        <v>1672</v>
      </c>
      <c r="E488" s="6"/>
      <c r="N488" s="4" t="s">
        <v>1259</v>
      </c>
    </row>
    <row r="489" spans="3:14" x14ac:dyDescent="0.2">
      <c r="C489" s="6" t="s">
        <v>1368</v>
      </c>
      <c r="E489" s="6"/>
      <c r="N489" s="4" t="s">
        <v>764</v>
      </c>
    </row>
    <row r="490" spans="3:14" x14ac:dyDescent="0.2">
      <c r="C490" s="6" t="s">
        <v>1344</v>
      </c>
      <c r="E490" s="6"/>
      <c r="N490" s="4" t="s">
        <v>1715</v>
      </c>
    </row>
    <row r="491" spans="3:14" x14ac:dyDescent="0.2">
      <c r="C491" s="6" t="s">
        <v>785</v>
      </c>
      <c r="E491" s="6"/>
      <c r="N491" s="4" t="s">
        <v>663</v>
      </c>
    </row>
    <row r="492" spans="3:14" x14ac:dyDescent="0.2">
      <c r="C492" s="6" t="s">
        <v>1417</v>
      </c>
      <c r="E492" s="6"/>
      <c r="N492" s="4" t="s">
        <v>250</v>
      </c>
    </row>
    <row r="493" spans="3:14" x14ac:dyDescent="0.2">
      <c r="C493" s="6" t="s">
        <v>1366</v>
      </c>
      <c r="E493" s="6"/>
      <c r="N493" s="4" t="s">
        <v>88</v>
      </c>
    </row>
    <row r="494" spans="3:14" x14ac:dyDescent="0.2">
      <c r="C494" s="9" t="s">
        <v>626</v>
      </c>
      <c r="E494" s="6"/>
      <c r="N494" s="4" t="s">
        <v>1088</v>
      </c>
    </row>
    <row r="495" spans="3:14" x14ac:dyDescent="0.2">
      <c r="C495" s="6" t="s">
        <v>653</v>
      </c>
      <c r="E495" s="6"/>
      <c r="N495" s="4" t="s">
        <v>1694</v>
      </c>
    </row>
    <row r="496" spans="3:14" x14ac:dyDescent="0.2">
      <c r="C496" s="6" t="s">
        <v>1673</v>
      </c>
      <c r="E496" s="6"/>
      <c r="N496" s="4" t="s">
        <v>408</v>
      </c>
    </row>
    <row r="497" spans="3:14" x14ac:dyDescent="0.2">
      <c r="C497" s="6" t="s">
        <v>1674</v>
      </c>
      <c r="E497" s="6"/>
      <c r="N497" s="4" t="s">
        <v>157</v>
      </c>
    </row>
    <row r="498" spans="3:14" x14ac:dyDescent="0.2">
      <c r="C498" s="6" t="s">
        <v>1675</v>
      </c>
      <c r="E498" s="6"/>
      <c r="N498" s="4" t="s">
        <v>1142</v>
      </c>
    </row>
    <row r="499" spans="3:14" x14ac:dyDescent="0.2">
      <c r="C499" s="6" t="s">
        <v>166</v>
      </c>
      <c r="E499" s="6"/>
      <c r="N499" s="4" t="s">
        <v>1138</v>
      </c>
    </row>
    <row r="500" spans="3:14" x14ac:dyDescent="0.2">
      <c r="C500" s="6" t="s">
        <v>1676</v>
      </c>
      <c r="E500" s="6"/>
      <c r="N500" s="4" t="s">
        <v>256</v>
      </c>
    </row>
    <row r="501" spans="3:14" x14ac:dyDescent="0.2">
      <c r="C501" s="6" t="s">
        <v>1677</v>
      </c>
      <c r="E501" s="6"/>
      <c r="N501" s="4" t="s">
        <v>1217</v>
      </c>
    </row>
    <row r="502" spans="3:14" x14ac:dyDescent="0.2">
      <c r="C502" s="6" t="s">
        <v>1678</v>
      </c>
      <c r="E502" s="6"/>
      <c r="N502" s="4" t="s">
        <v>412</v>
      </c>
    </row>
    <row r="503" spans="3:14" x14ac:dyDescent="0.2">
      <c r="C503" s="6" t="s">
        <v>1228</v>
      </c>
      <c r="E503" s="6"/>
      <c r="N503" s="4" t="s">
        <v>426</v>
      </c>
    </row>
    <row r="504" spans="3:14" x14ac:dyDescent="0.2">
      <c r="C504" s="6" t="s">
        <v>1679</v>
      </c>
      <c r="E504" s="6"/>
      <c r="N504" s="4" t="s">
        <v>722</v>
      </c>
    </row>
    <row r="505" spans="3:14" x14ac:dyDescent="0.2">
      <c r="C505" s="6" t="s">
        <v>804</v>
      </c>
      <c r="E505" s="6"/>
      <c r="N505" s="4" t="s">
        <v>1691</v>
      </c>
    </row>
    <row r="506" spans="3:14" x14ac:dyDescent="0.2">
      <c r="C506" s="6" t="s">
        <v>797</v>
      </c>
      <c r="E506" s="6"/>
      <c r="N506" s="4" t="s">
        <v>1085</v>
      </c>
    </row>
    <row r="507" spans="3:14" x14ac:dyDescent="0.2">
      <c r="C507" s="6" t="s">
        <v>1061</v>
      </c>
      <c r="E507" s="6"/>
      <c r="N507" s="4" t="s">
        <v>1662</v>
      </c>
    </row>
    <row r="508" spans="3:14" x14ac:dyDescent="0.2">
      <c r="C508" s="6" t="s">
        <v>1680</v>
      </c>
      <c r="E508" s="6"/>
      <c r="N508" s="4" t="s">
        <v>429</v>
      </c>
    </row>
    <row r="509" spans="3:14" x14ac:dyDescent="0.2">
      <c r="C509" s="6" t="s">
        <v>1681</v>
      </c>
      <c r="E509" s="6"/>
      <c r="N509" s="4" t="s">
        <v>819</v>
      </c>
    </row>
    <row r="510" spans="3:14" x14ac:dyDescent="0.2">
      <c r="C510" s="6" t="s">
        <v>1682</v>
      </c>
      <c r="E510" s="6"/>
      <c r="N510" s="4" t="s">
        <v>1380</v>
      </c>
    </row>
    <row r="511" spans="3:14" x14ac:dyDescent="0.2">
      <c r="C511" s="6" t="s">
        <v>1683</v>
      </c>
      <c r="E511" s="6"/>
      <c r="N511" s="4" t="s">
        <v>262</v>
      </c>
    </row>
    <row r="512" spans="3:14" x14ac:dyDescent="0.2">
      <c r="C512" s="6" t="s">
        <v>1359</v>
      </c>
      <c r="E512" s="6"/>
      <c r="N512" s="4" t="s">
        <v>1772</v>
      </c>
    </row>
    <row r="513" spans="3:14" x14ac:dyDescent="0.2">
      <c r="C513" s="6" t="s">
        <v>651</v>
      </c>
      <c r="E513" s="6"/>
      <c r="N513" s="4" t="s">
        <v>1735</v>
      </c>
    </row>
    <row r="514" spans="3:14" x14ac:dyDescent="0.2">
      <c r="C514" s="6" t="s">
        <v>1684</v>
      </c>
      <c r="E514" s="6"/>
      <c r="N514" s="4" t="s">
        <v>431</v>
      </c>
    </row>
    <row r="515" spans="3:14" x14ac:dyDescent="0.2">
      <c r="C515" s="6" t="s">
        <v>1378</v>
      </c>
      <c r="E515" s="6"/>
      <c r="N515" s="4" t="s">
        <v>434</v>
      </c>
    </row>
    <row r="516" spans="3:14" x14ac:dyDescent="0.2">
      <c r="C516" s="6" t="s">
        <v>1483</v>
      </c>
      <c r="E516" s="6"/>
      <c r="N516" s="4" t="s">
        <v>267</v>
      </c>
    </row>
    <row r="517" spans="3:14" x14ac:dyDescent="0.2">
      <c r="C517" s="6" t="s">
        <v>1685</v>
      </c>
      <c r="E517" s="6"/>
      <c r="N517" s="4" t="s">
        <v>96</v>
      </c>
    </row>
    <row r="518" spans="3:14" x14ac:dyDescent="0.2">
      <c r="C518" s="6" t="s">
        <v>1686</v>
      </c>
      <c r="E518" s="6"/>
      <c r="N518" s="4" t="s">
        <v>1250</v>
      </c>
    </row>
    <row r="519" spans="3:14" x14ac:dyDescent="0.2">
      <c r="C519" s="6" t="s">
        <v>1687</v>
      </c>
      <c r="E519" s="6"/>
      <c r="N519" s="4" t="s">
        <v>271</v>
      </c>
    </row>
    <row r="520" spans="3:14" x14ac:dyDescent="0.2">
      <c r="C520" s="6" t="s">
        <v>1688</v>
      </c>
      <c r="E520" s="6"/>
      <c r="N520" s="4" t="s">
        <v>1741</v>
      </c>
    </row>
    <row r="521" spans="3:14" x14ac:dyDescent="0.2">
      <c r="C521" s="6" t="s">
        <v>1689</v>
      </c>
      <c r="E521" s="6"/>
      <c r="N521" s="4" t="s">
        <v>1732</v>
      </c>
    </row>
    <row r="522" spans="3:14" x14ac:dyDescent="0.2">
      <c r="C522" s="6" t="s">
        <v>1690</v>
      </c>
      <c r="E522" s="6"/>
      <c r="N522" s="4" t="s">
        <v>1046</v>
      </c>
    </row>
    <row r="523" spans="3:14" x14ac:dyDescent="0.2">
      <c r="C523" s="6" t="s">
        <v>1691</v>
      </c>
      <c r="E523" s="6"/>
      <c r="N523" s="4" t="s">
        <v>1738</v>
      </c>
    </row>
    <row r="524" spans="3:14" x14ac:dyDescent="0.2">
      <c r="C524" s="6" t="s">
        <v>1692</v>
      </c>
      <c r="E524" s="6"/>
      <c r="N524" s="4" t="s">
        <v>1740</v>
      </c>
    </row>
    <row r="525" spans="3:14" x14ac:dyDescent="0.2">
      <c r="C525" s="6" t="s">
        <v>1693</v>
      </c>
      <c r="E525" s="6"/>
      <c r="N525" s="4" t="s">
        <v>1587</v>
      </c>
    </row>
    <row r="526" spans="3:14" x14ac:dyDescent="0.2">
      <c r="C526" s="6" t="s">
        <v>1694</v>
      </c>
      <c r="E526" s="6"/>
      <c r="N526" s="4" t="s">
        <v>1700</v>
      </c>
    </row>
    <row r="527" spans="3:14" x14ac:dyDescent="0.2">
      <c r="C527" s="6" t="s">
        <v>1695</v>
      </c>
      <c r="E527" s="6"/>
      <c r="N527" s="4" t="s">
        <v>695</v>
      </c>
    </row>
    <row r="528" spans="3:14" x14ac:dyDescent="0.2">
      <c r="C528" s="6" t="s">
        <v>970</v>
      </c>
      <c r="E528" s="6"/>
      <c r="N528" s="4" t="s">
        <v>670</v>
      </c>
    </row>
    <row r="529" spans="3:14" x14ac:dyDescent="0.2">
      <c r="C529" s="6" t="s">
        <v>1696</v>
      </c>
      <c r="E529" s="6"/>
      <c r="N529" s="4" t="s">
        <v>275</v>
      </c>
    </row>
    <row r="530" spans="3:14" x14ac:dyDescent="0.2">
      <c r="C530" s="6" t="s">
        <v>1697</v>
      </c>
      <c r="E530" s="6"/>
      <c r="N530" s="4" t="s">
        <v>1103</v>
      </c>
    </row>
    <row r="531" spans="3:14" x14ac:dyDescent="0.2">
      <c r="C531" s="6" t="s">
        <v>1698</v>
      </c>
      <c r="E531" s="6"/>
      <c r="N531" s="4" t="s">
        <v>1688</v>
      </c>
    </row>
    <row r="532" spans="3:14" x14ac:dyDescent="0.2">
      <c r="C532" s="6" t="s">
        <v>1699</v>
      </c>
      <c r="E532" s="6"/>
      <c r="N532" s="4" t="s">
        <v>1677</v>
      </c>
    </row>
    <row r="533" spans="3:14" x14ac:dyDescent="0.2">
      <c r="C533" s="6" t="s">
        <v>891</v>
      </c>
      <c r="E533" s="6"/>
      <c r="N533" s="4" t="s">
        <v>811</v>
      </c>
    </row>
    <row r="534" spans="3:14" x14ac:dyDescent="0.2">
      <c r="C534" s="6" t="s">
        <v>1176</v>
      </c>
      <c r="E534" s="6"/>
      <c r="N534" s="4" t="s">
        <v>1646</v>
      </c>
    </row>
    <row r="535" spans="3:14" x14ac:dyDescent="0.2">
      <c r="C535" s="6" t="s">
        <v>1227</v>
      </c>
      <c r="E535" s="6"/>
      <c r="N535" s="4" t="s">
        <v>1167</v>
      </c>
    </row>
    <row r="536" spans="3:14" x14ac:dyDescent="0.2">
      <c r="C536" s="6" t="s">
        <v>377</v>
      </c>
      <c r="E536" s="6"/>
      <c r="N536" s="4" t="s">
        <v>852</v>
      </c>
    </row>
    <row r="537" spans="3:14" x14ac:dyDescent="0.2">
      <c r="C537" s="6" t="s">
        <v>26</v>
      </c>
      <c r="E537" s="6"/>
      <c r="N537" s="4" t="s">
        <v>1622</v>
      </c>
    </row>
    <row r="538" spans="3:14" x14ac:dyDescent="0.2">
      <c r="C538" s="6" t="s">
        <v>1700</v>
      </c>
      <c r="E538" s="6"/>
      <c r="N538" s="4" t="s">
        <v>1652</v>
      </c>
    </row>
    <row r="539" spans="3:14" x14ac:dyDescent="0.2">
      <c r="C539" s="6" t="s">
        <v>1701</v>
      </c>
      <c r="E539" s="6"/>
      <c r="N539" s="4" t="s">
        <v>1417</v>
      </c>
    </row>
    <row r="540" spans="3:14" x14ac:dyDescent="0.2">
      <c r="C540" s="6" t="s">
        <v>1702</v>
      </c>
      <c r="E540" s="6"/>
      <c r="N540" s="4" t="s">
        <v>856</v>
      </c>
    </row>
    <row r="541" spans="3:14" x14ac:dyDescent="0.2">
      <c r="C541" s="6" t="s">
        <v>1053</v>
      </c>
      <c r="E541" s="6"/>
      <c r="N541" s="4" t="s">
        <v>1649</v>
      </c>
    </row>
    <row r="542" spans="3:14" x14ac:dyDescent="0.2">
      <c r="C542" s="6" t="s">
        <v>1703</v>
      </c>
      <c r="E542" s="6"/>
      <c r="N542" s="4" t="s">
        <v>292</v>
      </c>
    </row>
    <row r="543" spans="3:14" x14ac:dyDescent="0.2">
      <c r="C543" s="6" t="s">
        <v>1704</v>
      </c>
      <c r="E543" s="6"/>
      <c r="N543" s="4" t="s">
        <v>1374</v>
      </c>
    </row>
    <row r="544" spans="3:14" x14ac:dyDescent="0.2">
      <c r="C544" s="6" t="s">
        <v>1360</v>
      </c>
      <c r="E544" s="6"/>
      <c r="N544" s="4" t="s">
        <v>1604</v>
      </c>
    </row>
    <row r="545" spans="3:14" x14ac:dyDescent="0.2">
      <c r="C545" s="6" t="s">
        <v>1705</v>
      </c>
      <c r="E545" s="6"/>
      <c r="N545" s="4" t="s">
        <v>636</v>
      </c>
    </row>
    <row r="546" spans="3:14" x14ac:dyDescent="0.2">
      <c r="C546" s="6" t="s">
        <v>1706</v>
      </c>
      <c r="E546" s="6"/>
      <c r="N546" s="4" t="s">
        <v>1753</v>
      </c>
    </row>
    <row r="547" spans="3:14" x14ac:dyDescent="0.2">
      <c r="C547" s="6" t="s">
        <v>1707</v>
      </c>
      <c r="E547" s="6"/>
      <c r="N547" s="4" t="s">
        <v>1709</v>
      </c>
    </row>
    <row r="548" spans="3:14" x14ac:dyDescent="0.2">
      <c r="C548" s="6" t="s">
        <v>116</v>
      </c>
      <c r="E548" s="6"/>
      <c r="N548" s="4" t="s">
        <v>731</v>
      </c>
    </row>
    <row r="549" spans="3:14" x14ac:dyDescent="0.2">
      <c r="C549" s="6" t="s">
        <v>1708</v>
      </c>
      <c r="E549" s="6"/>
      <c r="N549" s="4" t="s">
        <v>1575</v>
      </c>
    </row>
    <row r="550" spans="3:14" x14ac:dyDescent="0.2">
      <c r="C550" s="6" t="s">
        <v>1709</v>
      </c>
      <c r="E550" s="6"/>
      <c r="N550" s="4" t="s">
        <v>760</v>
      </c>
    </row>
    <row r="551" spans="3:14" x14ac:dyDescent="0.2">
      <c r="C551" s="6" t="s">
        <v>649</v>
      </c>
      <c r="E551" s="6"/>
      <c r="N551" s="4" t="s">
        <v>447</v>
      </c>
    </row>
    <row r="552" spans="3:14" x14ac:dyDescent="0.2">
      <c r="C552" s="6" t="s">
        <v>1710</v>
      </c>
      <c r="E552" s="6"/>
      <c r="N552" s="4" t="s">
        <v>746</v>
      </c>
    </row>
    <row r="553" spans="3:14" x14ac:dyDescent="0.2">
      <c r="C553" s="6" t="s">
        <v>1711</v>
      </c>
      <c r="E553" s="6"/>
      <c r="N553" s="4" t="s">
        <v>449</v>
      </c>
    </row>
    <row r="554" spans="3:14" x14ac:dyDescent="0.2">
      <c r="C554" s="6" t="s">
        <v>1712</v>
      </c>
      <c r="E554" s="6"/>
      <c r="N554" s="4" t="s">
        <v>759</v>
      </c>
    </row>
    <row r="555" spans="3:14" x14ac:dyDescent="0.2">
      <c r="C555" s="6" t="s">
        <v>1047</v>
      </c>
      <c r="E555" s="6"/>
      <c r="N555" s="4" t="s">
        <v>1701</v>
      </c>
    </row>
    <row r="556" spans="3:14" x14ac:dyDescent="0.2">
      <c r="C556" s="6" t="s">
        <v>1370</v>
      </c>
      <c r="E556" s="6"/>
      <c r="N556" s="4" t="s">
        <v>297</v>
      </c>
    </row>
    <row r="557" spans="3:14" x14ac:dyDescent="0.2">
      <c r="C557" s="6" t="s">
        <v>1713</v>
      </c>
      <c r="E557" s="6"/>
      <c r="N557" s="4" t="s">
        <v>1310</v>
      </c>
    </row>
    <row r="558" spans="3:14" x14ac:dyDescent="0.2">
      <c r="C558" s="6" t="s">
        <v>525</v>
      </c>
      <c r="E558" s="6"/>
      <c r="N558" s="4" t="s">
        <v>196</v>
      </c>
    </row>
    <row r="559" spans="3:14" x14ac:dyDescent="0.2">
      <c r="C559" s="6" t="s">
        <v>1714</v>
      </c>
      <c r="E559" s="6"/>
      <c r="N559" s="4" t="s">
        <v>1321</v>
      </c>
    </row>
    <row r="560" spans="3:14" x14ac:dyDescent="0.2">
      <c r="C560" s="6" t="s">
        <v>1715</v>
      </c>
      <c r="E560" s="6"/>
      <c r="N560" s="4" t="s">
        <v>1268</v>
      </c>
    </row>
    <row r="561" spans="3:14" x14ac:dyDescent="0.2">
      <c r="C561" s="6" t="s">
        <v>1438</v>
      </c>
      <c r="E561" s="6"/>
      <c r="N561" s="4" t="s">
        <v>1340</v>
      </c>
    </row>
    <row r="562" spans="3:14" x14ac:dyDescent="0.2">
      <c r="C562" s="6" t="s">
        <v>1716</v>
      </c>
      <c r="E562" s="6"/>
      <c r="N562" s="4" t="s">
        <v>712</v>
      </c>
    </row>
    <row r="563" spans="3:14" x14ac:dyDescent="0.2">
      <c r="C563" s="6" t="s">
        <v>476</v>
      </c>
      <c r="E563" s="6"/>
      <c r="N563" s="4" t="s">
        <v>790</v>
      </c>
    </row>
    <row r="564" spans="3:14" x14ac:dyDescent="0.2">
      <c r="C564" s="6" t="s">
        <v>911</v>
      </c>
      <c r="E564" s="6"/>
      <c r="N564" s="4" t="s">
        <v>1596</v>
      </c>
    </row>
    <row r="565" spans="3:14" x14ac:dyDescent="0.2">
      <c r="C565" s="6" t="s">
        <v>1717</v>
      </c>
      <c r="E565" s="6"/>
      <c r="N565" s="4" t="s">
        <v>1661</v>
      </c>
    </row>
    <row r="566" spans="3:14" x14ac:dyDescent="0.2">
      <c r="C566" s="6" t="s">
        <v>1718</v>
      </c>
      <c r="E566" s="6"/>
      <c r="N566" s="4" t="s">
        <v>818</v>
      </c>
    </row>
    <row r="567" spans="3:14" x14ac:dyDescent="0.2">
      <c r="C567" s="6" t="s">
        <v>1719</v>
      </c>
      <c r="E567" s="6"/>
      <c r="N567" s="4" t="s">
        <v>1289</v>
      </c>
    </row>
    <row r="568" spans="3:14" x14ac:dyDescent="0.2">
      <c r="C568" s="6" t="s">
        <v>1720</v>
      </c>
      <c r="E568" s="6"/>
      <c r="N568" s="4" t="s">
        <v>1687</v>
      </c>
    </row>
    <row r="569" spans="3:14" x14ac:dyDescent="0.2">
      <c r="C569" s="6" t="s">
        <v>1721</v>
      </c>
      <c r="E569" s="6"/>
      <c r="N569" s="4" t="s">
        <v>1273</v>
      </c>
    </row>
    <row r="570" spans="3:14" x14ac:dyDescent="0.2">
      <c r="C570" s="6" t="s">
        <v>1722</v>
      </c>
      <c r="E570" s="6"/>
      <c r="N570" s="4" t="s">
        <v>1020</v>
      </c>
    </row>
    <row r="571" spans="3:14" x14ac:dyDescent="0.2">
      <c r="C571" s="6" t="s">
        <v>1215</v>
      </c>
      <c r="E571" s="6"/>
      <c r="N571" s="4" t="s">
        <v>973</v>
      </c>
    </row>
    <row r="572" spans="3:14" x14ac:dyDescent="0.2">
      <c r="C572" s="6" t="s">
        <v>1723</v>
      </c>
      <c r="E572" s="6"/>
      <c r="N572" s="4" t="s">
        <v>301</v>
      </c>
    </row>
    <row r="573" spans="3:14" x14ac:dyDescent="0.2">
      <c r="C573" s="6" t="s">
        <v>1724</v>
      </c>
      <c r="E573" s="6"/>
      <c r="N573" s="4" t="s">
        <v>1780</v>
      </c>
    </row>
    <row r="574" spans="3:14" x14ac:dyDescent="0.2">
      <c r="C574" s="6" t="s">
        <v>1725</v>
      </c>
      <c r="E574" s="6"/>
      <c r="N574" s="4" t="s">
        <v>305</v>
      </c>
    </row>
    <row r="575" spans="3:14" x14ac:dyDescent="0.2">
      <c r="C575" s="6"/>
      <c r="E575" s="6"/>
      <c r="N575" s="4" t="s">
        <v>1155</v>
      </c>
    </row>
    <row r="576" spans="3:14" x14ac:dyDescent="0.2">
      <c r="C576" s="6"/>
      <c r="E576" s="6"/>
      <c r="N576" s="4" t="s">
        <v>789</v>
      </c>
    </row>
    <row r="577" spans="3:14" x14ac:dyDescent="0.2">
      <c r="C577" s="6"/>
      <c r="E577" s="6"/>
      <c r="N577" s="4" t="s">
        <v>1635</v>
      </c>
    </row>
    <row r="578" spans="3:14" x14ac:dyDescent="0.2">
      <c r="C578" s="6"/>
      <c r="E578" s="6"/>
      <c r="N578" s="4" t="s">
        <v>848</v>
      </c>
    </row>
    <row r="579" spans="3:14" x14ac:dyDescent="0.2">
      <c r="C579" s="6"/>
      <c r="E579" s="6"/>
      <c r="N579" s="4" t="s">
        <v>987</v>
      </c>
    </row>
    <row r="580" spans="3:14" x14ac:dyDescent="0.2">
      <c r="C580" s="6"/>
      <c r="E580" s="6"/>
      <c r="N580" s="4" t="s">
        <v>891</v>
      </c>
    </row>
    <row r="581" spans="3:14" x14ac:dyDescent="0.2">
      <c r="C581" s="6"/>
      <c r="E581" s="6"/>
      <c r="N581" s="4" t="s">
        <v>1177</v>
      </c>
    </row>
    <row r="582" spans="3:14" x14ac:dyDescent="0.2">
      <c r="C582" s="6"/>
      <c r="E582" s="6"/>
      <c r="N582" s="4" t="s">
        <v>1169</v>
      </c>
    </row>
    <row r="583" spans="3:14" x14ac:dyDescent="0.2">
      <c r="C583" s="6"/>
      <c r="E583" s="6"/>
      <c r="N583" s="4" t="s">
        <v>745</v>
      </c>
    </row>
    <row r="584" spans="3:14" x14ac:dyDescent="0.2">
      <c r="C584" s="6"/>
      <c r="E584" s="6"/>
      <c r="N584" s="4" t="s">
        <v>1297</v>
      </c>
    </row>
    <row r="585" spans="3:14" x14ac:dyDescent="0.2">
      <c r="C585" s="6"/>
      <c r="E585" s="6"/>
      <c r="N585" s="4" t="s">
        <v>1761</v>
      </c>
    </row>
    <row r="586" spans="3:14" x14ac:dyDescent="0.2">
      <c r="C586" s="6"/>
      <c r="E586" s="6"/>
      <c r="N586" s="4" t="s">
        <v>1699</v>
      </c>
    </row>
    <row r="587" spans="3:14" x14ac:dyDescent="0.2">
      <c r="C587" s="6"/>
      <c r="E587" s="6"/>
      <c r="N587" s="4" t="s">
        <v>310</v>
      </c>
    </row>
    <row r="588" spans="3:14" x14ac:dyDescent="0.2">
      <c r="C588" s="6"/>
      <c r="E588" s="6"/>
      <c r="N588" s="4" t="s">
        <v>1746</v>
      </c>
    </row>
    <row r="589" spans="3:14" x14ac:dyDescent="0.2">
      <c r="C589" s="6"/>
      <c r="E589" s="6"/>
      <c r="N589" s="4" t="s">
        <v>1266</v>
      </c>
    </row>
    <row r="590" spans="3:14" x14ac:dyDescent="0.2">
      <c r="C590" s="6"/>
      <c r="E590" s="6"/>
      <c r="N590" s="4" t="s">
        <v>1568</v>
      </c>
    </row>
    <row r="591" spans="3:14" x14ac:dyDescent="0.2">
      <c r="C591" s="6"/>
      <c r="E591" s="6"/>
      <c r="N591" s="4" t="s">
        <v>316</v>
      </c>
    </row>
    <row r="592" spans="3:14" x14ac:dyDescent="0.2">
      <c r="C592" s="6"/>
      <c r="E592" s="6"/>
      <c r="N592" s="4" t="s">
        <v>1609</v>
      </c>
    </row>
    <row r="593" spans="3:14" x14ac:dyDescent="0.2">
      <c r="C593" s="6"/>
      <c r="E593" s="6"/>
      <c r="N593" s="4" t="s">
        <v>1338</v>
      </c>
    </row>
    <row r="594" spans="3:14" x14ac:dyDescent="0.2">
      <c r="C594" s="6"/>
      <c r="E594" s="6"/>
      <c r="N594" s="4" t="s">
        <v>1757</v>
      </c>
    </row>
    <row r="595" spans="3:14" x14ac:dyDescent="0.2">
      <c r="C595" s="6"/>
      <c r="E595" s="6"/>
      <c r="N595" s="4" t="s">
        <v>1675</v>
      </c>
    </row>
    <row r="596" spans="3:14" x14ac:dyDescent="0.2">
      <c r="C596" s="6"/>
      <c r="E596" s="6"/>
      <c r="N596" s="4" t="s">
        <v>1326</v>
      </c>
    </row>
    <row r="597" spans="3:14" x14ac:dyDescent="0.2">
      <c r="C597" s="6"/>
      <c r="E597" s="6"/>
      <c r="N597" s="4" t="s">
        <v>320</v>
      </c>
    </row>
    <row r="598" spans="3:14" x14ac:dyDescent="0.2">
      <c r="C598" s="6"/>
      <c r="E598" s="6"/>
      <c r="N598" s="4" t="s">
        <v>1296</v>
      </c>
    </row>
    <row r="599" spans="3:14" x14ac:dyDescent="0.2">
      <c r="C599" s="6"/>
      <c r="E599" s="6"/>
      <c r="N599" s="4" t="s">
        <v>762</v>
      </c>
    </row>
    <row r="600" spans="3:14" x14ac:dyDescent="0.2">
      <c r="C600" s="6"/>
      <c r="E600" s="6"/>
      <c r="N600" s="4" t="s">
        <v>1651</v>
      </c>
    </row>
    <row r="601" spans="3:14" x14ac:dyDescent="0.2">
      <c r="C601" s="6"/>
      <c r="E601" s="6"/>
      <c r="N601" s="4" t="s">
        <v>1372</v>
      </c>
    </row>
    <row r="602" spans="3:14" x14ac:dyDescent="0.2">
      <c r="C602" s="6"/>
      <c r="E602" s="6"/>
      <c r="N602" s="4" t="s">
        <v>1595</v>
      </c>
    </row>
    <row r="603" spans="3:14" x14ac:dyDescent="0.2">
      <c r="C603" s="6"/>
      <c r="E603" s="6"/>
      <c r="N603" s="4" t="s">
        <v>771</v>
      </c>
    </row>
    <row r="604" spans="3:14" x14ac:dyDescent="0.2">
      <c r="C604" s="6"/>
      <c r="E604" s="6"/>
      <c r="N604" s="4" t="s">
        <v>1145</v>
      </c>
    </row>
    <row r="605" spans="3:14" x14ac:dyDescent="0.2">
      <c r="C605" s="6"/>
      <c r="E605" s="6"/>
      <c r="N605" s="4" t="s">
        <v>642</v>
      </c>
    </row>
    <row r="606" spans="3:14" x14ac:dyDescent="0.2">
      <c r="C606" s="6"/>
      <c r="E606" s="6"/>
      <c r="N606" s="4" t="s">
        <v>1574</v>
      </c>
    </row>
    <row r="607" spans="3:14" x14ac:dyDescent="0.2">
      <c r="C607" s="6"/>
      <c r="E607" s="6"/>
      <c r="N607" s="4" t="s">
        <v>823</v>
      </c>
    </row>
    <row r="608" spans="3:14" x14ac:dyDescent="0.2">
      <c r="C608" s="6"/>
      <c r="E608" s="6"/>
      <c r="N608" s="4" t="s">
        <v>727</v>
      </c>
    </row>
    <row r="609" spans="3:14" x14ac:dyDescent="0.2">
      <c r="C609" s="6"/>
      <c r="E609" s="6"/>
      <c r="N609" s="4" t="s">
        <v>804</v>
      </c>
    </row>
    <row r="610" spans="3:14" x14ac:dyDescent="0.2">
      <c r="C610" s="6"/>
      <c r="E610" s="6"/>
      <c r="N610" s="4" t="s">
        <v>1368</v>
      </c>
    </row>
    <row r="611" spans="3:14" x14ac:dyDescent="0.2">
      <c r="C611" s="6"/>
      <c r="E611" s="6"/>
      <c r="N611" s="4" t="s">
        <v>740</v>
      </c>
    </row>
    <row r="612" spans="3:14" x14ac:dyDescent="0.2">
      <c r="C612" s="6"/>
      <c r="E612" s="6"/>
      <c r="N612" s="4" t="s">
        <v>1303</v>
      </c>
    </row>
    <row r="613" spans="3:14" x14ac:dyDescent="0.2">
      <c r="C613" s="6"/>
      <c r="E613" s="6"/>
      <c r="N613" s="4" t="s">
        <v>1671</v>
      </c>
    </row>
    <row r="614" spans="3:14" x14ac:dyDescent="0.2">
      <c r="C614" s="6"/>
      <c r="E614" s="6"/>
      <c r="N614" s="4" t="s">
        <v>1777</v>
      </c>
    </row>
    <row r="615" spans="3:14" x14ac:dyDescent="0.2">
      <c r="C615" s="6"/>
      <c r="E615" s="6"/>
      <c r="N615" s="4" t="s">
        <v>1781</v>
      </c>
    </row>
    <row r="616" spans="3:14" x14ac:dyDescent="0.2">
      <c r="C616" s="6"/>
      <c r="E616" s="6"/>
      <c r="N616" s="4" t="s">
        <v>1782</v>
      </c>
    </row>
    <row r="617" spans="3:14" x14ac:dyDescent="0.2">
      <c r="C617" s="6"/>
      <c r="E617" s="6"/>
      <c r="N617" s="4" t="s">
        <v>1317</v>
      </c>
    </row>
    <row r="618" spans="3:14" x14ac:dyDescent="0.2">
      <c r="C618" s="6"/>
      <c r="E618" s="6"/>
      <c r="N618" s="4" t="s">
        <v>448</v>
      </c>
    </row>
    <row r="619" spans="3:14" x14ac:dyDescent="0.2">
      <c r="C619" s="6"/>
      <c r="E619" s="6"/>
      <c r="N619" s="4" t="s">
        <v>1370</v>
      </c>
    </row>
    <row r="620" spans="3:14" x14ac:dyDescent="0.2">
      <c r="C620" s="6"/>
      <c r="E620" s="6"/>
      <c r="N620" s="4" t="s">
        <v>876</v>
      </c>
    </row>
    <row r="621" spans="3:14" x14ac:dyDescent="0.2">
      <c r="C621" s="6"/>
      <c r="E621" s="6"/>
      <c r="N621" s="4" t="s">
        <v>1725</v>
      </c>
    </row>
    <row r="622" spans="3:14" x14ac:dyDescent="0.2">
      <c r="C622" s="6"/>
      <c r="E622" s="6"/>
      <c r="N622" s="4" t="s">
        <v>1373</v>
      </c>
    </row>
    <row r="623" spans="3:14" x14ac:dyDescent="0.2">
      <c r="C623" s="6"/>
      <c r="E623" s="6"/>
      <c r="N623" s="4" t="s">
        <v>323</v>
      </c>
    </row>
    <row r="624" spans="3:14" x14ac:dyDescent="0.2">
      <c r="C624" s="6"/>
      <c r="E624" s="6"/>
      <c r="N624" s="4" t="s">
        <v>327</v>
      </c>
    </row>
    <row r="625" spans="5:14" x14ac:dyDescent="0.2">
      <c r="E625" s="6"/>
      <c r="N625" s="4" t="s">
        <v>733</v>
      </c>
    </row>
    <row r="626" spans="5:14" x14ac:dyDescent="0.2">
      <c r="E626" s="6"/>
      <c r="N626" s="4" t="s">
        <v>714</v>
      </c>
    </row>
    <row r="627" spans="5:14" x14ac:dyDescent="0.2">
      <c r="E627" s="6"/>
      <c r="N627" s="4" t="s">
        <v>1681</v>
      </c>
    </row>
    <row r="628" spans="5:14" x14ac:dyDescent="0.2">
      <c r="E628" s="6"/>
      <c r="N628" s="4" t="s">
        <v>646</v>
      </c>
    </row>
    <row r="629" spans="5:14" x14ac:dyDescent="0.2">
      <c r="E629" s="6"/>
      <c r="N629" s="4" t="s">
        <v>1280</v>
      </c>
    </row>
    <row r="630" spans="5:14" x14ac:dyDescent="0.2">
      <c r="E630" s="6"/>
      <c r="N630" s="4" t="s">
        <v>1620</v>
      </c>
    </row>
    <row r="631" spans="5:14" x14ac:dyDescent="0.2">
      <c r="E631" s="6"/>
      <c r="N631" s="4" t="s">
        <v>1706</v>
      </c>
    </row>
    <row r="632" spans="5:14" x14ac:dyDescent="0.2">
      <c r="E632" s="6"/>
      <c r="N632" s="4" t="s">
        <v>456</v>
      </c>
    </row>
    <row r="633" spans="5:14" x14ac:dyDescent="0.2">
      <c r="E633" s="6"/>
      <c r="N633" s="4" t="s">
        <v>1271</v>
      </c>
    </row>
    <row r="634" spans="5:14" x14ac:dyDescent="0.2">
      <c r="E634" s="6"/>
      <c r="N634" s="4" t="s">
        <v>1292</v>
      </c>
    </row>
    <row r="635" spans="5:14" x14ac:dyDescent="0.2">
      <c r="E635" s="6"/>
      <c r="N635" s="4" t="s">
        <v>1312</v>
      </c>
    </row>
    <row r="636" spans="5:14" x14ac:dyDescent="0.2">
      <c r="E636" s="6"/>
      <c r="N636" s="4" t="s">
        <v>1637</v>
      </c>
    </row>
    <row r="637" spans="5:14" x14ac:dyDescent="0.2">
      <c r="E637" s="6"/>
      <c r="N637" s="4" t="s">
        <v>237</v>
      </c>
    </row>
    <row r="638" spans="5:14" x14ac:dyDescent="0.2">
      <c r="E638" s="6"/>
      <c r="N638" s="4" t="s">
        <v>1228</v>
      </c>
    </row>
    <row r="639" spans="5:14" x14ac:dyDescent="0.2">
      <c r="E639" s="6"/>
      <c r="N639" s="4" t="s">
        <v>1685</v>
      </c>
    </row>
    <row r="640" spans="5:14" x14ac:dyDescent="0.2">
      <c r="E640" s="6"/>
      <c r="N640" s="4" t="s">
        <v>1667</v>
      </c>
    </row>
    <row r="641" spans="5:14" x14ac:dyDescent="0.2">
      <c r="E641" s="6"/>
      <c r="N641" s="4" t="s">
        <v>1633</v>
      </c>
    </row>
    <row r="642" spans="5:14" x14ac:dyDescent="0.2">
      <c r="E642" s="6"/>
      <c r="N642" s="4" t="s">
        <v>1773</v>
      </c>
    </row>
    <row r="643" spans="5:14" x14ac:dyDescent="0.2">
      <c r="E643" s="6"/>
      <c r="N643" s="4" t="s">
        <v>1734</v>
      </c>
    </row>
    <row r="644" spans="5:14" x14ac:dyDescent="0.2">
      <c r="E644" s="6"/>
      <c r="N644" s="4" t="s">
        <v>690</v>
      </c>
    </row>
    <row r="645" spans="5:14" x14ac:dyDescent="0.2">
      <c r="E645" s="6"/>
      <c r="N645" s="4" t="s">
        <v>330</v>
      </c>
    </row>
    <row r="646" spans="5:14" x14ac:dyDescent="0.2">
      <c r="E646" s="6"/>
      <c r="N646" s="4" t="s">
        <v>1766</v>
      </c>
    </row>
    <row r="647" spans="5:14" x14ac:dyDescent="0.2">
      <c r="E647" s="6"/>
      <c r="N647" s="4" t="s">
        <v>1044</v>
      </c>
    </row>
    <row r="648" spans="5:14" x14ac:dyDescent="0.2">
      <c r="E648" s="6"/>
      <c r="N648" s="4" t="s">
        <v>1194</v>
      </c>
    </row>
    <row r="649" spans="5:14" x14ac:dyDescent="0.2">
      <c r="E649" s="6"/>
      <c r="N649" s="4" t="s">
        <v>1096</v>
      </c>
    </row>
    <row r="650" spans="5:14" x14ac:dyDescent="0.2">
      <c r="E650" s="6"/>
      <c r="N650" s="4" t="s">
        <v>1001</v>
      </c>
    </row>
    <row r="651" spans="5:14" x14ac:dyDescent="0.2">
      <c r="E651" s="6"/>
      <c r="N651" s="4" t="s">
        <v>639</v>
      </c>
    </row>
    <row r="652" spans="5:14" x14ac:dyDescent="0.2">
      <c r="E652" s="6"/>
      <c r="N652" s="4" t="s">
        <v>812</v>
      </c>
    </row>
    <row r="653" spans="5:14" x14ac:dyDescent="0.2">
      <c r="E653" s="6"/>
      <c r="N653" s="4" t="s">
        <v>1655</v>
      </c>
    </row>
    <row r="654" spans="5:14" x14ac:dyDescent="0.2">
      <c r="E654" s="6"/>
      <c r="N654" s="4" t="s">
        <v>1180</v>
      </c>
    </row>
    <row r="655" spans="5:14" x14ac:dyDescent="0.2">
      <c r="E655" s="6"/>
      <c r="N655" s="4" t="s">
        <v>1737</v>
      </c>
    </row>
    <row r="656" spans="5:14" x14ac:dyDescent="0.2">
      <c r="E656" s="6"/>
      <c r="N656" s="4" t="s">
        <v>333</v>
      </c>
    </row>
    <row r="657" spans="5:14" x14ac:dyDescent="0.2">
      <c r="E657" s="6"/>
      <c r="N657" s="4" t="s">
        <v>467</v>
      </c>
    </row>
    <row r="658" spans="5:14" x14ac:dyDescent="0.2">
      <c r="E658" s="6"/>
      <c r="N658" s="4" t="s">
        <v>470</v>
      </c>
    </row>
    <row r="659" spans="5:14" x14ac:dyDescent="0.2">
      <c r="E659" s="6"/>
      <c r="N659" s="4" t="s">
        <v>337</v>
      </c>
    </row>
    <row r="660" spans="5:14" x14ac:dyDescent="0.2">
      <c r="E660" s="6"/>
      <c r="N660" s="4" t="s">
        <v>341</v>
      </c>
    </row>
    <row r="661" spans="5:14" x14ac:dyDescent="0.2">
      <c r="E661" s="6"/>
      <c r="N661" s="4" t="s">
        <v>248</v>
      </c>
    </row>
    <row r="662" spans="5:14" x14ac:dyDescent="0.2">
      <c r="E662" s="6"/>
      <c r="N662" s="4" t="s">
        <v>1686</v>
      </c>
    </row>
    <row r="663" spans="5:14" x14ac:dyDescent="0.2">
      <c r="E663" s="6"/>
      <c r="N663" s="4" t="s">
        <v>213</v>
      </c>
    </row>
    <row r="664" spans="5:14" x14ac:dyDescent="0.2">
      <c r="E664" s="6"/>
      <c r="N664" s="4" t="s">
        <v>1644</v>
      </c>
    </row>
    <row r="665" spans="5:14" x14ac:dyDescent="0.2">
      <c r="E665" s="6"/>
      <c r="N665" s="4" t="s">
        <v>1726</v>
      </c>
    </row>
    <row r="666" spans="5:14" x14ac:dyDescent="0.2">
      <c r="E666" s="6"/>
      <c r="N666" s="4" t="s">
        <v>1029</v>
      </c>
    </row>
    <row r="667" spans="5:14" x14ac:dyDescent="0.2">
      <c r="E667" s="6"/>
      <c r="N667" s="4" t="s">
        <v>766</v>
      </c>
    </row>
    <row r="668" spans="5:14" x14ac:dyDescent="0.2">
      <c r="E668" s="6"/>
      <c r="N668" s="4" t="s">
        <v>1015</v>
      </c>
    </row>
    <row r="669" spans="5:14" x14ac:dyDescent="0.2">
      <c r="E669" s="6"/>
      <c r="N669" s="4" t="s">
        <v>476</v>
      </c>
    </row>
    <row r="670" spans="5:14" x14ac:dyDescent="0.2">
      <c r="E670" s="6"/>
      <c r="N670" s="4" t="s">
        <v>671</v>
      </c>
    </row>
    <row r="671" spans="5:14" x14ac:dyDescent="0.2">
      <c r="E671" s="6"/>
      <c r="N671" s="4" t="s">
        <v>1261</v>
      </c>
    </row>
    <row r="672" spans="5:14" x14ac:dyDescent="0.2">
      <c r="E672" s="6"/>
      <c r="N672" s="4" t="s">
        <v>879</v>
      </c>
    </row>
    <row r="673" spans="5:14" x14ac:dyDescent="0.2">
      <c r="E673" s="6"/>
      <c r="N673" s="4" t="s">
        <v>1567</v>
      </c>
    </row>
    <row r="674" spans="5:14" x14ac:dyDescent="0.2">
      <c r="E674" s="6"/>
      <c r="N674" s="4" t="s">
        <v>260</v>
      </c>
    </row>
    <row r="675" spans="5:14" x14ac:dyDescent="0.2">
      <c r="E675" s="6"/>
      <c r="N675" s="4" t="s">
        <v>1730</v>
      </c>
    </row>
    <row r="676" spans="5:14" x14ac:dyDescent="0.2">
      <c r="E676" s="6"/>
      <c r="N676" s="4" t="s">
        <v>1713</v>
      </c>
    </row>
    <row r="677" spans="5:14" x14ac:dyDescent="0.2">
      <c r="E677" s="6"/>
      <c r="N677" s="4" t="s">
        <v>632</v>
      </c>
    </row>
    <row r="678" spans="5:14" x14ac:dyDescent="0.2">
      <c r="E678" s="6"/>
      <c r="N678" s="4" t="s">
        <v>1353</v>
      </c>
    </row>
    <row r="679" spans="5:14" x14ac:dyDescent="0.2">
      <c r="E679" s="6"/>
      <c r="N679" s="4" t="s">
        <v>348</v>
      </c>
    </row>
    <row r="680" spans="5:14" x14ac:dyDescent="0.2">
      <c r="E680" s="6"/>
      <c r="N680" s="4" t="s">
        <v>877</v>
      </c>
    </row>
    <row r="681" spans="5:14" x14ac:dyDescent="0.2">
      <c r="E681" s="6"/>
      <c r="N681" s="4" t="s">
        <v>1756</v>
      </c>
    </row>
    <row r="682" spans="5:14" x14ac:dyDescent="0.2">
      <c r="E682" s="6"/>
      <c r="N682" s="4" t="s">
        <v>800</v>
      </c>
    </row>
    <row r="683" spans="5:14" x14ac:dyDescent="0.2">
      <c r="E683" s="6"/>
      <c r="N683" s="4" t="s">
        <v>351</v>
      </c>
    </row>
    <row r="684" spans="5:14" x14ac:dyDescent="0.2">
      <c r="E684" s="6"/>
      <c r="N684" s="4" t="s">
        <v>1084</v>
      </c>
    </row>
    <row r="685" spans="5:14" x14ac:dyDescent="0.2">
      <c r="E685" s="6"/>
      <c r="N685" s="4" t="s">
        <v>815</v>
      </c>
    </row>
    <row r="686" spans="5:14" x14ac:dyDescent="0.2">
      <c r="E686" s="6"/>
      <c r="N686" s="4" t="s">
        <v>1081</v>
      </c>
    </row>
    <row r="687" spans="5:14" x14ac:dyDescent="0.2">
      <c r="E687" s="6"/>
      <c r="N687" s="4" t="s">
        <v>721</v>
      </c>
    </row>
    <row r="688" spans="5:14" x14ac:dyDescent="0.2">
      <c r="E688" s="6"/>
      <c r="N688" s="4" t="s">
        <v>1206</v>
      </c>
    </row>
    <row r="689" spans="5:14" x14ac:dyDescent="0.2">
      <c r="E689" s="6"/>
      <c r="N689" s="4" t="s">
        <v>1586</v>
      </c>
    </row>
    <row r="690" spans="5:14" x14ac:dyDescent="0.2">
      <c r="E690" s="6"/>
      <c r="N690" s="4" t="s">
        <v>1288</v>
      </c>
    </row>
    <row r="691" spans="5:14" x14ac:dyDescent="0.2">
      <c r="E691" s="6"/>
      <c r="N691" s="4" t="s">
        <v>482</v>
      </c>
    </row>
    <row r="692" spans="5:14" x14ac:dyDescent="0.2">
      <c r="E692" s="6"/>
      <c r="N692" s="4" t="s">
        <v>1599</v>
      </c>
    </row>
    <row r="693" spans="5:14" x14ac:dyDescent="0.2">
      <c r="E693" s="6"/>
      <c r="N693" s="4" t="s">
        <v>1017</v>
      </c>
    </row>
    <row r="694" spans="5:14" x14ac:dyDescent="0.2">
      <c r="E694" s="6"/>
      <c r="N694" s="4" t="s">
        <v>1270</v>
      </c>
    </row>
    <row r="695" spans="5:14" x14ac:dyDescent="0.2">
      <c r="E695" s="6"/>
      <c r="N695" s="4" t="s">
        <v>1238</v>
      </c>
    </row>
    <row r="696" spans="5:14" x14ac:dyDescent="0.2">
      <c r="E696" s="6"/>
      <c r="N696" s="4" t="s">
        <v>643</v>
      </c>
    </row>
    <row r="697" spans="5:14" x14ac:dyDescent="0.2">
      <c r="E697" s="6"/>
      <c r="N697" s="4" t="s">
        <v>219</v>
      </c>
    </row>
    <row r="698" spans="5:14" x14ac:dyDescent="0.2">
      <c r="E698" s="6"/>
      <c r="N698" s="4" t="s">
        <v>1418</v>
      </c>
    </row>
    <row r="699" spans="5:14" x14ac:dyDescent="0.2">
      <c r="E699" s="6"/>
      <c r="N699" s="4" t="s">
        <v>483</v>
      </c>
    </row>
    <row r="700" spans="5:14" x14ac:dyDescent="0.2">
      <c r="E700" s="6"/>
      <c r="N700" s="4" t="s">
        <v>841</v>
      </c>
    </row>
    <row r="701" spans="5:14" x14ac:dyDescent="0.2">
      <c r="E701" s="6"/>
      <c r="N701" s="4" t="s">
        <v>486</v>
      </c>
    </row>
    <row r="702" spans="5:14" x14ac:dyDescent="0.2">
      <c r="E702" s="6"/>
      <c r="N702" s="4" t="s">
        <v>1052</v>
      </c>
    </row>
    <row r="703" spans="5:14" x14ac:dyDescent="0.2">
      <c r="E703" s="6"/>
      <c r="N703" s="4" t="s">
        <v>806</v>
      </c>
    </row>
    <row r="704" spans="5:14" x14ac:dyDescent="0.2">
      <c r="E704" s="6"/>
      <c r="N704" s="4" t="s">
        <v>1755</v>
      </c>
    </row>
    <row r="705" spans="5:14" x14ac:dyDescent="0.2">
      <c r="E705" s="6"/>
      <c r="N705" s="4" t="s">
        <v>1003</v>
      </c>
    </row>
    <row r="706" spans="5:14" x14ac:dyDescent="0.2">
      <c r="E706" s="6"/>
      <c r="N706" s="4" t="s">
        <v>1306</v>
      </c>
    </row>
    <row r="707" spans="5:14" x14ac:dyDescent="0.2">
      <c r="E707" s="6"/>
      <c r="N707" s="4" t="s">
        <v>1086</v>
      </c>
    </row>
    <row r="708" spans="5:14" x14ac:dyDescent="0.2">
      <c r="E708" s="6"/>
      <c r="N708" s="4" t="s">
        <v>1253</v>
      </c>
    </row>
    <row r="709" spans="5:14" x14ac:dyDescent="0.2">
      <c r="E709" s="6"/>
      <c r="N709" s="4" t="s">
        <v>1578</v>
      </c>
    </row>
    <row r="710" spans="5:14" x14ac:dyDescent="0.2">
      <c r="E710" s="6"/>
      <c r="N710" s="4" t="s">
        <v>485</v>
      </c>
    </row>
    <row r="711" spans="5:14" x14ac:dyDescent="0.2">
      <c r="E711" s="6"/>
      <c r="N711" s="4" t="s">
        <v>749</v>
      </c>
    </row>
    <row r="712" spans="5:14" x14ac:dyDescent="0.2">
      <c r="E712" s="6"/>
      <c r="N712" s="4" t="s">
        <v>1153</v>
      </c>
    </row>
    <row r="713" spans="5:14" x14ac:dyDescent="0.2">
      <c r="E713" s="6"/>
      <c r="N713" s="4" t="s">
        <v>358</v>
      </c>
    </row>
    <row r="714" spans="5:14" x14ac:dyDescent="0.2">
      <c r="E714" s="6"/>
      <c r="N714" s="4" t="s">
        <v>1286</v>
      </c>
    </row>
    <row r="715" spans="5:14" x14ac:dyDescent="0.2">
      <c r="E715" s="6"/>
      <c r="N715" s="4" t="s">
        <v>951</v>
      </c>
    </row>
    <row r="716" spans="5:14" x14ac:dyDescent="0.2">
      <c r="E716" s="6"/>
      <c r="N716" s="4" t="s">
        <v>361</v>
      </c>
    </row>
    <row r="717" spans="5:14" x14ac:dyDescent="0.2">
      <c r="E717" s="6"/>
      <c r="N717" s="4" t="s">
        <v>1648</v>
      </c>
    </row>
    <row r="718" spans="5:14" x14ac:dyDescent="0.2">
      <c r="E718" s="6"/>
      <c r="N718" s="4" t="s">
        <v>230</v>
      </c>
    </row>
    <row r="719" spans="5:14" x14ac:dyDescent="0.2">
      <c r="E719" s="6"/>
      <c r="N719" s="4" t="s">
        <v>498</v>
      </c>
    </row>
    <row r="720" spans="5:14" x14ac:dyDescent="0.2">
      <c r="E720" s="6"/>
      <c r="N720" s="4" t="s">
        <v>1585</v>
      </c>
    </row>
    <row r="721" spans="5:14" x14ac:dyDescent="0.2">
      <c r="E721" s="6"/>
      <c r="N721" s="4" t="s">
        <v>502</v>
      </c>
    </row>
    <row r="722" spans="5:14" x14ac:dyDescent="0.2">
      <c r="E722" s="6"/>
      <c r="N722" s="4" t="s">
        <v>1716</v>
      </c>
    </row>
    <row r="723" spans="5:14" x14ac:dyDescent="0.2">
      <c r="E723" s="6"/>
      <c r="N723" s="4" t="s">
        <v>1684</v>
      </c>
    </row>
    <row r="724" spans="5:14" x14ac:dyDescent="0.2">
      <c r="E724" s="6"/>
      <c r="N724" s="4" t="s">
        <v>1351</v>
      </c>
    </row>
    <row r="725" spans="5:14" x14ac:dyDescent="0.2">
      <c r="E725" s="6"/>
      <c r="N725" s="4" t="s">
        <v>726</v>
      </c>
    </row>
    <row r="726" spans="5:14" x14ac:dyDescent="0.2">
      <c r="E726" s="6"/>
      <c r="N726" s="4" t="s">
        <v>1251</v>
      </c>
    </row>
    <row r="727" spans="5:14" x14ac:dyDescent="0.2">
      <c r="E727" s="6"/>
      <c r="N727" s="4" t="s">
        <v>1301</v>
      </c>
    </row>
    <row r="728" spans="5:14" x14ac:dyDescent="0.2">
      <c r="E728" s="6"/>
      <c r="N728" s="4" t="s">
        <v>363</v>
      </c>
    </row>
    <row r="729" spans="5:14" x14ac:dyDescent="0.2">
      <c r="E729" s="6"/>
      <c r="N729" s="4" t="s">
        <v>1376</v>
      </c>
    </row>
    <row r="730" spans="5:14" x14ac:dyDescent="0.2">
      <c r="E730" s="6"/>
      <c r="N730" s="4" t="s">
        <v>506</v>
      </c>
    </row>
    <row r="731" spans="5:14" x14ac:dyDescent="0.2">
      <c r="E731" s="6"/>
      <c r="N731" s="4" t="s">
        <v>1660</v>
      </c>
    </row>
    <row r="732" spans="5:14" x14ac:dyDescent="0.2">
      <c r="E732" s="6"/>
      <c r="N732" s="4" t="s">
        <v>1129</v>
      </c>
    </row>
    <row r="733" spans="5:14" x14ac:dyDescent="0.2">
      <c r="E733" s="6"/>
      <c r="N733" s="4" t="s">
        <v>1704</v>
      </c>
    </row>
    <row r="734" spans="5:14" x14ac:dyDescent="0.2">
      <c r="E734" s="6"/>
      <c r="N734" s="4" t="s">
        <v>1041</v>
      </c>
    </row>
    <row r="735" spans="5:14" x14ac:dyDescent="0.2">
      <c r="E735" s="6"/>
      <c r="N735" s="4" t="s">
        <v>677</v>
      </c>
    </row>
    <row r="736" spans="5:14" x14ac:dyDescent="0.2">
      <c r="E736" s="6"/>
      <c r="N736" s="4" t="s">
        <v>1285</v>
      </c>
    </row>
    <row r="737" spans="5:14" x14ac:dyDescent="0.2">
      <c r="E737" s="6"/>
      <c r="N737" s="4" t="s">
        <v>1367</v>
      </c>
    </row>
    <row r="738" spans="5:14" x14ac:dyDescent="0.2">
      <c r="E738" s="6"/>
      <c r="N738" s="4" t="s">
        <v>694</v>
      </c>
    </row>
    <row r="739" spans="5:14" x14ac:dyDescent="0.2">
      <c r="E739" s="6"/>
      <c r="N739" s="4" t="s">
        <v>1597</v>
      </c>
    </row>
    <row r="740" spans="5:14" x14ac:dyDescent="0.2">
      <c r="E740" s="6"/>
      <c r="N740" s="4" t="s">
        <v>1617</v>
      </c>
    </row>
    <row r="741" spans="5:14" x14ac:dyDescent="0.2">
      <c r="E741" s="6"/>
      <c r="N741" s="4" t="s">
        <v>688</v>
      </c>
    </row>
    <row r="742" spans="5:14" x14ac:dyDescent="0.2">
      <c r="E742" s="6"/>
      <c r="N742" s="4" t="s">
        <v>1282</v>
      </c>
    </row>
    <row r="743" spans="5:14" x14ac:dyDescent="0.2">
      <c r="E743" s="6"/>
      <c r="N743" s="4" t="s">
        <v>1605</v>
      </c>
    </row>
    <row r="744" spans="5:14" x14ac:dyDescent="0.2">
      <c r="E744" s="6"/>
      <c r="N744" s="4" t="s">
        <v>1672</v>
      </c>
    </row>
    <row r="745" spans="5:14" x14ac:dyDescent="0.2">
      <c r="E745" s="6"/>
      <c r="N745" s="4" t="s">
        <v>1632</v>
      </c>
    </row>
    <row r="746" spans="5:14" x14ac:dyDescent="0.2">
      <c r="E746" s="6"/>
      <c r="N746" s="4" t="s">
        <v>1350</v>
      </c>
    </row>
    <row r="747" spans="5:14" x14ac:dyDescent="0.2">
      <c r="E747" s="6"/>
      <c r="N747" s="4" t="s">
        <v>1265</v>
      </c>
    </row>
    <row r="748" spans="5:14" x14ac:dyDescent="0.2">
      <c r="E748" s="6"/>
      <c r="N748" s="4" t="s">
        <v>1079</v>
      </c>
    </row>
    <row r="749" spans="5:14" x14ac:dyDescent="0.2">
      <c r="E749" s="6"/>
      <c r="N749" s="4" t="s">
        <v>1173</v>
      </c>
    </row>
    <row r="750" spans="5:14" x14ac:dyDescent="0.2">
      <c r="E750" s="6"/>
      <c r="N750" s="4" t="s">
        <v>1625</v>
      </c>
    </row>
    <row r="751" spans="5:14" x14ac:dyDescent="0.2">
      <c r="E751" s="6"/>
      <c r="N751" s="4" t="s">
        <v>829</v>
      </c>
    </row>
    <row r="752" spans="5:14" x14ac:dyDescent="0.2">
      <c r="E752" s="6"/>
      <c r="N752" s="4" t="s">
        <v>836</v>
      </c>
    </row>
    <row r="753" spans="5:14" x14ac:dyDescent="0.2">
      <c r="E753" s="6"/>
      <c r="N753" s="4" t="s">
        <v>736</v>
      </c>
    </row>
    <row r="754" spans="5:14" x14ac:dyDescent="0.2">
      <c r="E754" s="6"/>
      <c r="N754" s="4" t="s">
        <v>821</v>
      </c>
    </row>
    <row r="755" spans="5:14" x14ac:dyDescent="0.2">
      <c r="E755" s="6"/>
      <c r="N755" s="4" t="s">
        <v>644</v>
      </c>
    </row>
    <row r="756" spans="5:14" x14ac:dyDescent="0.2">
      <c r="E756" s="6"/>
      <c r="N756" s="4" t="s">
        <v>673</v>
      </c>
    </row>
    <row r="757" spans="5:14" x14ac:dyDescent="0.2">
      <c r="E757" s="6"/>
      <c r="N757" s="4" t="s">
        <v>654</v>
      </c>
    </row>
    <row r="758" spans="5:14" x14ac:dyDescent="0.2">
      <c r="E758" s="6"/>
      <c r="N758" s="4" t="s">
        <v>635</v>
      </c>
    </row>
    <row r="759" spans="5:14" x14ac:dyDescent="0.2">
      <c r="E759" s="6"/>
      <c r="N759" s="4" t="s">
        <v>1718</v>
      </c>
    </row>
    <row r="760" spans="5:14" x14ac:dyDescent="0.2">
      <c r="E760" s="6"/>
      <c r="N760" s="4" t="s">
        <v>1324</v>
      </c>
    </row>
    <row r="761" spans="5:14" x14ac:dyDescent="0.2">
      <c r="E761" s="6"/>
      <c r="N761" s="4" t="s">
        <v>516</v>
      </c>
    </row>
    <row r="762" spans="5:14" x14ac:dyDescent="0.2">
      <c r="E762" s="6"/>
      <c r="N762" s="4" t="s">
        <v>368</v>
      </c>
    </row>
    <row r="763" spans="5:14" x14ac:dyDescent="0.2">
      <c r="E763" s="6"/>
      <c r="N763" s="4" t="s">
        <v>269</v>
      </c>
    </row>
    <row r="764" spans="5:14" x14ac:dyDescent="0.2">
      <c r="E764" s="6"/>
      <c r="N764" s="4" t="s">
        <v>1630</v>
      </c>
    </row>
    <row r="765" spans="5:14" x14ac:dyDescent="0.2">
      <c r="E765" s="6"/>
      <c r="N765" s="4" t="s">
        <v>525</v>
      </c>
    </row>
    <row r="766" spans="5:14" x14ac:dyDescent="0.2">
      <c r="E766" s="6"/>
      <c r="N766" s="4" t="s">
        <v>370</v>
      </c>
    </row>
    <row r="767" spans="5:14" x14ac:dyDescent="0.2">
      <c r="E767" s="6"/>
      <c r="N767" s="4" t="s">
        <v>1336</v>
      </c>
    </row>
    <row r="768" spans="5:14" x14ac:dyDescent="0.2">
      <c r="E768" s="6"/>
      <c r="N768" s="4" t="s">
        <v>785</v>
      </c>
    </row>
    <row r="769" spans="5:14" x14ac:dyDescent="0.2">
      <c r="E769" s="6"/>
      <c r="N769" s="4" t="s">
        <v>1714</v>
      </c>
    </row>
    <row r="770" spans="5:14" x14ac:dyDescent="0.2">
      <c r="E770" s="6"/>
      <c r="N770" s="4" t="s">
        <v>1272</v>
      </c>
    </row>
    <row r="771" spans="5:14" x14ac:dyDescent="0.2">
      <c r="E771" s="6"/>
      <c r="N771" s="4" t="s">
        <v>820</v>
      </c>
    </row>
    <row r="772" spans="5:14" x14ac:dyDescent="0.2">
      <c r="E772" s="6"/>
      <c r="N772" s="4" t="s">
        <v>242</v>
      </c>
    </row>
    <row r="773" spans="5:14" x14ac:dyDescent="0.2">
      <c r="E773" s="6"/>
      <c r="N773" s="4" t="s">
        <v>1281</v>
      </c>
    </row>
    <row r="774" spans="5:14" x14ac:dyDescent="0.2">
      <c r="E774" s="6"/>
      <c r="N774" s="4" t="s">
        <v>1678</v>
      </c>
    </row>
    <row r="775" spans="5:14" x14ac:dyDescent="0.2">
      <c r="E775" s="6"/>
      <c r="N775" s="4" t="s">
        <v>1316</v>
      </c>
    </row>
    <row r="776" spans="5:14" x14ac:dyDescent="0.2">
      <c r="E776" s="6"/>
      <c r="N776" s="4" t="s">
        <v>1602</v>
      </c>
    </row>
    <row r="777" spans="5:14" x14ac:dyDescent="0.2">
      <c r="E777" s="6"/>
      <c r="N777" s="4" t="s">
        <v>1263</v>
      </c>
    </row>
    <row r="778" spans="5:14" x14ac:dyDescent="0.2">
      <c r="E778" s="6"/>
      <c r="N778" s="4" t="s">
        <v>528</v>
      </c>
    </row>
    <row r="779" spans="5:14" x14ac:dyDescent="0.2">
      <c r="E779" s="6"/>
      <c r="N779" s="4" t="s">
        <v>529</v>
      </c>
    </row>
    <row r="780" spans="5:14" x14ac:dyDescent="0.2">
      <c r="E780" s="6"/>
      <c r="N780" s="4" t="s">
        <v>1304</v>
      </c>
    </row>
    <row r="781" spans="5:14" x14ac:dyDescent="0.2">
      <c r="E781" s="6"/>
      <c r="N781" s="4" t="s">
        <v>1379</v>
      </c>
    </row>
    <row r="782" spans="5:14" x14ac:dyDescent="0.2">
      <c r="E782" s="6"/>
      <c r="N782" s="4" t="s">
        <v>1290</v>
      </c>
    </row>
    <row r="783" spans="5:14" x14ac:dyDescent="0.2">
      <c r="E783" s="6"/>
      <c r="N783" s="4" t="s">
        <v>1187</v>
      </c>
    </row>
    <row r="784" spans="5:14" x14ac:dyDescent="0.2">
      <c r="E784" s="6"/>
      <c r="N784" s="4" t="s">
        <v>1771</v>
      </c>
    </row>
    <row r="785" spans="5:14" x14ac:dyDescent="0.2">
      <c r="E785" s="6"/>
      <c r="N785" s="4" t="s">
        <v>1603</v>
      </c>
    </row>
    <row r="786" spans="5:14" x14ac:dyDescent="0.2">
      <c r="E786" s="6"/>
      <c r="N786" s="4" t="s">
        <v>667</v>
      </c>
    </row>
    <row r="787" spans="5:14" x14ac:dyDescent="0.2">
      <c r="E787" s="6"/>
      <c r="N787" s="4" t="s">
        <v>1230</v>
      </c>
    </row>
    <row r="788" spans="5:14" x14ac:dyDescent="0.2">
      <c r="E788" s="6"/>
      <c r="N788" s="4" t="s">
        <v>744</v>
      </c>
    </row>
    <row r="789" spans="5:14" x14ac:dyDescent="0.2">
      <c r="E789" s="6"/>
      <c r="N789" s="4" t="s">
        <v>1601</v>
      </c>
    </row>
    <row r="790" spans="5:14" x14ac:dyDescent="0.2">
      <c r="E790" s="6"/>
      <c r="N790" s="4" t="s">
        <v>1619</v>
      </c>
    </row>
    <row r="791" spans="5:14" x14ac:dyDescent="0.2">
      <c r="E791" s="6"/>
      <c r="N791" s="4" t="s">
        <v>911</v>
      </c>
    </row>
    <row r="792" spans="5:14" x14ac:dyDescent="0.2">
      <c r="E792" s="6"/>
      <c r="N792" s="4" t="s">
        <v>1779</v>
      </c>
    </row>
    <row r="793" spans="5:14" x14ac:dyDescent="0.2">
      <c r="E793" s="6"/>
      <c r="N793" s="4" t="s">
        <v>247</v>
      </c>
    </row>
    <row r="794" spans="5:14" x14ac:dyDescent="0.2">
      <c r="E794" s="6"/>
      <c r="N794" s="4" t="s">
        <v>1117</v>
      </c>
    </row>
    <row r="795" spans="5:14" x14ac:dyDescent="0.2">
      <c r="E795" s="6"/>
      <c r="N795" s="4" t="s">
        <v>538</v>
      </c>
    </row>
    <row r="796" spans="5:14" x14ac:dyDescent="0.2">
      <c r="E796" s="6"/>
      <c r="N796" s="4" t="s">
        <v>1748</v>
      </c>
    </row>
    <row r="797" spans="5:14" x14ac:dyDescent="0.2">
      <c r="E797" s="6"/>
      <c r="N797" s="4" t="s">
        <v>1122</v>
      </c>
    </row>
    <row r="798" spans="5:14" x14ac:dyDescent="0.2">
      <c r="E798" s="6"/>
      <c r="N798" s="4" t="s">
        <v>1341</v>
      </c>
    </row>
    <row r="799" spans="5:14" x14ac:dyDescent="0.2">
      <c r="E799" s="6"/>
      <c r="N799" s="4" t="s">
        <v>801</v>
      </c>
    </row>
    <row r="800" spans="5:14" x14ac:dyDescent="0.2">
      <c r="E800" s="6"/>
      <c r="N800" s="4" t="s">
        <v>534</v>
      </c>
    </row>
    <row r="801" spans="5:14" x14ac:dyDescent="0.2">
      <c r="E801" s="6"/>
      <c r="N801" s="4" t="s">
        <v>1728</v>
      </c>
    </row>
    <row r="802" spans="5:14" x14ac:dyDescent="0.2">
      <c r="E802" s="6"/>
      <c r="N802" s="4" t="s">
        <v>1653</v>
      </c>
    </row>
    <row r="803" spans="5:14" x14ac:dyDescent="0.2">
      <c r="E803" s="6"/>
      <c r="N803" s="4" t="s">
        <v>541</v>
      </c>
    </row>
    <row r="804" spans="5:14" x14ac:dyDescent="0.2">
      <c r="E804" s="6"/>
      <c r="N804" s="4" t="s">
        <v>1640</v>
      </c>
    </row>
    <row r="805" spans="5:14" x14ac:dyDescent="0.2">
      <c r="E805" s="6"/>
      <c r="N805" s="4" t="s">
        <v>645</v>
      </c>
    </row>
    <row r="806" spans="5:14" x14ac:dyDescent="0.2">
      <c r="E806" s="6"/>
      <c r="N806" s="4" t="s">
        <v>861</v>
      </c>
    </row>
    <row r="807" spans="5:14" x14ac:dyDescent="0.2">
      <c r="E807" s="6"/>
      <c r="N807" s="4" t="s">
        <v>855</v>
      </c>
    </row>
    <row r="808" spans="5:14" x14ac:dyDescent="0.2">
      <c r="E808" s="6"/>
      <c r="N808" s="4" t="s">
        <v>1712</v>
      </c>
    </row>
    <row r="809" spans="5:14" x14ac:dyDescent="0.2">
      <c r="E809" s="6"/>
      <c r="N809" s="4" t="s">
        <v>1580</v>
      </c>
    </row>
    <row r="810" spans="5:14" x14ac:dyDescent="0.2">
      <c r="E810" s="6"/>
      <c r="N810" s="4" t="s">
        <v>720</v>
      </c>
    </row>
    <row r="811" spans="5:14" x14ac:dyDescent="0.2">
      <c r="E811" s="6"/>
      <c r="N811" s="4" t="s">
        <v>669</v>
      </c>
    </row>
    <row r="812" spans="5:14" x14ac:dyDescent="0.2">
      <c r="E812" s="6"/>
      <c r="N812" s="4" t="s">
        <v>1664</v>
      </c>
    </row>
    <row r="813" spans="5:14" x14ac:dyDescent="0.2">
      <c r="E813" s="6"/>
      <c r="N813" s="4" t="s">
        <v>1037</v>
      </c>
    </row>
    <row r="814" spans="5:14" x14ac:dyDescent="0.2">
      <c r="E814" s="6"/>
      <c r="N814" s="4" t="s">
        <v>1381</v>
      </c>
    </row>
    <row r="815" spans="5:14" x14ac:dyDescent="0.2">
      <c r="E815" s="6"/>
      <c r="N815" s="4" t="s">
        <v>547</v>
      </c>
    </row>
    <row r="816" spans="5:14" x14ac:dyDescent="0.2">
      <c r="E816" s="6"/>
      <c r="N816" s="4" t="s">
        <v>1359</v>
      </c>
    </row>
    <row r="817" spans="5:14" x14ac:dyDescent="0.2">
      <c r="E817" s="6"/>
      <c r="N817" s="4" t="s">
        <v>1099</v>
      </c>
    </row>
    <row r="818" spans="5:14" x14ac:dyDescent="0.2">
      <c r="E818" s="6"/>
      <c r="N818" s="4" t="s">
        <v>1077</v>
      </c>
    </row>
    <row r="819" spans="5:14" x14ac:dyDescent="0.2">
      <c r="E819" s="6"/>
      <c r="N819" s="4" t="s">
        <v>549</v>
      </c>
    </row>
    <row r="820" spans="5:14" x14ac:dyDescent="0.2">
      <c r="E820" s="6"/>
      <c r="N820" s="4" t="s">
        <v>634</v>
      </c>
    </row>
    <row r="821" spans="5:14" x14ac:dyDescent="0.2">
      <c r="E821" s="6"/>
      <c r="N821" s="4" t="s">
        <v>378</v>
      </c>
    </row>
    <row r="822" spans="5:14" x14ac:dyDescent="0.2">
      <c r="E822" s="6"/>
      <c r="N822" s="4" t="s">
        <v>1768</v>
      </c>
    </row>
    <row r="823" spans="5:14" x14ac:dyDescent="0.2">
      <c r="E823" s="6"/>
      <c r="N823" s="4" t="s">
        <v>550</v>
      </c>
    </row>
    <row r="824" spans="5:14" x14ac:dyDescent="0.2">
      <c r="E824" s="6"/>
      <c r="N824" s="4" t="s">
        <v>1344</v>
      </c>
    </row>
    <row r="825" spans="5:14" x14ac:dyDescent="0.2">
      <c r="E825" s="6"/>
      <c r="N825" s="4" t="s">
        <v>980</v>
      </c>
    </row>
    <row r="826" spans="5:14" x14ac:dyDescent="0.2">
      <c r="E826" s="6"/>
      <c r="N826" s="4" t="s">
        <v>1302</v>
      </c>
    </row>
    <row r="827" spans="5:14" x14ac:dyDescent="0.2">
      <c r="E827" s="6"/>
      <c r="N827" s="4" t="s">
        <v>1148</v>
      </c>
    </row>
    <row r="828" spans="5:14" x14ac:dyDescent="0.2">
      <c r="E828" s="6"/>
      <c r="N828" s="4" t="s">
        <v>1354</v>
      </c>
    </row>
    <row r="829" spans="5:14" x14ac:dyDescent="0.2">
      <c r="E829" s="6"/>
      <c r="N829" s="4" t="s">
        <v>705</v>
      </c>
    </row>
    <row r="830" spans="5:14" x14ac:dyDescent="0.2">
      <c r="E830" s="6"/>
      <c r="N830" s="4" t="s">
        <v>1328</v>
      </c>
    </row>
    <row r="831" spans="5:14" x14ac:dyDescent="0.2">
      <c r="E831" s="6"/>
      <c r="N831" s="4" t="s">
        <v>1291</v>
      </c>
    </row>
    <row r="832" spans="5:14" x14ac:dyDescent="0.2">
      <c r="E832" s="6"/>
      <c r="N832" s="4" t="s">
        <v>1278</v>
      </c>
    </row>
    <row r="833" spans="5:14" x14ac:dyDescent="0.2">
      <c r="E833" s="6"/>
      <c r="N833" s="4" t="s">
        <v>1219</v>
      </c>
    </row>
    <row r="834" spans="5:14" x14ac:dyDescent="0.2">
      <c r="E834" s="6"/>
      <c r="N834" s="4" t="s">
        <v>1094</v>
      </c>
    </row>
    <row r="835" spans="5:14" x14ac:dyDescent="0.2">
      <c r="E835" s="6"/>
      <c r="N835" s="4" t="s">
        <v>1269</v>
      </c>
    </row>
    <row r="836" spans="5:14" x14ac:dyDescent="0.2">
      <c r="E836" s="6"/>
      <c r="N836" s="4" t="s">
        <v>382</v>
      </c>
    </row>
    <row r="837" spans="5:14" x14ac:dyDescent="0.2">
      <c r="E837" s="6"/>
      <c r="N837" s="4" t="s">
        <v>828</v>
      </c>
    </row>
    <row r="838" spans="5:14" x14ac:dyDescent="0.2">
      <c r="E838" s="6"/>
      <c r="N838" s="4" t="s">
        <v>817</v>
      </c>
    </row>
    <row r="839" spans="5:14" x14ac:dyDescent="0.2">
      <c r="E839" s="6"/>
      <c r="N839" s="4" t="s">
        <v>1352</v>
      </c>
    </row>
    <row r="840" spans="5:14" x14ac:dyDescent="0.2">
      <c r="E840" s="6"/>
      <c r="N840" s="4" t="s">
        <v>871</v>
      </c>
    </row>
    <row r="841" spans="5:14" x14ac:dyDescent="0.2">
      <c r="E841" s="6"/>
      <c r="N841" s="4" t="s">
        <v>1329</v>
      </c>
    </row>
    <row r="842" spans="5:14" x14ac:dyDescent="0.2">
      <c r="E842" s="6"/>
      <c r="N842" s="4" t="s">
        <v>386</v>
      </c>
    </row>
    <row r="843" spans="5:14" x14ac:dyDescent="0.2">
      <c r="E843" s="6"/>
      <c r="N843" s="4" t="s">
        <v>713</v>
      </c>
    </row>
    <row r="844" spans="5:14" x14ac:dyDescent="0.2">
      <c r="E844" s="6"/>
      <c r="N844" s="4" t="s">
        <v>707</v>
      </c>
    </row>
    <row r="845" spans="5:14" x14ac:dyDescent="0.2">
      <c r="E845" s="6"/>
      <c r="N845" s="4" t="s">
        <v>388</v>
      </c>
    </row>
    <row r="846" spans="5:14" x14ac:dyDescent="0.2">
      <c r="E846" s="6"/>
      <c r="N846" s="4" t="s">
        <v>1107</v>
      </c>
    </row>
    <row r="847" spans="5:14" x14ac:dyDescent="0.2">
      <c r="E847" s="6"/>
      <c r="N847" s="4" t="s">
        <v>1668</v>
      </c>
    </row>
    <row r="848" spans="5:14" x14ac:dyDescent="0.2">
      <c r="E848" s="6"/>
      <c r="N848" s="4" t="s">
        <v>1170</v>
      </c>
    </row>
    <row r="849" spans="5:14" x14ac:dyDescent="0.2">
      <c r="E849" s="6"/>
      <c r="N849" s="4" t="s">
        <v>1277</v>
      </c>
    </row>
    <row r="850" spans="5:14" x14ac:dyDescent="0.2">
      <c r="E850" s="6"/>
      <c r="N850" s="4" t="s">
        <v>104</v>
      </c>
    </row>
    <row r="851" spans="5:14" x14ac:dyDescent="0.2">
      <c r="E851" s="6"/>
      <c r="N851" s="4" t="s">
        <v>111</v>
      </c>
    </row>
    <row r="852" spans="5:14" x14ac:dyDescent="0.2">
      <c r="E852" s="6"/>
      <c r="N852" s="4" t="s">
        <v>878</v>
      </c>
    </row>
    <row r="853" spans="5:14" x14ac:dyDescent="0.2">
      <c r="E853" s="6"/>
      <c r="N853" s="4" t="s">
        <v>674</v>
      </c>
    </row>
    <row r="854" spans="5:14" x14ac:dyDescent="0.2">
      <c r="E854" s="6"/>
      <c r="N854" s="4" t="s">
        <v>303</v>
      </c>
    </row>
    <row r="855" spans="5:14" x14ac:dyDescent="0.2">
      <c r="E855" s="6"/>
      <c r="N855" s="4" t="s">
        <v>392</v>
      </c>
    </row>
    <row r="856" spans="5:14" x14ac:dyDescent="0.2">
      <c r="E856" s="6"/>
      <c r="N856" s="4" t="s">
        <v>700</v>
      </c>
    </row>
    <row r="857" spans="5:14" x14ac:dyDescent="0.2">
      <c r="E857" s="6"/>
      <c r="N857" s="1"/>
    </row>
    <row r="858" spans="5:14" x14ac:dyDescent="0.2">
      <c r="E858" s="6"/>
      <c r="N858" s="1"/>
    </row>
    <row r="859" spans="5:14" x14ac:dyDescent="0.2">
      <c r="E859" s="6"/>
      <c r="N859" s="1"/>
    </row>
    <row r="860" spans="5:14" x14ac:dyDescent="0.2">
      <c r="E860" s="6"/>
      <c r="N860" s="1"/>
    </row>
    <row r="861" spans="5:14" x14ac:dyDescent="0.2">
      <c r="E861" s="6"/>
      <c r="N861" s="1"/>
    </row>
    <row r="862" spans="5:14" x14ac:dyDescent="0.2">
      <c r="E862" s="6"/>
      <c r="N862" s="1"/>
    </row>
    <row r="863" spans="5:14" x14ac:dyDescent="0.2">
      <c r="E863" s="6"/>
      <c r="N863" s="1"/>
    </row>
    <row r="864" spans="5:14" x14ac:dyDescent="0.2">
      <c r="E864" s="6"/>
      <c r="N864" s="1"/>
    </row>
    <row r="865" spans="5:14" x14ac:dyDescent="0.2">
      <c r="E865" s="6"/>
      <c r="N865" s="1"/>
    </row>
    <row r="866" spans="5:14" x14ac:dyDescent="0.2">
      <c r="E866" s="6"/>
      <c r="N866" s="1"/>
    </row>
    <row r="867" spans="5:14" x14ac:dyDescent="0.2">
      <c r="E867" s="6"/>
      <c r="N867" s="1"/>
    </row>
    <row r="868" spans="5:14" x14ac:dyDescent="0.2">
      <c r="E868" s="6"/>
      <c r="N868" s="1"/>
    </row>
    <row r="869" spans="5:14" x14ac:dyDescent="0.2">
      <c r="E869" s="6"/>
      <c r="N869" s="1"/>
    </row>
    <row r="870" spans="5:14" x14ac:dyDescent="0.2">
      <c r="E870" s="6"/>
      <c r="N870" s="1"/>
    </row>
    <row r="871" spans="5:14" x14ac:dyDescent="0.2">
      <c r="E871" s="6"/>
      <c r="N871" s="1"/>
    </row>
    <row r="872" spans="5:14" x14ac:dyDescent="0.2">
      <c r="E872" s="6"/>
      <c r="N872" s="1"/>
    </row>
    <row r="873" spans="5:14" x14ac:dyDescent="0.2">
      <c r="E873" s="6"/>
      <c r="N873" s="1"/>
    </row>
    <row r="874" spans="5:14" x14ac:dyDescent="0.2">
      <c r="E874" s="6"/>
      <c r="N874" s="1"/>
    </row>
    <row r="875" spans="5:14" x14ac:dyDescent="0.2">
      <c r="E875" s="6"/>
      <c r="N875" s="1"/>
    </row>
    <row r="876" spans="5:14" x14ac:dyDescent="0.2">
      <c r="E876" s="6"/>
      <c r="N876" s="1"/>
    </row>
    <row r="877" spans="5:14" x14ac:dyDescent="0.2">
      <c r="E877" s="6"/>
      <c r="N877" s="1"/>
    </row>
    <row r="878" spans="5:14" x14ac:dyDescent="0.2">
      <c r="E878" s="6"/>
      <c r="N878" s="2"/>
    </row>
    <row r="879" spans="5:14" x14ac:dyDescent="0.2">
      <c r="E879" s="6"/>
      <c r="N879" s="1"/>
    </row>
    <row r="880" spans="5:14" x14ac:dyDescent="0.2">
      <c r="E880" s="6"/>
      <c r="N880" s="1"/>
    </row>
    <row r="881" spans="5:14" x14ac:dyDescent="0.2">
      <c r="E881" s="6"/>
      <c r="N881" s="2"/>
    </row>
    <row r="882" spans="5:14" x14ac:dyDescent="0.2">
      <c r="E882" s="6"/>
      <c r="N882" s="2"/>
    </row>
    <row r="883" spans="5:14" x14ac:dyDescent="0.2">
      <c r="E883" s="6"/>
      <c r="N883" s="2"/>
    </row>
    <row r="884" spans="5:14" x14ac:dyDescent="0.2">
      <c r="E884" s="6"/>
      <c r="N884" s="2"/>
    </row>
    <row r="885" spans="5:14" x14ac:dyDescent="0.2">
      <c r="E885" s="6"/>
      <c r="N885" s="2"/>
    </row>
    <row r="886" spans="5:14" x14ac:dyDescent="0.2">
      <c r="E886" s="6"/>
      <c r="N886" s="2"/>
    </row>
    <row r="887" spans="5:14" x14ac:dyDescent="0.2">
      <c r="E887" s="6"/>
      <c r="N887" s="2"/>
    </row>
    <row r="888" spans="5:14" x14ac:dyDescent="0.2">
      <c r="E888" s="6"/>
      <c r="N888" s="2"/>
    </row>
    <row r="889" spans="5:14" x14ac:dyDescent="0.2">
      <c r="E889" s="6"/>
      <c r="N889" s="2"/>
    </row>
    <row r="890" spans="5:14" x14ac:dyDescent="0.2">
      <c r="E890" s="6"/>
      <c r="N890" s="2"/>
    </row>
    <row r="891" spans="5:14" x14ac:dyDescent="0.2">
      <c r="E891" s="6"/>
      <c r="N891" s="2"/>
    </row>
    <row r="892" spans="5:14" x14ac:dyDescent="0.2">
      <c r="E892" s="6"/>
      <c r="N892" s="2"/>
    </row>
    <row r="893" spans="5:14" x14ac:dyDescent="0.2">
      <c r="E893" s="6"/>
      <c r="N893" s="2"/>
    </row>
    <row r="894" spans="5:14" x14ac:dyDescent="0.2">
      <c r="E894" s="6"/>
      <c r="N894" s="2"/>
    </row>
    <row r="895" spans="5:14" x14ac:dyDescent="0.2">
      <c r="E895" s="6"/>
      <c r="N895" s="2"/>
    </row>
    <row r="896" spans="5:14" x14ac:dyDescent="0.2">
      <c r="E896" s="6"/>
      <c r="N896" s="2"/>
    </row>
    <row r="897" spans="5:14" x14ac:dyDescent="0.2">
      <c r="E897" s="6"/>
      <c r="N897" s="1"/>
    </row>
    <row r="898" spans="5:14" x14ac:dyDescent="0.2">
      <c r="E898" s="6"/>
      <c r="N898" s="2"/>
    </row>
    <row r="899" spans="5:14" x14ac:dyDescent="0.2">
      <c r="E899" s="6"/>
      <c r="N899" s="2"/>
    </row>
    <row r="900" spans="5:14" x14ac:dyDescent="0.2">
      <c r="E900" s="6"/>
      <c r="N900" s="2"/>
    </row>
    <row r="901" spans="5:14" x14ac:dyDescent="0.2">
      <c r="E901" s="6"/>
      <c r="N901" s="1"/>
    </row>
    <row r="902" spans="5:14" x14ac:dyDescent="0.2">
      <c r="E902" s="6"/>
      <c r="N902" s="1"/>
    </row>
    <row r="903" spans="5:14" x14ac:dyDescent="0.2">
      <c r="E903" s="6"/>
      <c r="N903" s="2"/>
    </row>
    <row r="904" spans="5:14" x14ac:dyDescent="0.2">
      <c r="E904" s="6"/>
      <c r="N904" s="1"/>
    </row>
    <row r="905" spans="5:14" x14ac:dyDescent="0.2">
      <c r="E905" s="6"/>
      <c r="N905" s="2"/>
    </row>
    <row r="906" spans="5:14" x14ac:dyDescent="0.2">
      <c r="E906" s="6"/>
      <c r="N906" s="2"/>
    </row>
    <row r="907" spans="5:14" x14ac:dyDescent="0.2">
      <c r="E907" s="6"/>
      <c r="N907" s="2"/>
    </row>
    <row r="908" spans="5:14" x14ac:dyDescent="0.2">
      <c r="E908" s="6"/>
      <c r="N908" s="2"/>
    </row>
    <row r="909" spans="5:14" x14ac:dyDescent="0.2">
      <c r="E909" s="6"/>
      <c r="N909" s="2"/>
    </row>
    <row r="910" spans="5:14" x14ac:dyDescent="0.2">
      <c r="E910" s="6"/>
      <c r="N910" s="1"/>
    </row>
    <row r="911" spans="5:14" x14ac:dyDescent="0.2">
      <c r="E911" s="6"/>
      <c r="N911" s="2"/>
    </row>
    <row r="912" spans="5:14" x14ac:dyDescent="0.2">
      <c r="E912" s="6"/>
      <c r="N912" s="2"/>
    </row>
    <row r="913" spans="5:14" x14ac:dyDescent="0.2">
      <c r="E913" s="6"/>
      <c r="N913" s="2"/>
    </row>
    <row r="914" spans="5:14" x14ac:dyDescent="0.2">
      <c r="E914" s="6"/>
      <c r="N914" s="2"/>
    </row>
    <row r="915" spans="5:14" x14ac:dyDescent="0.2">
      <c r="E915" s="6"/>
      <c r="N915" s="2"/>
    </row>
    <row r="916" spans="5:14" x14ac:dyDescent="0.2">
      <c r="E916" s="6"/>
      <c r="N916" s="2"/>
    </row>
    <row r="917" spans="5:14" x14ac:dyDescent="0.2">
      <c r="E917" s="6"/>
      <c r="N917" s="2"/>
    </row>
    <row r="918" spans="5:14" x14ac:dyDescent="0.2">
      <c r="E918" s="6"/>
      <c r="N918" s="2"/>
    </row>
    <row r="919" spans="5:14" x14ac:dyDescent="0.2">
      <c r="E919" s="6"/>
      <c r="N919" s="1"/>
    </row>
    <row r="920" spans="5:14" x14ac:dyDescent="0.2">
      <c r="E920" s="6"/>
      <c r="N920" s="2"/>
    </row>
    <row r="921" spans="5:14" x14ac:dyDescent="0.2">
      <c r="E921" s="6"/>
      <c r="N921" s="2"/>
    </row>
    <row r="922" spans="5:14" x14ac:dyDescent="0.2">
      <c r="E922" s="6"/>
      <c r="N922" s="2"/>
    </row>
    <row r="923" spans="5:14" x14ac:dyDescent="0.2">
      <c r="E923" s="6"/>
      <c r="N923" s="2"/>
    </row>
    <row r="924" spans="5:14" x14ac:dyDescent="0.2">
      <c r="E924" s="6"/>
      <c r="N924" s="1"/>
    </row>
    <row r="925" spans="5:14" x14ac:dyDescent="0.2">
      <c r="E925" s="6"/>
      <c r="N925" s="2"/>
    </row>
    <row r="926" spans="5:14" x14ac:dyDescent="0.2">
      <c r="E926" s="6"/>
      <c r="N926" s="1"/>
    </row>
    <row r="927" spans="5:14" x14ac:dyDescent="0.2">
      <c r="E927" s="6"/>
      <c r="N927" s="2"/>
    </row>
    <row r="928" spans="5:14" x14ac:dyDescent="0.2">
      <c r="E928" s="6"/>
      <c r="N928" s="2"/>
    </row>
    <row r="929" spans="5:14" x14ac:dyDescent="0.2">
      <c r="E929" s="6"/>
      <c r="N929" s="1"/>
    </row>
    <row r="930" spans="5:14" x14ac:dyDescent="0.2">
      <c r="E930" s="6"/>
      <c r="N930" s="2"/>
    </row>
    <row r="931" spans="5:14" x14ac:dyDescent="0.2">
      <c r="E931" s="6"/>
      <c r="N931" s="2"/>
    </row>
    <row r="932" spans="5:14" x14ac:dyDescent="0.2">
      <c r="E932" s="6"/>
      <c r="N932" s="1"/>
    </row>
    <row r="933" spans="5:14" x14ac:dyDescent="0.2">
      <c r="E933" s="6"/>
      <c r="N933" s="1"/>
    </row>
    <row r="934" spans="5:14" x14ac:dyDescent="0.2">
      <c r="E934" s="6"/>
      <c r="N934" s="1"/>
    </row>
    <row r="935" spans="5:14" x14ac:dyDescent="0.2">
      <c r="E935" s="6"/>
      <c r="N935" s="2"/>
    </row>
    <row r="936" spans="5:14" x14ac:dyDescent="0.2">
      <c r="E936" s="6"/>
      <c r="N936" s="2"/>
    </row>
    <row r="937" spans="5:14" x14ac:dyDescent="0.2">
      <c r="E937" s="6"/>
      <c r="N937" s="2"/>
    </row>
    <row r="938" spans="5:14" x14ac:dyDescent="0.2">
      <c r="E938" s="6"/>
      <c r="N938" s="1"/>
    </row>
    <row r="939" spans="5:14" x14ac:dyDescent="0.2">
      <c r="E939" s="6"/>
      <c r="N939" s="2"/>
    </row>
    <row r="940" spans="5:14" x14ac:dyDescent="0.2">
      <c r="E940" s="6"/>
      <c r="N940" s="2"/>
    </row>
    <row r="941" spans="5:14" x14ac:dyDescent="0.2">
      <c r="E941" s="6"/>
      <c r="N941" s="1"/>
    </row>
    <row r="942" spans="5:14" x14ac:dyDescent="0.2">
      <c r="E942" s="6"/>
      <c r="N942" s="2"/>
    </row>
    <row r="943" spans="5:14" x14ac:dyDescent="0.2">
      <c r="E943" s="6"/>
      <c r="N943" s="2"/>
    </row>
    <row r="944" spans="5:14" x14ac:dyDescent="0.2">
      <c r="E944" s="6"/>
      <c r="N944" s="2"/>
    </row>
    <row r="945" spans="5:14" x14ac:dyDescent="0.2">
      <c r="E945" s="6"/>
      <c r="N945" s="2"/>
    </row>
    <row r="946" spans="5:14" x14ac:dyDescent="0.2">
      <c r="E946" s="6"/>
      <c r="N946" s="2"/>
    </row>
    <row r="947" spans="5:14" x14ac:dyDescent="0.2">
      <c r="E947" s="6"/>
      <c r="N947" s="2"/>
    </row>
    <row r="948" spans="5:14" x14ac:dyDescent="0.2">
      <c r="E948" s="6"/>
      <c r="N948" s="2"/>
    </row>
    <row r="949" spans="5:14" x14ac:dyDescent="0.2">
      <c r="E949" s="6"/>
      <c r="N949" s="2"/>
    </row>
    <row r="950" spans="5:14" x14ac:dyDescent="0.2">
      <c r="E950" s="6"/>
      <c r="N950" s="2"/>
    </row>
    <row r="951" spans="5:14" x14ac:dyDescent="0.2">
      <c r="E951" s="6"/>
      <c r="N951" s="2"/>
    </row>
    <row r="952" spans="5:14" x14ac:dyDescent="0.2">
      <c r="E952" s="6"/>
      <c r="N952" s="2"/>
    </row>
    <row r="953" spans="5:14" x14ac:dyDescent="0.2">
      <c r="E953" s="6"/>
      <c r="N953" s="2"/>
    </row>
    <row r="954" spans="5:14" x14ac:dyDescent="0.2">
      <c r="E954" s="6"/>
      <c r="N954" s="2"/>
    </row>
    <row r="955" spans="5:14" x14ac:dyDescent="0.2">
      <c r="E955" s="6"/>
      <c r="N955" s="2"/>
    </row>
    <row r="956" spans="5:14" x14ac:dyDescent="0.2">
      <c r="E956" s="6"/>
      <c r="N956" s="2"/>
    </row>
    <row r="957" spans="5:14" x14ac:dyDescent="0.2">
      <c r="E957" s="6"/>
      <c r="N957" s="2"/>
    </row>
    <row r="958" spans="5:14" x14ac:dyDescent="0.2">
      <c r="E958" s="6"/>
      <c r="N958" s="2"/>
    </row>
    <row r="959" spans="5:14" x14ac:dyDescent="0.2">
      <c r="E959" s="6"/>
      <c r="N959" s="1"/>
    </row>
    <row r="960" spans="5:14" x14ac:dyDescent="0.2">
      <c r="E960" s="6"/>
    </row>
    <row r="961" spans="5:5" x14ac:dyDescent="0.2">
      <c r="E961" s="6"/>
    </row>
    <row r="962" spans="5:5" x14ac:dyDescent="0.2">
      <c r="E962" s="6"/>
    </row>
    <row r="963" spans="5:5" x14ac:dyDescent="0.2">
      <c r="E963" s="6"/>
    </row>
    <row r="964" spans="5:5" x14ac:dyDescent="0.2">
      <c r="E964" s="6"/>
    </row>
    <row r="965" spans="5:5" x14ac:dyDescent="0.2">
      <c r="E965" s="6"/>
    </row>
    <row r="966" spans="5:5" x14ac:dyDescent="0.2">
      <c r="E966" s="6"/>
    </row>
    <row r="967" spans="5:5" x14ac:dyDescent="0.2">
      <c r="E967" s="6"/>
    </row>
    <row r="968" spans="5:5" x14ac:dyDescent="0.2">
      <c r="E968" s="6"/>
    </row>
    <row r="969" spans="5:5" x14ac:dyDescent="0.2">
      <c r="E969" s="6"/>
    </row>
    <row r="970" spans="5:5" x14ac:dyDescent="0.2">
      <c r="E970" s="6"/>
    </row>
    <row r="971" spans="5:5" x14ac:dyDescent="0.2">
      <c r="E971" s="6"/>
    </row>
    <row r="972" spans="5:5" x14ac:dyDescent="0.2">
      <c r="E972" s="6"/>
    </row>
    <row r="973" spans="5:5" x14ac:dyDescent="0.2">
      <c r="E973" s="6"/>
    </row>
    <row r="974" spans="5:5" x14ac:dyDescent="0.2">
      <c r="E974" s="6"/>
    </row>
    <row r="975" spans="5:5" x14ac:dyDescent="0.2">
      <c r="E975" s="6"/>
    </row>
    <row r="976" spans="5:5" x14ac:dyDescent="0.2">
      <c r="E976" s="6"/>
    </row>
    <row r="977" spans="5:5" x14ac:dyDescent="0.2">
      <c r="E977" s="6"/>
    </row>
    <row r="978" spans="5:5" x14ac:dyDescent="0.2">
      <c r="E978" s="6"/>
    </row>
    <row r="979" spans="5:5" x14ac:dyDescent="0.2">
      <c r="E979" s="6"/>
    </row>
    <row r="980" spans="5:5" x14ac:dyDescent="0.2">
      <c r="E980" s="6"/>
    </row>
    <row r="981" spans="5:5" x14ac:dyDescent="0.2">
      <c r="E981" s="6"/>
    </row>
    <row r="982" spans="5:5" x14ac:dyDescent="0.2">
      <c r="E982" s="6"/>
    </row>
    <row r="983" spans="5:5" x14ac:dyDescent="0.2">
      <c r="E983" s="6"/>
    </row>
    <row r="984" spans="5:5" x14ac:dyDescent="0.2">
      <c r="E984" s="6"/>
    </row>
    <row r="985" spans="5:5" x14ac:dyDescent="0.2">
      <c r="E985" s="6"/>
    </row>
    <row r="986" spans="5:5" x14ac:dyDescent="0.2">
      <c r="E986" s="6"/>
    </row>
    <row r="987" spans="5:5" x14ac:dyDescent="0.2">
      <c r="E987" s="6"/>
    </row>
    <row r="988" spans="5:5" x14ac:dyDescent="0.2">
      <c r="E988" s="6"/>
    </row>
    <row r="989" spans="5:5" x14ac:dyDescent="0.2">
      <c r="E989" s="6"/>
    </row>
    <row r="990" spans="5:5" x14ac:dyDescent="0.2">
      <c r="E990" s="6"/>
    </row>
    <row r="991" spans="5:5" x14ac:dyDescent="0.2">
      <c r="E991" s="6"/>
    </row>
    <row r="992" spans="5:5" x14ac:dyDescent="0.2">
      <c r="E992" s="6"/>
    </row>
    <row r="993" spans="5:5" x14ac:dyDescent="0.2">
      <c r="E993" s="6"/>
    </row>
    <row r="994" spans="5:5" x14ac:dyDescent="0.2">
      <c r="E994" s="6"/>
    </row>
    <row r="995" spans="5:5" x14ac:dyDescent="0.2">
      <c r="E995" s="6"/>
    </row>
    <row r="996" spans="5:5" x14ac:dyDescent="0.2">
      <c r="E996" s="6"/>
    </row>
    <row r="997" spans="5:5" x14ac:dyDescent="0.2">
      <c r="E997" s="6"/>
    </row>
    <row r="998" spans="5:5" x14ac:dyDescent="0.2">
      <c r="E998" s="6"/>
    </row>
    <row r="999" spans="5:5" x14ac:dyDescent="0.2">
      <c r="E999" s="6"/>
    </row>
    <row r="1000" spans="5:5" x14ac:dyDescent="0.2">
      <c r="E1000" s="6"/>
    </row>
    <row r="1001" spans="5:5" x14ac:dyDescent="0.2">
      <c r="E1001" s="6"/>
    </row>
    <row r="1002" spans="5:5" x14ac:dyDescent="0.2">
      <c r="E1002" s="6"/>
    </row>
    <row r="1003" spans="5:5" x14ac:dyDescent="0.2">
      <c r="E1003" s="6"/>
    </row>
    <row r="1004" spans="5:5" x14ac:dyDescent="0.2">
      <c r="E1004" s="6"/>
    </row>
    <row r="1005" spans="5:5" x14ac:dyDescent="0.2">
      <c r="E1005" s="6"/>
    </row>
    <row r="1006" spans="5:5" x14ac:dyDescent="0.2">
      <c r="E1006" s="6"/>
    </row>
    <row r="1007" spans="5:5" x14ac:dyDescent="0.2">
      <c r="E1007" s="6"/>
    </row>
    <row r="1008" spans="5:5" x14ac:dyDescent="0.2">
      <c r="E1008" s="6"/>
    </row>
    <row r="1009" spans="5:5" x14ac:dyDescent="0.2">
      <c r="E1009" s="6"/>
    </row>
    <row r="1010" spans="5:5" x14ac:dyDescent="0.2">
      <c r="E1010" s="6"/>
    </row>
    <row r="1011" spans="5:5" x14ac:dyDescent="0.2">
      <c r="E1011" s="6"/>
    </row>
    <row r="1012" spans="5:5" x14ac:dyDescent="0.2">
      <c r="E1012" s="6"/>
    </row>
    <row r="1013" spans="5:5" x14ac:dyDescent="0.2">
      <c r="E1013" s="6"/>
    </row>
    <row r="1014" spans="5:5" x14ac:dyDescent="0.2">
      <c r="E1014" s="6"/>
    </row>
    <row r="1015" spans="5:5" x14ac:dyDescent="0.2">
      <c r="E1015" s="6"/>
    </row>
    <row r="1016" spans="5:5" x14ac:dyDescent="0.2">
      <c r="E1016" s="6"/>
    </row>
    <row r="1017" spans="5:5" x14ac:dyDescent="0.2">
      <c r="E1017" s="6"/>
    </row>
    <row r="1018" spans="5:5" x14ac:dyDescent="0.2">
      <c r="E1018" s="6"/>
    </row>
    <row r="1019" spans="5:5" x14ac:dyDescent="0.2">
      <c r="E1019" s="6"/>
    </row>
    <row r="1020" spans="5:5" x14ac:dyDescent="0.2">
      <c r="E1020" s="6"/>
    </row>
    <row r="1021" spans="5:5" x14ac:dyDescent="0.2">
      <c r="E1021" s="6"/>
    </row>
    <row r="1022" spans="5:5" x14ac:dyDescent="0.2">
      <c r="E1022" s="6"/>
    </row>
    <row r="1023" spans="5:5" x14ac:dyDescent="0.2">
      <c r="E1023" s="6"/>
    </row>
    <row r="1024" spans="5:5" x14ac:dyDescent="0.2">
      <c r="E1024" s="6"/>
    </row>
    <row r="1025" spans="5:5" x14ac:dyDescent="0.2">
      <c r="E1025" s="6"/>
    </row>
    <row r="1026" spans="5:5" x14ac:dyDescent="0.2">
      <c r="E1026" s="6"/>
    </row>
    <row r="1027" spans="5:5" x14ac:dyDescent="0.2">
      <c r="E1027" s="6"/>
    </row>
    <row r="1028" spans="5:5" x14ac:dyDescent="0.2">
      <c r="E1028" s="6"/>
    </row>
    <row r="1029" spans="5:5" x14ac:dyDescent="0.2">
      <c r="E1029" s="6"/>
    </row>
    <row r="1030" spans="5:5" x14ac:dyDescent="0.2">
      <c r="E1030" s="6"/>
    </row>
    <row r="1031" spans="5:5" x14ac:dyDescent="0.2">
      <c r="E1031" s="6"/>
    </row>
    <row r="1032" spans="5:5" x14ac:dyDescent="0.2">
      <c r="E1032" s="6"/>
    </row>
    <row r="1033" spans="5:5" x14ac:dyDescent="0.2">
      <c r="E1033" s="6"/>
    </row>
    <row r="1034" spans="5:5" x14ac:dyDescent="0.2">
      <c r="E1034" s="6"/>
    </row>
    <row r="1035" spans="5:5" x14ac:dyDescent="0.2">
      <c r="E1035" s="6"/>
    </row>
    <row r="1036" spans="5:5" x14ac:dyDescent="0.2">
      <c r="E1036" s="6"/>
    </row>
    <row r="1037" spans="5:5" x14ac:dyDescent="0.2">
      <c r="E1037" s="6"/>
    </row>
    <row r="1038" spans="5:5" x14ac:dyDescent="0.2">
      <c r="E1038" s="6"/>
    </row>
    <row r="1039" spans="5:5" x14ac:dyDescent="0.2">
      <c r="E1039" s="6"/>
    </row>
    <row r="1040" spans="5:5" x14ac:dyDescent="0.2">
      <c r="E1040" s="6"/>
    </row>
    <row r="1041" spans="5:5" x14ac:dyDescent="0.2">
      <c r="E1041" s="6"/>
    </row>
    <row r="1042" spans="5:5" x14ac:dyDescent="0.2">
      <c r="E1042" s="6"/>
    </row>
    <row r="1043" spans="5:5" x14ac:dyDescent="0.2">
      <c r="E1043" s="6"/>
    </row>
    <row r="1044" spans="5:5" x14ac:dyDescent="0.2">
      <c r="E1044" s="6"/>
    </row>
    <row r="1045" spans="5:5" x14ac:dyDescent="0.2">
      <c r="E1045" s="6"/>
    </row>
    <row r="1046" spans="5:5" x14ac:dyDescent="0.2">
      <c r="E1046" s="6"/>
    </row>
    <row r="1047" spans="5:5" x14ac:dyDescent="0.2">
      <c r="E1047" s="6"/>
    </row>
    <row r="1048" spans="5:5" x14ac:dyDescent="0.2">
      <c r="E1048" s="6"/>
    </row>
    <row r="1049" spans="5:5" x14ac:dyDescent="0.2">
      <c r="E1049" s="6"/>
    </row>
    <row r="1050" spans="5:5" x14ac:dyDescent="0.2">
      <c r="E1050" s="6"/>
    </row>
    <row r="1051" spans="5:5" x14ac:dyDescent="0.2">
      <c r="E1051" s="6"/>
    </row>
    <row r="1052" spans="5:5" x14ac:dyDescent="0.2">
      <c r="E1052" s="6"/>
    </row>
    <row r="1053" spans="5:5" x14ac:dyDescent="0.2">
      <c r="E1053" s="6"/>
    </row>
    <row r="1054" spans="5:5" x14ac:dyDescent="0.2">
      <c r="E1054" s="6"/>
    </row>
    <row r="1055" spans="5:5" x14ac:dyDescent="0.2">
      <c r="E1055" s="6"/>
    </row>
    <row r="1056" spans="5:5" x14ac:dyDescent="0.2">
      <c r="E1056" s="6"/>
    </row>
    <row r="1057" spans="5:5" x14ac:dyDescent="0.2">
      <c r="E1057" s="6"/>
    </row>
    <row r="1058" spans="5:5" x14ac:dyDescent="0.2">
      <c r="E1058" s="6"/>
    </row>
    <row r="1059" spans="5:5" x14ac:dyDescent="0.2">
      <c r="E1059" s="6"/>
    </row>
    <row r="1060" spans="5:5" x14ac:dyDescent="0.2">
      <c r="E1060" s="6"/>
    </row>
    <row r="1061" spans="5:5" x14ac:dyDescent="0.2">
      <c r="E1061" s="6"/>
    </row>
    <row r="1062" spans="5:5" x14ac:dyDescent="0.2">
      <c r="E1062" s="6"/>
    </row>
    <row r="1063" spans="5:5" x14ac:dyDescent="0.2">
      <c r="E1063" s="6"/>
    </row>
    <row r="1064" spans="5:5" x14ac:dyDescent="0.2">
      <c r="E1064" s="6"/>
    </row>
    <row r="1065" spans="5:5" x14ac:dyDescent="0.2">
      <c r="E1065" s="6"/>
    </row>
    <row r="1066" spans="5:5" x14ac:dyDescent="0.2">
      <c r="E1066" s="6"/>
    </row>
    <row r="1067" spans="5:5" x14ac:dyDescent="0.2">
      <c r="E1067" s="6"/>
    </row>
    <row r="1068" spans="5:5" x14ac:dyDescent="0.2">
      <c r="E1068" s="6"/>
    </row>
    <row r="1069" spans="5:5" x14ac:dyDescent="0.2">
      <c r="E1069" s="6"/>
    </row>
    <row r="1070" spans="5:5" x14ac:dyDescent="0.2">
      <c r="E1070" s="6"/>
    </row>
    <row r="1071" spans="5:5" x14ac:dyDescent="0.2">
      <c r="E1071" s="6"/>
    </row>
    <row r="1072" spans="5:5" x14ac:dyDescent="0.2">
      <c r="E1072" s="6"/>
    </row>
    <row r="1073" spans="5:5" x14ac:dyDescent="0.2">
      <c r="E1073" s="6"/>
    </row>
    <row r="1074" spans="5:5" x14ac:dyDescent="0.2">
      <c r="E1074" s="6"/>
    </row>
    <row r="1075" spans="5:5" x14ac:dyDescent="0.2">
      <c r="E1075" s="6"/>
    </row>
    <row r="1076" spans="5:5" x14ac:dyDescent="0.2">
      <c r="E1076" s="6"/>
    </row>
    <row r="1077" spans="5:5" x14ac:dyDescent="0.2">
      <c r="E1077" s="6"/>
    </row>
    <row r="1078" spans="5:5" x14ac:dyDescent="0.2">
      <c r="E1078" s="6"/>
    </row>
    <row r="1079" spans="5:5" x14ac:dyDescent="0.2">
      <c r="E1079" s="6"/>
    </row>
    <row r="1080" spans="5:5" x14ac:dyDescent="0.2">
      <c r="E1080" s="6"/>
    </row>
    <row r="1081" spans="5:5" x14ac:dyDescent="0.2">
      <c r="E1081" s="6"/>
    </row>
    <row r="1082" spans="5:5" x14ac:dyDescent="0.2">
      <c r="E1082" s="6"/>
    </row>
    <row r="1083" spans="5:5" x14ac:dyDescent="0.2">
      <c r="E1083" s="6"/>
    </row>
    <row r="1084" spans="5:5" x14ac:dyDescent="0.2">
      <c r="E1084" s="6"/>
    </row>
    <row r="1085" spans="5:5" x14ac:dyDescent="0.2">
      <c r="E1085" s="6"/>
    </row>
    <row r="1086" spans="5:5" x14ac:dyDescent="0.2">
      <c r="E1086" s="6"/>
    </row>
    <row r="1087" spans="5:5" x14ac:dyDescent="0.2">
      <c r="E1087" s="6"/>
    </row>
    <row r="1088" spans="5:5" x14ac:dyDescent="0.2">
      <c r="E1088" s="6"/>
    </row>
    <row r="1089" spans="5:5" x14ac:dyDescent="0.2">
      <c r="E1089" s="6"/>
    </row>
    <row r="1090" spans="5:5" x14ac:dyDescent="0.2">
      <c r="E1090" s="6"/>
    </row>
    <row r="1091" spans="5:5" x14ac:dyDescent="0.2">
      <c r="E1091" s="6"/>
    </row>
    <row r="1092" spans="5:5" x14ac:dyDescent="0.2">
      <c r="E1092" s="6"/>
    </row>
    <row r="1093" spans="5:5" x14ac:dyDescent="0.2">
      <c r="E1093" s="6"/>
    </row>
    <row r="1094" spans="5:5" x14ac:dyDescent="0.2">
      <c r="E1094" s="6"/>
    </row>
    <row r="1095" spans="5:5" x14ac:dyDescent="0.2">
      <c r="E1095" s="6"/>
    </row>
    <row r="1096" spans="5:5" x14ac:dyDescent="0.2">
      <c r="E1096" s="6"/>
    </row>
    <row r="1097" spans="5:5" x14ac:dyDescent="0.2">
      <c r="E1097" s="6"/>
    </row>
    <row r="1098" spans="5:5" x14ac:dyDescent="0.2">
      <c r="E1098" s="6"/>
    </row>
    <row r="1099" spans="5:5" x14ac:dyDescent="0.2">
      <c r="E1099" s="6"/>
    </row>
    <row r="1100" spans="5:5" x14ac:dyDescent="0.2">
      <c r="E1100" s="6"/>
    </row>
    <row r="1101" spans="5:5" x14ac:dyDescent="0.2">
      <c r="E1101" s="6"/>
    </row>
    <row r="1102" spans="5:5" x14ac:dyDescent="0.2">
      <c r="E1102" s="6"/>
    </row>
    <row r="1103" spans="5:5" x14ac:dyDescent="0.2">
      <c r="E1103" s="6"/>
    </row>
    <row r="1104" spans="5:5" x14ac:dyDescent="0.2">
      <c r="E1104" s="6"/>
    </row>
    <row r="1105" spans="5:5" x14ac:dyDescent="0.2">
      <c r="E1105" s="6"/>
    </row>
    <row r="1106" spans="5:5" x14ac:dyDescent="0.2">
      <c r="E1106" s="6"/>
    </row>
    <row r="1107" spans="5:5" x14ac:dyDescent="0.2">
      <c r="E1107" s="6"/>
    </row>
    <row r="1108" spans="5:5" x14ac:dyDescent="0.2">
      <c r="E1108" s="6"/>
    </row>
    <row r="1109" spans="5:5" x14ac:dyDescent="0.2">
      <c r="E1109" s="6"/>
    </row>
    <row r="1110" spans="5:5" x14ac:dyDescent="0.2">
      <c r="E1110" s="6"/>
    </row>
    <row r="1111" spans="5:5" x14ac:dyDescent="0.2">
      <c r="E1111" s="6"/>
    </row>
    <row r="1112" spans="5:5" x14ac:dyDescent="0.2">
      <c r="E1112" s="6"/>
    </row>
    <row r="1113" spans="5:5" x14ac:dyDescent="0.2">
      <c r="E1113" s="6"/>
    </row>
    <row r="1114" spans="5:5" x14ac:dyDescent="0.2">
      <c r="E1114" s="6"/>
    </row>
    <row r="1115" spans="5:5" x14ac:dyDescent="0.2">
      <c r="E1115" s="6"/>
    </row>
    <row r="1116" spans="5:5" x14ac:dyDescent="0.2">
      <c r="E1116" s="6"/>
    </row>
    <row r="1117" spans="5:5" x14ac:dyDescent="0.2">
      <c r="E1117" s="6"/>
    </row>
    <row r="1118" spans="5:5" x14ac:dyDescent="0.2">
      <c r="E1118" s="6"/>
    </row>
    <row r="1119" spans="5:5" x14ac:dyDescent="0.2">
      <c r="E1119" s="6"/>
    </row>
    <row r="1120" spans="5:5" x14ac:dyDescent="0.2">
      <c r="E1120" s="6"/>
    </row>
    <row r="1121" spans="5:5" x14ac:dyDescent="0.2">
      <c r="E1121" s="6"/>
    </row>
    <row r="1122" spans="5:5" x14ac:dyDescent="0.2">
      <c r="E1122" s="6"/>
    </row>
  </sheetData>
  <autoFilter ref="N1:N1123" xr:uid="{12108085-0DEB-2A4E-9DDB-DBBA0D8D1405}">
    <sortState xmlns:xlrd2="http://schemas.microsoft.com/office/spreadsheetml/2017/richdata2" ref="N2:N1123">
      <sortCondition sortBy="cellColor" ref="N1:N1123" dxfId="512"/>
    </sortState>
  </autoFilter>
  <sortState xmlns:xlrd2="http://schemas.microsoft.com/office/spreadsheetml/2017/richdata2" ref="N2:N1819">
    <sortCondition ref="N1:N1819"/>
  </sortState>
  <conditionalFormatting sqref="A1:A8">
    <cfRule type="duplicateValues" dxfId="376" priority="40"/>
    <cfRule type="duplicateValues" dxfId="375" priority="39"/>
    <cfRule type="duplicateValues" dxfId="374" priority="41"/>
  </conditionalFormatting>
  <conditionalFormatting sqref="A1:A1048576">
    <cfRule type="duplicateValues" dxfId="373" priority="24"/>
  </conditionalFormatting>
  <conditionalFormatting sqref="A9:A56">
    <cfRule type="duplicateValues" dxfId="372" priority="34"/>
  </conditionalFormatting>
  <conditionalFormatting sqref="A57:A72">
    <cfRule type="duplicateValues" dxfId="371" priority="33"/>
  </conditionalFormatting>
  <conditionalFormatting sqref="A73">
    <cfRule type="duplicateValues" dxfId="370" priority="35"/>
  </conditionalFormatting>
  <conditionalFormatting sqref="A185:A211">
    <cfRule type="duplicateValues" dxfId="369" priority="26"/>
    <cfRule type="duplicateValues" dxfId="368" priority="25"/>
  </conditionalFormatting>
  <conditionalFormatting sqref="A212:A1048576 A1:A184">
    <cfRule type="duplicateValues" dxfId="367" priority="27"/>
  </conditionalFormatting>
  <conditionalFormatting sqref="A284:A318">
    <cfRule type="duplicateValues" dxfId="366" priority="28"/>
    <cfRule type="duplicateValues" dxfId="365" priority="29"/>
  </conditionalFormatting>
  <conditionalFormatting sqref="A319:A1048576 A1:A8">
    <cfRule type="duplicateValues" dxfId="364" priority="37"/>
  </conditionalFormatting>
  <conditionalFormatting sqref="A319:A1048576 A1:A56">
    <cfRule type="duplicateValues" dxfId="363" priority="36"/>
  </conditionalFormatting>
  <conditionalFormatting sqref="A319:A1048576 A1:A73">
    <cfRule type="duplicateValues" dxfId="362" priority="32"/>
  </conditionalFormatting>
  <conditionalFormatting sqref="A319:A1048576 A1:A95">
    <cfRule type="duplicateValues" dxfId="361" priority="31"/>
  </conditionalFormatting>
  <conditionalFormatting sqref="A319:A1048576 A1:A124">
    <cfRule type="duplicateValues" dxfId="360" priority="30"/>
  </conditionalFormatting>
  <conditionalFormatting sqref="A319:A1048576">
    <cfRule type="duplicateValues" dxfId="359" priority="38"/>
  </conditionalFormatting>
  <conditionalFormatting sqref="D1:D1048576">
    <cfRule type="duplicateValues" dxfId="358" priority="10"/>
  </conditionalFormatting>
  <conditionalFormatting sqref="D66:D83">
    <cfRule type="duplicateValues" dxfId="357" priority="19"/>
    <cfRule type="duplicateValues" dxfId="356" priority="20"/>
  </conditionalFormatting>
  <conditionalFormatting sqref="D229:D255">
    <cfRule type="duplicateValues" dxfId="355" priority="12"/>
    <cfRule type="duplicateValues" dxfId="354" priority="11"/>
  </conditionalFormatting>
  <conditionalFormatting sqref="D256:D1048576 D1:D228">
    <cfRule type="duplicateValues" dxfId="353" priority="13"/>
  </conditionalFormatting>
  <conditionalFormatting sqref="D297:D331">
    <cfRule type="duplicateValues" dxfId="352" priority="15"/>
    <cfRule type="duplicateValues" dxfId="351" priority="14"/>
  </conditionalFormatting>
  <conditionalFormatting sqref="D332:D1048576 D1">
    <cfRule type="duplicateValues" dxfId="350" priority="23"/>
  </conditionalFormatting>
  <conditionalFormatting sqref="D332:D1048576 D1:D65">
    <cfRule type="duplicateValues" dxfId="349" priority="21"/>
  </conditionalFormatting>
  <conditionalFormatting sqref="D332:D1048576 D1:D83">
    <cfRule type="duplicateValues" dxfId="348" priority="18"/>
  </conditionalFormatting>
  <conditionalFormatting sqref="D332:D1048576 D1:D107">
    <cfRule type="duplicateValues" dxfId="347" priority="17"/>
  </conditionalFormatting>
  <conditionalFormatting sqref="D332:D1048576 D1:D137">
    <cfRule type="duplicateValues" dxfId="346" priority="16"/>
  </conditionalFormatting>
  <conditionalFormatting sqref="D332:D1048576">
    <cfRule type="duplicateValues" dxfId="345" priority="22"/>
  </conditionalFormatting>
  <conditionalFormatting sqref="J25:J1048576 J1">
    <cfRule type="duplicateValues" dxfId="344" priority="9"/>
  </conditionalFormatting>
  <conditionalFormatting sqref="K1:K1048576">
    <cfRule type="duplicateValues" dxfId="343" priority="7"/>
  </conditionalFormatting>
  <conditionalFormatting sqref="K29:K1048576 K1:K2">
    <cfRule type="duplicateValues" dxfId="342" priority="8"/>
  </conditionalFormatting>
  <conditionalFormatting sqref="L1:L1048576">
    <cfRule type="duplicateValues" dxfId="341" priority="5"/>
  </conditionalFormatting>
  <conditionalFormatting sqref="L60:L1048576 L1:L32">
    <cfRule type="duplicateValues" dxfId="340" priority="6"/>
  </conditionalFormatting>
  <conditionalFormatting sqref="M1:M1048576">
    <cfRule type="duplicateValues" dxfId="339" priority="3"/>
  </conditionalFormatting>
  <conditionalFormatting sqref="M181:M1048576 M1:M153">
    <cfRule type="duplicateValues" dxfId="338" priority="4"/>
  </conditionalFormatting>
  <conditionalFormatting sqref="N1:N1048576">
    <cfRule type="duplicateValues" dxfId="337" priority="1"/>
  </conditionalFormatting>
  <conditionalFormatting sqref="N878:N1048576 N1:N850">
    <cfRule type="duplicateValues" dxfId="336" priority="2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6AF8-453E-DE47-A028-FFD6D55BE27C}">
  <dimension ref="A1:T508"/>
  <sheetViews>
    <sheetView topLeftCell="F1" workbookViewId="0">
      <pane ySplit="1" topLeftCell="A2" activePane="bottomLeft" state="frozen"/>
      <selection pane="bottomLeft" activeCell="L6" sqref="L6"/>
    </sheetView>
  </sheetViews>
  <sheetFormatPr baseColWidth="10" defaultRowHeight="16" x14ac:dyDescent="0.2"/>
  <cols>
    <col min="1" max="1" width="16.83203125" style="31" customWidth="1"/>
    <col min="2" max="2" width="13" style="5" customWidth="1"/>
    <col min="3" max="3" width="15.83203125" style="5" customWidth="1"/>
    <col min="4" max="9" width="10.83203125" style="4"/>
    <col min="10" max="10" width="13.33203125" style="4" customWidth="1"/>
    <col min="11" max="11" width="10.83203125" style="4"/>
    <col min="12" max="12" width="29.6640625" style="5" customWidth="1"/>
    <col min="13" max="16384" width="10.83203125" style="4"/>
  </cols>
  <sheetData>
    <row r="1" spans="1:20" x14ac:dyDescent="0.2">
      <c r="A1" s="29" t="s">
        <v>1975</v>
      </c>
      <c r="B1" s="1" t="s">
        <v>1976</v>
      </c>
      <c r="C1" s="3" t="s">
        <v>1977</v>
      </c>
      <c r="H1" s="3" t="s">
        <v>1999</v>
      </c>
      <c r="I1" s="3" t="s">
        <v>2000</v>
      </c>
      <c r="J1" s="3" t="s">
        <v>2001</v>
      </c>
      <c r="L1" s="1" t="s">
        <v>4921</v>
      </c>
      <c r="N1" s="50" t="s">
        <v>4886</v>
      </c>
      <c r="O1" s="50" t="s">
        <v>4879</v>
      </c>
      <c r="P1" s="50" t="s">
        <v>4880</v>
      </c>
      <c r="Q1" s="50" t="s">
        <v>4881</v>
      </c>
      <c r="R1" s="50" t="s">
        <v>4882</v>
      </c>
      <c r="S1" s="1" t="s">
        <v>4878</v>
      </c>
      <c r="T1" s="1" t="s">
        <v>4885</v>
      </c>
    </row>
    <row r="2" spans="1:20" x14ac:dyDescent="0.2">
      <c r="A2" s="31" t="s">
        <v>1728</v>
      </c>
      <c r="B2" s="5" t="s">
        <v>1054</v>
      </c>
      <c r="C2" s="5" t="s">
        <v>134</v>
      </c>
      <c r="H2" s="12" t="s">
        <v>401</v>
      </c>
      <c r="I2" s="4" t="s">
        <v>918</v>
      </c>
      <c r="J2" s="4" t="s">
        <v>889</v>
      </c>
      <c r="L2" s="15" t="s">
        <v>579</v>
      </c>
      <c r="N2" s="48" t="s">
        <v>4883</v>
      </c>
      <c r="O2" s="49">
        <v>0</v>
      </c>
      <c r="P2" s="49">
        <v>1</v>
      </c>
      <c r="Q2" s="49">
        <v>50</v>
      </c>
      <c r="R2" s="49">
        <v>4</v>
      </c>
      <c r="S2" s="5">
        <f>SUM(O2:R2)</f>
        <v>55</v>
      </c>
      <c r="T2" s="5">
        <f>((O2+P2)/S2)*100</f>
        <v>1.8181818181818181</v>
      </c>
    </row>
    <row r="3" spans="1:20" x14ac:dyDescent="0.2">
      <c r="A3" s="31" t="s">
        <v>789</v>
      </c>
      <c r="B3" s="16" t="s">
        <v>171</v>
      </c>
      <c r="C3" s="5" t="s">
        <v>629</v>
      </c>
      <c r="I3" s="4" t="s">
        <v>660</v>
      </c>
      <c r="J3" s="4" t="s">
        <v>1800</v>
      </c>
      <c r="L3" s="15" t="s">
        <v>457</v>
      </c>
      <c r="N3" s="48" t="s">
        <v>4884</v>
      </c>
      <c r="O3" s="49">
        <v>2</v>
      </c>
      <c r="P3" s="49">
        <v>2</v>
      </c>
      <c r="Q3" s="49">
        <v>313</v>
      </c>
      <c r="R3" s="49">
        <v>0</v>
      </c>
      <c r="S3" s="5">
        <f>SUM(O3:R3)</f>
        <v>317</v>
      </c>
      <c r="T3" s="5">
        <f>((O3+P3)/S3)*100</f>
        <v>1.2618296529968454</v>
      </c>
    </row>
    <row r="4" spans="1:20" x14ac:dyDescent="0.2">
      <c r="A4" s="31" t="s">
        <v>704</v>
      </c>
      <c r="B4" s="5" t="s">
        <v>843</v>
      </c>
      <c r="C4" s="5" t="s">
        <v>628</v>
      </c>
      <c r="I4" s="4" t="s">
        <v>82</v>
      </c>
      <c r="J4" s="4" t="s">
        <v>917</v>
      </c>
      <c r="L4" s="15" t="s">
        <v>611</v>
      </c>
    </row>
    <row r="5" spans="1:20" x14ac:dyDescent="0.2">
      <c r="A5" s="31" t="s">
        <v>1084</v>
      </c>
      <c r="B5" s="5" t="s">
        <v>116</v>
      </c>
      <c r="C5" s="5" t="s">
        <v>632</v>
      </c>
      <c r="I5" s="4" t="s">
        <v>882</v>
      </c>
      <c r="J5" s="4" t="s">
        <v>21</v>
      </c>
      <c r="L5" s="15" t="s">
        <v>23</v>
      </c>
    </row>
    <row r="6" spans="1:20" x14ac:dyDescent="0.2">
      <c r="A6" s="31" t="s">
        <v>865</v>
      </c>
      <c r="B6" s="5" t="s">
        <v>1055</v>
      </c>
      <c r="C6" s="13" t="s">
        <v>313</v>
      </c>
      <c r="I6" s="4" t="s">
        <v>927</v>
      </c>
      <c r="J6" s="4" t="s">
        <v>1837</v>
      </c>
      <c r="L6" s="15" t="s">
        <v>35</v>
      </c>
    </row>
    <row r="7" spans="1:20" x14ac:dyDescent="0.2">
      <c r="A7" s="31" t="s">
        <v>816</v>
      </c>
      <c r="B7" s="10" t="s">
        <v>480</v>
      </c>
      <c r="C7" s="5" t="s">
        <v>814</v>
      </c>
      <c r="I7" s="4" t="s">
        <v>729</v>
      </c>
      <c r="J7" s="4" t="s">
        <v>1241</v>
      </c>
      <c r="L7" s="15" t="s">
        <v>39</v>
      </c>
    </row>
    <row r="8" spans="1:20" x14ac:dyDescent="0.2">
      <c r="A8" s="31" t="s">
        <v>1096</v>
      </c>
      <c r="B8" s="5" t="s">
        <v>1056</v>
      </c>
      <c r="C8" s="5" t="s">
        <v>887</v>
      </c>
      <c r="I8" s="4" t="s">
        <v>693</v>
      </c>
      <c r="J8" s="4" t="s">
        <v>1200</v>
      </c>
      <c r="L8" s="15" t="s">
        <v>562</v>
      </c>
    </row>
    <row r="9" spans="1:20" x14ac:dyDescent="0.2">
      <c r="A9" s="31" t="s">
        <v>469</v>
      </c>
      <c r="B9" s="13" t="s">
        <v>380</v>
      </c>
      <c r="C9" s="5" t="s">
        <v>635</v>
      </c>
      <c r="I9" s="4" t="s">
        <v>664</v>
      </c>
      <c r="J9" s="4" t="s">
        <v>1864</v>
      </c>
      <c r="L9" s="15" t="s">
        <v>496</v>
      </c>
    </row>
    <row r="10" spans="1:20" x14ac:dyDescent="0.2">
      <c r="A10" s="31" t="s">
        <v>1088</v>
      </c>
      <c r="B10" s="5" t="s">
        <v>1057</v>
      </c>
      <c r="C10" s="5" t="s">
        <v>638</v>
      </c>
      <c r="I10" s="4" t="s">
        <v>865</v>
      </c>
      <c r="J10" s="4" t="s">
        <v>783</v>
      </c>
      <c r="L10" s="15" t="s">
        <v>77</v>
      </c>
    </row>
    <row r="11" spans="1:20" x14ac:dyDescent="0.2">
      <c r="A11" s="31" t="s">
        <v>1784</v>
      </c>
      <c r="B11" s="17" t="s">
        <v>401</v>
      </c>
      <c r="C11" s="5" t="s">
        <v>815</v>
      </c>
      <c r="I11" s="4" t="s">
        <v>640</v>
      </c>
      <c r="J11" s="4" t="s">
        <v>1823</v>
      </c>
      <c r="L11" s="15" t="s">
        <v>501</v>
      </c>
    </row>
    <row r="12" spans="1:20" x14ac:dyDescent="0.2">
      <c r="A12" s="31" t="s">
        <v>1785</v>
      </c>
      <c r="B12" s="5" t="s">
        <v>1058</v>
      </c>
      <c r="C12" s="10" t="s">
        <v>463</v>
      </c>
      <c r="I12" s="4" t="s">
        <v>798</v>
      </c>
      <c r="J12" s="4" t="s">
        <v>1866</v>
      </c>
      <c r="L12" s="15" t="s">
        <v>507</v>
      </c>
    </row>
    <row r="13" spans="1:20" x14ac:dyDescent="0.2">
      <c r="A13" s="31" t="s">
        <v>1786</v>
      </c>
      <c r="B13" s="5" t="s">
        <v>1052</v>
      </c>
      <c r="C13" s="13" t="s">
        <v>545</v>
      </c>
      <c r="I13" s="4" t="s">
        <v>824</v>
      </c>
      <c r="J13" s="4" t="s">
        <v>1844</v>
      </c>
      <c r="L13" s="10" t="s">
        <v>81</v>
      </c>
    </row>
    <row r="14" spans="1:20" x14ac:dyDescent="0.2">
      <c r="A14" s="31" t="s">
        <v>1787</v>
      </c>
      <c r="B14" s="5" t="s">
        <v>1059</v>
      </c>
      <c r="C14" s="5" t="s">
        <v>631</v>
      </c>
      <c r="I14" s="4" t="s">
        <v>656</v>
      </c>
      <c r="J14" s="4" t="s">
        <v>898</v>
      </c>
      <c r="L14" s="15" t="s">
        <v>108</v>
      </c>
    </row>
    <row r="15" spans="1:20" x14ac:dyDescent="0.2">
      <c r="A15" s="33" t="s">
        <v>380</v>
      </c>
      <c r="B15" s="5" t="s">
        <v>371</v>
      </c>
      <c r="C15" s="5" t="s">
        <v>637</v>
      </c>
      <c r="I15" s="4" t="s">
        <v>816</v>
      </c>
      <c r="J15" s="4" t="s">
        <v>1813</v>
      </c>
      <c r="L15" s="15" t="s">
        <v>422</v>
      </c>
    </row>
    <row r="16" spans="1:20" x14ac:dyDescent="0.2">
      <c r="A16" s="34" t="s">
        <v>171</v>
      </c>
      <c r="B16" s="5" t="s">
        <v>1060</v>
      </c>
      <c r="C16" s="5" t="s">
        <v>888</v>
      </c>
      <c r="I16" s="4" t="s">
        <v>691</v>
      </c>
      <c r="J16" s="4" t="s">
        <v>902</v>
      </c>
      <c r="L16" s="15" t="s">
        <v>535</v>
      </c>
    </row>
    <row r="17" spans="1:12" x14ac:dyDescent="0.2">
      <c r="A17" s="31" t="s">
        <v>1079</v>
      </c>
      <c r="C17" s="5" t="s">
        <v>640</v>
      </c>
      <c r="I17" s="4" t="s">
        <v>371</v>
      </c>
      <c r="J17" s="4" t="s">
        <v>1146</v>
      </c>
      <c r="L17" s="15" t="s">
        <v>512</v>
      </c>
    </row>
    <row r="18" spans="1:12" x14ac:dyDescent="0.2">
      <c r="A18" s="31" t="s">
        <v>1094</v>
      </c>
      <c r="C18" s="5" t="s">
        <v>821</v>
      </c>
      <c r="I18" s="4" t="s">
        <v>839</v>
      </c>
      <c r="J18" s="4" t="s">
        <v>843</v>
      </c>
      <c r="L18" s="15" t="s">
        <v>568</v>
      </c>
    </row>
    <row r="19" spans="1:12" x14ac:dyDescent="0.2">
      <c r="A19" s="31" t="s">
        <v>767</v>
      </c>
      <c r="C19" s="5" t="s">
        <v>820</v>
      </c>
      <c r="I19" s="7" t="s">
        <v>380</v>
      </c>
      <c r="J19" s="4" t="s">
        <v>765</v>
      </c>
      <c r="L19" s="15" t="s">
        <v>571</v>
      </c>
    </row>
    <row r="20" spans="1:12" x14ac:dyDescent="0.2">
      <c r="A20" s="31" t="s">
        <v>1125</v>
      </c>
      <c r="C20" s="5" t="s">
        <v>816</v>
      </c>
      <c r="I20" s="4" t="s">
        <v>685</v>
      </c>
      <c r="J20" s="4" t="s">
        <v>920</v>
      </c>
      <c r="L20" s="15" t="s">
        <v>521</v>
      </c>
    </row>
    <row r="21" spans="1:12" x14ac:dyDescent="0.2">
      <c r="A21" s="31" t="s">
        <v>1788</v>
      </c>
      <c r="C21" s="5" t="s">
        <v>639</v>
      </c>
      <c r="I21" s="4" t="s">
        <v>825</v>
      </c>
      <c r="J21" s="4" t="s">
        <v>1818</v>
      </c>
      <c r="L21" s="15" t="s">
        <v>152</v>
      </c>
    </row>
    <row r="22" spans="1:12" x14ac:dyDescent="0.2">
      <c r="A22" s="31" t="s">
        <v>1111</v>
      </c>
      <c r="C22" s="5" t="s">
        <v>82</v>
      </c>
      <c r="I22" s="4" t="s">
        <v>649</v>
      </c>
      <c r="J22" s="4" t="s">
        <v>1804</v>
      </c>
      <c r="L22" s="15" t="s">
        <v>493</v>
      </c>
    </row>
    <row r="23" spans="1:12" x14ac:dyDescent="0.2">
      <c r="A23" s="31" t="s">
        <v>322</v>
      </c>
      <c r="C23" s="5" t="s">
        <v>646</v>
      </c>
      <c r="I23" s="4" t="s">
        <v>764</v>
      </c>
      <c r="J23" s="4" t="s">
        <v>886</v>
      </c>
      <c r="L23" s="15" t="s">
        <v>558</v>
      </c>
    </row>
    <row r="24" spans="1:12" x14ac:dyDescent="0.2">
      <c r="A24" s="31" t="s">
        <v>1086</v>
      </c>
      <c r="C24" s="5" t="s">
        <v>641</v>
      </c>
      <c r="I24" s="12" t="s">
        <v>403</v>
      </c>
      <c r="J24" s="4" t="s">
        <v>680</v>
      </c>
      <c r="L24" s="15" t="s">
        <v>557</v>
      </c>
    </row>
    <row r="25" spans="1:12" x14ac:dyDescent="0.2">
      <c r="A25" s="31" t="s">
        <v>703</v>
      </c>
      <c r="C25" s="5" t="s">
        <v>889</v>
      </c>
      <c r="I25" s="12" t="s">
        <v>406</v>
      </c>
      <c r="J25" s="4" t="s">
        <v>1814</v>
      </c>
      <c r="L25" s="15" t="s">
        <v>63</v>
      </c>
    </row>
    <row r="26" spans="1:12" x14ac:dyDescent="0.2">
      <c r="A26" s="31" t="s">
        <v>1108</v>
      </c>
      <c r="C26" s="16" t="s">
        <v>406</v>
      </c>
      <c r="I26" s="12" t="s">
        <v>171</v>
      </c>
      <c r="J26" s="4" t="s">
        <v>1608</v>
      </c>
      <c r="L26" s="15" t="s">
        <v>379</v>
      </c>
    </row>
    <row r="27" spans="1:12" x14ac:dyDescent="0.2">
      <c r="A27" s="31" t="s">
        <v>1132</v>
      </c>
      <c r="C27" s="5" t="s">
        <v>656</v>
      </c>
      <c r="I27" s="4" t="s">
        <v>852</v>
      </c>
      <c r="J27" s="4" t="s">
        <v>1788</v>
      </c>
      <c r="L27" s="10" t="s">
        <v>149</v>
      </c>
    </row>
    <row r="28" spans="1:12" x14ac:dyDescent="0.2">
      <c r="A28" s="31" t="s">
        <v>1789</v>
      </c>
      <c r="C28" s="17" t="s">
        <v>401</v>
      </c>
      <c r="I28" s="4" t="s">
        <v>712</v>
      </c>
      <c r="J28" s="4" t="s">
        <v>116</v>
      </c>
      <c r="L28" s="15" t="s">
        <v>169</v>
      </c>
    </row>
    <row r="29" spans="1:12" x14ac:dyDescent="0.2">
      <c r="A29" s="31" t="s">
        <v>1790</v>
      </c>
      <c r="C29" s="5" t="s">
        <v>648</v>
      </c>
      <c r="I29" s="4" t="s">
        <v>699</v>
      </c>
      <c r="J29" s="4" t="s">
        <v>903</v>
      </c>
      <c r="L29" s="10" t="s">
        <v>580</v>
      </c>
    </row>
    <row r="30" spans="1:12" x14ac:dyDescent="0.2">
      <c r="A30" s="31" t="s">
        <v>810</v>
      </c>
      <c r="C30" s="5" t="s">
        <v>773</v>
      </c>
      <c r="I30" s="4" t="s">
        <v>909</v>
      </c>
      <c r="J30" s="4" t="s">
        <v>1870</v>
      </c>
      <c r="L30" s="15" t="s">
        <v>226</v>
      </c>
    </row>
    <row r="31" spans="1:12" x14ac:dyDescent="0.2">
      <c r="A31" s="31" t="s">
        <v>1791</v>
      </c>
      <c r="C31" s="5" t="s">
        <v>651</v>
      </c>
      <c r="I31" s="4" t="s">
        <v>690</v>
      </c>
      <c r="J31" s="4" t="s">
        <v>1850</v>
      </c>
      <c r="L31" s="15" t="s">
        <v>572</v>
      </c>
    </row>
    <row r="32" spans="1:12" x14ac:dyDescent="0.2">
      <c r="A32" s="31" t="s">
        <v>651</v>
      </c>
      <c r="C32" s="5" t="s">
        <v>647</v>
      </c>
      <c r="I32" s="4" t="s">
        <v>718</v>
      </c>
      <c r="J32" s="4" t="s">
        <v>1829</v>
      </c>
      <c r="L32" s="15" t="s">
        <v>188</v>
      </c>
    </row>
    <row r="33" spans="1:12" x14ac:dyDescent="0.2">
      <c r="A33" s="31" t="s">
        <v>648</v>
      </c>
      <c r="C33" s="5" t="s">
        <v>650</v>
      </c>
      <c r="I33" s="4" t="s">
        <v>481</v>
      </c>
      <c r="J33" s="4" t="s">
        <v>919</v>
      </c>
      <c r="L33" s="15" t="s">
        <v>244</v>
      </c>
    </row>
    <row r="34" spans="1:12" x14ac:dyDescent="0.2">
      <c r="A34" s="31" t="s">
        <v>650</v>
      </c>
      <c r="C34" s="5" t="s">
        <v>653</v>
      </c>
      <c r="I34" s="4" t="s">
        <v>658</v>
      </c>
      <c r="J34" s="4" t="s">
        <v>1851</v>
      </c>
      <c r="L34" s="15" t="s">
        <v>91</v>
      </c>
    </row>
    <row r="35" spans="1:12" x14ac:dyDescent="0.2">
      <c r="A35" s="31" t="s">
        <v>661</v>
      </c>
      <c r="C35" s="5" t="s">
        <v>658</v>
      </c>
      <c r="I35" s="4" t="s">
        <v>726</v>
      </c>
      <c r="J35" s="4" t="s">
        <v>834</v>
      </c>
      <c r="L35" s="15" t="s">
        <v>71</v>
      </c>
    </row>
    <row r="36" spans="1:12" x14ac:dyDescent="0.2">
      <c r="A36" s="31" t="s">
        <v>647</v>
      </c>
      <c r="C36" s="5" t="s">
        <v>655</v>
      </c>
      <c r="I36" s="4" t="s">
        <v>688</v>
      </c>
      <c r="J36" s="4" t="s">
        <v>835</v>
      </c>
      <c r="L36" s="10" t="s">
        <v>585</v>
      </c>
    </row>
    <row r="37" spans="1:12" x14ac:dyDescent="0.2">
      <c r="A37" s="31" t="s">
        <v>658</v>
      </c>
      <c r="C37" s="5" t="s">
        <v>890</v>
      </c>
      <c r="I37" s="4" t="s">
        <v>666</v>
      </c>
      <c r="J37" s="4" t="s">
        <v>1833</v>
      </c>
      <c r="L37" s="10" t="s">
        <v>255</v>
      </c>
    </row>
    <row r="38" spans="1:12" x14ac:dyDescent="0.2">
      <c r="A38" s="31" t="s">
        <v>653</v>
      </c>
      <c r="C38" s="5" t="s">
        <v>824</v>
      </c>
      <c r="I38" s="4" t="s">
        <v>829</v>
      </c>
      <c r="J38" s="4" t="s">
        <v>159</v>
      </c>
      <c r="L38" s="15" t="s">
        <v>99</v>
      </c>
    </row>
    <row r="39" spans="1:12" x14ac:dyDescent="0.2">
      <c r="A39" s="30" t="s">
        <v>401</v>
      </c>
      <c r="C39" s="5" t="s">
        <v>891</v>
      </c>
      <c r="I39" s="4" t="s">
        <v>654</v>
      </c>
      <c r="J39" s="4" t="s">
        <v>48</v>
      </c>
      <c r="L39" s="15" t="s">
        <v>603</v>
      </c>
    </row>
    <row r="40" spans="1:12" x14ac:dyDescent="0.2">
      <c r="A40" s="31" t="s">
        <v>655</v>
      </c>
      <c r="C40" s="5" t="s">
        <v>892</v>
      </c>
      <c r="I40" s="4" t="s">
        <v>635</v>
      </c>
      <c r="J40" s="4" t="s">
        <v>1854</v>
      </c>
      <c r="L40" s="15" t="s">
        <v>212</v>
      </c>
    </row>
    <row r="41" spans="1:12" x14ac:dyDescent="0.2">
      <c r="A41" s="31" t="s">
        <v>665</v>
      </c>
      <c r="C41" s="5" t="s">
        <v>693</v>
      </c>
      <c r="I41" s="4" t="s">
        <v>662</v>
      </c>
      <c r="J41" s="4" t="s">
        <v>1809</v>
      </c>
      <c r="L41" s="15" t="s">
        <v>575</v>
      </c>
    </row>
    <row r="42" spans="1:12" x14ac:dyDescent="0.2">
      <c r="A42" s="31" t="s">
        <v>688</v>
      </c>
      <c r="C42" s="5" t="s">
        <v>764</v>
      </c>
      <c r="I42" s="4" t="s">
        <v>651</v>
      </c>
      <c r="J42" s="4" t="s">
        <v>701</v>
      </c>
      <c r="L42" s="15" t="s">
        <v>266</v>
      </c>
    </row>
    <row r="43" spans="1:12" x14ac:dyDescent="0.2">
      <c r="A43" s="31" t="s">
        <v>679</v>
      </c>
      <c r="C43" s="5" t="s">
        <v>893</v>
      </c>
      <c r="I43" s="4" t="s">
        <v>655</v>
      </c>
      <c r="J43" s="4" t="s">
        <v>638</v>
      </c>
      <c r="L43" s="15" t="s">
        <v>218</v>
      </c>
    </row>
    <row r="44" spans="1:12" x14ac:dyDescent="0.2">
      <c r="A44" s="31" t="s">
        <v>1330</v>
      </c>
      <c r="B44" s="6"/>
      <c r="C44" s="5" t="s">
        <v>894</v>
      </c>
      <c r="I44" s="4" t="s">
        <v>647</v>
      </c>
      <c r="J44" s="4" t="s">
        <v>1848</v>
      </c>
      <c r="L44" s="15" t="s">
        <v>279</v>
      </c>
    </row>
    <row r="45" spans="1:12" x14ac:dyDescent="0.2">
      <c r="A45" s="31" t="s">
        <v>1146</v>
      </c>
      <c r="C45" s="5" t="s">
        <v>825</v>
      </c>
      <c r="I45" s="4" t="s">
        <v>650</v>
      </c>
      <c r="J45" s="4" t="s">
        <v>1056</v>
      </c>
      <c r="L45" s="15" t="s">
        <v>229</v>
      </c>
    </row>
    <row r="46" spans="1:12" x14ac:dyDescent="0.2">
      <c r="A46" s="31" t="s">
        <v>1154</v>
      </c>
      <c r="B46" s="6"/>
      <c r="C46" s="5" t="s">
        <v>679</v>
      </c>
      <c r="I46" s="4" t="s">
        <v>648</v>
      </c>
      <c r="J46" s="4" t="s">
        <v>761</v>
      </c>
      <c r="L46" s="10" t="s">
        <v>477</v>
      </c>
    </row>
    <row r="47" spans="1:12" x14ac:dyDescent="0.2">
      <c r="A47" s="31" t="s">
        <v>649</v>
      </c>
      <c r="B47" s="6"/>
      <c r="C47" s="5" t="s">
        <v>649</v>
      </c>
      <c r="I47" s="4" t="s">
        <v>653</v>
      </c>
      <c r="J47" s="4" t="s">
        <v>1111</v>
      </c>
      <c r="L47" s="15" t="s">
        <v>589</v>
      </c>
    </row>
    <row r="48" spans="1:12" x14ac:dyDescent="0.2">
      <c r="A48" s="31" t="s">
        <v>547</v>
      </c>
      <c r="B48" s="6"/>
      <c r="C48" s="5" t="s">
        <v>895</v>
      </c>
      <c r="I48" s="4" t="s">
        <v>532</v>
      </c>
      <c r="J48" s="4" t="s">
        <v>1590</v>
      </c>
      <c r="L48" s="15" t="s">
        <v>451</v>
      </c>
    </row>
    <row r="49" spans="1:12" x14ac:dyDescent="0.2">
      <c r="A49" s="31" t="s">
        <v>1792</v>
      </c>
      <c r="B49" s="6"/>
      <c r="C49" s="5" t="s">
        <v>896</v>
      </c>
      <c r="I49" s="4" t="s">
        <v>698</v>
      </c>
      <c r="J49" s="4" t="s">
        <v>631</v>
      </c>
      <c r="L49" s="15" t="s">
        <v>526</v>
      </c>
    </row>
    <row r="50" spans="1:12" x14ac:dyDescent="0.2">
      <c r="A50" s="31" t="s">
        <v>824</v>
      </c>
      <c r="B50" s="6"/>
      <c r="C50" s="5" t="s">
        <v>34</v>
      </c>
      <c r="I50" s="4" t="s">
        <v>801</v>
      </c>
      <c r="J50" s="4" t="s">
        <v>894</v>
      </c>
      <c r="L50" s="15" t="s">
        <v>64</v>
      </c>
    </row>
    <row r="51" spans="1:12" x14ac:dyDescent="0.2">
      <c r="A51" s="31" t="s">
        <v>82</v>
      </c>
      <c r="B51" s="6"/>
      <c r="C51" s="5" t="s">
        <v>666</v>
      </c>
      <c r="I51" s="4" t="s">
        <v>679</v>
      </c>
      <c r="J51" s="4" t="s">
        <v>832</v>
      </c>
      <c r="L51" s="15" t="s">
        <v>114</v>
      </c>
    </row>
    <row r="52" spans="1:12" x14ac:dyDescent="0.2">
      <c r="A52" s="31" t="s">
        <v>1793</v>
      </c>
      <c r="B52" s="6"/>
      <c r="C52" s="5" t="s">
        <v>834</v>
      </c>
      <c r="I52" s="4" t="s">
        <v>661</v>
      </c>
      <c r="J52" s="4" t="s">
        <v>682</v>
      </c>
      <c r="L52" s="10" t="s">
        <v>300</v>
      </c>
    </row>
    <row r="53" spans="1:12" x14ac:dyDescent="0.2">
      <c r="A53" s="31" t="s">
        <v>666</v>
      </c>
      <c r="B53" s="6"/>
      <c r="C53" s="5" t="s">
        <v>660</v>
      </c>
      <c r="I53" s="4" t="s">
        <v>828</v>
      </c>
      <c r="J53" s="4" t="s">
        <v>735</v>
      </c>
      <c r="L53" s="15" t="s">
        <v>518</v>
      </c>
    </row>
    <row r="54" spans="1:12" x14ac:dyDescent="0.2">
      <c r="A54" s="31" t="s">
        <v>1794</v>
      </c>
      <c r="B54" s="6"/>
      <c r="C54" s="5" t="s">
        <v>688</v>
      </c>
      <c r="I54" s="4" t="s">
        <v>707</v>
      </c>
      <c r="J54" s="4" t="s">
        <v>637</v>
      </c>
      <c r="L54" s="15" t="s">
        <v>252</v>
      </c>
    </row>
    <row r="55" spans="1:12" x14ac:dyDescent="0.2">
      <c r="A55" s="31" t="s">
        <v>790</v>
      </c>
      <c r="B55" s="6"/>
      <c r="C55" s="5" t="s">
        <v>667</v>
      </c>
      <c r="I55" s="4" t="s">
        <v>700</v>
      </c>
      <c r="J55" s="4" t="s">
        <v>1232</v>
      </c>
      <c r="L55" s="15" t="s">
        <v>127</v>
      </c>
    </row>
    <row r="56" spans="1:12" x14ac:dyDescent="0.2">
      <c r="A56" s="31" t="s">
        <v>699</v>
      </c>
      <c r="B56" s="6"/>
      <c r="C56" s="5" t="s">
        <v>701</v>
      </c>
      <c r="I56" s="1"/>
      <c r="J56" s="4" t="s">
        <v>1693</v>
      </c>
      <c r="L56" s="10" t="s">
        <v>272</v>
      </c>
    </row>
    <row r="57" spans="1:12" x14ac:dyDescent="0.2">
      <c r="A57" s="31" t="s">
        <v>691</v>
      </c>
      <c r="B57" s="6"/>
      <c r="C57" s="5" t="s">
        <v>532</v>
      </c>
      <c r="I57" s="1"/>
      <c r="J57" s="4" t="s">
        <v>1132</v>
      </c>
      <c r="L57" s="15" t="s">
        <v>277</v>
      </c>
    </row>
    <row r="58" spans="1:12" x14ac:dyDescent="0.2">
      <c r="A58" s="31" t="s">
        <v>1795</v>
      </c>
      <c r="B58" s="6"/>
      <c r="C58" s="5" t="s">
        <v>699</v>
      </c>
      <c r="I58" s="1"/>
      <c r="J58" s="4" t="s">
        <v>787</v>
      </c>
      <c r="L58" s="10" t="s">
        <v>563</v>
      </c>
    </row>
    <row r="59" spans="1:12" x14ac:dyDescent="0.2">
      <c r="A59" s="31" t="s">
        <v>1796</v>
      </c>
      <c r="B59" s="6"/>
      <c r="C59" s="5" t="s">
        <v>766</v>
      </c>
      <c r="I59" s="1"/>
      <c r="J59" s="4" t="s">
        <v>833</v>
      </c>
      <c r="L59" s="15" t="s">
        <v>326</v>
      </c>
    </row>
    <row r="60" spans="1:12" x14ac:dyDescent="0.2">
      <c r="A60" s="31" t="s">
        <v>825</v>
      </c>
      <c r="C60" s="5" t="s">
        <v>897</v>
      </c>
      <c r="I60" s="1"/>
      <c r="J60" s="4" t="s">
        <v>1185</v>
      </c>
      <c r="L60" s="15" t="s">
        <v>95</v>
      </c>
    </row>
    <row r="61" spans="1:12" x14ac:dyDescent="0.2">
      <c r="A61" s="31" t="s">
        <v>662</v>
      </c>
      <c r="C61" s="5" t="s">
        <v>898</v>
      </c>
      <c r="I61" s="1"/>
      <c r="J61" s="4" t="s">
        <v>830</v>
      </c>
      <c r="L61" s="15" t="s">
        <v>289</v>
      </c>
    </row>
    <row r="62" spans="1:12" x14ac:dyDescent="0.2">
      <c r="A62" s="31" t="s">
        <v>635</v>
      </c>
      <c r="C62" s="5" t="s">
        <v>712</v>
      </c>
      <c r="I62" s="1"/>
      <c r="J62" s="4" t="s">
        <v>910</v>
      </c>
      <c r="L62" s="15" t="s">
        <v>609</v>
      </c>
    </row>
    <row r="63" spans="1:12" x14ac:dyDescent="0.2">
      <c r="A63" s="31" t="s">
        <v>1152</v>
      </c>
      <c r="B63" s="6"/>
      <c r="C63" s="5" t="s">
        <v>839</v>
      </c>
      <c r="I63" s="1"/>
      <c r="J63" s="4" t="s">
        <v>1806</v>
      </c>
      <c r="L63" s="15" t="s">
        <v>302</v>
      </c>
    </row>
    <row r="64" spans="1:12" x14ac:dyDescent="0.2">
      <c r="A64" s="31" t="s">
        <v>712</v>
      </c>
      <c r="C64" s="5" t="s">
        <v>842</v>
      </c>
      <c r="I64" s="1"/>
      <c r="J64" s="4" t="s">
        <v>83</v>
      </c>
      <c r="L64" s="15" t="s">
        <v>118</v>
      </c>
    </row>
    <row r="65" spans="1:12" x14ac:dyDescent="0.2">
      <c r="A65" s="31" t="s">
        <v>826</v>
      </c>
      <c r="B65" s="6"/>
      <c r="C65" s="5" t="s">
        <v>899</v>
      </c>
      <c r="I65" s="1"/>
      <c r="J65" s="4" t="s">
        <v>1786</v>
      </c>
      <c r="L65" s="10" t="s">
        <v>307</v>
      </c>
    </row>
    <row r="66" spans="1:12" x14ac:dyDescent="0.2">
      <c r="A66" s="31" t="s">
        <v>1797</v>
      </c>
      <c r="C66" s="5" t="s">
        <v>371</v>
      </c>
      <c r="I66" s="1"/>
      <c r="J66" s="4" t="s">
        <v>1125</v>
      </c>
      <c r="L66" s="10" t="s">
        <v>471</v>
      </c>
    </row>
    <row r="67" spans="1:12" x14ac:dyDescent="0.2">
      <c r="A67" s="31" t="s">
        <v>660</v>
      </c>
      <c r="C67" s="5" t="s">
        <v>661</v>
      </c>
      <c r="I67" s="1"/>
      <c r="J67" s="4" t="s">
        <v>863</v>
      </c>
      <c r="L67" s="10" t="s">
        <v>343</v>
      </c>
    </row>
    <row r="68" spans="1:12" x14ac:dyDescent="0.2">
      <c r="A68" s="31" t="s">
        <v>1194</v>
      </c>
      <c r="B68" s="6"/>
      <c r="C68" s="5" t="s">
        <v>828</v>
      </c>
      <c r="I68" s="1"/>
      <c r="J68" s="4" t="s">
        <v>1869</v>
      </c>
      <c r="L68" s="15" t="s">
        <v>593</v>
      </c>
    </row>
    <row r="69" spans="1:12" x14ac:dyDescent="0.2">
      <c r="A69" s="31" t="s">
        <v>657</v>
      </c>
      <c r="C69" s="5" t="s">
        <v>900</v>
      </c>
      <c r="I69" s="1"/>
      <c r="J69" s="4" t="s">
        <v>1787</v>
      </c>
      <c r="L69" s="15" t="s">
        <v>353</v>
      </c>
    </row>
    <row r="70" spans="1:12" x14ac:dyDescent="0.2">
      <c r="A70" s="31" t="s">
        <v>726</v>
      </c>
      <c r="B70" s="6"/>
      <c r="C70" s="5" t="s">
        <v>852</v>
      </c>
      <c r="I70" s="1"/>
      <c r="J70" s="4" t="s">
        <v>1212</v>
      </c>
      <c r="L70" s="15" t="s">
        <v>131</v>
      </c>
    </row>
    <row r="71" spans="1:12" x14ac:dyDescent="0.2">
      <c r="A71" s="31" t="s">
        <v>685</v>
      </c>
      <c r="B71" s="6"/>
      <c r="C71" s="5" t="s">
        <v>856</v>
      </c>
      <c r="I71" s="1"/>
      <c r="J71" s="4" t="s">
        <v>904</v>
      </c>
      <c r="L71" s="15" t="s">
        <v>314</v>
      </c>
    </row>
    <row r="72" spans="1:12" x14ac:dyDescent="0.2">
      <c r="A72" s="31" t="s">
        <v>702</v>
      </c>
      <c r="B72" s="6"/>
      <c r="C72" s="5" t="s">
        <v>901</v>
      </c>
      <c r="I72" s="1"/>
      <c r="J72" s="4" t="s">
        <v>1794</v>
      </c>
      <c r="L72" s="15" t="s">
        <v>335</v>
      </c>
    </row>
    <row r="73" spans="1:12" x14ac:dyDescent="0.2">
      <c r="A73" s="31" t="s">
        <v>680</v>
      </c>
      <c r="B73" s="6"/>
      <c r="C73" s="5" t="s">
        <v>875</v>
      </c>
      <c r="I73" s="1"/>
      <c r="J73" s="4" t="s">
        <v>1805</v>
      </c>
      <c r="L73" s="15" t="s">
        <v>360</v>
      </c>
    </row>
    <row r="74" spans="1:12" x14ac:dyDescent="0.2">
      <c r="A74" s="31" t="s">
        <v>1170</v>
      </c>
      <c r="B74" s="6"/>
      <c r="C74" s="5" t="s">
        <v>745</v>
      </c>
      <c r="I74" s="1"/>
      <c r="J74" s="4" t="s">
        <v>899</v>
      </c>
      <c r="L74" s="15" t="s">
        <v>346</v>
      </c>
    </row>
    <row r="75" spans="1:12" x14ac:dyDescent="0.2">
      <c r="A75" s="31" t="s">
        <v>870</v>
      </c>
      <c r="B75" s="6"/>
      <c r="C75" s="5" t="s">
        <v>690</v>
      </c>
      <c r="I75" s="1"/>
      <c r="J75" s="4" t="s">
        <v>842</v>
      </c>
      <c r="L75" s="10" t="s">
        <v>359</v>
      </c>
    </row>
    <row r="76" spans="1:12" x14ac:dyDescent="0.2">
      <c r="A76" s="31" t="s">
        <v>794</v>
      </c>
      <c r="B76" s="6"/>
      <c r="C76" s="5" t="s">
        <v>902</v>
      </c>
      <c r="I76" s="1"/>
      <c r="J76" s="4" t="s">
        <v>1834</v>
      </c>
      <c r="L76" s="15" t="s">
        <v>583</v>
      </c>
    </row>
    <row r="77" spans="1:12" x14ac:dyDescent="0.2">
      <c r="A77" s="31" t="s">
        <v>852</v>
      </c>
      <c r="B77" s="6"/>
      <c r="C77" s="5" t="s">
        <v>731</v>
      </c>
      <c r="I77" s="1"/>
      <c r="J77" s="4" t="s">
        <v>1059</v>
      </c>
      <c r="L77" s="10" t="s">
        <v>405</v>
      </c>
    </row>
    <row r="78" spans="1:12" x14ac:dyDescent="0.2">
      <c r="A78" s="31" t="s">
        <v>1171</v>
      </c>
      <c r="B78" s="6"/>
      <c r="C78" s="5" t="s">
        <v>903</v>
      </c>
      <c r="I78" s="1"/>
      <c r="J78" s="4" t="s">
        <v>1819</v>
      </c>
      <c r="L78" s="15" t="s">
        <v>607</v>
      </c>
    </row>
    <row r="79" spans="1:12" x14ac:dyDescent="0.2">
      <c r="A79" s="31" t="s">
        <v>1798</v>
      </c>
      <c r="B79" s="6"/>
      <c r="C79" s="5" t="s">
        <v>686</v>
      </c>
      <c r="I79" s="1"/>
      <c r="J79" s="4" t="s">
        <v>1838</v>
      </c>
      <c r="L79" s="15" t="s">
        <v>599</v>
      </c>
    </row>
    <row r="80" spans="1:12" x14ac:dyDescent="0.2">
      <c r="A80" s="31" t="s">
        <v>381</v>
      </c>
      <c r="B80" s="6"/>
      <c r="C80" s="5" t="s">
        <v>859</v>
      </c>
      <c r="I80" s="1"/>
      <c r="J80" s="4" t="s">
        <v>1233</v>
      </c>
      <c r="L80" s="15" t="s">
        <v>415</v>
      </c>
    </row>
    <row r="81" spans="1:12" x14ac:dyDescent="0.2">
      <c r="A81" s="31" t="s">
        <v>828</v>
      </c>
      <c r="B81" s="6"/>
      <c r="C81" s="5" t="s">
        <v>755</v>
      </c>
      <c r="I81" s="1"/>
      <c r="J81" s="4" t="s">
        <v>133</v>
      </c>
      <c r="L81" s="15" t="s">
        <v>419</v>
      </c>
    </row>
    <row r="82" spans="1:12" x14ac:dyDescent="0.2">
      <c r="A82" s="31" t="s">
        <v>1182</v>
      </c>
      <c r="B82" s="6"/>
      <c r="C82" s="5" t="s">
        <v>829</v>
      </c>
      <c r="I82" s="1"/>
      <c r="J82" s="4" t="s">
        <v>1825</v>
      </c>
      <c r="L82" s="15" t="s">
        <v>216</v>
      </c>
    </row>
    <row r="83" spans="1:12" x14ac:dyDescent="0.2">
      <c r="A83" s="31" t="s">
        <v>1386</v>
      </c>
      <c r="B83" s="6"/>
      <c r="C83" s="5" t="s">
        <v>707</v>
      </c>
      <c r="I83" s="1"/>
      <c r="J83" s="4" t="s">
        <v>1165</v>
      </c>
      <c r="L83" s="15" t="s">
        <v>610</v>
      </c>
    </row>
    <row r="84" spans="1:12" x14ac:dyDescent="0.2">
      <c r="A84" s="31" t="s">
        <v>21</v>
      </c>
      <c r="B84" s="6"/>
      <c r="C84" s="5" t="s">
        <v>904</v>
      </c>
      <c r="I84" s="2"/>
      <c r="J84" s="4" t="s">
        <v>628</v>
      </c>
      <c r="L84" s="15" t="s">
        <v>395</v>
      </c>
    </row>
    <row r="85" spans="1:12" x14ac:dyDescent="0.2">
      <c r="A85" s="31" t="s">
        <v>1186</v>
      </c>
      <c r="B85" s="6"/>
      <c r="C85" s="5" t="s">
        <v>905</v>
      </c>
      <c r="I85" s="2"/>
      <c r="J85" s="4" t="s">
        <v>1154</v>
      </c>
      <c r="L85" s="10" t="s">
        <v>376</v>
      </c>
    </row>
    <row r="86" spans="1:12" x14ac:dyDescent="0.2">
      <c r="A86" s="31" t="s">
        <v>1159</v>
      </c>
      <c r="B86" s="6"/>
      <c r="C86" s="5" t="s">
        <v>654</v>
      </c>
      <c r="I86" s="2"/>
      <c r="J86" s="4" t="s">
        <v>826</v>
      </c>
      <c r="L86" s="15" t="s">
        <v>564</v>
      </c>
    </row>
    <row r="87" spans="1:12" x14ac:dyDescent="0.2">
      <c r="A87" s="31" t="s">
        <v>690</v>
      </c>
      <c r="B87" s="6"/>
      <c r="C87" s="5" t="s">
        <v>861</v>
      </c>
      <c r="I87" s="2"/>
      <c r="J87" s="4" t="s">
        <v>1801</v>
      </c>
      <c r="L87" s="15" t="s">
        <v>389</v>
      </c>
    </row>
    <row r="88" spans="1:12" x14ac:dyDescent="0.2">
      <c r="A88" s="31" t="s">
        <v>770</v>
      </c>
      <c r="B88" s="6"/>
      <c r="C88" s="5" t="s">
        <v>906</v>
      </c>
      <c r="I88" s="2"/>
      <c r="J88" s="4" t="s">
        <v>1108</v>
      </c>
      <c r="L88" s="15" t="s">
        <v>437</v>
      </c>
    </row>
    <row r="89" spans="1:12" x14ac:dyDescent="0.2">
      <c r="A89" s="31" t="s">
        <v>693</v>
      </c>
      <c r="B89" s="6"/>
      <c r="C89" s="5" t="s">
        <v>907</v>
      </c>
      <c r="I89" s="2"/>
      <c r="J89" s="4" t="s">
        <v>1861</v>
      </c>
      <c r="L89" s="15" t="s">
        <v>559</v>
      </c>
    </row>
    <row r="90" spans="1:12" x14ac:dyDescent="0.2">
      <c r="A90" s="31" t="s">
        <v>978</v>
      </c>
      <c r="B90" s="6"/>
      <c r="C90" s="5" t="s">
        <v>729</v>
      </c>
      <c r="I90" s="1"/>
      <c r="J90" s="4" t="s">
        <v>322</v>
      </c>
      <c r="L90" s="15" t="s">
        <v>130</v>
      </c>
    </row>
    <row r="91" spans="1:12" x14ac:dyDescent="0.2">
      <c r="A91" s="31" t="s">
        <v>760</v>
      </c>
      <c r="B91" s="6"/>
      <c r="C91" s="5" t="s">
        <v>865</v>
      </c>
      <c r="I91" s="1"/>
      <c r="J91" s="4" t="s">
        <v>711</v>
      </c>
      <c r="L91" s="15" t="s">
        <v>239</v>
      </c>
    </row>
    <row r="92" spans="1:12" x14ac:dyDescent="0.2">
      <c r="A92" s="31" t="s">
        <v>1799</v>
      </c>
      <c r="B92" s="6"/>
      <c r="C92" s="5" t="s">
        <v>908</v>
      </c>
      <c r="I92" s="2"/>
      <c r="J92" s="4" t="s">
        <v>34</v>
      </c>
      <c r="L92" s="15" t="s">
        <v>418</v>
      </c>
    </row>
    <row r="93" spans="1:12" x14ac:dyDescent="0.2">
      <c r="A93" s="31" t="s">
        <v>705</v>
      </c>
      <c r="B93" s="6"/>
      <c r="C93" s="5" t="s">
        <v>909</v>
      </c>
      <c r="I93" s="2"/>
      <c r="J93" s="4" t="s">
        <v>1828</v>
      </c>
      <c r="L93" s="15" t="s">
        <v>421</v>
      </c>
    </row>
    <row r="94" spans="1:12" x14ac:dyDescent="0.2">
      <c r="A94" s="31" t="s">
        <v>762</v>
      </c>
      <c r="B94" s="6"/>
      <c r="C94" s="5" t="s">
        <v>726</v>
      </c>
      <c r="I94" s="2"/>
      <c r="J94" s="4" t="s">
        <v>1831</v>
      </c>
      <c r="L94" s="15" t="s">
        <v>561</v>
      </c>
    </row>
    <row r="95" spans="1:12" x14ac:dyDescent="0.2">
      <c r="A95" s="31" t="s">
        <v>1800</v>
      </c>
      <c r="B95" s="6"/>
      <c r="C95" s="5" t="s">
        <v>779</v>
      </c>
      <c r="I95" s="2"/>
      <c r="J95" s="4" t="s">
        <v>897</v>
      </c>
      <c r="L95" s="10" t="s">
        <v>612</v>
      </c>
    </row>
    <row r="96" spans="1:12" x14ac:dyDescent="0.2">
      <c r="A96" s="31" t="s">
        <v>1801</v>
      </c>
      <c r="B96" s="6"/>
      <c r="C96" s="5" t="s">
        <v>708</v>
      </c>
      <c r="I96" s="2"/>
      <c r="J96" s="4" t="s">
        <v>922</v>
      </c>
      <c r="L96" s="10" t="s">
        <v>410</v>
      </c>
    </row>
    <row r="97" spans="1:12" x14ac:dyDescent="0.2">
      <c r="A97" s="31" t="s">
        <v>1802</v>
      </c>
      <c r="C97" s="5" t="s">
        <v>910</v>
      </c>
      <c r="I97" s="2"/>
      <c r="J97" s="4" t="s">
        <v>1796</v>
      </c>
      <c r="L97" s="15" t="s">
        <v>245</v>
      </c>
    </row>
    <row r="98" spans="1:12" x14ac:dyDescent="0.2">
      <c r="A98" s="31" t="s">
        <v>1803</v>
      </c>
      <c r="B98" s="6"/>
      <c r="C98" s="5" t="s">
        <v>911</v>
      </c>
      <c r="I98" s="2"/>
      <c r="J98" s="4" t="s">
        <v>1152</v>
      </c>
      <c r="L98" s="15" t="s">
        <v>150</v>
      </c>
    </row>
    <row r="99" spans="1:12" x14ac:dyDescent="0.2">
      <c r="A99" s="31" t="s">
        <v>520</v>
      </c>
      <c r="B99" s="6"/>
      <c r="C99" s="5" t="s">
        <v>685</v>
      </c>
      <c r="I99" s="2"/>
      <c r="J99" s="4" t="s">
        <v>893</v>
      </c>
      <c r="L99" s="15" t="s">
        <v>399</v>
      </c>
    </row>
    <row r="100" spans="1:12" x14ac:dyDescent="0.2">
      <c r="A100" s="31" t="s">
        <v>1804</v>
      </c>
      <c r="B100" s="6"/>
      <c r="C100" s="5" t="s">
        <v>882</v>
      </c>
      <c r="I100" s="1"/>
      <c r="J100" s="4" t="s">
        <v>1783</v>
      </c>
      <c r="L100" s="15" t="s">
        <v>604</v>
      </c>
    </row>
    <row r="101" spans="1:12" x14ac:dyDescent="0.2">
      <c r="A101" s="31" t="s">
        <v>1805</v>
      </c>
      <c r="B101" s="6"/>
      <c r="C101" s="5" t="s">
        <v>912</v>
      </c>
      <c r="I101" s="2"/>
      <c r="J101" s="4" t="s">
        <v>1176</v>
      </c>
      <c r="L101" s="15" t="s">
        <v>158</v>
      </c>
    </row>
    <row r="102" spans="1:12" x14ac:dyDescent="0.2">
      <c r="A102" s="31" t="s">
        <v>532</v>
      </c>
      <c r="B102" s="6"/>
      <c r="C102" s="5" t="s">
        <v>913</v>
      </c>
      <c r="I102" s="2"/>
      <c r="J102" s="4" t="s">
        <v>851</v>
      </c>
      <c r="L102" s="15" t="s">
        <v>165</v>
      </c>
    </row>
    <row r="103" spans="1:12" x14ac:dyDescent="0.2">
      <c r="A103" s="31" t="s">
        <v>729</v>
      </c>
      <c r="B103" s="6"/>
      <c r="C103" s="5" t="s">
        <v>801</v>
      </c>
      <c r="I103" s="2"/>
      <c r="J103" s="4" t="s">
        <v>837</v>
      </c>
      <c r="L103" s="15" t="s">
        <v>588</v>
      </c>
    </row>
    <row r="104" spans="1:12" x14ac:dyDescent="0.2">
      <c r="A104" s="31" t="s">
        <v>1200</v>
      </c>
      <c r="B104" s="6"/>
      <c r="C104" s="5" t="s">
        <v>914</v>
      </c>
      <c r="I104" s="2"/>
      <c r="J104" s="4" t="s">
        <v>1793</v>
      </c>
      <c r="L104" s="15" t="s">
        <v>398</v>
      </c>
    </row>
    <row r="105" spans="1:12" x14ac:dyDescent="0.2">
      <c r="A105" s="31" t="s">
        <v>1185</v>
      </c>
      <c r="B105" s="6"/>
      <c r="C105" s="5" t="s">
        <v>835</v>
      </c>
      <c r="I105" s="2"/>
      <c r="J105" s="4" t="s">
        <v>924</v>
      </c>
      <c r="L105" s="10" t="s">
        <v>463</v>
      </c>
    </row>
    <row r="106" spans="1:12" x14ac:dyDescent="0.2">
      <c r="A106" s="31" t="s">
        <v>1806</v>
      </c>
      <c r="B106" s="6"/>
      <c r="C106" s="5" t="s">
        <v>915</v>
      </c>
      <c r="I106" s="1"/>
      <c r="J106" s="4" t="s">
        <v>1862</v>
      </c>
      <c r="L106" s="15" t="s">
        <v>578</v>
      </c>
    </row>
    <row r="107" spans="1:12" x14ac:dyDescent="0.2">
      <c r="A107" s="31" t="s">
        <v>827</v>
      </c>
      <c r="B107" s="6"/>
      <c r="C107" s="5" t="s">
        <v>736</v>
      </c>
      <c r="I107" s="2"/>
      <c r="J107" s="4" t="s">
        <v>1159</v>
      </c>
      <c r="L107" s="15" t="s">
        <v>170</v>
      </c>
    </row>
    <row r="108" spans="1:12" x14ac:dyDescent="0.2">
      <c r="A108" s="31" t="s">
        <v>1807</v>
      </c>
      <c r="C108" s="5" t="s">
        <v>916</v>
      </c>
      <c r="I108" s="2"/>
      <c r="J108" s="4" t="s">
        <v>134</v>
      </c>
      <c r="L108" s="15" t="s">
        <v>606</v>
      </c>
    </row>
    <row r="109" spans="1:12" x14ac:dyDescent="0.2">
      <c r="A109" s="31" t="s">
        <v>656</v>
      </c>
      <c r="C109" s="5" t="s">
        <v>830</v>
      </c>
      <c r="I109" s="2"/>
      <c r="J109" s="4" t="s">
        <v>1246</v>
      </c>
      <c r="L109" s="15" t="s">
        <v>423</v>
      </c>
    </row>
    <row r="110" spans="1:12" x14ac:dyDescent="0.2">
      <c r="A110" s="31" t="s">
        <v>788</v>
      </c>
      <c r="B110" s="6"/>
      <c r="C110" s="5" t="s">
        <v>917</v>
      </c>
      <c r="I110" s="1"/>
      <c r="J110" s="4" t="s">
        <v>845</v>
      </c>
      <c r="L110" s="15" t="s">
        <v>190</v>
      </c>
    </row>
    <row r="111" spans="1:12" x14ac:dyDescent="0.2">
      <c r="A111" s="31" t="s">
        <v>909</v>
      </c>
      <c r="B111" s="6"/>
      <c r="C111" s="5" t="s">
        <v>918</v>
      </c>
      <c r="I111" s="2"/>
      <c r="J111" s="4" t="s">
        <v>781</v>
      </c>
      <c r="L111" s="15" t="s">
        <v>565</v>
      </c>
    </row>
    <row r="112" spans="1:12" x14ac:dyDescent="0.2">
      <c r="A112" s="31" t="s">
        <v>1808</v>
      </c>
      <c r="C112" s="5" t="s">
        <v>919</v>
      </c>
      <c r="I112" s="1"/>
      <c r="J112" s="4" t="s">
        <v>1199</v>
      </c>
      <c r="L112" s="15" t="s">
        <v>430</v>
      </c>
    </row>
    <row r="113" spans="1:12" x14ac:dyDescent="0.2">
      <c r="A113" s="31" t="s">
        <v>1809</v>
      </c>
      <c r="B113" s="6"/>
      <c r="C113" s="5" t="s">
        <v>662</v>
      </c>
      <c r="I113" s="2"/>
      <c r="J113" s="4" t="s">
        <v>734</v>
      </c>
      <c r="L113" s="15" t="s">
        <v>433</v>
      </c>
    </row>
    <row r="114" spans="1:12" x14ac:dyDescent="0.2">
      <c r="A114" s="31" t="s">
        <v>1199</v>
      </c>
      <c r="B114" s="6"/>
      <c r="C114" s="5" t="s">
        <v>698</v>
      </c>
      <c r="I114" s="2"/>
      <c r="J114" s="4" t="s">
        <v>192</v>
      </c>
      <c r="L114" s="15" t="s">
        <v>375</v>
      </c>
    </row>
    <row r="115" spans="1:12" x14ac:dyDescent="0.2">
      <c r="A115" s="31" t="s">
        <v>1810</v>
      </c>
      <c r="B115" s="6"/>
      <c r="C115" s="5" t="s">
        <v>700</v>
      </c>
      <c r="I115" s="2"/>
      <c r="J115" s="4" t="s">
        <v>912</v>
      </c>
      <c r="L115" s="15" t="s">
        <v>438</v>
      </c>
    </row>
    <row r="116" spans="1:12" x14ac:dyDescent="0.2">
      <c r="A116" s="31" t="s">
        <v>1811</v>
      </c>
      <c r="B116" s="6"/>
      <c r="C116" s="5" t="s">
        <v>920</v>
      </c>
      <c r="I116" s="2"/>
      <c r="J116" s="4" t="s">
        <v>1171</v>
      </c>
      <c r="L116" s="15" t="s">
        <v>383</v>
      </c>
    </row>
    <row r="117" spans="1:12" x14ac:dyDescent="0.2">
      <c r="A117" s="31" t="s">
        <v>362</v>
      </c>
      <c r="C117" s="5" t="s">
        <v>711</v>
      </c>
      <c r="I117" s="2"/>
      <c r="J117" s="4" t="s">
        <v>883</v>
      </c>
      <c r="L117" s="10" t="s">
        <v>487</v>
      </c>
    </row>
    <row r="118" spans="1:12" x14ac:dyDescent="0.2">
      <c r="A118" s="31" t="s">
        <v>1204</v>
      </c>
      <c r="B118" s="6"/>
      <c r="C118" s="5" t="s">
        <v>833</v>
      </c>
      <c r="I118" s="2"/>
      <c r="J118" s="4" t="s">
        <v>362</v>
      </c>
      <c r="L118" s="15" t="s">
        <v>600</v>
      </c>
    </row>
    <row r="119" spans="1:12" x14ac:dyDescent="0.2">
      <c r="A119" s="31" t="s">
        <v>1812</v>
      </c>
      <c r="C119" s="5" t="s">
        <v>798</v>
      </c>
      <c r="I119" s="1"/>
      <c r="J119" s="4" t="s">
        <v>870</v>
      </c>
      <c r="L119" s="10" t="s">
        <v>214</v>
      </c>
    </row>
    <row r="120" spans="1:12" x14ac:dyDescent="0.2">
      <c r="A120" s="31" t="s">
        <v>1813</v>
      </c>
      <c r="B120" s="6"/>
      <c r="C120" s="5" t="s">
        <v>804</v>
      </c>
      <c r="I120" s="1"/>
      <c r="J120" s="4" t="s">
        <v>1817</v>
      </c>
      <c r="L120" s="15" t="s">
        <v>576</v>
      </c>
    </row>
    <row r="121" spans="1:12" x14ac:dyDescent="0.2">
      <c r="A121" s="31" t="s">
        <v>1608</v>
      </c>
      <c r="B121" s="6"/>
      <c r="C121" s="16" t="s">
        <v>403</v>
      </c>
      <c r="I121" s="1"/>
      <c r="J121" s="4" t="s">
        <v>1821</v>
      </c>
      <c r="L121" s="15" t="s">
        <v>443</v>
      </c>
    </row>
    <row r="122" spans="1:12" x14ac:dyDescent="0.2">
      <c r="A122" s="31" t="s">
        <v>1783</v>
      </c>
      <c r="B122" s="6"/>
      <c r="C122" s="5" t="s">
        <v>204</v>
      </c>
      <c r="I122" s="2"/>
      <c r="J122" s="4" t="s">
        <v>1789</v>
      </c>
      <c r="L122" s="15" t="s">
        <v>581</v>
      </c>
    </row>
    <row r="123" spans="1:12" x14ac:dyDescent="0.2">
      <c r="A123" s="31" t="s">
        <v>1177</v>
      </c>
      <c r="B123" s="6"/>
      <c r="C123" s="5" t="s">
        <v>718</v>
      </c>
      <c r="I123" s="2"/>
      <c r="J123" s="4" t="s">
        <v>367</v>
      </c>
      <c r="L123" s="15" t="s">
        <v>195</v>
      </c>
    </row>
    <row r="124" spans="1:12" x14ac:dyDescent="0.2">
      <c r="A124" s="31" t="s">
        <v>1814</v>
      </c>
      <c r="B124" s="6"/>
      <c r="C124" s="5" t="s">
        <v>921</v>
      </c>
      <c r="I124" s="2"/>
      <c r="J124" s="4" t="s">
        <v>923</v>
      </c>
      <c r="L124" s="10" t="s">
        <v>225</v>
      </c>
    </row>
    <row r="125" spans="1:12" x14ac:dyDescent="0.2">
      <c r="A125" s="31" t="s">
        <v>1815</v>
      </c>
      <c r="B125" s="6"/>
      <c r="C125" s="5" t="s">
        <v>671</v>
      </c>
      <c r="I125" s="2"/>
      <c r="J125" s="4" t="s">
        <v>1765</v>
      </c>
      <c r="L125" s="15" t="s">
        <v>373</v>
      </c>
    </row>
    <row r="126" spans="1:12" x14ac:dyDescent="0.2">
      <c r="A126" s="31" t="s">
        <v>551</v>
      </c>
      <c r="B126" s="6"/>
      <c r="C126" s="5" t="s">
        <v>481</v>
      </c>
      <c r="I126" s="2"/>
      <c r="J126" s="4" t="s">
        <v>779</v>
      </c>
      <c r="L126" s="15" t="s">
        <v>530</v>
      </c>
    </row>
    <row r="127" spans="1:12" x14ac:dyDescent="0.2">
      <c r="A127" s="31" t="s">
        <v>674</v>
      </c>
      <c r="B127" s="6"/>
      <c r="C127" s="5" t="s">
        <v>922</v>
      </c>
      <c r="I127" s="2"/>
      <c r="J127" s="4" t="s">
        <v>1832</v>
      </c>
      <c r="L127" s="15" t="s">
        <v>587</v>
      </c>
    </row>
    <row r="128" spans="1:12" x14ac:dyDescent="0.2">
      <c r="A128" s="31" t="s">
        <v>761</v>
      </c>
      <c r="B128" s="6"/>
      <c r="C128" s="5" t="s">
        <v>923</v>
      </c>
      <c r="I128" s="2"/>
      <c r="J128" s="4" t="s">
        <v>641</v>
      </c>
      <c r="L128" s="15" t="s">
        <v>586</v>
      </c>
    </row>
    <row r="129" spans="1:12" x14ac:dyDescent="0.2">
      <c r="A129" s="31" t="s">
        <v>1816</v>
      </c>
      <c r="C129" s="5" t="s">
        <v>691</v>
      </c>
      <c r="I129" s="1"/>
      <c r="J129" s="4" t="s">
        <v>1827</v>
      </c>
      <c r="L129" s="15" t="s">
        <v>567</v>
      </c>
    </row>
    <row r="130" spans="1:12" x14ac:dyDescent="0.2">
      <c r="A130" s="31" t="s">
        <v>1165</v>
      </c>
      <c r="B130" s="6"/>
      <c r="C130" s="5" t="s">
        <v>713</v>
      </c>
      <c r="I130" s="2"/>
      <c r="J130" s="4" t="s">
        <v>204</v>
      </c>
      <c r="L130" s="15" t="s">
        <v>442</v>
      </c>
    </row>
    <row r="131" spans="1:12" x14ac:dyDescent="0.2">
      <c r="A131" s="31" t="s">
        <v>765</v>
      </c>
      <c r="B131" s="6"/>
      <c r="C131" s="5" t="s">
        <v>924</v>
      </c>
      <c r="I131" s="1"/>
      <c r="J131" s="4" t="s">
        <v>1330</v>
      </c>
      <c r="L131" s="15" t="s">
        <v>458</v>
      </c>
    </row>
    <row r="132" spans="1:12" x14ac:dyDescent="0.2">
      <c r="A132" s="31" t="s">
        <v>1817</v>
      </c>
      <c r="B132" s="6"/>
      <c r="C132" s="5" t="s">
        <v>925</v>
      </c>
      <c r="I132" s="2"/>
      <c r="J132" s="4" t="s">
        <v>665</v>
      </c>
      <c r="L132" s="10" t="s">
        <v>461</v>
      </c>
    </row>
    <row r="133" spans="1:12" x14ac:dyDescent="0.2">
      <c r="A133" s="31" t="s">
        <v>698</v>
      </c>
      <c r="B133" s="6"/>
      <c r="C133" s="5" t="s">
        <v>926</v>
      </c>
      <c r="I133" s="2"/>
      <c r="J133" s="4" t="s">
        <v>381</v>
      </c>
      <c r="L133" s="10" t="s">
        <v>427</v>
      </c>
    </row>
    <row r="134" spans="1:12" x14ac:dyDescent="0.2">
      <c r="A134" s="31" t="s">
        <v>1818</v>
      </c>
      <c r="B134" s="6"/>
      <c r="C134" s="5" t="s">
        <v>664</v>
      </c>
      <c r="I134" s="2"/>
      <c r="J134" s="4" t="s">
        <v>1826</v>
      </c>
      <c r="L134" s="10" t="s">
        <v>592</v>
      </c>
    </row>
    <row r="135" spans="1:12" x14ac:dyDescent="0.2">
      <c r="A135" s="31" t="s">
        <v>669</v>
      </c>
      <c r="B135" s="6"/>
      <c r="C135" s="5" t="s">
        <v>927</v>
      </c>
      <c r="I135" s="2"/>
      <c r="J135" s="4" t="s">
        <v>1239</v>
      </c>
      <c r="L135" s="15" t="s">
        <v>542</v>
      </c>
    </row>
    <row r="136" spans="1:12" x14ac:dyDescent="0.2">
      <c r="A136" s="31" t="s">
        <v>159</v>
      </c>
      <c r="I136" s="2"/>
      <c r="J136" s="4" t="s">
        <v>773</v>
      </c>
      <c r="L136" s="15" t="s">
        <v>462</v>
      </c>
    </row>
    <row r="137" spans="1:12" x14ac:dyDescent="0.2">
      <c r="A137" s="31" t="s">
        <v>689</v>
      </c>
      <c r="B137" s="6"/>
      <c r="I137" s="2"/>
      <c r="J137" s="4" t="s">
        <v>1849</v>
      </c>
      <c r="L137" s="15" t="s">
        <v>243</v>
      </c>
    </row>
    <row r="138" spans="1:12" x14ac:dyDescent="0.2">
      <c r="A138" s="31" t="s">
        <v>1173</v>
      </c>
      <c r="I138" s="2"/>
      <c r="J138" s="4" t="s">
        <v>1057</v>
      </c>
      <c r="L138" s="15" t="s">
        <v>207</v>
      </c>
    </row>
    <row r="139" spans="1:12" x14ac:dyDescent="0.2">
      <c r="A139" s="31" t="s">
        <v>1742</v>
      </c>
      <c r="B139" s="6"/>
      <c r="I139" s="1"/>
      <c r="J139" s="4" t="s">
        <v>702</v>
      </c>
      <c r="L139" s="15" t="s">
        <v>454</v>
      </c>
    </row>
    <row r="140" spans="1:12" x14ac:dyDescent="0.2">
      <c r="A140" s="31" t="s">
        <v>973</v>
      </c>
      <c r="B140" s="6"/>
      <c r="I140" s="2"/>
      <c r="J140" s="4" t="s">
        <v>1186</v>
      </c>
      <c r="L140" s="15" t="s">
        <v>473</v>
      </c>
    </row>
    <row r="141" spans="1:12" x14ac:dyDescent="0.2">
      <c r="A141" s="31" t="s">
        <v>654</v>
      </c>
      <c r="B141" s="6"/>
      <c r="I141" s="2"/>
      <c r="J141" s="4" t="s">
        <v>814</v>
      </c>
      <c r="L141" s="15" t="s">
        <v>344</v>
      </c>
    </row>
    <row r="142" spans="1:12" x14ac:dyDescent="0.2">
      <c r="A142" s="31" t="s">
        <v>1761</v>
      </c>
      <c r="B142" s="6"/>
      <c r="I142" s="2"/>
      <c r="J142" s="4" t="s">
        <v>717</v>
      </c>
      <c r="L142" s="10" t="s">
        <v>265</v>
      </c>
    </row>
    <row r="143" spans="1:12" x14ac:dyDescent="0.2">
      <c r="A143" s="31" t="s">
        <v>1819</v>
      </c>
      <c r="I143" s="2"/>
      <c r="J143" s="4" t="s">
        <v>794</v>
      </c>
      <c r="L143" s="10" t="s">
        <v>432</v>
      </c>
    </row>
    <row r="144" spans="1:12" x14ac:dyDescent="0.2">
      <c r="A144" s="31" t="s">
        <v>734</v>
      </c>
      <c r="B144" s="6"/>
      <c r="I144" s="2"/>
      <c r="J144" s="4" t="s">
        <v>875</v>
      </c>
      <c r="L144" s="15" t="s">
        <v>478</v>
      </c>
    </row>
    <row r="145" spans="1:12" x14ac:dyDescent="0.2">
      <c r="A145" s="31" t="s">
        <v>718</v>
      </c>
      <c r="I145" s="2"/>
      <c r="J145" s="4" t="s">
        <v>1249</v>
      </c>
      <c r="L145" s="15" t="s">
        <v>577</v>
      </c>
    </row>
    <row r="146" spans="1:12" x14ac:dyDescent="0.2">
      <c r="A146" s="31" t="s">
        <v>1235</v>
      </c>
      <c r="B146" s="6"/>
      <c r="I146" s="2"/>
      <c r="J146" s="4" t="s">
        <v>905</v>
      </c>
      <c r="L146" s="15" t="s">
        <v>509</v>
      </c>
    </row>
    <row r="147" spans="1:12" x14ac:dyDescent="0.2">
      <c r="A147" s="31" t="s">
        <v>1820</v>
      </c>
      <c r="B147" s="6"/>
      <c r="I147" s="2"/>
      <c r="J147" s="4" t="s">
        <v>703</v>
      </c>
      <c r="L147" s="15" t="s">
        <v>566</v>
      </c>
    </row>
    <row r="148" spans="1:12" x14ac:dyDescent="0.2">
      <c r="A148" s="31" t="s">
        <v>707</v>
      </c>
      <c r="B148" s="6"/>
      <c r="I148" s="2"/>
      <c r="J148" s="4" t="s">
        <v>1868</v>
      </c>
      <c r="L148" s="15" t="s">
        <v>495</v>
      </c>
    </row>
    <row r="149" spans="1:12" x14ac:dyDescent="0.2">
      <c r="A149" s="31" t="s">
        <v>664</v>
      </c>
      <c r="B149" s="6"/>
      <c r="I149" s="1"/>
      <c r="J149" s="4" t="s">
        <v>629</v>
      </c>
      <c r="L149" s="10" t="s">
        <v>488</v>
      </c>
    </row>
    <row r="150" spans="1:12" x14ac:dyDescent="0.2">
      <c r="A150" s="31" t="s">
        <v>1233</v>
      </c>
      <c r="B150" s="6"/>
      <c r="I150" s="1"/>
      <c r="J150" s="4" t="s">
        <v>755</v>
      </c>
      <c r="L150" s="15" t="s">
        <v>499</v>
      </c>
    </row>
    <row r="151" spans="1:12" x14ac:dyDescent="0.2">
      <c r="A151" s="31" t="s">
        <v>832</v>
      </c>
      <c r="B151" s="6"/>
      <c r="I151" s="2"/>
      <c r="J151" s="4" t="s">
        <v>1830</v>
      </c>
      <c r="L151" s="15" t="s">
        <v>596</v>
      </c>
    </row>
    <row r="152" spans="1:12" x14ac:dyDescent="0.2">
      <c r="A152" s="31" t="s">
        <v>772</v>
      </c>
      <c r="I152" s="2"/>
      <c r="J152" s="4" t="s">
        <v>916</v>
      </c>
      <c r="L152" s="15" t="s">
        <v>393</v>
      </c>
    </row>
    <row r="153" spans="1:12" x14ac:dyDescent="0.2">
      <c r="A153" s="31" t="s">
        <v>1821</v>
      </c>
      <c r="I153" s="2"/>
      <c r="J153" s="4" t="s">
        <v>686</v>
      </c>
      <c r="L153" s="10" t="s">
        <v>466</v>
      </c>
    </row>
    <row r="154" spans="1:12" x14ac:dyDescent="0.2">
      <c r="A154" s="31" t="s">
        <v>717</v>
      </c>
      <c r="B154" s="6"/>
      <c r="I154" s="2"/>
      <c r="J154" s="4" t="s">
        <v>1822</v>
      </c>
      <c r="L154" s="15" t="s">
        <v>569</v>
      </c>
    </row>
    <row r="155" spans="1:12" x14ac:dyDescent="0.2">
      <c r="A155" s="31" t="s">
        <v>48</v>
      </c>
      <c r="B155" s="6"/>
      <c r="I155" s="2"/>
      <c r="J155" s="4" t="s">
        <v>890</v>
      </c>
      <c r="L155" s="15" t="s">
        <v>608</v>
      </c>
    </row>
    <row r="156" spans="1:12" x14ac:dyDescent="0.2">
      <c r="A156" s="31" t="s">
        <v>636</v>
      </c>
      <c r="B156" s="6"/>
      <c r="I156" s="2"/>
      <c r="J156" s="4" t="s">
        <v>1855</v>
      </c>
      <c r="L156" s="10" t="s">
        <v>584</v>
      </c>
    </row>
    <row r="157" spans="1:12" x14ac:dyDescent="0.2">
      <c r="A157" s="31" t="s">
        <v>645</v>
      </c>
      <c r="I157" s="2"/>
      <c r="J157" s="4" t="s">
        <v>788</v>
      </c>
      <c r="L157" s="10" t="s">
        <v>366</v>
      </c>
    </row>
    <row r="158" spans="1:12" x14ac:dyDescent="0.2">
      <c r="A158" s="31" t="s">
        <v>787</v>
      </c>
      <c r="B158" s="6"/>
      <c r="I158" s="2"/>
      <c r="J158" s="4" t="s">
        <v>1166</v>
      </c>
      <c r="L158" s="15" t="s">
        <v>474</v>
      </c>
    </row>
    <row r="159" spans="1:12" x14ac:dyDescent="0.2">
      <c r="A159" s="31" t="s">
        <v>1822</v>
      </c>
      <c r="B159" s="6"/>
      <c r="I159" s="1"/>
      <c r="J159" s="4" t="s">
        <v>1172</v>
      </c>
      <c r="L159" s="15" t="s">
        <v>510</v>
      </c>
    </row>
    <row r="160" spans="1:12" x14ac:dyDescent="0.2">
      <c r="A160" s="31" t="s">
        <v>1183</v>
      </c>
      <c r="B160" s="6"/>
      <c r="I160" s="2"/>
      <c r="J160" s="4" t="s">
        <v>1390</v>
      </c>
      <c r="L160" s="15" t="s">
        <v>591</v>
      </c>
    </row>
    <row r="161" spans="1:12" x14ac:dyDescent="0.2">
      <c r="A161" s="31" t="s">
        <v>406</v>
      </c>
      <c r="B161" s="6"/>
      <c r="C161" s="6"/>
      <c r="I161" s="2"/>
      <c r="J161" s="4" t="s">
        <v>1742</v>
      </c>
      <c r="L161" s="10" t="s">
        <v>513</v>
      </c>
    </row>
    <row r="162" spans="1:12" x14ac:dyDescent="0.2">
      <c r="A162" s="31" t="s">
        <v>1823</v>
      </c>
      <c r="B162" s="6"/>
      <c r="C162" s="6"/>
      <c r="I162" s="2"/>
      <c r="J162" s="4" t="s">
        <v>1744</v>
      </c>
      <c r="L162" s="15" t="s">
        <v>484</v>
      </c>
    </row>
    <row r="163" spans="1:12" x14ac:dyDescent="0.2">
      <c r="A163" s="31" t="s">
        <v>1172</v>
      </c>
      <c r="C163" s="6"/>
      <c r="I163" s="2"/>
      <c r="J163" s="4" t="s">
        <v>859</v>
      </c>
      <c r="L163" s="15" t="s">
        <v>523</v>
      </c>
    </row>
    <row r="164" spans="1:12" x14ac:dyDescent="0.2">
      <c r="A164" s="31" t="s">
        <v>1824</v>
      </c>
      <c r="C164" s="6"/>
      <c r="I164" s="2"/>
      <c r="J164" s="4" t="s">
        <v>978</v>
      </c>
      <c r="L164" s="15" t="s">
        <v>519</v>
      </c>
    </row>
    <row r="165" spans="1:12" x14ac:dyDescent="0.2">
      <c r="A165" s="31" t="s">
        <v>1239</v>
      </c>
      <c r="C165" s="6"/>
      <c r="I165" s="2"/>
      <c r="J165" s="4" t="s">
        <v>763</v>
      </c>
      <c r="L165" s="15" t="s">
        <v>273</v>
      </c>
    </row>
    <row r="166" spans="1:12" x14ac:dyDescent="0.2">
      <c r="A166" s="31" t="s">
        <v>879</v>
      </c>
      <c r="C166" s="6"/>
      <c r="I166" s="2"/>
      <c r="J166" s="4" t="s">
        <v>1235</v>
      </c>
      <c r="L166" s="15" t="s">
        <v>560</v>
      </c>
    </row>
    <row r="167" spans="1:12" x14ac:dyDescent="0.2">
      <c r="A167" s="31" t="s">
        <v>735</v>
      </c>
      <c r="B167" s="6"/>
      <c r="C167" s="6"/>
      <c r="I167" s="2"/>
      <c r="J167" s="4" t="s">
        <v>1259</v>
      </c>
      <c r="L167" s="15" t="s">
        <v>601</v>
      </c>
    </row>
    <row r="168" spans="1:12" x14ac:dyDescent="0.2">
      <c r="A168" s="31" t="s">
        <v>1825</v>
      </c>
      <c r="C168" s="6"/>
      <c r="I168" s="2"/>
      <c r="J168" s="4" t="s">
        <v>775</v>
      </c>
      <c r="L168" s="15" t="s">
        <v>524</v>
      </c>
    </row>
    <row r="169" spans="1:12" x14ac:dyDescent="0.2">
      <c r="A169" s="31" t="s">
        <v>1826</v>
      </c>
      <c r="C169" s="6"/>
      <c r="I169" s="2"/>
      <c r="J169" s="4" t="s">
        <v>1802</v>
      </c>
      <c r="L169" s="15" t="s">
        <v>527</v>
      </c>
    </row>
    <row r="170" spans="1:12" x14ac:dyDescent="0.2">
      <c r="A170" s="31" t="s">
        <v>801</v>
      </c>
      <c r="B170" s="6"/>
      <c r="C170" s="6"/>
      <c r="I170" s="2"/>
      <c r="J170" s="4" t="s">
        <v>1088</v>
      </c>
      <c r="L170" s="15" t="s">
        <v>537</v>
      </c>
    </row>
    <row r="171" spans="1:12" x14ac:dyDescent="0.2">
      <c r="A171" s="31" t="s">
        <v>1827</v>
      </c>
      <c r="B171" s="6"/>
      <c r="I171" s="1"/>
      <c r="J171" s="4" t="s">
        <v>1847</v>
      </c>
      <c r="L171" s="10" t="s">
        <v>595</v>
      </c>
    </row>
    <row r="172" spans="1:12" x14ac:dyDescent="0.2">
      <c r="A172" s="31" t="s">
        <v>1672</v>
      </c>
      <c r="B172" s="6"/>
      <c r="I172" s="2"/>
      <c r="J172" s="4" t="s">
        <v>1835</v>
      </c>
      <c r="L172" s="15" t="s">
        <v>374</v>
      </c>
    </row>
    <row r="173" spans="1:12" x14ac:dyDescent="0.2">
      <c r="A173" s="31" t="s">
        <v>483</v>
      </c>
      <c r="B173" s="6"/>
      <c r="C173" s="6"/>
      <c r="I173" s="1"/>
      <c r="J173" s="4" t="s">
        <v>888</v>
      </c>
      <c r="L173" s="15" t="s">
        <v>570</v>
      </c>
    </row>
    <row r="174" spans="1:12" x14ac:dyDescent="0.2">
      <c r="A174" s="31" t="s">
        <v>481</v>
      </c>
      <c r="I174" s="2"/>
      <c r="J174" s="4" t="s">
        <v>1217</v>
      </c>
      <c r="L174" s="15" t="s">
        <v>582</v>
      </c>
    </row>
    <row r="175" spans="1:12" x14ac:dyDescent="0.2">
      <c r="A175" s="31" t="s">
        <v>682</v>
      </c>
      <c r="B175" s="6"/>
      <c r="C175" s="6"/>
      <c r="I175" s="2"/>
      <c r="J175" s="4" t="s">
        <v>1852</v>
      </c>
      <c r="L175" s="15" t="s">
        <v>602</v>
      </c>
    </row>
    <row r="176" spans="1:12" x14ac:dyDescent="0.2">
      <c r="A176" s="31" t="s">
        <v>837</v>
      </c>
      <c r="B176" s="6"/>
      <c r="I176" s="2"/>
      <c r="J176" s="4" t="s">
        <v>907</v>
      </c>
      <c r="L176" s="15" t="s">
        <v>590</v>
      </c>
    </row>
    <row r="177" spans="1:12" x14ac:dyDescent="0.2">
      <c r="A177" s="31" t="s">
        <v>764</v>
      </c>
      <c r="C177" s="6"/>
      <c r="I177" s="2"/>
      <c r="J177" s="4" t="s">
        <v>1058</v>
      </c>
      <c r="L177" s="10" t="s">
        <v>282</v>
      </c>
    </row>
    <row r="178" spans="1:12" x14ac:dyDescent="0.2">
      <c r="A178" s="31" t="s">
        <v>181</v>
      </c>
      <c r="B178" s="6"/>
      <c r="I178" s="1"/>
      <c r="J178" s="4" t="s">
        <v>675</v>
      </c>
      <c r="L178" s="15" t="s">
        <v>574</v>
      </c>
    </row>
    <row r="179" spans="1:12" x14ac:dyDescent="0.2">
      <c r="A179" s="31" t="s">
        <v>534</v>
      </c>
      <c r="C179" s="6"/>
      <c r="I179" s="2"/>
      <c r="J179" s="4" t="s">
        <v>1865</v>
      </c>
      <c r="L179" s="15" t="s">
        <v>533</v>
      </c>
    </row>
    <row r="180" spans="1:12" x14ac:dyDescent="0.2">
      <c r="A180" s="31" t="s">
        <v>673</v>
      </c>
      <c r="B180" s="6"/>
      <c r="I180" s="2"/>
      <c r="J180" s="4" t="s">
        <v>896</v>
      </c>
      <c r="L180" s="15" t="s">
        <v>605</v>
      </c>
    </row>
    <row r="181" spans="1:12" x14ac:dyDescent="0.2">
      <c r="A181" s="31" t="s">
        <v>836</v>
      </c>
      <c r="B181" s="6"/>
      <c r="C181" s="6"/>
      <c r="I181" s="2"/>
      <c r="J181" s="8" t="s">
        <v>463</v>
      </c>
      <c r="L181" s="10" t="s">
        <v>594</v>
      </c>
    </row>
    <row r="182" spans="1:12" x14ac:dyDescent="0.2">
      <c r="A182" s="31" t="s">
        <v>1359</v>
      </c>
      <c r="B182" s="6"/>
      <c r="C182" s="6"/>
      <c r="I182" s="2"/>
      <c r="J182" s="4" t="s">
        <v>1803</v>
      </c>
      <c r="L182" s="10" t="s">
        <v>540</v>
      </c>
    </row>
    <row r="183" spans="1:12" x14ac:dyDescent="0.2">
      <c r="A183" s="31" t="s">
        <v>1828</v>
      </c>
      <c r="B183" s="6"/>
      <c r="C183" s="6"/>
      <c r="I183" s="2"/>
      <c r="J183" s="4" t="s">
        <v>1820</v>
      </c>
      <c r="L183" s="15" t="s">
        <v>286</v>
      </c>
    </row>
    <row r="184" spans="1:12" x14ac:dyDescent="0.2">
      <c r="A184" s="31" t="s">
        <v>886</v>
      </c>
      <c r="B184" s="6"/>
      <c r="C184" s="6"/>
      <c r="I184" s="2"/>
      <c r="J184" s="4" t="s">
        <v>895</v>
      </c>
      <c r="L184" s="15" t="s">
        <v>468</v>
      </c>
    </row>
    <row r="185" spans="1:12" x14ac:dyDescent="0.2">
      <c r="A185" s="31" t="s">
        <v>700</v>
      </c>
      <c r="B185" s="6"/>
      <c r="C185" s="6"/>
      <c r="I185" s="2"/>
      <c r="J185" s="4" t="s">
        <v>856</v>
      </c>
      <c r="L185" s="10" t="s">
        <v>546</v>
      </c>
    </row>
    <row r="186" spans="1:12" x14ac:dyDescent="0.2">
      <c r="A186" s="31" t="s">
        <v>1829</v>
      </c>
      <c r="B186" s="6"/>
      <c r="C186" s="6"/>
      <c r="I186" s="1"/>
      <c r="J186" s="4" t="s">
        <v>636</v>
      </c>
      <c r="L186" s="15" t="s">
        <v>598</v>
      </c>
    </row>
    <row r="187" spans="1:12" x14ac:dyDescent="0.2">
      <c r="A187" s="31" t="s">
        <v>83</v>
      </c>
      <c r="B187" s="6"/>
      <c r="C187" s="6"/>
      <c r="I187" s="1"/>
      <c r="J187" s="4" t="s">
        <v>1816</v>
      </c>
      <c r="L187" s="10" t="s">
        <v>290</v>
      </c>
    </row>
    <row r="188" spans="1:12" x14ac:dyDescent="0.2">
      <c r="A188" s="31" t="s">
        <v>740</v>
      </c>
      <c r="B188" s="6"/>
      <c r="C188" s="6"/>
      <c r="I188" s="1"/>
      <c r="J188" s="4" t="s">
        <v>1807</v>
      </c>
      <c r="L188" s="15" t="s">
        <v>295</v>
      </c>
    </row>
    <row r="189" spans="1:12" x14ac:dyDescent="0.2">
      <c r="A189" s="31" t="s">
        <v>1241</v>
      </c>
      <c r="B189" s="6"/>
      <c r="C189" s="6"/>
      <c r="I189" s="2"/>
      <c r="J189" s="4" t="s">
        <v>731</v>
      </c>
      <c r="L189" s="15" t="s">
        <v>573</v>
      </c>
    </row>
    <row r="190" spans="1:12" x14ac:dyDescent="0.2">
      <c r="A190" s="31" t="s">
        <v>742</v>
      </c>
      <c r="B190" s="6"/>
      <c r="C190" s="6"/>
      <c r="I190" s="2"/>
      <c r="J190" s="4" t="s">
        <v>1845</v>
      </c>
      <c r="L190" s="10" t="s">
        <v>253</v>
      </c>
    </row>
    <row r="191" spans="1:12" x14ac:dyDescent="0.2">
      <c r="A191" s="31" t="s">
        <v>747</v>
      </c>
      <c r="B191" s="6"/>
      <c r="C191" s="6"/>
      <c r="I191" s="2"/>
      <c r="J191" s="4" t="s">
        <v>760</v>
      </c>
      <c r="L191" s="15" t="s">
        <v>490</v>
      </c>
    </row>
    <row r="192" spans="1:12" x14ac:dyDescent="0.2">
      <c r="A192" s="31" t="s">
        <v>781</v>
      </c>
      <c r="B192" s="6"/>
      <c r="C192" s="6"/>
      <c r="I192" s="2"/>
      <c r="J192" s="4" t="s">
        <v>742</v>
      </c>
      <c r="L192" s="10" t="s">
        <v>556</v>
      </c>
    </row>
    <row r="193" spans="1:12" x14ac:dyDescent="0.2">
      <c r="A193" s="31" t="s">
        <v>1830</v>
      </c>
      <c r="B193" s="6"/>
      <c r="C193" s="6"/>
      <c r="I193" s="2"/>
      <c r="J193" s="4" t="s">
        <v>689</v>
      </c>
      <c r="L193" s="15" t="s">
        <v>480</v>
      </c>
    </row>
    <row r="194" spans="1:12" x14ac:dyDescent="0.2">
      <c r="A194" s="31" t="s">
        <v>1831</v>
      </c>
      <c r="B194" s="6"/>
      <c r="C194" s="6"/>
      <c r="I194" s="2"/>
      <c r="J194" s="4" t="s">
        <v>1310</v>
      </c>
      <c r="L194" s="15" t="s">
        <v>554</v>
      </c>
    </row>
    <row r="195" spans="1:12" x14ac:dyDescent="0.2">
      <c r="A195" s="31" t="s">
        <v>1832</v>
      </c>
      <c r="B195" s="6"/>
      <c r="C195" s="6"/>
      <c r="I195" s="2"/>
      <c r="J195" s="4" t="s">
        <v>1182</v>
      </c>
      <c r="L195" s="15" t="s">
        <v>597</v>
      </c>
    </row>
    <row r="196" spans="1:12" x14ac:dyDescent="0.2">
      <c r="A196" s="31" t="s">
        <v>1833</v>
      </c>
      <c r="B196" s="6"/>
      <c r="C196" s="6"/>
      <c r="I196" s="1"/>
      <c r="J196" s="4" t="s">
        <v>1799</v>
      </c>
      <c r="L196" s="13" t="s">
        <v>13</v>
      </c>
    </row>
    <row r="197" spans="1:12" x14ac:dyDescent="0.2">
      <c r="A197" s="31" t="s">
        <v>800</v>
      </c>
      <c r="C197" s="6"/>
      <c r="I197" s="1"/>
      <c r="J197" s="4" t="s">
        <v>790</v>
      </c>
      <c r="L197" s="13" t="s">
        <v>40</v>
      </c>
    </row>
    <row r="198" spans="1:12" x14ac:dyDescent="0.2">
      <c r="A198" s="31" t="s">
        <v>1834</v>
      </c>
      <c r="B198" s="6"/>
      <c r="C198" s="6"/>
      <c r="I198" s="2"/>
      <c r="J198" s="4" t="s">
        <v>970</v>
      </c>
      <c r="L198" s="13" t="s">
        <v>613</v>
      </c>
    </row>
    <row r="199" spans="1:12" x14ac:dyDescent="0.2">
      <c r="A199" s="31" t="s">
        <v>550</v>
      </c>
      <c r="B199" s="6"/>
      <c r="C199" s="6"/>
      <c r="I199" s="2"/>
      <c r="J199" s="4" t="s">
        <v>864</v>
      </c>
      <c r="L199" s="13" t="s">
        <v>621</v>
      </c>
    </row>
    <row r="200" spans="1:12" x14ac:dyDescent="0.2">
      <c r="A200" s="31" t="s">
        <v>763</v>
      </c>
      <c r="B200" s="6"/>
      <c r="C200" s="6"/>
      <c r="I200" s="2"/>
      <c r="J200" s="4" t="s">
        <v>1824</v>
      </c>
      <c r="L200" s="13" t="s">
        <v>616</v>
      </c>
    </row>
    <row r="201" spans="1:12" x14ac:dyDescent="0.2">
      <c r="A201" s="31" t="s">
        <v>1390</v>
      </c>
      <c r="B201" s="6"/>
      <c r="C201" s="6"/>
      <c r="I201" s="2"/>
      <c r="J201" s="4" t="s">
        <v>973</v>
      </c>
      <c r="L201" s="13" t="s">
        <v>620</v>
      </c>
    </row>
    <row r="202" spans="1:12" x14ac:dyDescent="0.2">
      <c r="A202" s="31" t="s">
        <v>851</v>
      </c>
      <c r="B202" s="6"/>
      <c r="C202" s="6"/>
      <c r="I202" s="2"/>
      <c r="J202" s="4" t="s">
        <v>789</v>
      </c>
      <c r="L202" s="13" t="s">
        <v>200</v>
      </c>
    </row>
    <row r="203" spans="1:12" x14ac:dyDescent="0.2">
      <c r="A203" s="31" t="s">
        <v>1771</v>
      </c>
      <c r="B203" s="6"/>
      <c r="C203" s="6"/>
      <c r="I203" s="1"/>
      <c r="J203" s="4" t="s">
        <v>891</v>
      </c>
      <c r="L203" s="13" t="s">
        <v>270</v>
      </c>
    </row>
    <row r="204" spans="1:12" x14ac:dyDescent="0.2">
      <c r="A204" s="31" t="s">
        <v>1835</v>
      </c>
      <c r="B204" s="6"/>
      <c r="C204" s="6"/>
      <c r="I204" s="2"/>
      <c r="J204" s="4" t="s">
        <v>892</v>
      </c>
      <c r="L204" s="13" t="s">
        <v>617</v>
      </c>
    </row>
    <row r="205" spans="1:12" x14ac:dyDescent="0.2">
      <c r="A205" s="31" t="s">
        <v>1836</v>
      </c>
      <c r="B205" s="6"/>
      <c r="C205" s="6"/>
      <c r="I205" s="2"/>
      <c r="J205" s="4" t="s">
        <v>1177</v>
      </c>
      <c r="L205" s="13" t="s">
        <v>380</v>
      </c>
    </row>
    <row r="206" spans="1:12" x14ac:dyDescent="0.2">
      <c r="A206" s="31" t="s">
        <v>1766</v>
      </c>
      <c r="B206" s="6"/>
      <c r="C206" s="6"/>
      <c r="I206" s="2"/>
      <c r="J206" s="4" t="s">
        <v>772</v>
      </c>
      <c r="L206" s="13" t="s">
        <v>618</v>
      </c>
    </row>
    <row r="207" spans="1:12" x14ac:dyDescent="0.2">
      <c r="A207" s="31" t="s">
        <v>694</v>
      </c>
      <c r="C207" s="6"/>
      <c r="I207" s="1"/>
      <c r="J207" s="4" t="s">
        <v>747</v>
      </c>
      <c r="L207" s="13" t="s">
        <v>619</v>
      </c>
    </row>
    <row r="208" spans="1:12" x14ac:dyDescent="0.2">
      <c r="A208" s="31" t="s">
        <v>1837</v>
      </c>
      <c r="B208" s="4"/>
      <c r="I208" s="2"/>
      <c r="J208" s="4" t="s">
        <v>1792</v>
      </c>
      <c r="L208" s="13" t="s">
        <v>202</v>
      </c>
    </row>
    <row r="209" spans="1:12" x14ac:dyDescent="0.2">
      <c r="A209" s="31" t="s">
        <v>1838</v>
      </c>
      <c r="B209" s="4"/>
      <c r="C209" s="6"/>
      <c r="I209" s="2"/>
      <c r="J209" s="4" t="s">
        <v>745</v>
      </c>
      <c r="L209" s="13" t="s">
        <v>614</v>
      </c>
    </row>
    <row r="210" spans="1:12" x14ac:dyDescent="0.2">
      <c r="A210" s="31" t="s">
        <v>882</v>
      </c>
      <c r="C210" s="6"/>
      <c r="I210" s="1"/>
      <c r="J210" s="4" t="s">
        <v>1761</v>
      </c>
      <c r="L210" s="13" t="s">
        <v>313</v>
      </c>
    </row>
    <row r="211" spans="1:12" x14ac:dyDescent="0.2">
      <c r="A211" s="31" t="s">
        <v>1181</v>
      </c>
      <c r="C211" s="6"/>
      <c r="I211" s="1"/>
      <c r="J211" s="7" t="s">
        <v>313</v>
      </c>
      <c r="L211" s="13" t="s">
        <v>625</v>
      </c>
    </row>
    <row r="212" spans="1:12" x14ac:dyDescent="0.2">
      <c r="A212" s="31" t="s">
        <v>1839</v>
      </c>
      <c r="C212" s="6"/>
      <c r="I212" s="2"/>
      <c r="J212" s="4" t="s">
        <v>762</v>
      </c>
      <c r="L212" s="13" t="s">
        <v>622</v>
      </c>
    </row>
    <row r="213" spans="1:12" x14ac:dyDescent="0.2">
      <c r="A213" s="31" t="s">
        <v>1176</v>
      </c>
      <c r="C213" s="6"/>
      <c r="I213" s="2"/>
      <c r="J213" s="4" t="s">
        <v>1836</v>
      </c>
      <c r="L213" s="13" t="s">
        <v>624</v>
      </c>
    </row>
    <row r="214" spans="1:12" x14ac:dyDescent="0.2">
      <c r="A214" s="31" t="s">
        <v>918</v>
      </c>
      <c r="C214" s="6"/>
      <c r="I214" s="2"/>
      <c r="J214" s="4" t="s">
        <v>1797</v>
      </c>
      <c r="L214" s="13" t="s">
        <v>236</v>
      </c>
    </row>
    <row r="215" spans="1:12" x14ac:dyDescent="0.2">
      <c r="A215" s="31" t="s">
        <v>1166</v>
      </c>
      <c r="C215" s="6"/>
      <c r="I215" s="1"/>
      <c r="J215" s="4" t="s">
        <v>804</v>
      </c>
      <c r="L215" s="13" t="s">
        <v>531</v>
      </c>
    </row>
    <row r="216" spans="1:12" x14ac:dyDescent="0.2">
      <c r="A216" s="31" t="s">
        <v>829</v>
      </c>
      <c r="C216" s="6"/>
      <c r="I216" s="2"/>
      <c r="J216" s="4" t="s">
        <v>740</v>
      </c>
      <c r="L216" s="13" t="s">
        <v>545</v>
      </c>
    </row>
    <row r="217" spans="1:12" x14ac:dyDescent="0.2">
      <c r="A217" s="31" t="s">
        <v>1246</v>
      </c>
      <c r="C217" s="6"/>
      <c r="I217" s="2"/>
      <c r="J217" s="4" t="s">
        <v>1777</v>
      </c>
      <c r="L217" s="13" t="s">
        <v>187</v>
      </c>
    </row>
    <row r="218" spans="1:12" x14ac:dyDescent="0.2">
      <c r="A218" s="31" t="s">
        <v>1590</v>
      </c>
      <c r="C218" s="6"/>
      <c r="I218" s="2"/>
      <c r="J218" s="4" t="s">
        <v>770</v>
      </c>
      <c r="L218" s="13" t="s">
        <v>626</v>
      </c>
    </row>
    <row r="219" spans="1:12" x14ac:dyDescent="0.2">
      <c r="A219" s="31" t="s">
        <v>403</v>
      </c>
      <c r="I219" s="2"/>
      <c r="J219" s="4" t="s">
        <v>1839</v>
      </c>
      <c r="L219" s="13" t="s">
        <v>627</v>
      </c>
    </row>
    <row r="220" spans="1:12" x14ac:dyDescent="0.2">
      <c r="A220" s="31" t="s">
        <v>970</v>
      </c>
      <c r="I220" s="2"/>
      <c r="J220" s="4" t="s">
        <v>1784</v>
      </c>
      <c r="L220" s="13" t="s">
        <v>299</v>
      </c>
    </row>
    <row r="221" spans="1:12" x14ac:dyDescent="0.2">
      <c r="A221" s="31" t="s">
        <v>367</v>
      </c>
      <c r="C221" s="6"/>
      <c r="I221" s="2"/>
      <c r="J221" s="4" t="s">
        <v>913</v>
      </c>
      <c r="L221" s="13" t="s">
        <v>615</v>
      </c>
    </row>
    <row r="222" spans="1:12" x14ac:dyDescent="0.2">
      <c r="A222" s="31" t="s">
        <v>1840</v>
      </c>
      <c r="C222" s="6"/>
      <c r="I222" s="2"/>
      <c r="J222" s="4" t="s">
        <v>767</v>
      </c>
      <c r="L222" s="13" t="s">
        <v>623</v>
      </c>
    </row>
    <row r="223" spans="1:12" x14ac:dyDescent="0.2">
      <c r="A223" s="31" t="s">
        <v>783</v>
      </c>
      <c r="I223" s="2"/>
      <c r="J223" s="4" t="s">
        <v>646</v>
      </c>
    </row>
    <row r="224" spans="1:12" x14ac:dyDescent="0.2">
      <c r="A224" s="31" t="s">
        <v>1841</v>
      </c>
      <c r="C224" s="6"/>
      <c r="I224" s="2"/>
      <c r="J224" s="4" t="s">
        <v>914</v>
      </c>
    </row>
    <row r="225" spans="1:10" x14ac:dyDescent="0.2">
      <c r="A225" s="31" t="s">
        <v>1842</v>
      </c>
      <c r="C225" s="6"/>
      <c r="I225" s="1"/>
      <c r="J225" s="28" t="s">
        <v>1386</v>
      </c>
    </row>
    <row r="226" spans="1:10" x14ac:dyDescent="0.2">
      <c r="A226" s="31" t="s">
        <v>1744</v>
      </c>
      <c r="C226" s="6"/>
      <c r="I226" s="2"/>
      <c r="J226" s="4" t="s">
        <v>1841</v>
      </c>
    </row>
    <row r="227" spans="1:10" x14ac:dyDescent="0.2">
      <c r="A227" s="31" t="s">
        <v>1205</v>
      </c>
      <c r="C227" s="6"/>
      <c r="I227" s="2"/>
      <c r="J227" s="4" t="s">
        <v>1766</v>
      </c>
    </row>
    <row r="228" spans="1:10" x14ac:dyDescent="0.2">
      <c r="A228" s="31" t="s">
        <v>1249</v>
      </c>
      <c r="I228" s="2"/>
      <c r="J228" s="4" t="s">
        <v>1194</v>
      </c>
    </row>
    <row r="229" spans="1:10" x14ac:dyDescent="0.2">
      <c r="A229" s="31" t="s">
        <v>863</v>
      </c>
      <c r="C229" s="6"/>
      <c r="I229" s="2"/>
      <c r="J229" s="4" t="s">
        <v>1096</v>
      </c>
    </row>
    <row r="230" spans="1:10" x14ac:dyDescent="0.2">
      <c r="A230" s="31" t="s">
        <v>1843</v>
      </c>
      <c r="I230" s="2"/>
      <c r="J230" s="4" t="s">
        <v>639</v>
      </c>
    </row>
    <row r="231" spans="1:10" x14ac:dyDescent="0.2">
      <c r="A231" s="31" t="s">
        <v>515</v>
      </c>
      <c r="C231" s="6"/>
      <c r="I231" s="1"/>
      <c r="J231" s="4" t="s">
        <v>1812</v>
      </c>
    </row>
    <row r="232" spans="1:10" x14ac:dyDescent="0.2">
      <c r="A232" s="31" t="s">
        <v>192</v>
      </c>
      <c r="C232" s="6"/>
      <c r="I232" s="2"/>
      <c r="J232" s="4" t="s">
        <v>1857</v>
      </c>
    </row>
    <row r="233" spans="1:10" x14ac:dyDescent="0.2">
      <c r="A233" s="31" t="s">
        <v>1617</v>
      </c>
      <c r="C233" s="6"/>
      <c r="I233" s="2"/>
      <c r="J233" s="4" t="s">
        <v>1863</v>
      </c>
    </row>
    <row r="234" spans="1:10" x14ac:dyDescent="0.2">
      <c r="A234" s="31" t="s">
        <v>839</v>
      </c>
      <c r="C234" s="6"/>
      <c r="I234" s="2"/>
      <c r="J234" s="4" t="s">
        <v>1060</v>
      </c>
    </row>
    <row r="235" spans="1:10" x14ac:dyDescent="0.2">
      <c r="A235" s="31" t="s">
        <v>775</v>
      </c>
      <c r="C235" s="6"/>
      <c r="I235" s="1"/>
      <c r="J235" s="4" t="s">
        <v>906</v>
      </c>
    </row>
    <row r="236" spans="1:10" x14ac:dyDescent="0.2">
      <c r="A236" s="31" t="s">
        <v>927</v>
      </c>
      <c r="C236" s="6"/>
      <c r="I236" s="1"/>
      <c r="J236" s="4" t="s">
        <v>766</v>
      </c>
    </row>
    <row r="237" spans="1:10" x14ac:dyDescent="0.2">
      <c r="A237" s="31" t="s">
        <v>1212</v>
      </c>
      <c r="C237" s="6"/>
      <c r="I237" s="2"/>
      <c r="J237" s="4" t="s">
        <v>671</v>
      </c>
    </row>
    <row r="238" spans="1:10" x14ac:dyDescent="0.2">
      <c r="A238" s="31" t="s">
        <v>1765</v>
      </c>
      <c r="C238" s="6"/>
      <c r="I238" s="2"/>
      <c r="J238" s="4" t="s">
        <v>1811</v>
      </c>
    </row>
    <row r="239" spans="1:10" x14ac:dyDescent="0.2">
      <c r="A239" s="31" t="s">
        <v>1844</v>
      </c>
      <c r="I239" s="1"/>
      <c r="J239" s="4" t="s">
        <v>1055</v>
      </c>
    </row>
    <row r="240" spans="1:10" x14ac:dyDescent="0.2">
      <c r="A240" s="31" t="s">
        <v>1845</v>
      </c>
      <c r="C240" s="6"/>
      <c r="I240" s="2"/>
      <c r="J240" s="4" t="s">
        <v>879</v>
      </c>
    </row>
    <row r="241" spans="1:10" x14ac:dyDescent="0.2">
      <c r="A241" s="31" t="s">
        <v>133</v>
      </c>
      <c r="C241" s="6"/>
      <c r="I241" s="1"/>
      <c r="J241" s="4" t="s">
        <v>1843</v>
      </c>
    </row>
    <row r="242" spans="1:10" x14ac:dyDescent="0.2">
      <c r="A242" s="31" t="s">
        <v>1846</v>
      </c>
      <c r="C242" s="6"/>
      <c r="I242" s="2"/>
      <c r="J242" s="4" t="s">
        <v>1808</v>
      </c>
    </row>
    <row r="243" spans="1:10" x14ac:dyDescent="0.2">
      <c r="A243" s="31" t="s">
        <v>1310</v>
      </c>
      <c r="C243" s="6"/>
      <c r="I243" s="2"/>
      <c r="J243" s="4" t="s">
        <v>469</v>
      </c>
    </row>
    <row r="244" spans="1:10" x14ac:dyDescent="0.2">
      <c r="A244" s="31" t="s">
        <v>1847</v>
      </c>
      <c r="C244" s="6"/>
      <c r="I244" s="1"/>
      <c r="J244" s="4" t="s">
        <v>1785</v>
      </c>
    </row>
    <row r="245" spans="1:10" x14ac:dyDescent="0.2">
      <c r="A245" s="31" t="s">
        <v>845</v>
      </c>
      <c r="C245" s="6"/>
      <c r="I245" s="2"/>
      <c r="J245" s="4" t="s">
        <v>708</v>
      </c>
    </row>
    <row r="246" spans="1:10" x14ac:dyDescent="0.2">
      <c r="A246" s="31" t="s">
        <v>1848</v>
      </c>
      <c r="I246" s="1"/>
      <c r="J246" s="4" t="s">
        <v>632</v>
      </c>
    </row>
    <row r="247" spans="1:10" x14ac:dyDescent="0.2">
      <c r="A247" s="31" t="s">
        <v>1849</v>
      </c>
      <c r="C247" s="6"/>
      <c r="I247" s="2"/>
      <c r="J247" s="4" t="s">
        <v>800</v>
      </c>
    </row>
    <row r="248" spans="1:10" x14ac:dyDescent="0.2">
      <c r="A248" s="31" t="s">
        <v>1850</v>
      </c>
      <c r="I248" s="2"/>
      <c r="J248" s="4" t="s">
        <v>1084</v>
      </c>
    </row>
    <row r="249" spans="1:10" x14ac:dyDescent="0.2">
      <c r="A249" s="31" t="s">
        <v>675</v>
      </c>
      <c r="C249" s="6"/>
      <c r="I249" s="2"/>
      <c r="J249" s="4" t="s">
        <v>815</v>
      </c>
    </row>
    <row r="250" spans="1:10" x14ac:dyDescent="0.2">
      <c r="A250" s="31" t="s">
        <v>1851</v>
      </c>
      <c r="C250" s="6"/>
      <c r="J250" s="4" t="s">
        <v>908</v>
      </c>
    </row>
    <row r="251" spans="1:10" x14ac:dyDescent="0.2">
      <c r="A251" s="31" t="s">
        <v>1852</v>
      </c>
      <c r="C251" s="6"/>
      <c r="J251" s="4" t="s">
        <v>1181</v>
      </c>
    </row>
    <row r="252" spans="1:10" x14ac:dyDescent="0.2">
      <c r="A252" s="31" t="s">
        <v>1777</v>
      </c>
      <c r="C252" s="6"/>
      <c r="J252" s="4" t="s">
        <v>1790</v>
      </c>
    </row>
    <row r="253" spans="1:10" x14ac:dyDescent="0.2">
      <c r="A253" s="31" t="s">
        <v>1853</v>
      </c>
      <c r="J253" s="4" t="s">
        <v>1856</v>
      </c>
    </row>
    <row r="254" spans="1:10" x14ac:dyDescent="0.2">
      <c r="A254" s="31" t="s">
        <v>640</v>
      </c>
      <c r="C254" s="6"/>
      <c r="J254" s="4" t="s">
        <v>483</v>
      </c>
    </row>
    <row r="255" spans="1:10" x14ac:dyDescent="0.2">
      <c r="A255" s="31" t="s">
        <v>1854</v>
      </c>
      <c r="J255" s="4" t="s">
        <v>1052</v>
      </c>
    </row>
    <row r="256" spans="1:10" x14ac:dyDescent="0.2">
      <c r="A256" s="31" t="s">
        <v>1855</v>
      </c>
      <c r="C256" s="6"/>
      <c r="J256" s="4" t="s">
        <v>1846</v>
      </c>
    </row>
    <row r="257" spans="1:10" x14ac:dyDescent="0.2">
      <c r="A257" s="31" t="s">
        <v>1856</v>
      </c>
      <c r="C257" s="6"/>
      <c r="J257" s="4" t="s">
        <v>1086</v>
      </c>
    </row>
    <row r="258" spans="1:10" x14ac:dyDescent="0.2">
      <c r="A258" s="31" t="s">
        <v>1857</v>
      </c>
      <c r="C258" s="6"/>
      <c r="J258" s="4" t="s">
        <v>1253</v>
      </c>
    </row>
    <row r="259" spans="1:10" x14ac:dyDescent="0.2">
      <c r="A259" s="31" t="s">
        <v>883</v>
      </c>
      <c r="C259" s="6"/>
      <c r="J259" s="4" t="s">
        <v>1860</v>
      </c>
    </row>
    <row r="260" spans="1:10" x14ac:dyDescent="0.2">
      <c r="A260" s="31" t="s">
        <v>681</v>
      </c>
      <c r="C260" s="6"/>
      <c r="J260" s="4" t="s">
        <v>900</v>
      </c>
    </row>
    <row r="261" spans="1:10" x14ac:dyDescent="0.2">
      <c r="A261" s="31" t="s">
        <v>1858</v>
      </c>
      <c r="C261" s="6"/>
      <c r="J261" s="4" t="s">
        <v>915</v>
      </c>
    </row>
    <row r="262" spans="1:10" x14ac:dyDescent="0.2">
      <c r="A262" s="31" t="s">
        <v>1859</v>
      </c>
      <c r="J262" s="4" t="s">
        <v>1795</v>
      </c>
    </row>
    <row r="263" spans="1:10" x14ac:dyDescent="0.2">
      <c r="A263" s="31" t="s">
        <v>1253</v>
      </c>
      <c r="J263" s="4" t="s">
        <v>921</v>
      </c>
    </row>
    <row r="264" spans="1:10" x14ac:dyDescent="0.2">
      <c r="A264" s="31" t="s">
        <v>1860</v>
      </c>
      <c r="C264" s="6"/>
      <c r="J264" s="4" t="s">
        <v>694</v>
      </c>
    </row>
    <row r="265" spans="1:10" x14ac:dyDescent="0.2">
      <c r="A265" s="31" t="s">
        <v>1217</v>
      </c>
      <c r="C265" s="6"/>
      <c r="J265" s="4" t="s">
        <v>1617</v>
      </c>
    </row>
    <row r="266" spans="1:10" x14ac:dyDescent="0.2">
      <c r="A266" s="31" t="s">
        <v>1861</v>
      </c>
      <c r="C266" s="6"/>
      <c r="J266" s="4" t="s">
        <v>1672</v>
      </c>
    </row>
    <row r="267" spans="1:10" x14ac:dyDescent="0.2">
      <c r="A267" s="31" t="s">
        <v>1862</v>
      </c>
      <c r="J267" s="4" t="s">
        <v>181</v>
      </c>
    </row>
    <row r="268" spans="1:10" x14ac:dyDescent="0.2">
      <c r="A268" s="31" t="s">
        <v>1863</v>
      </c>
      <c r="C268" s="6"/>
      <c r="J268" s="4" t="s">
        <v>515</v>
      </c>
    </row>
    <row r="269" spans="1:10" x14ac:dyDescent="0.2">
      <c r="A269" s="31" t="s">
        <v>1864</v>
      </c>
      <c r="C269" s="6"/>
      <c r="J269" s="4" t="s">
        <v>1079</v>
      </c>
    </row>
    <row r="270" spans="1:10" x14ac:dyDescent="0.2">
      <c r="A270" s="31" t="s">
        <v>1865</v>
      </c>
      <c r="C270" s="6"/>
      <c r="J270" s="4" t="s">
        <v>1173</v>
      </c>
    </row>
    <row r="271" spans="1:10" x14ac:dyDescent="0.2">
      <c r="A271" s="31" t="s">
        <v>1866</v>
      </c>
      <c r="C271" s="6"/>
      <c r="J271" s="4" t="s">
        <v>1853</v>
      </c>
    </row>
    <row r="272" spans="1:10" x14ac:dyDescent="0.2">
      <c r="A272" s="31" t="s">
        <v>1867</v>
      </c>
      <c r="C272" s="6"/>
      <c r="J272" s="4" t="s">
        <v>1183</v>
      </c>
    </row>
    <row r="273" spans="1:10" x14ac:dyDescent="0.2">
      <c r="A273" s="31" t="s">
        <v>1232</v>
      </c>
      <c r="J273" s="4" t="s">
        <v>520</v>
      </c>
    </row>
    <row r="274" spans="1:10" x14ac:dyDescent="0.2">
      <c r="A274" s="31" t="s">
        <v>1868</v>
      </c>
      <c r="J274" s="4" t="s">
        <v>836</v>
      </c>
    </row>
    <row r="275" spans="1:10" x14ac:dyDescent="0.2">
      <c r="A275" s="31" t="s">
        <v>798</v>
      </c>
      <c r="J275" s="4" t="s">
        <v>736</v>
      </c>
    </row>
    <row r="276" spans="1:10" x14ac:dyDescent="0.2">
      <c r="A276" s="31" t="s">
        <v>1869</v>
      </c>
      <c r="J276" s="4" t="s">
        <v>821</v>
      </c>
    </row>
    <row r="277" spans="1:10" x14ac:dyDescent="0.2">
      <c r="A277" s="31" t="s">
        <v>1870</v>
      </c>
      <c r="C277" s="6"/>
      <c r="J277" s="4" t="s">
        <v>1204</v>
      </c>
    </row>
    <row r="278" spans="1:10" x14ac:dyDescent="0.2">
      <c r="A278" s="31" t="s">
        <v>1259</v>
      </c>
      <c r="J278" s="4" t="s">
        <v>673</v>
      </c>
    </row>
    <row r="279" spans="1:10" x14ac:dyDescent="0.2">
      <c r="A279" s="31" t="s">
        <v>864</v>
      </c>
      <c r="C279" s="6"/>
      <c r="J279" s="4" t="s">
        <v>925</v>
      </c>
    </row>
    <row r="280" spans="1:10" x14ac:dyDescent="0.2">
      <c r="A280" s="31" t="s">
        <v>1693</v>
      </c>
      <c r="C280" s="6"/>
      <c r="J280" s="4" t="s">
        <v>1859</v>
      </c>
    </row>
    <row r="281" spans="1:10" x14ac:dyDescent="0.2">
      <c r="C281" s="6"/>
      <c r="J281" s="4" t="s">
        <v>820</v>
      </c>
    </row>
    <row r="282" spans="1:10" x14ac:dyDescent="0.2">
      <c r="C282" s="6"/>
      <c r="J282" s="4" t="s">
        <v>901</v>
      </c>
    </row>
    <row r="283" spans="1:10" x14ac:dyDescent="0.2">
      <c r="J283" s="4" t="s">
        <v>1771</v>
      </c>
    </row>
    <row r="284" spans="1:10" x14ac:dyDescent="0.2">
      <c r="C284" s="6"/>
      <c r="J284" s="4" t="s">
        <v>1798</v>
      </c>
    </row>
    <row r="285" spans="1:10" x14ac:dyDescent="0.2">
      <c r="J285" s="4" t="s">
        <v>667</v>
      </c>
    </row>
    <row r="286" spans="1:10" x14ac:dyDescent="0.2">
      <c r="C286" s="6"/>
      <c r="J286" s="4" t="s">
        <v>911</v>
      </c>
    </row>
    <row r="287" spans="1:10" x14ac:dyDescent="0.2">
      <c r="J287" s="4" t="s">
        <v>1205</v>
      </c>
    </row>
    <row r="288" spans="1:10" x14ac:dyDescent="0.2">
      <c r="C288" s="6"/>
      <c r="J288" s="4" t="s">
        <v>1815</v>
      </c>
    </row>
    <row r="289" spans="3:10" x14ac:dyDescent="0.2">
      <c r="C289" s="6"/>
      <c r="J289" s="4" t="s">
        <v>1858</v>
      </c>
    </row>
    <row r="290" spans="3:10" x14ac:dyDescent="0.2">
      <c r="C290" s="6"/>
      <c r="J290" s="4" t="s">
        <v>534</v>
      </c>
    </row>
    <row r="291" spans="3:10" x14ac:dyDescent="0.2">
      <c r="C291" s="6"/>
      <c r="J291" s="4" t="s">
        <v>926</v>
      </c>
    </row>
    <row r="292" spans="3:10" x14ac:dyDescent="0.2">
      <c r="C292" s="6"/>
      <c r="J292" s="4" t="s">
        <v>1728</v>
      </c>
    </row>
    <row r="293" spans="3:10" x14ac:dyDescent="0.2">
      <c r="C293" s="6"/>
      <c r="J293" s="4" t="s">
        <v>645</v>
      </c>
    </row>
    <row r="294" spans="3:10" x14ac:dyDescent="0.2">
      <c r="C294" s="6"/>
      <c r="J294" s="4" t="s">
        <v>861</v>
      </c>
    </row>
    <row r="295" spans="3:10" x14ac:dyDescent="0.2">
      <c r="C295" s="6"/>
      <c r="J295" s="4" t="s">
        <v>669</v>
      </c>
    </row>
    <row r="296" spans="3:10" x14ac:dyDescent="0.2">
      <c r="C296" s="6"/>
      <c r="J296" s="4" t="s">
        <v>1842</v>
      </c>
    </row>
    <row r="297" spans="3:10" x14ac:dyDescent="0.2">
      <c r="C297" s="6"/>
      <c r="J297" s="4" t="s">
        <v>827</v>
      </c>
    </row>
    <row r="298" spans="3:10" x14ac:dyDescent="0.2">
      <c r="C298" s="6"/>
      <c r="J298" s="4" t="s">
        <v>547</v>
      </c>
    </row>
    <row r="299" spans="3:10" x14ac:dyDescent="0.2">
      <c r="C299" s="6"/>
      <c r="J299" s="4" t="s">
        <v>1359</v>
      </c>
    </row>
    <row r="300" spans="3:10" x14ac:dyDescent="0.2">
      <c r="C300" s="6"/>
      <c r="J300" s="4" t="s">
        <v>550</v>
      </c>
    </row>
    <row r="301" spans="3:10" x14ac:dyDescent="0.2">
      <c r="C301" s="6"/>
      <c r="J301" s="4" t="s">
        <v>1810</v>
      </c>
    </row>
    <row r="302" spans="3:10" x14ac:dyDescent="0.2">
      <c r="C302" s="6"/>
      <c r="J302" s="7" t="s">
        <v>545</v>
      </c>
    </row>
    <row r="303" spans="3:10" x14ac:dyDescent="0.2">
      <c r="C303" s="6"/>
      <c r="J303" s="4" t="s">
        <v>1840</v>
      </c>
    </row>
    <row r="304" spans="3:10" x14ac:dyDescent="0.2">
      <c r="J304" s="4" t="s">
        <v>551</v>
      </c>
    </row>
    <row r="305" spans="1:10" x14ac:dyDescent="0.2">
      <c r="C305" s="6"/>
      <c r="J305" s="4" t="s">
        <v>887</v>
      </c>
    </row>
    <row r="306" spans="1:10" x14ac:dyDescent="0.2">
      <c r="C306" s="6"/>
      <c r="J306" s="4" t="s">
        <v>1791</v>
      </c>
    </row>
    <row r="307" spans="1:10" x14ac:dyDescent="0.2">
      <c r="A307" s="35"/>
      <c r="C307" s="6"/>
      <c r="J307" s="4" t="s">
        <v>705</v>
      </c>
    </row>
    <row r="308" spans="1:10" x14ac:dyDescent="0.2">
      <c r="A308" s="35"/>
      <c r="C308" s="6"/>
      <c r="J308" s="4" t="s">
        <v>1094</v>
      </c>
    </row>
    <row r="309" spans="1:10" x14ac:dyDescent="0.2">
      <c r="A309" s="35"/>
      <c r="C309" s="6"/>
      <c r="J309" s="4" t="s">
        <v>1867</v>
      </c>
    </row>
    <row r="310" spans="1:10" x14ac:dyDescent="0.2">
      <c r="A310" s="35"/>
      <c r="C310" s="6"/>
      <c r="J310" s="4" t="s">
        <v>681</v>
      </c>
    </row>
    <row r="311" spans="1:10" x14ac:dyDescent="0.2">
      <c r="A311" s="35"/>
      <c r="C311" s="6"/>
      <c r="J311" s="4" t="s">
        <v>713</v>
      </c>
    </row>
    <row r="312" spans="1:10" x14ac:dyDescent="0.2">
      <c r="A312" s="35"/>
      <c r="C312" s="6"/>
      <c r="J312" s="4" t="s">
        <v>704</v>
      </c>
    </row>
    <row r="313" spans="1:10" x14ac:dyDescent="0.2">
      <c r="A313" s="35"/>
      <c r="C313" s="6"/>
      <c r="J313" s="4" t="s">
        <v>1170</v>
      </c>
    </row>
    <row r="314" spans="1:10" x14ac:dyDescent="0.2">
      <c r="A314" s="35"/>
      <c r="J314" s="4" t="s">
        <v>810</v>
      </c>
    </row>
    <row r="315" spans="1:10" x14ac:dyDescent="0.2">
      <c r="A315" s="35"/>
      <c r="J315" s="8" t="s">
        <v>480</v>
      </c>
    </row>
    <row r="316" spans="1:10" x14ac:dyDescent="0.2">
      <c r="A316" s="35"/>
      <c r="J316" s="4" t="s">
        <v>674</v>
      </c>
    </row>
    <row r="317" spans="1:10" x14ac:dyDescent="0.2">
      <c r="A317" s="35"/>
      <c r="J317" s="4" t="s">
        <v>657</v>
      </c>
    </row>
    <row r="318" spans="1:10" x14ac:dyDescent="0.2">
      <c r="J318" s="4" t="s">
        <v>1054</v>
      </c>
    </row>
    <row r="319" spans="1:10" x14ac:dyDescent="0.2">
      <c r="J319" s="1"/>
    </row>
    <row r="320" spans="1:10" x14ac:dyDescent="0.2">
      <c r="J320" s="1"/>
    </row>
    <row r="321" spans="1:10" x14ac:dyDescent="0.2">
      <c r="A321" s="35"/>
      <c r="J321" s="1"/>
    </row>
    <row r="322" spans="1:10" x14ac:dyDescent="0.2">
      <c r="J322" s="1"/>
    </row>
    <row r="323" spans="1:10" x14ac:dyDescent="0.2">
      <c r="A323" s="35"/>
      <c r="J323" s="1"/>
    </row>
    <row r="324" spans="1:10" x14ac:dyDescent="0.2">
      <c r="J324" s="1"/>
    </row>
    <row r="325" spans="1:10" x14ac:dyDescent="0.2">
      <c r="A325" s="35"/>
      <c r="J325" s="1"/>
    </row>
    <row r="326" spans="1:10" x14ac:dyDescent="0.2">
      <c r="J326" s="1"/>
    </row>
    <row r="327" spans="1:10" x14ac:dyDescent="0.2">
      <c r="A327" s="35"/>
      <c r="J327" s="1"/>
    </row>
    <row r="328" spans="1:10" x14ac:dyDescent="0.2">
      <c r="J328" s="1"/>
    </row>
    <row r="329" spans="1:10" x14ac:dyDescent="0.2">
      <c r="A329" s="35"/>
      <c r="J329" s="1"/>
    </row>
    <row r="330" spans="1:10" x14ac:dyDescent="0.2">
      <c r="A330" s="35"/>
      <c r="J330" s="1"/>
    </row>
    <row r="331" spans="1:10" x14ac:dyDescent="0.2">
      <c r="A331" s="35"/>
      <c r="J331" s="1"/>
    </row>
    <row r="332" spans="1:10" x14ac:dyDescent="0.2">
      <c r="A332" s="35"/>
      <c r="J332" s="1"/>
    </row>
    <row r="333" spans="1:10" x14ac:dyDescent="0.2">
      <c r="A333" s="35"/>
      <c r="J333" s="1"/>
    </row>
    <row r="334" spans="1:10" x14ac:dyDescent="0.2">
      <c r="A334" s="35"/>
      <c r="J334" s="1"/>
    </row>
    <row r="335" spans="1:10" x14ac:dyDescent="0.2">
      <c r="A335" s="35"/>
      <c r="J335" s="1"/>
    </row>
    <row r="336" spans="1:10" x14ac:dyDescent="0.2">
      <c r="A336" s="35"/>
      <c r="J336" s="1"/>
    </row>
    <row r="337" spans="1:10" x14ac:dyDescent="0.2">
      <c r="A337" s="35"/>
      <c r="J337" s="1"/>
    </row>
    <row r="338" spans="1:10" x14ac:dyDescent="0.2">
      <c r="A338" s="35"/>
      <c r="J338" s="1"/>
    </row>
    <row r="339" spans="1:10" x14ac:dyDescent="0.2">
      <c r="A339" s="35"/>
      <c r="J339" s="1"/>
    </row>
    <row r="340" spans="1:10" x14ac:dyDescent="0.2">
      <c r="A340" s="35"/>
      <c r="J340" s="1"/>
    </row>
    <row r="341" spans="1:10" x14ac:dyDescent="0.2">
      <c r="A341" s="35"/>
      <c r="J341" s="1"/>
    </row>
    <row r="342" spans="1:10" x14ac:dyDescent="0.2">
      <c r="A342" s="35"/>
      <c r="J342" s="1"/>
    </row>
    <row r="343" spans="1:10" x14ac:dyDescent="0.2">
      <c r="A343" s="35"/>
      <c r="J343" s="1"/>
    </row>
    <row r="344" spans="1:10" x14ac:dyDescent="0.2">
      <c r="A344" s="35"/>
      <c r="J344" s="1"/>
    </row>
    <row r="345" spans="1:10" x14ac:dyDescent="0.2">
      <c r="A345" s="35"/>
      <c r="J345" s="2"/>
    </row>
    <row r="346" spans="1:10" x14ac:dyDescent="0.2">
      <c r="A346" s="35"/>
      <c r="J346" s="2"/>
    </row>
    <row r="347" spans="1:10" x14ac:dyDescent="0.2">
      <c r="A347" s="35"/>
      <c r="J347" s="2"/>
    </row>
    <row r="348" spans="1:10" x14ac:dyDescent="0.2">
      <c r="A348" s="35"/>
      <c r="J348" s="2"/>
    </row>
    <row r="349" spans="1:10" x14ac:dyDescent="0.2">
      <c r="A349" s="35"/>
      <c r="J349" s="2"/>
    </row>
    <row r="350" spans="1:10" x14ac:dyDescent="0.2">
      <c r="A350" s="35"/>
      <c r="J350" s="2"/>
    </row>
    <row r="351" spans="1:10" x14ac:dyDescent="0.2">
      <c r="A351" s="35"/>
      <c r="J351" s="1"/>
    </row>
    <row r="352" spans="1:10" x14ac:dyDescent="0.2">
      <c r="A352" s="35"/>
      <c r="J352" s="1"/>
    </row>
    <row r="353" spans="1:10" x14ac:dyDescent="0.2">
      <c r="A353" s="35"/>
      <c r="J353" s="2"/>
    </row>
    <row r="354" spans="1:10" x14ac:dyDescent="0.2">
      <c r="A354" s="35"/>
      <c r="J354" s="2"/>
    </row>
    <row r="355" spans="1:10" x14ac:dyDescent="0.2">
      <c r="J355" s="2"/>
    </row>
    <row r="356" spans="1:10" x14ac:dyDescent="0.2">
      <c r="A356" s="35"/>
      <c r="J356" s="2"/>
    </row>
    <row r="357" spans="1:10" x14ac:dyDescent="0.2">
      <c r="A357" s="35"/>
      <c r="J357" s="2"/>
    </row>
    <row r="358" spans="1:10" x14ac:dyDescent="0.2">
      <c r="A358" s="35"/>
      <c r="J358" s="2"/>
    </row>
    <row r="359" spans="1:10" x14ac:dyDescent="0.2">
      <c r="A359" s="35"/>
      <c r="J359" s="2"/>
    </row>
    <row r="360" spans="1:10" x14ac:dyDescent="0.2">
      <c r="A360" s="35"/>
      <c r="J360" s="2"/>
    </row>
    <row r="361" spans="1:10" x14ac:dyDescent="0.2">
      <c r="A361" s="35"/>
      <c r="J361" s="1"/>
    </row>
    <row r="362" spans="1:10" x14ac:dyDescent="0.2">
      <c r="A362" s="35"/>
      <c r="J362" s="2"/>
    </row>
    <row r="363" spans="1:10" x14ac:dyDescent="0.2">
      <c r="A363" s="35"/>
      <c r="J363" s="2"/>
    </row>
    <row r="364" spans="1:10" x14ac:dyDescent="0.2">
      <c r="A364" s="35"/>
      <c r="J364" s="2"/>
    </row>
    <row r="365" spans="1:10" x14ac:dyDescent="0.2">
      <c r="J365" s="2"/>
    </row>
    <row r="366" spans="1:10" x14ac:dyDescent="0.2">
      <c r="J366" s="2"/>
    </row>
    <row r="367" spans="1:10" x14ac:dyDescent="0.2">
      <c r="A367" s="35"/>
      <c r="J367" s="1"/>
    </row>
    <row r="368" spans="1:10" x14ac:dyDescent="0.2">
      <c r="A368" s="35"/>
      <c r="J368" s="2"/>
    </row>
    <row r="369" spans="1:10" x14ac:dyDescent="0.2">
      <c r="J369" s="2"/>
    </row>
    <row r="370" spans="1:10" x14ac:dyDescent="0.2">
      <c r="A370" s="35"/>
      <c r="J370" s="2"/>
    </row>
    <row r="371" spans="1:10" x14ac:dyDescent="0.2">
      <c r="A371" s="35"/>
      <c r="J371" s="1"/>
    </row>
    <row r="372" spans="1:10" x14ac:dyDescent="0.2">
      <c r="A372" s="35"/>
      <c r="J372" s="2"/>
    </row>
    <row r="373" spans="1:10" x14ac:dyDescent="0.2">
      <c r="A373" s="35"/>
      <c r="J373" s="1"/>
    </row>
    <row r="374" spans="1:10" x14ac:dyDescent="0.2">
      <c r="J374" s="2"/>
    </row>
    <row r="375" spans="1:10" x14ac:dyDescent="0.2">
      <c r="A375" s="35"/>
      <c r="J375" s="2"/>
    </row>
    <row r="376" spans="1:10" x14ac:dyDescent="0.2">
      <c r="J376" s="2"/>
    </row>
    <row r="377" spans="1:10" x14ac:dyDescent="0.2">
      <c r="A377" s="35"/>
      <c r="J377" s="2"/>
    </row>
    <row r="378" spans="1:10" x14ac:dyDescent="0.2">
      <c r="A378" s="35"/>
      <c r="J378" s="2"/>
    </row>
    <row r="379" spans="1:10" x14ac:dyDescent="0.2">
      <c r="A379" s="35"/>
      <c r="J379" s="2"/>
    </row>
    <row r="380" spans="1:10" x14ac:dyDescent="0.2">
      <c r="A380" s="35"/>
      <c r="J380" s="1"/>
    </row>
    <row r="381" spans="1:10" x14ac:dyDescent="0.2">
      <c r="A381" s="35"/>
      <c r="J381" s="1"/>
    </row>
    <row r="382" spans="1:10" x14ac:dyDescent="0.2">
      <c r="A382" s="35"/>
      <c r="J382" s="1"/>
    </row>
    <row r="383" spans="1:10" x14ac:dyDescent="0.2">
      <c r="A383" s="35"/>
      <c r="J383" s="2"/>
    </row>
    <row r="384" spans="1:10" x14ac:dyDescent="0.2">
      <c r="A384" s="35"/>
      <c r="J384" s="2"/>
    </row>
    <row r="385" spans="1:10" x14ac:dyDescent="0.2">
      <c r="J385" s="2"/>
    </row>
    <row r="386" spans="1:10" x14ac:dyDescent="0.2">
      <c r="A386" s="35"/>
      <c r="J386" s="2"/>
    </row>
    <row r="387" spans="1:10" x14ac:dyDescent="0.2">
      <c r="A387" s="35"/>
      <c r="J387" s="2"/>
    </row>
    <row r="388" spans="1:10" x14ac:dyDescent="0.2">
      <c r="A388" s="35"/>
      <c r="J388" s="2"/>
    </row>
    <row r="389" spans="1:10" x14ac:dyDescent="0.2">
      <c r="A389" s="35"/>
      <c r="J389" s="2"/>
    </row>
    <row r="390" spans="1:10" x14ac:dyDescent="0.2">
      <c r="A390" s="35"/>
      <c r="J390" s="1"/>
    </row>
    <row r="391" spans="1:10" x14ac:dyDescent="0.2">
      <c r="A391" s="35"/>
      <c r="J391" s="2"/>
    </row>
    <row r="392" spans="1:10" x14ac:dyDescent="0.2">
      <c r="J392" s="1"/>
    </row>
    <row r="393" spans="1:10" x14ac:dyDescent="0.2">
      <c r="A393" s="35"/>
      <c r="J393" s="2"/>
    </row>
    <row r="394" spans="1:10" x14ac:dyDescent="0.2">
      <c r="J394" s="2"/>
    </row>
    <row r="395" spans="1:10" x14ac:dyDescent="0.2">
      <c r="A395" s="35"/>
      <c r="J395" s="2"/>
    </row>
    <row r="396" spans="1:10" x14ac:dyDescent="0.2">
      <c r="A396" s="35"/>
      <c r="J396" s="2"/>
    </row>
    <row r="397" spans="1:10" x14ac:dyDescent="0.2">
      <c r="A397" s="35"/>
      <c r="J397" s="2"/>
    </row>
    <row r="398" spans="1:10" x14ac:dyDescent="0.2">
      <c r="A398" s="35"/>
      <c r="J398" s="2"/>
    </row>
    <row r="399" spans="1:10" x14ac:dyDescent="0.2">
      <c r="J399" s="2"/>
    </row>
    <row r="400" spans="1:10" x14ac:dyDescent="0.2">
      <c r="A400" s="35"/>
      <c r="J400" s="1"/>
    </row>
    <row r="401" spans="1:10" x14ac:dyDescent="0.2">
      <c r="J401" s="2"/>
    </row>
    <row r="402" spans="1:10" x14ac:dyDescent="0.2">
      <c r="A402" s="35"/>
      <c r="J402" s="2"/>
    </row>
    <row r="403" spans="1:10" x14ac:dyDescent="0.2">
      <c r="A403" s="35"/>
      <c r="J403" s="2"/>
    </row>
    <row r="404" spans="1:10" x14ac:dyDescent="0.2">
      <c r="A404" s="35"/>
      <c r="J404" s="2"/>
    </row>
    <row r="405" spans="1:10" x14ac:dyDescent="0.2">
      <c r="A405" s="35"/>
      <c r="J405" s="2"/>
    </row>
    <row r="406" spans="1:10" x14ac:dyDescent="0.2">
      <c r="A406" s="35"/>
      <c r="J406" s="2"/>
    </row>
    <row r="407" spans="1:10" x14ac:dyDescent="0.2">
      <c r="A407" s="35"/>
      <c r="J407" s="2"/>
    </row>
    <row r="408" spans="1:10" x14ac:dyDescent="0.2">
      <c r="J408" s="2"/>
    </row>
    <row r="409" spans="1:10" x14ac:dyDescent="0.2">
      <c r="J409" s="2"/>
    </row>
    <row r="410" spans="1:10" x14ac:dyDescent="0.2">
      <c r="A410" s="35"/>
      <c r="J410" s="1"/>
    </row>
    <row r="411" spans="1:10" x14ac:dyDescent="0.2">
      <c r="A411" s="35"/>
      <c r="J411" s="1"/>
    </row>
    <row r="412" spans="1:10" x14ac:dyDescent="0.2">
      <c r="A412" s="35"/>
      <c r="J412" s="2"/>
    </row>
    <row r="413" spans="1:10" x14ac:dyDescent="0.2">
      <c r="J413" s="2"/>
    </row>
    <row r="414" spans="1:10" x14ac:dyDescent="0.2">
      <c r="A414" s="35"/>
      <c r="J414" s="2"/>
    </row>
    <row r="415" spans="1:10" x14ac:dyDescent="0.2">
      <c r="A415" s="35"/>
      <c r="J415" s="2"/>
    </row>
    <row r="416" spans="1:10" x14ac:dyDescent="0.2">
      <c r="A416" s="35"/>
      <c r="J416" s="2"/>
    </row>
    <row r="417" spans="1:10" x14ac:dyDescent="0.2">
      <c r="A417" s="35"/>
      <c r="J417" s="2"/>
    </row>
    <row r="418" spans="1:10" x14ac:dyDescent="0.2">
      <c r="A418" s="35"/>
      <c r="J418" s="2"/>
    </row>
    <row r="419" spans="1:10" x14ac:dyDescent="0.2">
      <c r="J419" s="2"/>
    </row>
    <row r="420" spans="1:10" x14ac:dyDescent="0.2">
      <c r="J420" s="2"/>
    </row>
    <row r="421" spans="1:10" x14ac:dyDescent="0.2">
      <c r="J421" s="2"/>
    </row>
    <row r="422" spans="1:10" x14ac:dyDescent="0.2">
      <c r="J422" s="2"/>
    </row>
    <row r="423" spans="1:10" x14ac:dyDescent="0.2">
      <c r="A423" s="35"/>
      <c r="J423" s="2"/>
    </row>
    <row r="424" spans="1:10" x14ac:dyDescent="0.2">
      <c r="J424" s="2"/>
    </row>
    <row r="425" spans="1:10" x14ac:dyDescent="0.2">
      <c r="J425" s="2"/>
    </row>
    <row r="426" spans="1:10" x14ac:dyDescent="0.2">
      <c r="A426" s="35"/>
      <c r="J426" s="2"/>
    </row>
    <row r="427" spans="1:10" x14ac:dyDescent="0.2">
      <c r="A427" s="35"/>
      <c r="J427" s="2"/>
    </row>
    <row r="428" spans="1:10" x14ac:dyDescent="0.2">
      <c r="A428" s="35"/>
      <c r="J428" s="2"/>
    </row>
    <row r="429" spans="1:10" x14ac:dyDescent="0.2">
      <c r="A429" s="35"/>
      <c r="J429" s="2"/>
    </row>
    <row r="430" spans="1:10" x14ac:dyDescent="0.2">
      <c r="J430" s="2"/>
    </row>
    <row r="431" spans="1:10" x14ac:dyDescent="0.2">
      <c r="A431" s="35"/>
      <c r="J431" s="1"/>
    </row>
    <row r="432" spans="1:10" x14ac:dyDescent="0.2">
      <c r="A432" s="35"/>
      <c r="J432" s="2"/>
    </row>
    <row r="433" spans="1:10" x14ac:dyDescent="0.2">
      <c r="J433" s="1"/>
    </row>
    <row r="434" spans="1:10" x14ac:dyDescent="0.2">
      <c r="A434" s="35"/>
      <c r="J434" s="2"/>
    </row>
    <row r="435" spans="1:10" x14ac:dyDescent="0.2">
      <c r="J435" s="2"/>
    </row>
    <row r="436" spans="1:10" x14ac:dyDescent="0.2">
      <c r="A436" s="35"/>
      <c r="J436" s="2"/>
    </row>
    <row r="437" spans="1:10" x14ac:dyDescent="0.2">
      <c r="A437" s="35"/>
      <c r="J437" s="2"/>
    </row>
    <row r="438" spans="1:10" x14ac:dyDescent="0.2">
      <c r="A438" s="35"/>
      <c r="J438" s="1"/>
    </row>
    <row r="439" spans="1:10" x14ac:dyDescent="0.2">
      <c r="A439" s="35"/>
      <c r="J439" s="2"/>
    </row>
    <row r="440" spans="1:10" x14ac:dyDescent="0.2">
      <c r="A440" s="35"/>
      <c r="J440" s="2"/>
    </row>
    <row r="441" spans="1:10" x14ac:dyDescent="0.2">
      <c r="A441" s="35"/>
      <c r="J441" s="2"/>
    </row>
    <row r="442" spans="1:10" x14ac:dyDescent="0.2">
      <c r="A442" s="35"/>
      <c r="J442" s="2"/>
    </row>
    <row r="443" spans="1:10" x14ac:dyDescent="0.2">
      <c r="A443" s="35"/>
      <c r="J443" s="2"/>
    </row>
    <row r="444" spans="1:10" x14ac:dyDescent="0.2">
      <c r="A444" s="35"/>
      <c r="J444" s="2"/>
    </row>
    <row r="445" spans="1:10" x14ac:dyDescent="0.2">
      <c r="A445" s="35"/>
      <c r="J445" s="2"/>
    </row>
    <row r="446" spans="1:10" x14ac:dyDescent="0.2">
      <c r="A446" s="35"/>
      <c r="J446" s="1"/>
    </row>
    <row r="447" spans="1:10" x14ac:dyDescent="0.2">
      <c r="A447" s="35"/>
      <c r="J447" s="1"/>
    </row>
    <row r="448" spans="1:10" x14ac:dyDescent="0.2">
      <c r="A448" s="35"/>
      <c r="J448" s="1"/>
    </row>
    <row r="449" spans="1:10" x14ac:dyDescent="0.2">
      <c r="A449" s="35"/>
      <c r="J449" s="2"/>
    </row>
    <row r="450" spans="1:10" x14ac:dyDescent="0.2">
      <c r="A450" s="35"/>
      <c r="J450" s="2"/>
    </row>
    <row r="451" spans="1:10" x14ac:dyDescent="0.2">
      <c r="A451" s="35"/>
      <c r="J451" s="2"/>
    </row>
    <row r="452" spans="1:10" x14ac:dyDescent="0.2">
      <c r="J452" s="2"/>
    </row>
    <row r="453" spans="1:10" x14ac:dyDescent="0.2">
      <c r="A453" s="35"/>
      <c r="J453" s="2"/>
    </row>
    <row r="454" spans="1:10" x14ac:dyDescent="0.2">
      <c r="A454" s="35"/>
      <c r="J454" s="2"/>
    </row>
    <row r="455" spans="1:10" x14ac:dyDescent="0.2">
      <c r="A455" s="35"/>
      <c r="J455" s="2"/>
    </row>
    <row r="456" spans="1:10" x14ac:dyDescent="0.2">
      <c r="A456" s="35"/>
      <c r="J456" s="1"/>
    </row>
    <row r="457" spans="1:10" x14ac:dyDescent="0.2">
      <c r="A457" s="35"/>
      <c r="J457" s="1"/>
    </row>
    <row r="458" spans="1:10" x14ac:dyDescent="0.2">
      <c r="A458" s="35"/>
      <c r="J458" s="2"/>
    </row>
    <row r="459" spans="1:10" x14ac:dyDescent="0.2">
      <c r="A459" s="35"/>
      <c r="J459" s="2"/>
    </row>
    <row r="460" spans="1:10" x14ac:dyDescent="0.2">
      <c r="A460" s="35"/>
      <c r="J460" s="2"/>
    </row>
    <row r="461" spans="1:10" x14ac:dyDescent="0.2">
      <c r="A461" s="35"/>
      <c r="J461" s="2"/>
    </row>
    <row r="462" spans="1:10" x14ac:dyDescent="0.2">
      <c r="J462" s="2"/>
    </row>
    <row r="463" spans="1:10" x14ac:dyDescent="0.2">
      <c r="J463" s="1"/>
    </row>
    <row r="464" spans="1:10" x14ac:dyDescent="0.2">
      <c r="J464" s="2"/>
    </row>
    <row r="465" spans="10:10" x14ac:dyDescent="0.2">
      <c r="J465" s="2"/>
    </row>
    <row r="466" spans="10:10" x14ac:dyDescent="0.2">
      <c r="J466" s="2"/>
    </row>
    <row r="467" spans="10:10" x14ac:dyDescent="0.2">
      <c r="J467" s="1"/>
    </row>
    <row r="468" spans="10:10" x14ac:dyDescent="0.2">
      <c r="J468" s="2"/>
    </row>
    <row r="469" spans="10:10" x14ac:dyDescent="0.2">
      <c r="J469" s="2"/>
    </row>
    <row r="470" spans="10:10" x14ac:dyDescent="0.2">
      <c r="J470" s="1"/>
    </row>
    <row r="471" spans="10:10" x14ac:dyDescent="0.2">
      <c r="J471" s="1"/>
    </row>
    <row r="472" spans="10:10" x14ac:dyDescent="0.2">
      <c r="J472" s="2"/>
    </row>
    <row r="473" spans="10:10" x14ac:dyDescent="0.2">
      <c r="J473" s="2"/>
    </row>
    <row r="474" spans="10:10" x14ac:dyDescent="0.2">
      <c r="J474" s="2"/>
    </row>
    <row r="475" spans="10:10" x14ac:dyDescent="0.2">
      <c r="J475" s="1"/>
    </row>
    <row r="476" spans="10:10" x14ac:dyDescent="0.2">
      <c r="J476" s="2"/>
    </row>
    <row r="477" spans="10:10" x14ac:dyDescent="0.2">
      <c r="J477" s="2"/>
    </row>
    <row r="478" spans="10:10" x14ac:dyDescent="0.2">
      <c r="J478" s="2"/>
    </row>
    <row r="479" spans="10:10" x14ac:dyDescent="0.2">
      <c r="J479" s="2"/>
    </row>
    <row r="480" spans="10:10" x14ac:dyDescent="0.2">
      <c r="J480" s="2"/>
    </row>
    <row r="481" spans="10:10" x14ac:dyDescent="0.2">
      <c r="J481" s="2"/>
    </row>
    <row r="482" spans="10:10" x14ac:dyDescent="0.2">
      <c r="J482" s="2"/>
    </row>
    <row r="483" spans="10:10" x14ac:dyDescent="0.2">
      <c r="J483" s="2"/>
    </row>
    <row r="484" spans="10:10" x14ac:dyDescent="0.2">
      <c r="J484" s="2"/>
    </row>
    <row r="485" spans="10:10" x14ac:dyDescent="0.2">
      <c r="J485" s="1"/>
    </row>
    <row r="486" spans="10:10" x14ac:dyDescent="0.2">
      <c r="J486" s="2"/>
    </row>
    <row r="487" spans="10:10" x14ac:dyDescent="0.2">
      <c r="J487" s="2"/>
    </row>
    <row r="488" spans="10:10" x14ac:dyDescent="0.2">
      <c r="J488" s="2"/>
    </row>
    <row r="489" spans="10:10" x14ac:dyDescent="0.2">
      <c r="J489" s="2"/>
    </row>
    <row r="490" spans="10:10" x14ac:dyDescent="0.2">
      <c r="J490" s="2"/>
    </row>
    <row r="491" spans="10:10" x14ac:dyDescent="0.2">
      <c r="J491" s="1"/>
    </row>
    <row r="492" spans="10:10" x14ac:dyDescent="0.2">
      <c r="J492" s="2"/>
    </row>
    <row r="493" spans="10:10" x14ac:dyDescent="0.2">
      <c r="J493" s="2"/>
    </row>
    <row r="494" spans="10:10" x14ac:dyDescent="0.2">
      <c r="J494" s="2"/>
    </row>
    <row r="495" spans="10:10" x14ac:dyDescent="0.2">
      <c r="J495" s="1"/>
    </row>
    <row r="496" spans="10:10" x14ac:dyDescent="0.2">
      <c r="J496" s="1"/>
    </row>
    <row r="497" spans="10:10" x14ac:dyDescent="0.2">
      <c r="J497" s="2"/>
    </row>
    <row r="498" spans="10:10" x14ac:dyDescent="0.2">
      <c r="J498" s="2"/>
    </row>
    <row r="499" spans="10:10" x14ac:dyDescent="0.2">
      <c r="J499" s="1"/>
    </row>
    <row r="500" spans="10:10" x14ac:dyDescent="0.2">
      <c r="J500" s="2"/>
    </row>
    <row r="501" spans="10:10" x14ac:dyDescent="0.2">
      <c r="J501" s="1"/>
    </row>
    <row r="502" spans="10:10" x14ac:dyDescent="0.2">
      <c r="J502" s="2"/>
    </row>
    <row r="503" spans="10:10" x14ac:dyDescent="0.2">
      <c r="J503" s="2"/>
    </row>
    <row r="504" spans="10:10" x14ac:dyDescent="0.2">
      <c r="J504" s="1"/>
    </row>
    <row r="505" spans="10:10" x14ac:dyDescent="0.2">
      <c r="J505" s="2"/>
    </row>
    <row r="506" spans="10:10" x14ac:dyDescent="0.2">
      <c r="J506" s="1"/>
    </row>
    <row r="507" spans="10:10" x14ac:dyDescent="0.2">
      <c r="J507" s="2"/>
    </row>
    <row r="508" spans="10:10" x14ac:dyDescent="0.2">
      <c r="J508" s="2"/>
    </row>
  </sheetData>
  <autoFilter ref="J1:J508" xr:uid="{85636AF8-453E-DE47-A028-FFD6D55BE27C}">
    <sortState xmlns:xlrd2="http://schemas.microsoft.com/office/spreadsheetml/2017/richdata2" ref="J2:J508">
      <sortCondition sortBy="cellColor" ref="J1:J508" dxfId="511"/>
    </sortState>
  </autoFilter>
  <sortState xmlns:xlrd2="http://schemas.microsoft.com/office/spreadsheetml/2017/richdata2" ref="J2:J513">
    <sortCondition ref="J1:J513"/>
  </sortState>
  <conditionalFormatting sqref="A1:A1048576">
    <cfRule type="duplicateValues" dxfId="335" priority="53"/>
  </conditionalFormatting>
  <conditionalFormatting sqref="A229:A235">
    <cfRule type="duplicateValues" dxfId="334" priority="69"/>
  </conditionalFormatting>
  <conditionalFormatting sqref="A236">
    <cfRule type="duplicateValues" dxfId="333" priority="67"/>
  </conditionalFormatting>
  <conditionalFormatting sqref="A237:A246">
    <cfRule type="duplicateValues" dxfId="332" priority="65"/>
  </conditionalFormatting>
  <conditionalFormatting sqref="A247:A258">
    <cfRule type="duplicateValues" dxfId="331" priority="63"/>
  </conditionalFormatting>
  <conditionalFormatting sqref="A266:A268">
    <cfRule type="duplicateValues" dxfId="330" priority="60"/>
  </conditionalFormatting>
  <conditionalFormatting sqref="A280:A306">
    <cfRule type="duplicateValues" dxfId="329" priority="55"/>
    <cfRule type="duplicateValues" dxfId="328" priority="54"/>
  </conditionalFormatting>
  <conditionalFormatting sqref="A307:A1048576 A1:A279">
    <cfRule type="duplicateValues" dxfId="327" priority="56"/>
  </conditionalFormatting>
  <conditionalFormatting sqref="A428:A462">
    <cfRule type="duplicateValues" dxfId="326" priority="58"/>
    <cfRule type="duplicateValues" dxfId="325" priority="57"/>
  </conditionalFormatting>
  <conditionalFormatting sqref="A463:A1048576 A1:A235">
    <cfRule type="duplicateValues" dxfId="324" priority="68"/>
  </conditionalFormatting>
  <conditionalFormatting sqref="A463:A1048576 A1:A236">
    <cfRule type="duplicateValues" dxfId="323" priority="66"/>
  </conditionalFormatting>
  <conditionalFormatting sqref="A463:A1048576 A1:A246">
    <cfRule type="duplicateValues" dxfId="322" priority="64"/>
  </conditionalFormatting>
  <conditionalFormatting sqref="A463:A1048576 A1:A258">
    <cfRule type="duplicateValues" dxfId="321" priority="62"/>
  </conditionalFormatting>
  <conditionalFormatting sqref="A463:A1048576 A1:A265">
    <cfRule type="duplicateValues" dxfId="320" priority="61"/>
  </conditionalFormatting>
  <conditionalFormatting sqref="A463:A1048576 A1:A268">
    <cfRule type="duplicateValues" dxfId="319" priority="59"/>
  </conditionalFormatting>
  <conditionalFormatting sqref="B1:B1048576">
    <cfRule type="duplicateValues" dxfId="318" priority="38"/>
  </conditionalFormatting>
  <conditionalFormatting sqref="B17:B43">
    <cfRule type="duplicateValues" dxfId="317" priority="39"/>
    <cfRule type="duplicateValues" dxfId="316" priority="40"/>
  </conditionalFormatting>
  <conditionalFormatting sqref="B44:B1048576 B1:B16">
    <cfRule type="duplicateValues" dxfId="315" priority="41"/>
  </conditionalFormatting>
  <conditionalFormatting sqref="B173:B207">
    <cfRule type="duplicateValues" dxfId="314" priority="43"/>
    <cfRule type="duplicateValues" dxfId="313" priority="42"/>
  </conditionalFormatting>
  <conditionalFormatting sqref="B208:B1048576 B1:B11">
    <cfRule type="duplicateValues" dxfId="312" priority="48"/>
    <cfRule type="duplicateValues" dxfId="311" priority="50"/>
    <cfRule type="duplicateValues" dxfId="310" priority="51"/>
    <cfRule type="duplicateValues" dxfId="309" priority="52"/>
    <cfRule type="duplicateValues" dxfId="308" priority="49"/>
  </conditionalFormatting>
  <conditionalFormatting sqref="B208:B1048576 B1:B15">
    <cfRule type="duplicateValues" dxfId="307" priority="44"/>
    <cfRule type="duplicateValues" dxfId="306" priority="46"/>
    <cfRule type="duplicateValues" dxfId="305" priority="45"/>
  </conditionalFormatting>
  <conditionalFormatting sqref="B208:B1048576">
    <cfRule type="duplicateValues" dxfId="304" priority="47"/>
  </conditionalFormatting>
  <conditionalFormatting sqref="C1:C1048576">
    <cfRule type="duplicateValues" dxfId="303" priority="24"/>
  </conditionalFormatting>
  <conditionalFormatting sqref="C67:C68">
    <cfRule type="duplicateValues" dxfId="302" priority="34"/>
    <cfRule type="duplicateValues" dxfId="301" priority="33"/>
  </conditionalFormatting>
  <conditionalFormatting sqref="C134:C160">
    <cfRule type="duplicateValues" dxfId="300" priority="26"/>
    <cfRule type="duplicateValues" dxfId="299" priority="25"/>
  </conditionalFormatting>
  <conditionalFormatting sqref="C161:C1048576 C1:C133">
    <cfRule type="duplicateValues" dxfId="298" priority="27"/>
  </conditionalFormatting>
  <conditionalFormatting sqref="C280:C314">
    <cfRule type="duplicateValues" dxfId="297" priority="29"/>
    <cfRule type="duplicateValues" dxfId="296" priority="28"/>
  </conditionalFormatting>
  <conditionalFormatting sqref="C315:C1048576 C1:C78">
    <cfRule type="duplicateValues" dxfId="295" priority="31"/>
  </conditionalFormatting>
  <conditionalFormatting sqref="C315:C1048576 C1:C120">
    <cfRule type="duplicateValues" dxfId="294" priority="30"/>
  </conditionalFormatting>
  <conditionalFormatting sqref="C315:C1048576 C2:C52">
    <cfRule type="duplicateValues" dxfId="293" priority="37"/>
  </conditionalFormatting>
  <conditionalFormatting sqref="C315:C1048576 C2:C53">
    <cfRule type="duplicateValues" dxfId="292" priority="36"/>
  </conditionalFormatting>
  <conditionalFormatting sqref="C315:C1048576 C2:C66">
    <cfRule type="duplicateValues" dxfId="291" priority="35"/>
  </conditionalFormatting>
  <conditionalFormatting sqref="C315:C1048576 C2:C68">
    <cfRule type="duplicateValues" dxfId="290" priority="32"/>
  </conditionalFormatting>
  <conditionalFormatting sqref="I1:I55 I83:I1048576">
    <cfRule type="duplicateValues" dxfId="289" priority="5"/>
    <cfRule type="duplicateValues" dxfId="288" priority="4"/>
  </conditionalFormatting>
  <conditionalFormatting sqref="I1:I1048576">
    <cfRule type="duplicateValues" dxfId="287" priority="3"/>
  </conditionalFormatting>
  <conditionalFormatting sqref="J1:J1048576">
    <cfRule type="duplicateValues" dxfId="286" priority="1"/>
  </conditionalFormatting>
  <conditionalFormatting sqref="J344:J1048576 J1:J316">
    <cfRule type="duplicateValues" dxfId="285" priority="2"/>
  </conditionalFormatting>
  <conditionalFormatting sqref="J509:J1048576 J1:J314">
    <cfRule type="duplicateValues" dxfId="284" priority="6"/>
  </conditionalFormatting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F5DEA-167A-B14A-818F-DB7FEE63D6E9}">
  <dimension ref="A1:V1122"/>
  <sheetViews>
    <sheetView topLeftCell="E1" zoomScaleNormal="171" workbookViewId="0">
      <pane ySplit="1" topLeftCell="A2" activePane="bottomLeft" state="frozen"/>
      <selection pane="bottomLeft" activeCell="A153" sqref="A153"/>
    </sheetView>
  </sheetViews>
  <sheetFormatPr baseColWidth="10" defaultRowHeight="16" x14ac:dyDescent="0.2"/>
  <cols>
    <col min="1" max="1" width="20" style="4" customWidth="1"/>
    <col min="2" max="2" width="15.5" style="31" customWidth="1"/>
    <col min="3" max="3" width="17.83203125" style="4" customWidth="1"/>
    <col min="4" max="4" width="16.1640625" style="4" customWidth="1"/>
    <col min="5" max="11" width="10.83203125" style="4"/>
    <col min="12" max="12" width="13.6640625" style="4" customWidth="1"/>
    <col min="13" max="13" width="10.83203125" style="4"/>
    <col min="14" max="14" width="30.83203125" style="5" customWidth="1"/>
    <col min="15" max="16384" width="10.83203125" style="4"/>
  </cols>
  <sheetData>
    <row r="1" spans="1:22" x14ac:dyDescent="0.2">
      <c r="A1" s="1" t="s">
        <v>1978</v>
      </c>
      <c r="B1" s="29" t="s">
        <v>1979</v>
      </c>
      <c r="C1" s="1" t="s">
        <v>1980</v>
      </c>
      <c r="D1" s="2" t="s">
        <v>1981</v>
      </c>
      <c r="I1" s="3" t="s">
        <v>1982</v>
      </c>
      <c r="J1" s="3" t="s">
        <v>1983</v>
      </c>
      <c r="K1" s="3" t="s">
        <v>1984</v>
      </c>
      <c r="L1" s="3" t="s">
        <v>1985</v>
      </c>
      <c r="N1" s="1" t="s">
        <v>4921</v>
      </c>
      <c r="P1" s="50" t="s">
        <v>4886</v>
      </c>
      <c r="Q1" s="50" t="s">
        <v>4879</v>
      </c>
      <c r="R1" s="50" t="s">
        <v>4880</v>
      </c>
      <c r="S1" s="50" t="s">
        <v>4881</v>
      </c>
      <c r="T1" s="50" t="s">
        <v>4882</v>
      </c>
      <c r="U1" s="1" t="s">
        <v>4878</v>
      </c>
      <c r="V1" s="1" t="s">
        <v>4885</v>
      </c>
    </row>
    <row r="2" spans="1:22" x14ac:dyDescent="0.2">
      <c r="A2" s="5" t="s">
        <v>2</v>
      </c>
      <c r="B2" s="31" t="s">
        <v>1077</v>
      </c>
      <c r="C2" s="7" t="s">
        <v>200</v>
      </c>
      <c r="D2" s="6" t="s">
        <v>396</v>
      </c>
      <c r="I2" s="4" t="s">
        <v>85</v>
      </c>
      <c r="J2" s="7" t="s">
        <v>200</v>
      </c>
      <c r="K2" s="7" t="s">
        <v>202</v>
      </c>
      <c r="L2" s="7" t="s">
        <v>40</v>
      </c>
      <c r="N2" s="15" t="s">
        <v>579</v>
      </c>
      <c r="P2" s="48" t="s">
        <v>4883</v>
      </c>
      <c r="Q2" s="49">
        <v>16</v>
      </c>
      <c r="R2" s="49">
        <v>6</v>
      </c>
      <c r="S2" s="49">
        <v>64</v>
      </c>
      <c r="T2" s="49">
        <v>3</v>
      </c>
      <c r="U2" s="5">
        <f>SUM(Q2:T2)</f>
        <v>89</v>
      </c>
      <c r="V2" s="5">
        <f>((Q2+R2)/U2)*100</f>
        <v>24.719101123595504</v>
      </c>
    </row>
    <row r="3" spans="1:22" x14ac:dyDescent="0.2">
      <c r="A3" s="6" t="s">
        <v>1</v>
      </c>
      <c r="B3" s="31" t="s">
        <v>322</v>
      </c>
      <c r="C3" s="4" t="s">
        <v>134</v>
      </c>
      <c r="D3" s="6" t="s">
        <v>980</v>
      </c>
      <c r="I3" s="12" t="s">
        <v>403</v>
      </c>
      <c r="J3" s="7" t="s">
        <v>380</v>
      </c>
      <c r="K3" s="7" t="s">
        <v>236</v>
      </c>
      <c r="L3" s="7" t="s">
        <v>621</v>
      </c>
      <c r="N3" s="15" t="s">
        <v>457</v>
      </c>
      <c r="P3" s="48" t="s">
        <v>4884</v>
      </c>
      <c r="Q3" s="49">
        <v>36</v>
      </c>
      <c r="R3" s="49">
        <v>5</v>
      </c>
      <c r="S3" s="49">
        <v>523</v>
      </c>
      <c r="T3" s="49">
        <v>2</v>
      </c>
      <c r="U3" s="5">
        <f>SUM(Q3:T3)</f>
        <v>566</v>
      </c>
      <c r="V3" s="5">
        <f>((Q3+R3)/U3)*100</f>
        <v>7.2438162544169611</v>
      </c>
    </row>
    <row r="4" spans="1:22" x14ac:dyDescent="0.2">
      <c r="A4" s="5" t="s">
        <v>14</v>
      </c>
      <c r="B4" s="32" t="s">
        <v>573</v>
      </c>
      <c r="C4" s="7" t="s">
        <v>202</v>
      </c>
      <c r="D4" s="11" t="s">
        <v>488</v>
      </c>
      <c r="I4" s="12" t="s">
        <v>420</v>
      </c>
      <c r="J4" s="8" t="s">
        <v>478</v>
      </c>
      <c r="K4" s="7" t="s">
        <v>545</v>
      </c>
      <c r="L4" s="7" t="s">
        <v>313</v>
      </c>
      <c r="N4" s="15" t="s">
        <v>611</v>
      </c>
    </row>
    <row r="5" spans="1:22" x14ac:dyDescent="0.2">
      <c r="A5" s="5" t="s">
        <v>21</v>
      </c>
      <c r="B5" s="31" t="s">
        <v>789</v>
      </c>
      <c r="C5" s="4" t="s">
        <v>32</v>
      </c>
      <c r="D5" s="6" t="s">
        <v>981</v>
      </c>
      <c r="I5" s="4" t="s">
        <v>187</v>
      </c>
      <c r="J5" s="8" t="s">
        <v>488</v>
      </c>
      <c r="K5" s="7" t="s">
        <v>299</v>
      </c>
      <c r="L5" s="7" t="s">
        <v>624</v>
      </c>
      <c r="N5" s="15" t="s">
        <v>23</v>
      </c>
    </row>
    <row r="6" spans="1:22" x14ac:dyDescent="0.2">
      <c r="A6" s="5" t="s">
        <v>29</v>
      </c>
      <c r="B6" s="31" t="s">
        <v>1080</v>
      </c>
      <c r="C6" s="4" t="s">
        <v>928</v>
      </c>
      <c r="D6" s="11" t="s">
        <v>376</v>
      </c>
      <c r="J6" s="8" t="s">
        <v>466</v>
      </c>
      <c r="K6" s="8" t="s">
        <v>23</v>
      </c>
      <c r="L6" s="7" t="s">
        <v>531</v>
      </c>
      <c r="N6" s="15" t="s">
        <v>35</v>
      </c>
    </row>
    <row r="7" spans="1:22" x14ac:dyDescent="0.2">
      <c r="A7" s="5" t="s">
        <v>37</v>
      </c>
      <c r="B7" s="31" t="s">
        <v>1871</v>
      </c>
      <c r="C7" s="7" t="s">
        <v>299</v>
      </c>
      <c r="D7" s="11" t="s">
        <v>433</v>
      </c>
      <c r="J7" s="4" t="s">
        <v>18</v>
      </c>
      <c r="K7" s="8" t="s">
        <v>108</v>
      </c>
      <c r="L7" s="8" t="s">
        <v>77</v>
      </c>
      <c r="N7" s="15" t="s">
        <v>39</v>
      </c>
    </row>
    <row r="8" spans="1:22" x14ac:dyDescent="0.2">
      <c r="A8" s="5" t="s">
        <v>45</v>
      </c>
      <c r="B8" s="31" t="s">
        <v>1086</v>
      </c>
      <c r="C8" s="4" t="s">
        <v>18</v>
      </c>
      <c r="D8" s="6" t="s">
        <v>357</v>
      </c>
      <c r="J8" s="4" t="s">
        <v>49</v>
      </c>
      <c r="K8" s="8" t="s">
        <v>99</v>
      </c>
      <c r="L8" s="8" t="s">
        <v>63</v>
      </c>
      <c r="N8" s="15" t="s">
        <v>562</v>
      </c>
    </row>
    <row r="9" spans="1:22" x14ac:dyDescent="0.2">
      <c r="A9" s="5" t="s">
        <v>8</v>
      </c>
      <c r="B9" s="31" t="s">
        <v>85</v>
      </c>
      <c r="C9" s="7" t="s">
        <v>621</v>
      </c>
      <c r="D9" s="6" t="s">
        <v>78</v>
      </c>
      <c r="J9" s="4" t="s">
        <v>34</v>
      </c>
      <c r="K9" s="8" t="s">
        <v>212</v>
      </c>
      <c r="L9" s="8" t="s">
        <v>149</v>
      </c>
      <c r="N9" s="15" t="s">
        <v>496</v>
      </c>
    </row>
    <row r="10" spans="1:22" x14ac:dyDescent="0.2">
      <c r="A10" s="10" t="s">
        <v>23</v>
      </c>
      <c r="B10" s="31" t="s">
        <v>865</v>
      </c>
      <c r="C10" s="7" t="s">
        <v>545</v>
      </c>
      <c r="D10" s="11" t="s">
        <v>108</v>
      </c>
      <c r="J10" s="4" t="s">
        <v>342</v>
      </c>
      <c r="K10" s="8" t="s">
        <v>289</v>
      </c>
      <c r="L10" s="8" t="s">
        <v>572</v>
      </c>
      <c r="N10" s="15" t="s">
        <v>77</v>
      </c>
    </row>
    <row r="11" spans="1:22" x14ac:dyDescent="0.2">
      <c r="A11" s="5" t="s">
        <v>31</v>
      </c>
      <c r="B11" s="31" t="s">
        <v>1081</v>
      </c>
      <c r="C11" s="4" t="s">
        <v>929</v>
      </c>
      <c r="D11" s="11" t="s">
        <v>150</v>
      </c>
      <c r="J11" s="4" t="s">
        <v>396</v>
      </c>
      <c r="K11" s="8" t="s">
        <v>376</v>
      </c>
      <c r="L11" s="8" t="s">
        <v>266</v>
      </c>
      <c r="N11" s="15" t="s">
        <v>501</v>
      </c>
    </row>
    <row r="12" spans="1:22" x14ac:dyDescent="0.2">
      <c r="A12" s="5" t="s">
        <v>53</v>
      </c>
      <c r="B12" s="31" t="s">
        <v>1079</v>
      </c>
      <c r="C12" s="7" t="s">
        <v>380</v>
      </c>
      <c r="D12" s="11" t="s">
        <v>563</v>
      </c>
      <c r="J12" s="4" t="s">
        <v>464</v>
      </c>
      <c r="K12" s="8" t="s">
        <v>433</v>
      </c>
      <c r="L12" s="8" t="s">
        <v>229</v>
      </c>
      <c r="N12" s="15" t="s">
        <v>507</v>
      </c>
    </row>
    <row r="13" spans="1:22" x14ac:dyDescent="0.2">
      <c r="A13" s="5" t="s">
        <v>11</v>
      </c>
      <c r="B13" s="31" t="s">
        <v>1728</v>
      </c>
      <c r="C13" s="4" t="s">
        <v>633</v>
      </c>
      <c r="D13" s="6" t="s">
        <v>475</v>
      </c>
      <c r="J13" s="1"/>
      <c r="K13" s="8" t="s">
        <v>214</v>
      </c>
      <c r="L13" s="8" t="s">
        <v>272</v>
      </c>
      <c r="N13" s="10" t="s">
        <v>81</v>
      </c>
    </row>
    <row r="14" spans="1:22" x14ac:dyDescent="0.2">
      <c r="A14" s="5" t="s">
        <v>5</v>
      </c>
      <c r="B14" s="31" t="s">
        <v>924</v>
      </c>
      <c r="C14" s="7" t="s">
        <v>187</v>
      </c>
      <c r="D14" s="9" t="s">
        <v>187</v>
      </c>
      <c r="J14" s="1"/>
      <c r="K14" s="8" t="s">
        <v>442</v>
      </c>
      <c r="L14" s="8" t="s">
        <v>563</v>
      </c>
      <c r="N14" s="15" t="s">
        <v>108</v>
      </c>
    </row>
    <row r="15" spans="1:22" x14ac:dyDescent="0.2">
      <c r="A15" s="5" t="s">
        <v>70</v>
      </c>
      <c r="B15" s="31" t="s">
        <v>1090</v>
      </c>
      <c r="C15" s="8" t="s">
        <v>225</v>
      </c>
      <c r="D15" s="11" t="s">
        <v>63</v>
      </c>
      <c r="J15" s="1"/>
      <c r="K15" s="8" t="s">
        <v>458</v>
      </c>
      <c r="L15" s="8" t="s">
        <v>118</v>
      </c>
      <c r="N15" s="15" t="s">
        <v>422</v>
      </c>
    </row>
    <row r="16" spans="1:22" x14ac:dyDescent="0.2">
      <c r="A16" s="10" t="s">
        <v>77</v>
      </c>
      <c r="B16" s="31" t="s">
        <v>1096</v>
      </c>
      <c r="C16" s="4" t="s">
        <v>642</v>
      </c>
      <c r="D16" s="6" t="s">
        <v>982</v>
      </c>
      <c r="J16" s="1"/>
      <c r="K16" s="8" t="s">
        <v>454</v>
      </c>
      <c r="L16" s="8" t="s">
        <v>307</v>
      </c>
      <c r="N16" s="15" t="s">
        <v>535</v>
      </c>
    </row>
    <row r="17" spans="1:14" x14ac:dyDescent="0.2">
      <c r="A17" s="6" t="s">
        <v>10</v>
      </c>
      <c r="B17" s="31" t="s">
        <v>1083</v>
      </c>
      <c r="C17" s="4" t="s">
        <v>644</v>
      </c>
      <c r="D17" s="11" t="s">
        <v>466</v>
      </c>
      <c r="J17" s="1"/>
      <c r="K17" s="8" t="s">
        <v>573</v>
      </c>
      <c r="L17" s="8" t="s">
        <v>343</v>
      </c>
      <c r="N17" s="15" t="s">
        <v>512</v>
      </c>
    </row>
    <row r="18" spans="1:14" x14ac:dyDescent="0.2">
      <c r="A18" s="5" t="s">
        <v>85</v>
      </c>
      <c r="B18" s="31" t="s">
        <v>969</v>
      </c>
      <c r="C18" s="4" t="s">
        <v>930</v>
      </c>
      <c r="D18" s="11" t="s">
        <v>432</v>
      </c>
      <c r="J18" s="1"/>
      <c r="K18" s="8" t="s">
        <v>554</v>
      </c>
      <c r="L18" s="8" t="s">
        <v>131</v>
      </c>
      <c r="N18" s="15" t="s">
        <v>568</v>
      </c>
    </row>
    <row r="19" spans="1:14" x14ac:dyDescent="0.2">
      <c r="A19" s="6" t="s">
        <v>18</v>
      </c>
      <c r="B19" s="31" t="s">
        <v>1092</v>
      </c>
      <c r="C19" s="12" t="s">
        <v>403</v>
      </c>
      <c r="D19" s="11" t="s">
        <v>99</v>
      </c>
      <c r="J19" s="1"/>
      <c r="K19" s="4" t="s">
        <v>2</v>
      </c>
      <c r="L19" s="8" t="s">
        <v>346</v>
      </c>
      <c r="N19" s="15" t="s">
        <v>571</v>
      </c>
    </row>
    <row r="20" spans="1:14" x14ac:dyDescent="0.2">
      <c r="A20" s="5" t="s">
        <v>17</v>
      </c>
      <c r="B20" s="31" t="s">
        <v>1087</v>
      </c>
      <c r="C20" s="24" t="s">
        <v>420</v>
      </c>
      <c r="D20" s="6" t="s">
        <v>157</v>
      </c>
      <c r="J20" s="1"/>
      <c r="K20" s="4" t="s">
        <v>1021</v>
      </c>
      <c r="L20" s="8" t="s">
        <v>359</v>
      </c>
      <c r="N20" s="15" t="s">
        <v>521</v>
      </c>
    </row>
    <row r="21" spans="1:14" x14ac:dyDescent="0.2">
      <c r="A21" s="10" t="s">
        <v>108</v>
      </c>
      <c r="B21" s="31" t="s">
        <v>767</v>
      </c>
      <c r="C21" s="4" t="s">
        <v>85</v>
      </c>
      <c r="D21" s="11" t="s">
        <v>195</v>
      </c>
      <c r="J21" s="1"/>
      <c r="K21" s="4" t="s">
        <v>21</v>
      </c>
      <c r="L21" s="8" t="s">
        <v>564</v>
      </c>
      <c r="N21" s="15" t="s">
        <v>152</v>
      </c>
    </row>
    <row r="22" spans="1:14" x14ac:dyDescent="0.2">
      <c r="A22" s="6" t="s">
        <v>61</v>
      </c>
      <c r="B22" s="31" t="s">
        <v>469</v>
      </c>
      <c r="C22" s="4" t="s">
        <v>931</v>
      </c>
      <c r="D22" s="6" t="s">
        <v>452</v>
      </c>
      <c r="J22" s="1"/>
      <c r="K22" s="4" t="s">
        <v>8</v>
      </c>
      <c r="L22" s="8" t="s">
        <v>150</v>
      </c>
      <c r="N22" s="15" t="s">
        <v>493</v>
      </c>
    </row>
    <row r="23" spans="1:14" x14ac:dyDescent="0.2">
      <c r="A23" s="5" t="s">
        <v>116</v>
      </c>
      <c r="B23" s="31" t="s">
        <v>1117</v>
      </c>
      <c r="C23" s="8" t="s">
        <v>423</v>
      </c>
      <c r="D23" s="6" t="s">
        <v>983</v>
      </c>
      <c r="J23" s="1"/>
      <c r="K23" s="4" t="s">
        <v>11</v>
      </c>
      <c r="L23" s="8" t="s">
        <v>165</v>
      </c>
      <c r="N23" s="15" t="s">
        <v>558</v>
      </c>
    </row>
    <row r="24" spans="1:14" x14ac:dyDescent="0.2">
      <c r="A24" s="5" t="s">
        <v>33</v>
      </c>
      <c r="B24" s="31" t="s">
        <v>1088</v>
      </c>
      <c r="C24" s="8" t="s">
        <v>606</v>
      </c>
      <c r="D24" s="11" t="s">
        <v>554</v>
      </c>
      <c r="J24" s="1"/>
      <c r="K24" s="4" t="s">
        <v>932</v>
      </c>
      <c r="L24" s="8" t="s">
        <v>398</v>
      </c>
      <c r="N24" s="15" t="s">
        <v>557</v>
      </c>
    </row>
    <row r="25" spans="1:14" x14ac:dyDescent="0.2">
      <c r="A25" s="5" t="s">
        <v>41</v>
      </c>
      <c r="B25" s="31" t="s">
        <v>221</v>
      </c>
      <c r="C25" s="8" t="s">
        <v>478</v>
      </c>
      <c r="D25" s="6" t="s">
        <v>440</v>
      </c>
      <c r="J25" s="1"/>
      <c r="K25" s="4" t="s">
        <v>660</v>
      </c>
      <c r="L25" s="8" t="s">
        <v>606</v>
      </c>
      <c r="N25" s="15" t="s">
        <v>63</v>
      </c>
    </row>
    <row r="26" spans="1:14" x14ac:dyDescent="0.2">
      <c r="A26" s="6" t="s">
        <v>68</v>
      </c>
      <c r="B26" s="31" t="s">
        <v>1872</v>
      </c>
      <c r="C26" s="4" t="s">
        <v>932</v>
      </c>
      <c r="D26" s="11" t="s">
        <v>214</v>
      </c>
      <c r="J26" s="1"/>
      <c r="K26" s="4" t="s">
        <v>33</v>
      </c>
      <c r="L26" s="8" t="s">
        <v>423</v>
      </c>
      <c r="N26" s="15" t="s">
        <v>379</v>
      </c>
    </row>
    <row r="27" spans="1:14" x14ac:dyDescent="0.2">
      <c r="A27" s="5" t="s">
        <v>142</v>
      </c>
      <c r="B27" s="32" t="s">
        <v>289</v>
      </c>
      <c r="C27" s="4" t="s">
        <v>711</v>
      </c>
      <c r="D27" s="6" t="s">
        <v>18</v>
      </c>
      <c r="J27" s="1"/>
      <c r="K27" s="4" t="s">
        <v>701</v>
      </c>
      <c r="L27" s="8" t="s">
        <v>190</v>
      </c>
      <c r="N27" s="10" t="s">
        <v>149</v>
      </c>
    </row>
    <row r="28" spans="1:14" x14ac:dyDescent="0.2">
      <c r="A28" s="5" t="s">
        <v>76</v>
      </c>
      <c r="B28" s="31" t="s">
        <v>703</v>
      </c>
      <c r="C28" s="4" t="s">
        <v>396</v>
      </c>
      <c r="D28" s="6" t="s">
        <v>984</v>
      </c>
      <c r="J28" s="1"/>
      <c r="K28" s="4" t="s">
        <v>709</v>
      </c>
      <c r="L28" s="8" t="s">
        <v>438</v>
      </c>
      <c r="N28" s="15" t="s">
        <v>169</v>
      </c>
    </row>
    <row r="29" spans="1:14" x14ac:dyDescent="0.2">
      <c r="A29" s="10" t="s">
        <v>149</v>
      </c>
      <c r="B29" s="31" t="s">
        <v>1108</v>
      </c>
      <c r="C29" s="4" t="s">
        <v>34</v>
      </c>
      <c r="D29" s="6" t="s">
        <v>176</v>
      </c>
      <c r="J29" s="1"/>
      <c r="K29" s="4" t="s">
        <v>142</v>
      </c>
      <c r="L29" s="8" t="s">
        <v>195</v>
      </c>
      <c r="N29" s="10" t="s">
        <v>580</v>
      </c>
    </row>
    <row r="30" spans="1:14" x14ac:dyDescent="0.2">
      <c r="A30" s="5" t="s">
        <v>49</v>
      </c>
      <c r="B30" s="31" t="s">
        <v>1315</v>
      </c>
      <c r="C30" s="4" t="s">
        <v>483</v>
      </c>
      <c r="D30" s="9" t="s">
        <v>40</v>
      </c>
      <c r="J30" s="1"/>
      <c r="K30" s="4" t="s">
        <v>76</v>
      </c>
      <c r="L30" s="8" t="s">
        <v>225</v>
      </c>
      <c r="N30" s="15" t="s">
        <v>226</v>
      </c>
    </row>
    <row r="31" spans="1:14" x14ac:dyDescent="0.2">
      <c r="A31" s="5" t="s">
        <v>176</v>
      </c>
      <c r="B31" s="31" t="s">
        <v>1097</v>
      </c>
      <c r="C31" s="4" t="s">
        <v>933</v>
      </c>
      <c r="D31" s="6" t="s">
        <v>985</v>
      </c>
      <c r="J31" s="1"/>
      <c r="K31" s="4" t="s">
        <v>176</v>
      </c>
      <c r="L31" s="8" t="s">
        <v>265</v>
      </c>
      <c r="N31" s="15" t="s">
        <v>572</v>
      </c>
    </row>
    <row r="32" spans="1:14" x14ac:dyDescent="0.2">
      <c r="A32" s="5" t="s">
        <v>182</v>
      </c>
      <c r="B32" s="31" t="s">
        <v>1100</v>
      </c>
      <c r="C32" s="4" t="s">
        <v>825</v>
      </c>
      <c r="D32" s="11" t="s">
        <v>266</v>
      </c>
      <c r="J32" s="1"/>
      <c r="K32" s="4" t="s">
        <v>735</v>
      </c>
      <c r="L32" s="8" t="s">
        <v>432</v>
      </c>
      <c r="N32" s="15" t="s">
        <v>188</v>
      </c>
    </row>
    <row r="33" spans="1:14" x14ac:dyDescent="0.2">
      <c r="A33" s="5" t="s">
        <v>83</v>
      </c>
      <c r="B33" s="31" t="s">
        <v>1101</v>
      </c>
      <c r="C33" s="4" t="s">
        <v>934</v>
      </c>
      <c r="D33" s="6" t="s">
        <v>986</v>
      </c>
      <c r="J33" s="1"/>
      <c r="K33" s="4" t="s">
        <v>729</v>
      </c>
      <c r="L33" s="8" t="s">
        <v>510</v>
      </c>
      <c r="N33" s="15" t="s">
        <v>244</v>
      </c>
    </row>
    <row r="34" spans="1:14" x14ac:dyDescent="0.2">
      <c r="A34" s="5" t="s">
        <v>194</v>
      </c>
      <c r="B34" s="33" t="s">
        <v>236</v>
      </c>
      <c r="C34" s="4" t="s">
        <v>766</v>
      </c>
      <c r="D34" s="6" t="s">
        <v>987</v>
      </c>
      <c r="J34" s="1"/>
      <c r="K34" s="4" t="s">
        <v>182</v>
      </c>
      <c r="L34" s="8" t="s">
        <v>513</v>
      </c>
      <c r="N34" s="15" t="s">
        <v>91</v>
      </c>
    </row>
    <row r="35" spans="1:14" x14ac:dyDescent="0.2">
      <c r="A35" s="14" t="s">
        <v>200</v>
      </c>
      <c r="B35" s="31" t="s">
        <v>1102</v>
      </c>
      <c r="C35" s="4" t="s">
        <v>935</v>
      </c>
      <c r="D35" s="6" t="s">
        <v>459</v>
      </c>
      <c r="J35" s="1"/>
      <c r="K35" s="4" t="s">
        <v>83</v>
      </c>
      <c r="L35" s="8" t="s">
        <v>524</v>
      </c>
      <c r="N35" s="15" t="s">
        <v>71</v>
      </c>
    </row>
    <row r="36" spans="1:14" x14ac:dyDescent="0.2">
      <c r="A36" s="10" t="s">
        <v>99</v>
      </c>
      <c r="B36" s="31" t="s">
        <v>1873</v>
      </c>
      <c r="C36" s="4" t="s">
        <v>913</v>
      </c>
      <c r="D36" s="6" t="s">
        <v>988</v>
      </c>
      <c r="J36" s="1"/>
      <c r="K36" s="4" t="s">
        <v>194</v>
      </c>
      <c r="L36" s="8" t="s">
        <v>527</v>
      </c>
      <c r="N36" s="10" t="s">
        <v>585</v>
      </c>
    </row>
    <row r="37" spans="1:14" x14ac:dyDescent="0.2">
      <c r="A37" s="10" t="s">
        <v>212</v>
      </c>
      <c r="B37" s="31" t="s">
        <v>1734</v>
      </c>
      <c r="C37" s="4" t="s">
        <v>677</v>
      </c>
      <c r="D37" s="6" t="s">
        <v>989</v>
      </c>
      <c r="J37" s="1"/>
      <c r="K37" s="4" t="s">
        <v>113</v>
      </c>
      <c r="L37" s="8" t="s">
        <v>595</v>
      </c>
      <c r="N37" s="10" t="s">
        <v>255</v>
      </c>
    </row>
    <row r="38" spans="1:14" x14ac:dyDescent="0.2">
      <c r="A38" s="5" t="s">
        <v>107</v>
      </c>
      <c r="B38" s="31" t="s">
        <v>1109</v>
      </c>
      <c r="C38" s="4" t="s">
        <v>671</v>
      </c>
      <c r="D38" s="9" t="s">
        <v>624</v>
      </c>
      <c r="J38" s="2"/>
      <c r="K38" s="4" t="s">
        <v>223</v>
      </c>
      <c r="L38" s="8" t="s">
        <v>282</v>
      </c>
      <c r="N38" s="15" t="s">
        <v>99</v>
      </c>
    </row>
    <row r="39" spans="1:14" x14ac:dyDescent="0.2">
      <c r="A39" s="5" t="s">
        <v>223</v>
      </c>
      <c r="B39" s="31" t="s">
        <v>644</v>
      </c>
      <c r="C39" s="4" t="s">
        <v>936</v>
      </c>
      <c r="D39" s="6" t="s">
        <v>280</v>
      </c>
      <c r="J39" s="1"/>
      <c r="K39" s="4" t="s">
        <v>72</v>
      </c>
      <c r="L39" s="8" t="s">
        <v>574</v>
      </c>
      <c r="N39" s="15" t="s">
        <v>603</v>
      </c>
    </row>
    <row r="40" spans="1:14" x14ac:dyDescent="0.2">
      <c r="A40" s="10" t="s">
        <v>229</v>
      </c>
      <c r="B40" s="31" t="s">
        <v>1111</v>
      </c>
      <c r="C40" s="4" t="s">
        <v>937</v>
      </c>
      <c r="D40" s="6" t="s">
        <v>990</v>
      </c>
      <c r="J40" s="2"/>
      <c r="K40" s="4" t="s">
        <v>824</v>
      </c>
      <c r="L40" s="8" t="s">
        <v>540</v>
      </c>
      <c r="N40" s="15" t="s">
        <v>212</v>
      </c>
    </row>
    <row r="41" spans="1:14" x14ac:dyDescent="0.2">
      <c r="A41" s="6" t="s">
        <v>235</v>
      </c>
      <c r="B41" s="33" t="s">
        <v>200</v>
      </c>
      <c r="C41" s="4" t="s">
        <v>660</v>
      </c>
      <c r="D41" s="6" t="s">
        <v>178</v>
      </c>
      <c r="J41" s="2"/>
      <c r="K41" s="4" t="s">
        <v>268</v>
      </c>
      <c r="L41" s="8" t="s">
        <v>290</v>
      </c>
      <c r="N41" s="15" t="s">
        <v>575</v>
      </c>
    </row>
    <row r="42" spans="1:14" x14ac:dyDescent="0.2">
      <c r="A42" s="6" t="s">
        <v>241</v>
      </c>
      <c r="B42" s="31" t="s">
        <v>1105</v>
      </c>
      <c r="C42" s="4" t="s">
        <v>701</v>
      </c>
      <c r="D42" s="11" t="s">
        <v>574</v>
      </c>
      <c r="J42" s="2"/>
      <c r="K42" s="4" t="s">
        <v>945</v>
      </c>
      <c r="L42" s="8" t="s">
        <v>490</v>
      </c>
      <c r="N42" s="15" t="s">
        <v>266</v>
      </c>
    </row>
    <row r="43" spans="1:14" x14ac:dyDescent="0.2">
      <c r="A43" s="5" t="s">
        <v>72</v>
      </c>
      <c r="B43" s="31" t="s">
        <v>1874</v>
      </c>
      <c r="C43" s="4" t="s">
        <v>846</v>
      </c>
      <c r="D43" s="6" t="s">
        <v>991</v>
      </c>
      <c r="J43" s="2"/>
      <c r="K43" s="4" t="s">
        <v>322</v>
      </c>
      <c r="L43" s="4" t="s">
        <v>1013</v>
      </c>
      <c r="N43" s="15" t="s">
        <v>218</v>
      </c>
    </row>
    <row r="44" spans="1:14" x14ac:dyDescent="0.2">
      <c r="A44" s="5" t="s">
        <v>258</v>
      </c>
      <c r="B44" s="31" t="s">
        <v>1099</v>
      </c>
      <c r="C44" s="4" t="s">
        <v>796</v>
      </c>
      <c r="D44" s="6" t="s">
        <v>552</v>
      </c>
      <c r="J44" s="2"/>
      <c r="K44" s="4" t="s">
        <v>294</v>
      </c>
      <c r="L44" s="4" t="s">
        <v>1936</v>
      </c>
      <c r="N44" s="15" t="s">
        <v>279</v>
      </c>
    </row>
    <row r="45" spans="1:14" x14ac:dyDescent="0.2">
      <c r="A45" s="5" t="s">
        <v>121</v>
      </c>
      <c r="B45" s="31" t="s">
        <v>1110</v>
      </c>
      <c r="C45" s="4" t="s">
        <v>938</v>
      </c>
      <c r="D45" s="9" t="s">
        <v>313</v>
      </c>
      <c r="J45" s="2"/>
      <c r="K45" s="4" t="s">
        <v>124</v>
      </c>
      <c r="L45" s="4" t="s">
        <v>1937</v>
      </c>
      <c r="N45" s="15" t="s">
        <v>229</v>
      </c>
    </row>
    <row r="46" spans="1:14" x14ac:dyDescent="0.2">
      <c r="A46" s="5" t="s">
        <v>268</v>
      </c>
      <c r="B46" s="31" t="s">
        <v>347</v>
      </c>
      <c r="C46" s="4" t="s">
        <v>709</v>
      </c>
      <c r="D46" s="20" t="s">
        <v>403</v>
      </c>
      <c r="J46" s="2"/>
      <c r="K46" s="4" t="s">
        <v>994</v>
      </c>
      <c r="L46" s="4" t="s">
        <v>1</v>
      </c>
      <c r="N46" s="10" t="s">
        <v>477</v>
      </c>
    </row>
    <row r="47" spans="1:14" x14ac:dyDescent="0.2">
      <c r="A47" s="10" t="s">
        <v>272</v>
      </c>
      <c r="B47" s="31" t="s">
        <v>1733</v>
      </c>
      <c r="C47" s="4" t="s">
        <v>824</v>
      </c>
      <c r="D47" s="19" t="s">
        <v>420</v>
      </c>
      <c r="J47" s="2"/>
      <c r="K47" s="4" t="s">
        <v>134</v>
      </c>
      <c r="L47" s="4" t="s">
        <v>1149</v>
      </c>
      <c r="N47" s="15" t="s">
        <v>589</v>
      </c>
    </row>
    <row r="48" spans="1:14" x14ac:dyDescent="0.2">
      <c r="A48" s="5" t="s">
        <v>79</v>
      </c>
      <c r="B48" s="31" t="s">
        <v>634</v>
      </c>
      <c r="C48" s="4" t="s">
        <v>939</v>
      </c>
      <c r="D48" s="6" t="s">
        <v>85</v>
      </c>
      <c r="J48" s="2"/>
      <c r="K48" s="4" t="s">
        <v>318</v>
      </c>
      <c r="L48" s="4" t="s">
        <v>1147</v>
      </c>
      <c r="N48" s="15" t="s">
        <v>451</v>
      </c>
    </row>
    <row r="49" spans="1:14" x14ac:dyDescent="0.2">
      <c r="A49" s="5" t="s">
        <v>26</v>
      </c>
      <c r="B49" s="31" t="s">
        <v>102</v>
      </c>
      <c r="C49" s="4" t="s">
        <v>940</v>
      </c>
      <c r="D49" s="11" t="s">
        <v>490</v>
      </c>
      <c r="J49" s="2"/>
      <c r="K49" s="4" t="s">
        <v>328</v>
      </c>
      <c r="L49" s="4" t="s">
        <v>1950</v>
      </c>
      <c r="N49" s="15" t="s">
        <v>526</v>
      </c>
    </row>
    <row r="50" spans="1:14" x14ac:dyDescent="0.2">
      <c r="A50" s="5" t="s">
        <v>87</v>
      </c>
      <c r="B50" s="31" t="s">
        <v>1128</v>
      </c>
      <c r="C50" s="4" t="s">
        <v>941</v>
      </c>
      <c r="D50" s="11" t="s">
        <v>458</v>
      </c>
      <c r="J50" s="2"/>
      <c r="K50" s="4" t="s">
        <v>738</v>
      </c>
      <c r="L50" s="4" t="s">
        <v>14</v>
      </c>
      <c r="N50" s="15" t="s">
        <v>64</v>
      </c>
    </row>
    <row r="51" spans="1:14" x14ac:dyDescent="0.2">
      <c r="A51" s="6" t="s">
        <v>285</v>
      </c>
      <c r="B51" s="31" t="s">
        <v>1875</v>
      </c>
      <c r="C51" s="4" t="s">
        <v>715</v>
      </c>
      <c r="D51" s="6" t="s">
        <v>33</v>
      </c>
      <c r="J51" s="2"/>
      <c r="K51" s="4" t="s">
        <v>384</v>
      </c>
      <c r="L51" s="4" t="s">
        <v>716</v>
      </c>
      <c r="N51" s="15" t="s">
        <v>114</v>
      </c>
    </row>
    <row r="52" spans="1:14" x14ac:dyDescent="0.2">
      <c r="A52" s="5" t="s">
        <v>34</v>
      </c>
      <c r="B52" s="31" t="s">
        <v>1876</v>
      </c>
      <c r="C52" s="4" t="s">
        <v>942</v>
      </c>
      <c r="D52" s="11" t="s">
        <v>23</v>
      </c>
      <c r="J52" s="2"/>
      <c r="K52" s="4" t="s">
        <v>390</v>
      </c>
      <c r="L52" s="4" t="s">
        <v>29</v>
      </c>
      <c r="N52" s="10" t="s">
        <v>300</v>
      </c>
    </row>
    <row r="53" spans="1:14" x14ac:dyDescent="0.2">
      <c r="A53" s="5" t="s">
        <v>42</v>
      </c>
      <c r="B53" s="31" t="s">
        <v>1106</v>
      </c>
      <c r="C53" s="4" t="s">
        <v>891</v>
      </c>
      <c r="D53" s="11" t="s">
        <v>442</v>
      </c>
      <c r="J53" s="2"/>
      <c r="K53" s="4" t="s">
        <v>825</v>
      </c>
      <c r="L53" s="4" t="s">
        <v>1241</v>
      </c>
      <c r="N53" s="15" t="s">
        <v>518</v>
      </c>
    </row>
    <row r="54" spans="1:14" x14ac:dyDescent="0.2">
      <c r="A54" s="5" t="s">
        <v>294</v>
      </c>
      <c r="B54" s="31" t="s">
        <v>704</v>
      </c>
      <c r="C54" s="4" t="s">
        <v>729</v>
      </c>
      <c r="D54" s="11" t="s">
        <v>289</v>
      </c>
      <c r="J54" s="1"/>
      <c r="K54" s="12" t="s">
        <v>401</v>
      </c>
      <c r="L54" s="4" t="s">
        <v>1200</v>
      </c>
      <c r="N54" s="15" t="s">
        <v>252</v>
      </c>
    </row>
    <row r="55" spans="1:14" x14ac:dyDescent="0.2">
      <c r="A55" s="5" t="s">
        <v>103</v>
      </c>
      <c r="B55" s="31" t="s">
        <v>342</v>
      </c>
      <c r="C55" s="4" t="s">
        <v>864</v>
      </c>
      <c r="D55" s="11" t="s">
        <v>398</v>
      </c>
      <c r="J55" s="1"/>
      <c r="K55" s="4" t="s">
        <v>178</v>
      </c>
      <c r="L55" s="4" t="s">
        <v>1144</v>
      </c>
      <c r="N55" s="15" t="s">
        <v>127</v>
      </c>
    </row>
    <row r="56" spans="1:14" x14ac:dyDescent="0.2">
      <c r="A56" s="6" t="s">
        <v>110</v>
      </c>
      <c r="B56" s="31" t="s">
        <v>1125</v>
      </c>
      <c r="C56" s="4" t="s">
        <v>943</v>
      </c>
      <c r="D56" s="19" t="s">
        <v>401</v>
      </c>
      <c r="J56" s="2"/>
      <c r="K56" s="4" t="s">
        <v>425</v>
      </c>
      <c r="L56" s="4" t="s">
        <v>1897</v>
      </c>
      <c r="N56" s="10" t="s">
        <v>272</v>
      </c>
    </row>
    <row r="57" spans="1:14" x14ac:dyDescent="0.2">
      <c r="A57" s="5" t="s">
        <v>50</v>
      </c>
      <c r="B57" s="31" t="s">
        <v>1877</v>
      </c>
      <c r="C57" s="4" t="s">
        <v>944</v>
      </c>
      <c r="D57" s="11" t="s">
        <v>478</v>
      </c>
      <c r="J57" s="1"/>
      <c r="K57" s="4" t="s">
        <v>846</v>
      </c>
      <c r="L57" s="4" t="s">
        <v>37</v>
      </c>
      <c r="N57" s="15" t="s">
        <v>277</v>
      </c>
    </row>
    <row r="58" spans="1:14" x14ac:dyDescent="0.2">
      <c r="A58" s="15" t="s">
        <v>118</v>
      </c>
      <c r="B58" s="31" t="s">
        <v>1121</v>
      </c>
      <c r="C58" s="4" t="s">
        <v>945</v>
      </c>
      <c r="D58" s="11" t="s">
        <v>212</v>
      </c>
      <c r="J58" s="2"/>
      <c r="K58" s="4" t="s">
        <v>864</v>
      </c>
      <c r="L58" s="4" t="s">
        <v>1698</v>
      </c>
      <c r="N58" s="10" t="s">
        <v>563</v>
      </c>
    </row>
    <row r="59" spans="1:14" x14ac:dyDescent="0.2">
      <c r="A59" s="10" t="s">
        <v>307</v>
      </c>
      <c r="B59" s="31" t="s">
        <v>183</v>
      </c>
      <c r="C59" s="4" t="s">
        <v>735</v>
      </c>
      <c r="D59" s="6" t="s">
        <v>548</v>
      </c>
      <c r="J59" s="1"/>
      <c r="K59" s="4" t="s">
        <v>435</v>
      </c>
      <c r="L59" s="4" t="s">
        <v>45</v>
      </c>
      <c r="N59" s="15" t="s">
        <v>326</v>
      </c>
    </row>
    <row r="60" spans="1:14" x14ac:dyDescent="0.2">
      <c r="A60" s="5" t="s">
        <v>124</v>
      </c>
      <c r="B60" s="31" t="s">
        <v>1132</v>
      </c>
      <c r="C60" s="4" t="s">
        <v>194</v>
      </c>
      <c r="D60" s="6" t="s">
        <v>992</v>
      </c>
      <c r="J60" s="2"/>
      <c r="K60" s="4" t="s">
        <v>747</v>
      </c>
      <c r="L60" s="4" t="s">
        <v>783</v>
      </c>
      <c r="N60" s="15" t="s">
        <v>95</v>
      </c>
    </row>
    <row r="61" spans="1:14" x14ac:dyDescent="0.2">
      <c r="A61" s="6" t="s">
        <v>134</v>
      </c>
      <c r="B61" s="31" t="s">
        <v>1123</v>
      </c>
      <c r="C61" s="4" t="s">
        <v>946</v>
      </c>
      <c r="D61" s="11" t="s">
        <v>454</v>
      </c>
      <c r="J61" s="1"/>
      <c r="K61" s="4" t="s">
        <v>440</v>
      </c>
      <c r="L61" s="4" t="s">
        <v>31</v>
      </c>
      <c r="N61" s="15" t="s">
        <v>289</v>
      </c>
    </row>
    <row r="62" spans="1:14" x14ac:dyDescent="0.2">
      <c r="A62" s="10" t="s">
        <v>131</v>
      </c>
      <c r="B62" s="31" t="s">
        <v>1127</v>
      </c>
      <c r="C62" s="4" t="s">
        <v>718</v>
      </c>
      <c r="D62" s="11" t="s">
        <v>343</v>
      </c>
      <c r="J62" s="2"/>
      <c r="K62" s="4" t="s">
        <v>448</v>
      </c>
      <c r="L62" s="4" t="s">
        <v>1025</v>
      </c>
      <c r="N62" s="15" t="s">
        <v>609</v>
      </c>
    </row>
    <row r="63" spans="1:14" x14ac:dyDescent="0.2">
      <c r="A63" s="5" t="s">
        <v>318</v>
      </c>
      <c r="B63" s="31" t="s">
        <v>815</v>
      </c>
      <c r="C63" s="4" t="s">
        <v>947</v>
      </c>
      <c r="D63" s="11" t="s">
        <v>564</v>
      </c>
      <c r="J63" s="1"/>
      <c r="K63" s="4" t="s">
        <v>452</v>
      </c>
      <c r="L63" s="4" t="s">
        <v>1255</v>
      </c>
      <c r="N63" s="15" t="s">
        <v>302</v>
      </c>
    </row>
    <row r="64" spans="1:14" x14ac:dyDescent="0.2">
      <c r="A64" s="5" t="s">
        <v>321</v>
      </c>
      <c r="B64" s="31" t="s">
        <v>1144</v>
      </c>
      <c r="C64" s="4" t="s">
        <v>745</v>
      </c>
      <c r="D64" s="6" t="s">
        <v>223</v>
      </c>
      <c r="J64" s="2"/>
      <c r="K64" s="4" t="s">
        <v>469</v>
      </c>
      <c r="L64" s="4" t="s">
        <v>1813</v>
      </c>
      <c r="N64" s="15" t="s">
        <v>118</v>
      </c>
    </row>
    <row r="65" spans="1:14" x14ac:dyDescent="0.2">
      <c r="A65" s="5" t="s">
        <v>325</v>
      </c>
      <c r="B65" s="31" t="s">
        <v>1116</v>
      </c>
      <c r="C65" s="4" t="s">
        <v>722</v>
      </c>
      <c r="D65" s="6" t="s">
        <v>543</v>
      </c>
      <c r="J65" s="2"/>
      <c r="K65" s="4" t="s">
        <v>475</v>
      </c>
      <c r="L65" s="4" t="s">
        <v>53</v>
      </c>
      <c r="N65" s="10" t="s">
        <v>307</v>
      </c>
    </row>
    <row r="66" spans="1:14" x14ac:dyDescent="0.2">
      <c r="A66" s="5" t="s">
        <v>328</v>
      </c>
      <c r="B66" s="31" t="s">
        <v>1113</v>
      </c>
      <c r="C66" s="4" t="s">
        <v>903</v>
      </c>
      <c r="D66" s="6" t="s">
        <v>8</v>
      </c>
      <c r="J66" s="2"/>
      <c r="K66" s="4" t="s">
        <v>718</v>
      </c>
      <c r="L66" s="4" t="s">
        <v>1896</v>
      </c>
      <c r="N66" s="10" t="s">
        <v>471</v>
      </c>
    </row>
    <row r="67" spans="1:14" x14ac:dyDescent="0.2">
      <c r="A67" s="5" t="s">
        <v>138</v>
      </c>
      <c r="B67" s="31" t="s">
        <v>1131</v>
      </c>
      <c r="C67" s="4" t="s">
        <v>464</v>
      </c>
      <c r="D67" s="6" t="s">
        <v>846</v>
      </c>
      <c r="J67" s="2"/>
      <c r="K67" s="4" t="s">
        <v>481</v>
      </c>
      <c r="L67" s="4" t="s">
        <v>831</v>
      </c>
      <c r="N67" s="10" t="s">
        <v>343</v>
      </c>
    </row>
    <row r="68" spans="1:14" x14ac:dyDescent="0.2">
      <c r="A68" s="5" t="s">
        <v>339</v>
      </c>
      <c r="B68" s="31" t="s">
        <v>1739</v>
      </c>
      <c r="C68" s="4" t="s">
        <v>948</v>
      </c>
      <c r="D68" s="9" t="s">
        <v>236</v>
      </c>
      <c r="J68" s="2"/>
      <c r="K68" s="4" t="s">
        <v>483</v>
      </c>
      <c r="L68" s="4" t="s">
        <v>1146</v>
      </c>
      <c r="N68" s="15" t="s">
        <v>593</v>
      </c>
    </row>
    <row r="69" spans="1:14" x14ac:dyDescent="0.2">
      <c r="A69" s="6" t="s">
        <v>342</v>
      </c>
      <c r="B69" s="31" t="s">
        <v>1112</v>
      </c>
      <c r="C69" s="4" t="s">
        <v>949</v>
      </c>
      <c r="D69" s="11" t="s">
        <v>190</v>
      </c>
      <c r="J69" s="2"/>
      <c r="K69" s="4" t="s">
        <v>491</v>
      </c>
      <c r="L69" s="4" t="s">
        <v>5</v>
      </c>
      <c r="N69" s="15" t="s">
        <v>353</v>
      </c>
    </row>
    <row r="70" spans="1:14" x14ac:dyDescent="0.2">
      <c r="A70" s="5" t="s">
        <v>144</v>
      </c>
      <c r="B70" s="31" t="s">
        <v>1740</v>
      </c>
      <c r="C70" s="4" t="s">
        <v>950</v>
      </c>
      <c r="D70" s="11" t="s">
        <v>573</v>
      </c>
      <c r="J70" s="2"/>
      <c r="K70" s="4" t="s">
        <v>504</v>
      </c>
      <c r="L70" s="4" t="s">
        <v>884</v>
      </c>
      <c r="N70" s="15" t="s">
        <v>131</v>
      </c>
    </row>
    <row r="71" spans="1:14" x14ac:dyDescent="0.2">
      <c r="A71" s="10" t="s">
        <v>346</v>
      </c>
      <c r="B71" s="31" t="s">
        <v>1137</v>
      </c>
      <c r="C71" s="4" t="s">
        <v>951</v>
      </c>
      <c r="D71" s="6" t="s">
        <v>993</v>
      </c>
      <c r="J71" s="2"/>
      <c r="K71" s="4" t="s">
        <v>644</v>
      </c>
      <c r="L71" s="4" t="s">
        <v>70</v>
      </c>
      <c r="N71" s="15" t="s">
        <v>314</v>
      </c>
    </row>
    <row r="72" spans="1:14" x14ac:dyDescent="0.2">
      <c r="A72" s="5" t="s">
        <v>349</v>
      </c>
      <c r="B72" s="31" t="s">
        <v>1143</v>
      </c>
      <c r="C72" s="4" t="s">
        <v>952</v>
      </c>
      <c r="D72" s="6" t="s">
        <v>994</v>
      </c>
      <c r="J72" s="2"/>
      <c r="K72" s="4" t="s">
        <v>522</v>
      </c>
      <c r="L72" s="4" t="s">
        <v>1221</v>
      </c>
      <c r="N72" s="15" t="s">
        <v>335</v>
      </c>
    </row>
    <row r="73" spans="1:14" x14ac:dyDescent="0.2">
      <c r="A73" s="5" t="s">
        <v>356</v>
      </c>
      <c r="B73" s="31" t="s">
        <v>1138</v>
      </c>
      <c r="C73" s="4" t="s">
        <v>953</v>
      </c>
      <c r="D73" s="6" t="s">
        <v>522</v>
      </c>
      <c r="J73" s="2"/>
      <c r="K73" s="4" t="s">
        <v>655</v>
      </c>
      <c r="L73" s="4" t="s">
        <v>1121</v>
      </c>
      <c r="N73" s="15" t="s">
        <v>360</v>
      </c>
    </row>
    <row r="74" spans="1:14" x14ac:dyDescent="0.2">
      <c r="A74" s="10" t="s">
        <v>359</v>
      </c>
      <c r="B74" s="31" t="s">
        <v>1129</v>
      </c>
      <c r="C74" s="4" t="s">
        <v>716</v>
      </c>
      <c r="D74" s="6" t="s">
        <v>182</v>
      </c>
      <c r="J74" s="2"/>
      <c r="K74" s="4" t="s">
        <v>543</v>
      </c>
      <c r="L74" s="4" t="s">
        <v>944</v>
      </c>
      <c r="N74" s="15" t="s">
        <v>346</v>
      </c>
    </row>
    <row r="75" spans="1:14" x14ac:dyDescent="0.2">
      <c r="A75" s="6" t="s">
        <v>58</v>
      </c>
      <c r="B75" s="30" t="s">
        <v>403</v>
      </c>
      <c r="C75" s="4" t="s">
        <v>954</v>
      </c>
      <c r="D75" s="6" t="s">
        <v>504</v>
      </c>
      <c r="J75" s="2"/>
      <c r="K75" s="4" t="s">
        <v>548</v>
      </c>
      <c r="L75" s="4" t="s">
        <v>10</v>
      </c>
      <c r="N75" s="10" t="s">
        <v>359</v>
      </c>
    </row>
    <row r="76" spans="1:14" x14ac:dyDescent="0.2">
      <c r="A76" s="5" t="s">
        <v>364</v>
      </c>
      <c r="B76" s="34" t="s">
        <v>420</v>
      </c>
      <c r="C76" s="4" t="s">
        <v>655</v>
      </c>
      <c r="D76" s="11" t="s">
        <v>595</v>
      </c>
      <c r="J76" s="2"/>
      <c r="K76" s="4" t="s">
        <v>552</v>
      </c>
      <c r="L76" s="4" t="s">
        <v>32</v>
      </c>
      <c r="N76" s="15" t="s">
        <v>583</v>
      </c>
    </row>
    <row r="77" spans="1:14" x14ac:dyDescent="0.2">
      <c r="A77" s="5" t="s">
        <v>65</v>
      </c>
      <c r="B77" s="31" t="s">
        <v>1154</v>
      </c>
      <c r="C77" s="4" t="s">
        <v>747</v>
      </c>
      <c r="D77" s="6" t="s">
        <v>447</v>
      </c>
      <c r="J77" s="2"/>
      <c r="K77" s="1"/>
      <c r="L77" s="4" t="s">
        <v>886</v>
      </c>
      <c r="N77" s="10" t="s">
        <v>405</v>
      </c>
    </row>
    <row r="78" spans="1:14" x14ac:dyDescent="0.2">
      <c r="A78" s="10" t="s">
        <v>376</v>
      </c>
      <c r="B78" s="31" t="s">
        <v>1147</v>
      </c>
      <c r="C78" s="4" t="s">
        <v>738</v>
      </c>
      <c r="D78" s="6" t="s">
        <v>995</v>
      </c>
      <c r="J78" s="2"/>
      <c r="K78" s="1"/>
      <c r="L78" s="4" t="s">
        <v>1942</v>
      </c>
      <c r="N78" s="15" t="s">
        <v>607</v>
      </c>
    </row>
    <row r="79" spans="1:14" x14ac:dyDescent="0.2">
      <c r="A79" s="13" t="s">
        <v>380</v>
      </c>
      <c r="B79" s="31" t="s">
        <v>810</v>
      </c>
      <c r="C79" s="5"/>
      <c r="D79" s="6" t="s">
        <v>996</v>
      </c>
      <c r="J79" s="2"/>
      <c r="K79" s="1"/>
      <c r="L79" s="4" t="s">
        <v>1956</v>
      </c>
      <c r="N79" s="15" t="s">
        <v>599</v>
      </c>
    </row>
    <row r="80" spans="1:14" x14ac:dyDescent="0.2">
      <c r="A80" s="6" t="s">
        <v>151</v>
      </c>
      <c r="B80" s="31" t="s">
        <v>837</v>
      </c>
      <c r="C80" s="5"/>
      <c r="D80" s="6" t="s">
        <v>997</v>
      </c>
      <c r="J80" s="2"/>
      <c r="K80" s="1"/>
      <c r="L80" s="4" t="s">
        <v>1237</v>
      </c>
      <c r="N80" s="15" t="s">
        <v>415</v>
      </c>
    </row>
    <row r="81" spans="1:14" x14ac:dyDescent="0.2">
      <c r="A81" s="5" t="s">
        <v>384</v>
      </c>
      <c r="B81" s="31" t="s">
        <v>651</v>
      </c>
      <c r="C81" s="5"/>
      <c r="D81" s="6" t="s">
        <v>998</v>
      </c>
      <c r="J81" s="2"/>
      <c r="K81" s="1"/>
      <c r="L81" s="4" t="s">
        <v>17</v>
      </c>
      <c r="N81" s="15" t="s">
        <v>419</v>
      </c>
    </row>
    <row r="82" spans="1:14" x14ac:dyDescent="0.2">
      <c r="A82" s="5" t="s">
        <v>73</v>
      </c>
      <c r="B82" s="31" t="s">
        <v>647</v>
      </c>
      <c r="C82" s="5"/>
      <c r="D82" s="6" t="s">
        <v>999</v>
      </c>
      <c r="J82" s="2"/>
      <c r="K82" s="1"/>
      <c r="L82" s="4" t="s">
        <v>1764</v>
      </c>
      <c r="N82" s="15" t="s">
        <v>216</v>
      </c>
    </row>
    <row r="83" spans="1:14" x14ac:dyDescent="0.2">
      <c r="A83" s="6" t="s">
        <v>141</v>
      </c>
      <c r="B83" s="31" t="s">
        <v>1146</v>
      </c>
      <c r="C83" s="5"/>
      <c r="D83" s="6" t="s">
        <v>49</v>
      </c>
      <c r="J83" s="2"/>
      <c r="K83" s="1"/>
      <c r="L83" s="4" t="s">
        <v>61</v>
      </c>
      <c r="N83" s="15" t="s">
        <v>610</v>
      </c>
    </row>
    <row r="84" spans="1:14" x14ac:dyDescent="0.2">
      <c r="A84" s="5" t="s">
        <v>390</v>
      </c>
      <c r="B84" s="31" t="s">
        <v>650</v>
      </c>
      <c r="C84" s="5"/>
      <c r="D84" s="6" t="s">
        <v>1000</v>
      </c>
      <c r="J84" s="2"/>
      <c r="K84" s="1"/>
      <c r="L84" s="4" t="s">
        <v>1022</v>
      </c>
      <c r="N84" s="15" t="s">
        <v>395</v>
      </c>
    </row>
    <row r="85" spans="1:14" x14ac:dyDescent="0.2">
      <c r="A85" s="6" t="s">
        <v>394</v>
      </c>
      <c r="B85" s="31" t="s">
        <v>660</v>
      </c>
      <c r="C85" s="5"/>
      <c r="D85" s="6" t="s">
        <v>1001</v>
      </c>
      <c r="J85" s="2"/>
      <c r="K85" s="1"/>
      <c r="L85" s="4" t="s">
        <v>1917</v>
      </c>
      <c r="N85" s="10" t="s">
        <v>376</v>
      </c>
    </row>
    <row r="86" spans="1:14" x14ac:dyDescent="0.2">
      <c r="A86" s="5" t="s">
        <v>396</v>
      </c>
      <c r="B86" s="31" t="s">
        <v>83</v>
      </c>
      <c r="C86" s="5"/>
      <c r="D86" s="6" t="s">
        <v>1002</v>
      </c>
      <c r="J86" s="2"/>
      <c r="K86" s="1"/>
      <c r="L86" s="4" t="s">
        <v>1906</v>
      </c>
      <c r="N86" s="15" t="s">
        <v>564</v>
      </c>
    </row>
    <row r="87" spans="1:14" x14ac:dyDescent="0.2">
      <c r="A87" s="6" t="s">
        <v>147</v>
      </c>
      <c r="B87" s="31" t="s">
        <v>851</v>
      </c>
      <c r="C87" s="5"/>
      <c r="D87" s="6" t="s">
        <v>113</v>
      </c>
      <c r="J87" s="2"/>
      <c r="K87" s="1"/>
      <c r="L87" s="4" t="s">
        <v>116</v>
      </c>
      <c r="N87" s="15" t="s">
        <v>389</v>
      </c>
    </row>
    <row r="88" spans="1:14" x14ac:dyDescent="0.2">
      <c r="A88" s="5" t="s">
        <v>88</v>
      </c>
      <c r="B88" s="31" t="s">
        <v>845</v>
      </c>
      <c r="C88" s="5"/>
      <c r="D88" s="6" t="s">
        <v>464</v>
      </c>
      <c r="J88" s="2"/>
      <c r="K88" s="1"/>
      <c r="L88" s="4" t="s">
        <v>903</v>
      </c>
      <c r="N88" s="15" t="s">
        <v>437</v>
      </c>
    </row>
    <row r="89" spans="1:14" x14ac:dyDescent="0.2">
      <c r="A89" s="16" t="s">
        <v>401</v>
      </c>
      <c r="B89" s="31" t="s">
        <v>658</v>
      </c>
      <c r="C89" s="5"/>
      <c r="D89" s="6" t="s">
        <v>142</v>
      </c>
      <c r="J89" s="2"/>
      <c r="K89" s="1"/>
      <c r="L89" s="4" t="s">
        <v>112</v>
      </c>
      <c r="N89" s="15" t="s">
        <v>559</v>
      </c>
    </row>
    <row r="90" spans="1:14" x14ac:dyDescent="0.2">
      <c r="A90" s="17" t="s">
        <v>403</v>
      </c>
      <c r="B90" s="31" t="s">
        <v>747</v>
      </c>
      <c r="C90" s="5"/>
      <c r="D90" s="6" t="s">
        <v>1003</v>
      </c>
      <c r="J90" s="2"/>
      <c r="K90" s="1"/>
      <c r="L90" s="4" t="s">
        <v>1914</v>
      </c>
      <c r="N90" s="15" t="s">
        <v>130</v>
      </c>
    </row>
    <row r="91" spans="1:14" x14ac:dyDescent="0.2">
      <c r="A91" s="18" t="s">
        <v>406</v>
      </c>
      <c r="B91" s="31" t="s">
        <v>850</v>
      </c>
      <c r="C91" s="5"/>
      <c r="D91" s="6" t="s">
        <v>1004</v>
      </c>
      <c r="J91" s="2"/>
      <c r="K91" s="1"/>
      <c r="L91" s="4" t="s">
        <v>1689</v>
      </c>
      <c r="N91" s="15" t="s">
        <v>239</v>
      </c>
    </row>
    <row r="92" spans="1:14" x14ac:dyDescent="0.2">
      <c r="A92" s="5" t="s">
        <v>408</v>
      </c>
      <c r="B92" s="31" t="s">
        <v>268</v>
      </c>
      <c r="C92" s="5"/>
      <c r="D92" s="6" t="s">
        <v>1005</v>
      </c>
      <c r="J92" s="2"/>
      <c r="K92" s="1"/>
      <c r="L92" s="4" t="s">
        <v>935</v>
      </c>
      <c r="N92" s="15" t="s">
        <v>418</v>
      </c>
    </row>
    <row r="93" spans="1:14" x14ac:dyDescent="0.2">
      <c r="A93" s="5" t="s">
        <v>412</v>
      </c>
      <c r="B93" s="31" t="s">
        <v>1200</v>
      </c>
      <c r="C93" s="5"/>
      <c r="D93" s="6" t="s">
        <v>328</v>
      </c>
      <c r="J93" s="1"/>
      <c r="K93" s="1"/>
      <c r="L93" s="4" t="s">
        <v>1110</v>
      </c>
      <c r="N93" s="15" t="s">
        <v>421</v>
      </c>
    </row>
    <row r="94" spans="1:14" x14ac:dyDescent="0.2">
      <c r="A94" s="18" t="s">
        <v>171</v>
      </c>
      <c r="B94" s="31" t="s">
        <v>648</v>
      </c>
      <c r="C94" s="5"/>
      <c r="D94" s="6" t="s">
        <v>446</v>
      </c>
      <c r="J94" s="2"/>
      <c r="K94" s="1"/>
      <c r="L94" s="4" t="s">
        <v>1157</v>
      </c>
      <c r="N94" s="15" t="s">
        <v>561</v>
      </c>
    </row>
    <row r="95" spans="1:14" x14ac:dyDescent="0.2">
      <c r="A95" s="16" t="s">
        <v>420</v>
      </c>
      <c r="B95" s="32" t="s">
        <v>165</v>
      </c>
      <c r="C95" s="5"/>
      <c r="D95" s="6" t="s">
        <v>342</v>
      </c>
      <c r="J95" s="2"/>
      <c r="K95" s="1"/>
      <c r="L95" s="4" t="s">
        <v>1112</v>
      </c>
      <c r="N95" s="10" t="s">
        <v>612</v>
      </c>
    </row>
    <row r="96" spans="1:14" x14ac:dyDescent="0.2">
      <c r="A96" s="5" t="s">
        <v>178</v>
      </c>
      <c r="B96" s="31" t="s">
        <v>653</v>
      </c>
      <c r="C96" s="5"/>
      <c r="D96" s="6" t="s">
        <v>409</v>
      </c>
      <c r="J96" s="2"/>
      <c r="K96" s="1"/>
      <c r="L96" s="4" t="s">
        <v>1743</v>
      </c>
      <c r="N96" s="10" t="s">
        <v>410</v>
      </c>
    </row>
    <row r="97" spans="1:14" x14ac:dyDescent="0.2">
      <c r="A97" s="5" t="s">
        <v>96</v>
      </c>
      <c r="B97" s="31" t="s">
        <v>1172</v>
      </c>
      <c r="C97" s="5"/>
      <c r="D97" s="6" t="s">
        <v>1006</v>
      </c>
      <c r="J97" s="2"/>
      <c r="K97" s="1"/>
      <c r="L97" s="4" t="s">
        <v>934</v>
      </c>
      <c r="N97" s="15" t="s">
        <v>245</v>
      </c>
    </row>
    <row r="98" spans="1:14" x14ac:dyDescent="0.2">
      <c r="A98" s="6" t="s">
        <v>154</v>
      </c>
      <c r="B98" s="31" t="s">
        <v>1177</v>
      </c>
      <c r="C98" s="5"/>
      <c r="D98" s="6" t="s">
        <v>906</v>
      </c>
      <c r="J98" s="2"/>
      <c r="K98" s="1"/>
      <c r="L98" s="4" t="s">
        <v>1137</v>
      </c>
      <c r="N98" s="15" t="s">
        <v>150</v>
      </c>
    </row>
    <row r="99" spans="1:14" x14ac:dyDescent="0.2">
      <c r="A99" s="5" t="s">
        <v>184</v>
      </c>
      <c r="B99" s="31" t="s">
        <v>864</v>
      </c>
      <c r="C99" s="6"/>
      <c r="D99" s="6" t="s">
        <v>1007</v>
      </c>
      <c r="J99" s="2"/>
      <c r="K99" s="1"/>
      <c r="L99" s="4" t="s">
        <v>1747</v>
      </c>
      <c r="N99" s="15" t="s">
        <v>399</v>
      </c>
    </row>
    <row r="100" spans="1:14" x14ac:dyDescent="0.2">
      <c r="A100" s="5" t="s">
        <v>425</v>
      </c>
      <c r="B100" s="31" t="s">
        <v>1150</v>
      </c>
      <c r="C100" s="6"/>
      <c r="D100" s="6" t="s">
        <v>425</v>
      </c>
      <c r="J100" s="2"/>
      <c r="K100" s="2"/>
      <c r="L100" s="4" t="s">
        <v>82</v>
      </c>
      <c r="N100" s="15" t="s">
        <v>604</v>
      </c>
    </row>
    <row r="101" spans="1:14" x14ac:dyDescent="0.2">
      <c r="A101" s="5" t="s">
        <v>161</v>
      </c>
      <c r="B101" s="31" t="s">
        <v>827</v>
      </c>
      <c r="C101" s="6"/>
      <c r="D101" s="6" t="s">
        <v>318</v>
      </c>
      <c r="J101" s="2"/>
      <c r="K101" s="2"/>
      <c r="L101" s="4" t="s">
        <v>990</v>
      </c>
      <c r="N101" s="15" t="s">
        <v>158</v>
      </c>
    </row>
    <row r="102" spans="1:14" x14ac:dyDescent="0.2">
      <c r="A102" s="5" t="s">
        <v>196</v>
      </c>
      <c r="B102" s="31" t="s">
        <v>693</v>
      </c>
      <c r="C102" s="6"/>
      <c r="D102" s="6" t="s">
        <v>11</v>
      </c>
      <c r="J102" s="2"/>
      <c r="K102" s="2"/>
      <c r="L102" s="4" t="s">
        <v>1097</v>
      </c>
      <c r="N102" s="15" t="s">
        <v>165</v>
      </c>
    </row>
    <row r="103" spans="1:14" x14ac:dyDescent="0.2">
      <c r="A103" s="10" t="s">
        <v>433</v>
      </c>
      <c r="B103" s="31" t="s">
        <v>831</v>
      </c>
      <c r="C103" s="6"/>
      <c r="D103" s="6" t="s">
        <v>322</v>
      </c>
      <c r="J103" s="2"/>
      <c r="K103" s="2"/>
      <c r="L103" s="4" t="s">
        <v>159</v>
      </c>
      <c r="N103" s="15" t="s">
        <v>588</v>
      </c>
    </row>
    <row r="104" spans="1:14" x14ac:dyDescent="0.2">
      <c r="A104" s="5" t="s">
        <v>435</v>
      </c>
      <c r="B104" s="31" t="s">
        <v>772</v>
      </c>
      <c r="C104" s="6"/>
      <c r="D104" s="6" t="s">
        <v>1008</v>
      </c>
      <c r="J104" s="1"/>
      <c r="K104" s="2"/>
      <c r="L104" s="4" t="s">
        <v>1957</v>
      </c>
      <c r="N104" s="15" t="s">
        <v>398</v>
      </c>
    </row>
    <row r="105" spans="1:14" x14ac:dyDescent="0.2">
      <c r="A105" s="13" t="s">
        <v>202</v>
      </c>
      <c r="B105" s="31" t="s">
        <v>832</v>
      </c>
      <c r="C105" s="5"/>
      <c r="D105" s="6" t="s">
        <v>435</v>
      </c>
      <c r="J105" s="2"/>
      <c r="K105" s="1"/>
      <c r="L105" s="4" t="s">
        <v>1011</v>
      </c>
      <c r="N105" s="10" t="s">
        <v>463</v>
      </c>
    </row>
    <row r="106" spans="1:14" x14ac:dyDescent="0.2">
      <c r="A106" s="10" t="s">
        <v>438</v>
      </c>
      <c r="B106" s="32" t="s">
        <v>572</v>
      </c>
      <c r="C106" s="5"/>
      <c r="D106" s="6" t="s">
        <v>180</v>
      </c>
      <c r="J106" s="2"/>
      <c r="K106" s="1"/>
      <c r="L106" s="4" t="s">
        <v>858</v>
      </c>
      <c r="N106" s="15" t="s">
        <v>578</v>
      </c>
    </row>
    <row r="107" spans="1:14" x14ac:dyDescent="0.2">
      <c r="A107" s="5" t="s">
        <v>440</v>
      </c>
      <c r="B107" s="33" t="s">
        <v>187</v>
      </c>
      <c r="C107" s="5"/>
      <c r="D107" s="6" t="s">
        <v>1009</v>
      </c>
      <c r="J107" s="1"/>
      <c r="K107" s="2"/>
      <c r="L107" s="4" t="s">
        <v>1220</v>
      </c>
      <c r="N107" s="15" t="s">
        <v>170</v>
      </c>
    </row>
    <row r="108" spans="1:14" x14ac:dyDescent="0.2">
      <c r="A108" s="5" t="s">
        <v>208</v>
      </c>
      <c r="B108" s="31" t="s">
        <v>1742</v>
      </c>
      <c r="C108" s="6"/>
      <c r="D108" s="6" t="s">
        <v>1010</v>
      </c>
      <c r="J108" s="2"/>
      <c r="K108" s="2"/>
      <c r="L108" s="4" t="s">
        <v>1100</v>
      </c>
      <c r="N108" s="15" t="s">
        <v>606</v>
      </c>
    </row>
    <row r="109" spans="1:14" x14ac:dyDescent="0.2">
      <c r="A109" s="15" t="s">
        <v>214</v>
      </c>
      <c r="B109" s="31" t="s">
        <v>706</v>
      </c>
      <c r="C109" s="5"/>
      <c r="D109" s="6" t="s">
        <v>1011</v>
      </c>
      <c r="J109" s="2"/>
      <c r="K109" s="2"/>
      <c r="L109" s="4" t="s">
        <v>1854</v>
      </c>
      <c r="N109" s="15" t="s">
        <v>423</v>
      </c>
    </row>
    <row r="110" spans="1:14" x14ac:dyDescent="0.2">
      <c r="A110" s="6" t="s">
        <v>168</v>
      </c>
      <c r="B110" s="31" t="s">
        <v>1149</v>
      </c>
      <c r="C110" s="5"/>
      <c r="D110" s="6" t="s">
        <v>1012</v>
      </c>
      <c r="J110" s="2"/>
      <c r="K110" s="2"/>
      <c r="L110" s="4" t="s">
        <v>1754</v>
      </c>
      <c r="N110" s="15" t="s">
        <v>190</v>
      </c>
    </row>
    <row r="111" spans="1:14" x14ac:dyDescent="0.2">
      <c r="A111" s="5" t="s">
        <v>445</v>
      </c>
      <c r="B111" s="31" t="s">
        <v>1168</v>
      </c>
      <c r="C111" s="6"/>
      <c r="D111" s="6" t="s">
        <v>467</v>
      </c>
      <c r="J111" s="2"/>
      <c r="K111" s="2"/>
      <c r="L111" s="4" t="s">
        <v>1131</v>
      </c>
      <c r="N111" s="15" t="s">
        <v>565</v>
      </c>
    </row>
    <row r="112" spans="1:14" x14ac:dyDescent="0.2">
      <c r="A112" s="5" t="s">
        <v>448</v>
      </c>
      <c r="B112" s="31" t="s">
        <v>384</v>
      </c>
      <c r="C112" s="5"/>
      <c r="D112" s="6" t="s">
        <v>390</v>
      </c>
      <c r="J112" s="1"/>
      <c r="K112" s="2"/>
      <c r="L112" s="4" t="s">
        <v>1885</v>
      </c>
      <c r="N112" s="15" t="s">
        <v>430</v>
      </c>
    </row>
    <row r="113" spans="1:14" x14ac:dyDescent="0.2">
      <c r="A113" s="5" t="s">
        <v>452</v>
      </c>
      <c r="B113" s="31" t="s">
        <v>21</v>
      </c>
      <c r="C113" s="6"/>
      <c r="D113" s="6" t="s">
        <v>932</v>
      </c>
      <c r="J113" s="2"/>
      <c r="K113" s="1"/>
      <c r="L113" s="4" t="s">
        <v>41</v>
      </c>
      <c r="N113" s="15" t="s">
        <v>433</v>
      </c>
    </row>
    <row r="114" spans="1:14" x14ac:dyDescent="0.2">
      <c r="A114" s="10" t="s">
        <v>442</v>
      </c>
      <c r="B114" s="31" t="s">
        <v>825</v>
      </c>
      <c r="C114" s="5"/>
      <c r="D114" s="6" t="s">
        <v>1013</v>
      </c>
      <c r="J114" s="1"/>
      <c r="K114" s="2"/>
      <c r="L114" s="4" t="s">
        <v>882</v>
      </c>
      <c r="N114" s="15" t="s">
        <v>375</v>
      </c>
    </row>
    <row r="115" spans="1:14" x14ac:dyDescent="0.2">
      <c r="A115" s="5" t="s">
        <v>456</v>
      </c>
      <c r="B115" s="31" t="s">
        <v>1206</v>
      </c>
      <c r="C115" s="6"/>
      <c r="D115" s="6" t="s">
        <v>1014</v>
      </c>
      <c r="J115" s="2"/>
      <c r="K115" s="2"/>
      <c r="L115" s="4" t="s">
        <v>1197</v>
      </c>
      <c r="N115" s="15" t="s">
        <v>438</v>
      </c>
    </row>
    <row r="116" spans="1:14" x14ac:dyDescent="0.2">
      <c r="A116" s="5" t="s">
        <v>231</v>
      </c>
      <c r="B116" s="31" t="s">
        <v>1155</v>
      </c>
      <c r="C116" s="6"/>
      <c r="D116" s="6" t="s">
        <v>34</v>
      </c>
      <c r="J116" s="2"/>
      <c r="K116" s="2"/>
      <c r="L116" s="4" t="s">
        <v>1111</v>
      </c>
      <c r="N116" s="15" t="s">
        <v>383</v>
      </c>
    </row>
    <row r="117" spans="1:14" x14ac:dyDescent="0.2">
      <c r="A117" s="5" t="s">
        <v>237</v>
      </c>
      <c r="B117" s="31" t="s">
        <v>790</v>
      </c>
      <c r="C117" s="6"/>
      <c r="D117" s="6" t="s">
        <v>1015</v>
      </c>
      <c r="J117" s="2"/>
      <c r="K117" s="2"/>
      <c r="L117" s="4" t="s">
        <v>1590</v>
      </c>
      <c r="N117" s="10" t="s">
        <v>487</v>
      </c>
    </row>
    <row r="118" spans="1:14" x14ac:dyDescent="0.2">
      <c r="A118" s="10" t="s">
        <v>458</v>
      </c>
      <c r="B118" s="31" t="s">
        <v>520</v>
      </c>
      <c r="C118" s="6"/>
      <c r="D118" s="6" t="s">
        <v>541</v>
      </c>
      <c r="J118" s="2"/>
      <c r="K118" s="2"/>
      <c r="L118" s="4" t="s">
        <v>68</v>
      </c>
      <c r="N118" s="15" t="s">
        <v>600</v>
      </c>
    </row>
    <row r="119" spans="1:14" x14ac:dyDescent="0.2">
      <c r="A119" s="5" t="s">
        <v>464</v>
      </c>
      <c r="B119" s="31" t="s">
        <v>1176</v>
      </c>
      <c r="C119" s="6"/>
      <c r="D119" s="6" t="s">
        <v>824</v>
      </c>
      <c r="J119" s="2"/>
      <c r="K119" s="1"/>
      <c r="L119" s="4" t="s">
        <v>197</v>
      </c>
      <c r="N119" s="10" t="s">
        <v>214</v>
      </c>
    </row>
    <row r="120" spans="1:14" x14ac:dyDescent="0.2">
      <c r="A120" s="10" t="s">
        <v>454</v>
      </c>
      <c r="B120" s="31" t="s">
        <v>1184</v>
      </c>
      <c r="C120" s="6"/>
      <c r="D120" s="6" t="s">
        <v>294</v>
      </c>
      <c r="J120" s="2"/>
      <c r="K120" s="2"/>
      <c r="L120" s="4" t="s">
        <v>993</v>
      </c>
      <c r="N120" s="15" t="s">
        <v>576</v>
      </c>
    </row>
    <row r="121" spans="1:14" x14ac:dyDescent="0.2">
      <c r="A121" s="5" t="s">
        <v>248</v>
      </c>
      <c r="B121" s="31" t="s">
        <v>362</v>
      </c>
      <c r="C121" s="6"/>
      <c r="D121" s="6" t="s">
        <v>1016</v>
      </c>
      <c r="J121" s="2"/>
      <c r="K121" s="2"/>
      <c r="L121" s="4" t="s">
        <v>1080</v>
      </c>
      <c r="N121" s="15" t="s">
        <v>443</v>
      </c>
    </row>
    <row r="122" spans="1:14" x14ac:dyDescent="0.2">
      <c r="A122" s="6" t="s">
        <v>254</v>
      </c>
      <c r="B122" s="31" t="s">
        <v>688</v>
      </c>
      <c r="C122" s="6"/>
      <c r="D122" s="6" t="s">
        <v>72</v>
      </c>
      <c r="J122" s="2"/>
      <c r="K122" s="2"/>
      <c r="L122" s="4" t="s">
        <v>631</v>
      </c>
      <c r="N122" s="15" t="s">
        <v>581</v>
      </c>
    </row>
    <row r="123" spans="1:14" x14ac:dyDescent="0.2">
      <c r="A123" s="6" t="s">
        <v>260</v>
      </c>
      <c r="B123" s="31" t="s">
        <v>883</v>
      </c>
      <c r="C123" s="6"/>
      <c r="D123" s="6" t="s">
        <v>76</v>
      </c>
      <c r="J123" s="2"/>
      <c r="K123" s="1"/>
      <c r="L123" s="4" t="s">
        <v>929</v>
      </c>
      <c r="N123" s="15" t="s">
        <v>195</v>
      </c>
    </row>
    <row r="124" spans="1:14" x14ac:dyDescent="0.2">
      <c r="A124" s="5" t="s">
        <v>469</v>
      </c>
      <c r="B124" s="31" t="s">
        <v>1148</v>
      </c>
      <c r="C124" s="6"/>
      <c r="D124" s="6" t="s">
        <v>912</v>
      </c>
      <c r="J124" s="1"/>
      <c r="K124" s="2"/>
      <c r="L124" s="4" t="s">
        <v>1894</v>
      </c>
      <c r="N124" s="10" t="s">
        <v>225</v>
      </c>
    </row>
    <row r="125" spans="1:14" x14ac:dyDescent="0.2">
      <c r="A125" s="6" t="s">
        <v>472</v>
      </c>
      <c r="B125" s="31" t="s">
        <v>781</v>
      </c>
      <c r="C125" s="6"/>
      <c r="D125" s="6" t="s">
        <v>242</v>
      </c>
      <c r="J125" s="2"/>
      <c r="K125" s="1"/>
      <c r="L125" s="4" t="s">
        <v>969</v>
      </c>
      <c r="N125" s="15" t="s">
        <v>373</v>
      </c>
    </row>
    <row r="126" spans="1:14" x14ac:dyDescent="0.2">
      <c r="A126" s="10" t="s">
        <v>265</v>
      </c>
      <c r="B126" s="31" t="s">
        <v>702</v>
      </c>
      <c r="C126" s="6"/>
      <c r="D126" s="6" t="s">
        <v>1017</v>
      </c>
      <c r="J126" s="2"/>
      <c r="K126" s="2"/>
      <c r="L126" s="4" t="s">
        <v>832</v>
      </c>
      <c r="N126" s="15" t="s">
        <v>530</v>
      </c>
    </row>
    <row r="127" spans="1:14" x14ac:dyDescent="0.2">
      <c r="A127" s="6" t="s">
        <v>475</v>
      </c>
      <c r="B127" s="31" t="s">
        <v>159</v>
      </c>
      <c r="C127" s="6"/>
      <c r="D127" s="6" t="s">
        <v>1018</v>
      </c>
      <c r="J127" s="2"/>
      <c r="K127" s="2"/>
      <c r="L127" s="4" t="s">
        <v>221</v>
      </c>
      <c r="N127" s="15" t="s">
        <v>587</v>
      </c>
    </row>
    <row r="128" spans="1:14" x14ac:dyDescent="0.2">
      <c r="A128" s="10" t="s">
        <v>478</v>
      </c>
      <c r="B128" s="31" t="s">
        <v>873</v>
      </c>
      <c r="C128" s="6"/>
      <c r="D128" s="6" t="s">
        <v>1019</v>
      </c>
      <c r="J128" s="2"/>
      <c r="K128" s="2"/>
      <c r="L128" s="4" t="s">
        <v>1890</v>
      </c>
      <c r="N128" s="15" t="s">
        <v>586</v>
      </c>
    </row>
    <row r="129" spans="1:14" x14ac:dyDescent="0.2">
      <c r="A129" s="5" t="s">
        <v>481</v>
      </c>
      <c r="B129" s="31" t="s">
        <v>1233</v>
      </c>
      <c r="C129" s="6"/>
      <c r="D129" s="6" t="s">
        <v>1020</v>
      </c>
      <c r="J129" s="2"/>
      <c r="K129" s="2"/>
      <c r="L129" s="4" t="s">
        <v>682</v>
      </c>
      <c r="N129" s="15" t="s">
        <v>567</v>
      </c>
    </row>
    <row r="130" spans="1:14" x14ac:dyDescent="0.2">
      <c r="A130" s="6" t="s">
        <v>485</v>
      </c>
      <c r="B130" s="31" t="s">
        <v>1743</v>
      </c>
      <c r="C130" s="6"/>
      <c r="D130" s="6" t="s">
        <v>1021</v>
      </c>
      <c r="J130" s="2"/>
      <c r="K130" s="2"/>
      <c r="L130" s="4" t="s">
        <v>999</v>
      </c>
      <c r="N130" s="15" t="s">
        <v>442</v>
      </c>
    </row>
    <row r="131" spans="1:14" x14ac:dyDescent="0.2">
      <c r="A131" s="10" t="s">
        <v>488</v>
      </c>
      <c r="B131" s="31" t="s">
        <v>1181</v>
      </c>
      <c r="C131" s="6"/>
      <c r="D131" s="6" t="s">
        <v>1022</v>
      </c>
      <c r="J131" s="1"/>
      <c r="K131" s="1"/>
      <c r="L131" s="4" t="s">
        <v>1883</v>
      </c>
      <c r="N131" s="15" t="s">
        <v>458</v>
      </c>
    </row>
    <row r="132" spans="1:14" x14ac:dyDescent="0.2">
      <c r="A132" s="5" t="s">
        <v>491</v>
      </c>
      <c r="B132" s="31" t="s">
        <v>829</v>
      </c>
      <c r="C132" s="6"/>
      <c r="D132" s="6" t="s">
        <v>1023</v>
      </c>
      <c r="J132" s="2"/>
      <c r="K132" s="1"/>
      <c r="L132" s="4" t="s">
        <v>693</v>
      </c>
      <c r="N132" s="10" t="s">
        <v>461</v>
      </c>
    </row>
    <row r="133" spans="1:14" x14ac:dyDescent="0.2">
      <c r="A133" s="5" t="s">
        <v>494</v>
      </c>
      <c r="B133" s="31" t="s">
        <v>1246</v>
      </c>
      <c r="C133" s="6"/>
      <c r="D133" s="6" t="s">
        <v>123</v>
      </c>
      <c r="J133" s="1"/>
      <c r="K133" s="1"/>
      <c r="L133" s="4" t="s">
        <v>1232</v>
      </c>
      <c r="N133" s="10" t="s">
        <v>427</v>
      </c>
    </row>
    <row r="134" spans="1:14" x14ac:dyDescent="0.2">
      <c r="A134" s="5" t="s">
        <v>497</v>
      </c>
      <c r="B134" s="31" t="s">
        <v>1186</v>
      </c>
      <c r="C134" s="6"/>
      <c r="D134" s="6" t="s">
        <v>1024</v>
      </c>
      <c r="J134" s="2"/>
      <c r="K134" s="2"/>
      <c r="L134" s="4" t="s">
        <v>1951</v>
      </c>
      <c r="N134" s="10" t="s">
        <v>592</v>
      </c>
    </row>
    <row r="135" spans="1:14" x14ac:dyDescent="0.2">
      <c r="A135" s="10" t="s">
        <v>466</v>
      </c>
      <c r="B135" s="31" t="s">
        <v>774</v>
      </c>
      <c r="C135" s="6"/>
      <c r="D135" s="6" t="s">
        <v>1025</v>
      </c>
      <c r="J135" s="2"/>
      <c r="K135" s="2"/>
      <c r="L135" s="4" t="s">
        <v>1132</v>
      </c>
      <c r="N135" s="15" t="s">
        <v>542</v>
      </c>
    </row>
    <row r="136" spans="1:14" x14ac:dyDescent="0.2">
      <c r="A136" s="5" t="s">
        <v>504</v>
      </c>
      <c r="B136" s="31" t="s">
        <v>718</v>
      </c>
      <c r="C136" s="6"/>
      <c r="D136" s="6" t="s">
        <v>1026</v>
      </c>
      <c r="J136" s="2"/>
      <c r="K136" s="2"/>
      <c r="L136" s="4" t="s">
        <v>1109</v>
      </c>
      <c r="N136" s="15" t="s">
        <v>462</v>
      </c>
    </row>
    <row r="137" spans="1:14" x14ac:dyDescent="0.2">
      <c r="A137" s="5" t="s">
        <v>174</v>
      </c>
      <c r="B137" s="31" t="s">
        <v>1170</v>
      </c>
      <c r="C137" s="6"/>
      <c r="D137" s="6" t="s">
        <v>1027</v>
      </c>
      <c r="J137" s="2"/>
      <c r="K137" s="2"/>
      <c r="L137" s="4" t="s">
        <v>1229</v>
      </c>
      <c r="N137" s="15" t="s">
        <v>243</v>
      </c>
    </row>
    <row r="138" spans="1:14" x14ac:dyDescent="0.2">
      <c r="A138" s="5" t="s">
        <v>181</v>
      </c>
      <c r="B138" s="31" t="s">
        <v>197</v>
      </c>
      <c r="C138" s="6"/>
      <c r="D138" s="6" t="s">
        <v>1028</v>
      </c>
      <c r="J138" s="1"/>
      <c r="K138" s="2"/>
      <c r="L138" s="4" t="s">
        <v>232</v>
      </c>
      <c r="N138" s="15" t="s">
        <v>207</v>
      </c>
    </row>
    <row r="139" spans="1:14" x14ac:dyDescent="0.2">
      <c r="A139" s="10" t="s">
        <v>510</v>
      </c>
      <c r="B139" s="32" t="s">
        <v>488</v>
      </c>
      <c r="C139" s="6"/>
      <c r="D139" s="6" t="s">
        <v>945</v>
      </c>
      <c r="J139" s="2"/>
      <c r="K139" s="2"/>
      <c r="L139" s="4" t="s">
        <v>1185</v>
      </c>
      <c r="N139" s="15" t="s">
        <v>454</v>
      </c>
    </row>
    <row r="140" spans="1:14" x14ac:dyDescent="0.2">
      <c r="A140" s="10" t="s">
        <v>513</v>
      </c>
      <c r="B140" s="31" t="s">
        <v>679</v>
      </c>
      <c r="C140" s="6"/>
      <c r="D140" s="6" t="s">
        <v>1029</v>
      </c>
      <c r="J140" s="1"/>
      <c r="K140" s="2"/>
      <c r="L140" s="4" t="s">
        <v>715</v>
      </c>
      <c r="N140" s="15" t="s">
        <v>473</v>
      </c>
    </row>
    <row r="141" spans="1:14" x14ac:dyDescent="0.2">
      <c r="A141" s="5" t="s">
        <v>516</v>
      </c>
      <c r="B141" s="31" t="s">
        <v>1878</v>
      </c>
      <c r="C141" s="5"/>
      <c r="D141" s="6" t="s">
        <v>1030</v>
      </c>
      <c r="J141" s="2"/>
      <c r="K141" s="1"/>
      <c r="L141" s="4" t="s">
        <v>1113</v>
      </c>
      <c r="N141" s="15" t="s">
        <v>344</v>
      </c>
    </row>
    <row r="142" spans="1:14" x14ac:dyDescent="0.2">
      <c r="A142" s="5" t="s">
        <v>269</v>
      </c>
      <c r="B142" s="31" t="s">
        <v>770</v>
      </c>
      <c r="C142" s="6"/>
      <c r="D142" s="6" t="s">
        <v>287</v>
      </c>
      <c r="J142" s="2"/>
      <c r="K142" s="2"/>
      <c r="L142" s="4" t="s">
        <v>1770</v>
      </c>
      <c r="N142" s="10" t="s">
        <v>265</v>
      </c>
    </row>
    <row r="143" spans="1:14" x14ac:dyDescent="0.2">
      <c r="A143" s="6" t="s">
        <v>522</v>
      </c>
      <c r="B143" s="31" t="s">
        <v>1152</v>
      </c>
      <c r="C143" s="6"/>
      <c r="D143" s="6" t="s">
        <v>354</v>
      </c>
      <c r="J143" s="2"/>
      <c r="K143" s="1"/>
      <c r="L143" s="4" t="s">
        <v>1125</v>
      </c>
      <c r="N143" s="10" t="s">
        <v>432</v>
      </c>
    </row>
    <row r="144" spans="1:14" x14ac:dyDescent="0.2">
      <c r="A144" s="10" t="s">
        <v>524</v>
      </c>
      <c r="B144" s="31" t="s">
        <v>1157</v>
      </c>
      <c r="C144" s="6"/>
      <c r="D144" s="6"/>
      <c r="J144" s="2"/>
      <c r="K144" s="2"/>
      <c r="L144" s="4" t="s">
        <v>863</v>
      </c>
      <c r="N144" s="15" t="s">
        <v>478</v>
      </c>
    </row>
    <row r="145" spans="1:14" x14ac:dyDescent="0.2">
      <c r="A145" s="5" t="s">
        <v>528</v>
      </c>
      <c r="B145" s="31" t="s">
        <v>1202</v>
      </c>
      <c r="C145" s="6"/>
      <c r="D145" s="6"/>
      <c r="J145" s="2"/>
      <c r="K145" s="2"/>
      <c r="L145" s="4" t="s">
        <v>799</v>
      </c>
      <c r="N145" s="15" t="s">
        <v>577</v>
      </c>
    </row>
    <row r="146" spans="1:14" x14ac:dyDescent="0.2">
      <c r="A146" s="10" t="s">
        <v>282</v>
      </c>
      <c r="B146" s="32" t="s">
        <v>527</v>
      </c>
      <c r="C146" s="6"/>
      <c r="D146" s="6"/>
      <c r="J146" s="2"/>
      <c r="K146" s="2"/>
      <c r="L146" s="4" t="s">
        <v>865</v>
      </c>
      <c r="N146" s="15" t="s">
        <v>509</v>
      </c>
    </row>
    <row r="147" spans="1:14" x14ac:dyDescent="0.2">
      <c r="A147" s="14" t="s">
        <v>531</v>
      </c>
      <c r="B147" s="31" t="s">
        <v>124</v>
      </c>
      <c r="C147" s="6"/>
      <c r="D147" s="6"/>
      <c r="J147" s="1"/>
      <c r="K147" s="2"/>
      <c r="L147" s="4" t="s">
        <v>1343</v>
      </c>
      <c r="N147" s="15" t="s">
        <v>566</v>
      </c>
    </row>
    <row r="148" spans="1:14" x14ac:dyDescent="0.2">
      <c r="A148" s="6" t="s">
        <v>538</v>
      </c>
      <c r="B148" s="31" t="s">
        <v>1153</v>
      </c>
      <c r="C148" s="6"/>
      <c r="D148" s="6"/>
      <c r="J148" s="1"/>
      <c r="K148" s="2"/>
      <c r="L148" s="4" t="s">
        <v>1008</v>
      </c>
      <c r="N148" s="15" t="s">
        <v>495</v>
      </c>
    </row>
    <row r="149" spans="1:14" x14ac:dyDescent="0.2">
      <c r="A149" s="10" t="s">
        <v>540</v>
      </c>
      <c r="B149" s="31" t="s">
        <v>698</v>
      </c>
      <c r="C149" s="6"/>
      <c r="D149" s="6"/>
      <c r="J149" s="2"/>
      <c r="K149" s="2"/>
      <c r="L149" s="4" t="s">
        <v>997</v>
      </c>
      <c r="N149" s="10" t="s">
        <v>488</v>
      </c>
    </row>
    <row r="150" spans="1:14" x14ac:dyDescent="0.2">
      <c r="A150" s="5" t="s">
        <v>543</v>
      </c>
      <c r="B150" s="31" t="s">
        <v>1879</v>
      </c>
      <c r="C150" s="6"/>
      <c r="D150" s="6"/>
      <c r="J150" s="2"/>
      <c r="K150" s="2"/>
      <c r="L150" s="4" t="s">
        <v>950</v>
      </c>
      <c r="N150" s="15" t="s">
        <v>499</v>
      </c>
    </row>
    <row r="151" spans="1:14" x14ac:dyDescent="0.2">
      <c r="A151" s="10" t="s">
        <v>290</v>
      </c>
      <c r="B151" s="31" t="s">
        <v>826</v>
      </c>
      <c r="C151" s="5"/>
      <c r="D151" s="6"/>
      <c r="J151" s="2"/>
      <c r="K151" s="2"/>
      <c r="L151" s="4" t="s">
        <v>1212</v>
      </c>
      <c r="N151" s="15" t="s">
        <v>596</v>
      </c>
    </row>
    <row r="152" spans="1:14" x14ac:dyDescent="0.2">
      <c r="A152" s="13" t="s">
        <v>545</v>
      </c>
      <c r="B152" s="31" t="s">
        <v>655</v>
      </c>
      <c r="C152" s="5"/>
      <c r="D152" s="6"/>
      <c r="J152" s="1"/>
      <c r="K152" s="2"/>
      <c r="L152" s="4" t="s">
        <v>1222</v>
      </c>
      <c r="N152" s="15" t="s">
        <v>393</v>
      </c>
    </row>
    <row r="153" spans="1:14" x14ac:dyDescent="0.2">
      <c r="A153" s="14" t="s">
        <v>187</v>
      </c>
      <c r="B153" s="31" t="s">
        <v>1838</v>
      </c>
      <c r="C153" s="6"/>
      <c r="D153" s="6"/>
      <c r="J153" s="2"/>
      <c r="K153" s="2"/>
      <c r="L153" s="4" t="s">
        <v>1529</v>
      </c>
      <c r="N153" s="10" t="s">
        <v>466</v>
      </c>
    </row>
    <row r="154" spans="1:14" x14ac:dyDescent="0.2">
      <c r="A154" s="6" t="s">
        <v>193</v>
      </c>
      <c r="B154" s="31" t="s">
        <v>1165</v>
      </c>
      <c r="C154" s="5"/>
      <c r="D154" s="6"/>
      <c r="J154" s="2"/>
      <c r="K154" s="2"/>
      <c r="L154" s="4" t="s">
        <v>633</v>
      </c>
      <c r="N154" s="15" t="s">
        <v>569</v>
      </c>
    </row>
    <row r="155" spans="1:14" x14ac:dyDescent="0.2">
      <c r="A155" s="5" t="s">
        <v>548</v>
      </c>
      <c r="B155" s="31" t="s">
        <v>1208</v>
      </c>
      <c r="C155" s="6"/>
      <c r="D155" s="6"/>
      <c r="J155" s="2"/>
      <c r="K155" s="2"/>
      <c r="L155" s="4" t="s">
        <v>78</v>
      </c>
      <c r="N155" s="15" t="s">
        <v>608</v>
      </c>
    </row>
    <row r="156" spans="1:14" x14ac:dyDescent="0.2">
      <c r="A156" s="13" t="s">
        <v>299</v>
      </c>
      <c r="B156" s="31" t="s">
        <v>1230</v>
      </c>
      <c r="C156" s="6"/>
      <c r="D156" s="6"/>
      <c r="J156" s="2"/>
      <c r="K156" s="2"/>
      <c r="L156" s="4" t="s">
        <v>1805</v>
      </c>
      <c r="N156" s="10" t="s">
        <v>584</v>
      </c>
    </row>
    <row r="157" spans="1:14" x14ac:dyDescent="0.2">
      <c r="A157" s="5" t="s">
        <v>552</v>
      </c>
      <c r="B157" s="31" t="s">
        <v>879</v>
      </c>
      <c r="C157" s="6"/>
      <c r="D157" s="6"/>
      <c r="J157" s="2"/>
      <c r="K157" s="2"/>
      <c r="L157" s="4" t="s">
        <v>1834</v>
      </c>
      <c r="N157" s="10" t="s">
        <v>366</v>
      </c>
    </row>
    <row r="158" spans="1:14" x14ac:dyDescent="0.2">
      <c r="A158" s="6" t="s">
        <v>104</v>
      </c>
      <c r="B158" s="31" t="s">
        <v>1880</v>
      </c>
      <c r="C158" s="6"/>
      <c r="D158" s="6"/>
      <c r="J158" s="1"/>
      <c r="K158" s="2"/>
      <c r="L158" s="4" t="s">
        <v>1024</v>
      </c>
      <c r="N158" s="15" t="s">
        <v>474</v>
      </c>
    </row>
    <row r="159" spans="1:14" x14ac:dyDescent="0.2">
      <c r="A159" s="5" t="s">
        <v>111</v>
      </c>
      <c r="B159" s="31" t="s">
        <v>1881</v>
      </c>
      <c r="C159" s="5"/>
      <c r="D159" s="6"/>
      <c r="J159" s="1"/>
      <c r="K159" s="2"/>
      <c r="L159" s="4" t="s">
        <v>1214</v>
      </c>
      <c r="N159" s="15" t="s">
        <v>510</v>
      </c>
    </row>
    <row r="160" spans="1:14" x14ac:dyDescent="0.2">
      <c r="A160" s="10" t="s">
        <v>554</v>
      </c>
      <c r="B160" s="31" t="s">
        <v>729</v>
      </c>
      <c r="C160" s="6"/>
      <c r="D160" s="6"/>
      <c r="J160" s="1"/>
      <c r="K160" s="1"/>
      <c r="L160" s="4" t="s">
        <v>107</v>
      </c>
      <c r="N160" s="15" t="s">
        <v>591</v>
      </c>
    </row>
    <row r="161" spans="1:14" x14ac:dyDescent="0.2">
      <c r="A161" s="6" t="s">
        <v>303</v>
      </c>
      <c r="B161" s="31" t="s">
        <v>1173</v>
      </c>
      <c r="C161" s="5"/>
      <c r="D161" s="6"/>
      <c r="J161" s="1"/>
      <c r="K161" s="1"/>
      <c r="L161" s="4" t="s">
        <v>1892</v>
      </c>
      <c r="N161" s="10" t="s">
        <v>513</v>
      </c>
    </row>
    <row r="162" spans="1:14" x14ac:dyDescent="0.2">
      <c r="A162" s="5" t="s">
        <v>308</v>
      </c>
      <c r="B162" s="31" t="s">
        <v>1882</v>
      </c>
      <c r="C162" s="6"/>
      <c r="D162" s="6"/>
      <c r="J162" s="2"/>
      <c r="K162" s="2"/>
      <c r="L162" s="4" t="s">
        <v>287</v>
      </c>
      <c r="N162" s="15" t="s">
        <v>484</v>
      </c>
    </row>
    <row r="163" spans="1:14" x14ac:dyDescent="0.2">
      <c r="A163" s="5"/>
      <c r="B163" s="31" t="s">
        <v>1167</v>
      </c>
      <c r="C163" s="6"/>
      <c r="D163" s="6"/>
      <c r="J163" s="1"/>
      <c r="K163" s="2"/>
      <c r="L163" s="4" t="s">
        <v>1838</v>
      </c>
      <c r="N163" s="15" t="s">
        <v>523</v>
      </c>
    </row>
    <row r="164" spans="1:14" x14ac:dyDescent="0.2">
      <c r="A164" s="5"/>
      <c r="B164" s="31" t="s">
        <v>884</v>
      </c>
      <c r="C164" s="6"/>
      <c r="D164" s="6"/>
      <c r="J164" s="1"/>
      <c r="K164" s="2"/>
      <c r="L164" s="4" t="s">
        <v>1872</v>
      </c>
      <c r="N164" s="15" t="s">
        <v>519</v>
      </c>
    </row>
    <row r="165" spans="1:14" x14ac:dyDescent="0.2">
      <c r="A165" s="2"/>
      <c r="B165" s="31" t="s">
        <v>740</v>
      </c>
      <c r="C165" s="6"/>
      <c r="D165" s="6"/>
      <c r="J165" s="2"/>
      <c r="K165" s="2"/>
      <c r="L165" s="4" t="s">
        <v>991</v>
      </c>
      <c r="N165" s="15" t="s">
        <v>273</v>
      </c>
    </row>
    <row r="166" spans="1:14" x14ac:dyDescent="0.2">
      <c r="A166" s="5"/>
      <c r="B166" s="31" t="s">
        <v>2</v>
      </c>
      <c r="C166" s="6"/>
      <c r="D166" s="6"/>
      <c r="J166" s="2"/>
      <c r="K166" s="2"/>
      <c r="L166" s="4" t="s">
        <v>235</v>
      </c>
      <c r="N166" s="15" t="s">
        <v>560</v>
      </c>
    </row>
    <row r="167" spans="1:14" x14ac:dyDescent="0.2">
      <c r="A167" s="5"/>
      <c r="B167" s="31" t="s">
        <v>712</v>
      </c>
      <c r="C167" s="6"/>
      <c r="D167" s="6"/>
      <c r="J167" s="2"/>
      <c r="K167" s="2"/>
      <c r="L167" s="4" t="s">
        <v>1233</v>
      </c>
      <c r="N167" s="15" t="s">
        <v>601</v>
      </c>
    </row>
    <row r="168" spans="1:14" x14ac:dyDescent="0.2">
      <c r="A168" s="2"/>
      <c r="B168" s="31" t="s">
        <v>788</v>
      </c>
      <c r="C168" s="6"/>
      <c r="D168" s="6"/>
      <c r="J168" s="1"/>
      <c r="K168" s="2"/>
      <c r="L168" s="4" t="s">
        <v>748</v>
      </c>
      <c r="N168" s="15" t="s">
        <v>524</v>
      </c>
    </row>
    <row r="169" spans="1:14" x14ac:dyDescent="0.2">
      <c r="A169" s="5"/>
      <c r="B169" s="31" t="s">
        <v>1795</v>
      </c>
      <c r="C169" s="6"/>
      <c r="D169" s="6"/>
      <c r="J169" s="2"/>
      <c r="K169" s="2"/>
      <c r="L169" s="4" t="s">
        <v>1949</v>
      </c>
      <c r="N169" s="15" t="s">
        <v>527</v>
      </c>
    </row>
    <row r="170" spans="1:14" x14ac:dyDescent="0.2">
      <c r="A170" s="2"/>
      <c r="B170" s="31" t="s">
        <v>836</v>
      </c>
      <c r="C170" s="5"/>
      <c r="D170" s="6"/>
      <c r="J170" s="2"/>
      <c r="K170" s="1"/>
      <c r="L170" s="4" t="s">
        <v>1910</v>
      </c>
      <c r="N170" s="15" t="s">
        <v>537</v>
      </c>
    </row>
    <row r="171" spans="1:14" x14ac:dyDescent="0.2">
      <c r="A171" s="5"/>
      <c r="B171" s="31" t="s">
        <v>1802</v>
      </c>
      <c r="C171" s="6"/>
      <c r="D171" s="6"/>
      <c r="J171" s="1"/>
      <c r="K171" s="2"/>
      <c r="L171" s="4" t="s">
        <v>1948</v>
      </c>
      <c r="N171" s="10" t="s">
        <v>595</v>
      </c>
    </row>
    <row r="172" spans="1:14" x14ac:dyDescent="0.2">
      <c r="A172" s="2"/>
      <c r="B172" s="31" t="s">
        <v>798</v>
      </c>
      <c r="C172" s="6"/>
      <c r="D172" s="6"/>
      <c r="J172" s="2"/>
      <c r="K172" s="2"/>
      <c r="L172" s="4" t="s">
        <v>241</v>
      </c>
      <c r="N172" s="15" t="s">
        <v>374</v>
      </c>
    </row>
    <row r="173" spans="1:14" x14ac:dyDescent="0.2">
      <c r="A173" s="5"/>
      <c r="B173" s="31" t="s">
        <v>1883</v>
      </c>
      <c r="C173" s="6"/>
      <c r="D173" s="6"/>
      <c r="J173" s="1"/>
      <c r="K173" s="2"/>
      <c r="L173" s="4" t="s">
        <v>850</v>
      </c>
      <c r="N173" s="15" t="s">
        <v>570</v>
      </c>
    </row>
    <row r="174" spans="1:14" x14ac:dyDescent="0.2">
      <c r="A174" s="5"/>
      <c r="B174" s="31" t="s">
        <v>82</v>
      </c>
      <c r="C174" s="6"/>
      <c r="D174" s="6"/>
      <c r="J174" s="2"/>
      <c r="K174" s="2"/>
      <c r="L174" s="4" t="s">
        <v>1825</v>
      </c>
      <c r="N174" s="15" t="s">
        <v>582</v>
      </c>
    </row>
    <row r="175" spans="1:14" x14ac:dyDescent="0.2">
      <c r="A175" s="5"/>
      <c r="B175" s="31" t="s">
        <v>1222</v>
      </c>
      <c r="C175" s="6"/>
      <c r="D175" s="6"/>
      <c r="J175" s="2"/>
      <c r="K175" s="2"/>
      <c r="L175" s="4" t="s">
        <v>1168</v>
      </c>
      <c r="N175" s="15" t="s">
        <v>602</v>
      </c>
    </row>
    <row r="176" spans="1:14" x14ac:dyDescent="0.2">
      <c r="A176" s="5"/>
      <c r="B176" s="31" t="s">
        <v>1040</v>
      </c>
      <c r="C176" s="6"/>
      <c r="D176" s="6"/>
      <c r="J176" s="2"/>
      <c r="K176" s="2"/>
      <c r="L176" s="4" t="s">
        <v>1009</v>
      </c>
      <c r="N176" s="15" t="s">
        <v>590</v>
      </c>
    </row>
    <row r="177" spans="1:14" x14ac:dyDescent="0.2">
      <c r="A177" s="5"/>
      <c r="B177" s="31" t="s">
        <v>866</v>
      </c>
      <c r="C177" s="6"/>
      <c r="D177" s="6"/>
      <c r="J177" s="2"/>
      <c r="K177" s="2"/>
      <c r="L177" s="4" t="s">
        <v>798</v>
      </c>
      <c r="N177" s="10" t="s">
        <v>282</v>
      </c>
    </row>
    <row r="178" spans="1:14" x14ac:dyDescent="0.2">
      <c r="A178" s="5"/>
      <c r="B178" s="31" t="s">
        <v>1884</v>
      </c>
      <c r="C178" s="5"/>
      <c r="D178" s="6"/>
      <c r="J178" s="2"/>
      <c r="K178" s="2"/>
      <c r="L178" s="4" t="s">
        <v>1733</v>
      </c>
      <c r="N178" s="15" t="s">
        <v>574</v>
      </c>
    </row>
    <row r="179" spans="1:14" x14ac:dyDescent="0.2">
      <c r="A179" s="5"/>
      <c r="B179" s="31" t="s">
        <v>1210</v>
      </c>
      <c r="C179" s="6"/>
      <c r="D179" s="6"/>
      <c r="J179" s="2"/>
      <c r="K179" s="2"/>
      <c r="L179" s="4" t="s">
        <v>1102</v>
      </c>
      <c r="N179" s="15" t="s">
        <v>533</v>
      </c>
    </row>
    <row r="180" spans="1:14" x14ac:dyDescent="0.2">
      <c r="A180" s="5"/>
      <c r="B180" s="31" t="s">
        <v>1885</v>
      </c>
      <c r="C180" s="6"/>
      <c r="D180" s="6"/>
      <c r="J180" s="2"/>
      <c r="K180" s="2"/>
      <c r="L180" s="4" t="s">
        <v>1165</v>
      </c>
      <c r="N180" s="15" t="s">
        <v>605</v>
      </c>
    </row>
    <row r="181" spans="1:14" x14ac:dyDescent="0.2">
      <c r="A181" s="1"/>
      <c r="B181" s="31" t="s">
        <v>863</v>
      </c>
      <c r="C181" s="6"/>
      <c r="D181" s="6"/>
      <c r="J181" s="2"/>
      <c r="K181" s="1"/>
      <c r="L181" s="4" t="s">
        <v>258</v>
      </c>
      <c r="N181" s="10" t="s">
        <v>594</v>
      </c>
    </row>
    <row r="182" spans="1:14" x14ac:dyDescent="0.2">
      <c r="A182" s="2"/>
      <c r="B182" s="31" t="s">
        <v>1179</v>
      </c>
      <c r="C182" s="6"/>
      <c r="D182" s="6"/>
      <c r="J182" s="2"/>
      <c r="K182" s="2"/>
      <c r="L182" s="4" t="s">
        <v>1154</v>
      </c>
      <c r="N182" s="10" t="s">
        <v>540</v>
      </c>
    </row>
    <row r="183" spans="1:14" x14ac:dyDescent="0.2">
      <c r="A183" s="5"/>
      <c r="B183" s="31" t="s">
        <v>1185</v>
      </c>
      <c r="C183" s="5"/>
      <c r="D183" s="6"/>
      <c r="J183" s="2"/>
      <c r="K183" s="2"/>
      <c r="L183" s="4" t="s">
        <v>1941</v>
      </c>
      <c r="N183" s="15" t="s">
        <v>286</v>
      </c>
    </row>
    <row r="184" spans="1:14" x14ac:dyDescent="0.2">
      <c r="A184" s="2"/>
      <c r="B184" s="31" t="s">
        <v>1182</v>
      </c>
      <c r="C184" s="6"/>
      <c r="D184" s="6"/>
      <c r="J184" s="2"/>
      <c r="K184" s="2"/>
      <c r="L184" s="4" t="s">
        <v>102</v>
      </c>
      <c r="N184" s="15" t="s">
        <v>468</v>
      </c>
    </row>
    <row r="185" spans="1:14" x14ac:dyDescent="0.2">
      <c r="A185" s="5"/>
      <c r="B185" s="31" t="s">
        <v>973</v>
      </c>
      <c r="C185" s="5"/>
      <c r="D185" s="6"/>
      <c r="J185" s="2"/>
      <c r="K185" s="2"/>
      <c r="L185" s="4" t="s">
        <v>121</v>
      </c>
      <c r="N185" s="10" t="s">
        <v>546</v>
      </c>
    </row>
    <row r="186" spans="1:14" x14ac:dyDescent="0.2">
      <c r="A186" s="5"/>
      <c r="B186" s="32" t="s">
        <v>466</v>
      </c>
      <c r="C186" s="6"/>
      <c r="D186" s="6"/>
      <c r="J186" s="2"/>
      <c r="K186" s="2"/>
      <c r="L186" s="4" t="s">
        <v>1739</v>
      </c>
      <c r="N186" s="15" t="s">
        <v>598</v>
      </c>
    </row>
    <row r="187" spans="1:14" x14ac:dyDescent="0.2">
      <c r="A187" s="5"/>
      <c r="B187" s="31" t="s">
        <v>232</v>
      </c>
      <c r="C187" s="6"/>
      <c r="D187" s="6"/>
      <c r="J187" s="2"/>
      <c r="K187" s="1"/>
      <c r="L187" s="4" t="s">
        <v>79</v>
      </c>
      <c r="N187" s="10" t="s">
        <v>290</v>
      </c>
    </row>
    <row r="188" spans="1:14" x14ac:dyDescent="0.2">
      <c r="A188" s="2"/>
      <c r="B188" s="31" t="s">
        <v>1770</v>
      </c>
      <c r="C188" s="6"/>
      <c r="D188" s="6"/>
      <c r="J188" s="2"/>
      <c r="K188" s="2"/>
      <c r="L188" s="4" t="s">
        <v>938</v>
      </c>
      <c r="N188" s="15" t="s">
        <v>295</v>
      </c>
    </row>
    <row r="189" spans="1:14" x14ac:dyDescent="0.2">
      <c r="A189" s="2"/>
      <c r="B189" s="31" t="s">
        <v>689</v>
      </c>
      <c r="C189" s="6"/>
      <c r="D189" s="6"/>
      <c r="J189" s="2"/>
      <c r="K189" s="2"/>
      <c r="L189" s="4" t="s">
        <v>26</v>
      </c>
      <c r="N189" s="15" t="s">
        <v>573</v>
      </c>
    </row>
    <row r="190" spans="1:14" x14ac:dyDescent="0.2">
      <c r="A190" s="2"/>
      <c r="B190" s="31" t="s">
        <v>481</v>
      </c>
      <c r="C190" s="6"/>
      <c r="D190" s="6"/>
      <c r="J190" s="2"/>
      <c r="K190" s="2"/>
      <c r="L190" s="4" t="s">
        <v>826</v>
      </c>
      <c r="N190" s="10" t="s">
        <v>253</v>
      </c>
    </row>
    <row r="191" spans="1:14" x14ac:dyDescent="0.2">
      <c r="A191" s="5"/>
      <c r="B191" s="31" t="s">
        <v>631</v>
      </c>
      <c r="C191" s="6"/>
      <c r="D191" s="6"/>
      <c r="J191" s="1"/>
      <c r="K191" s="2"/>
      <c r="L191" s="4" t="s">
        <v>1108</v>
      </c>
      <c r="N191" s="15" t="s">
        <v>490</v>
      </c>
    </row>
    <row r="192" spans="1:14" x14ac:dyDescent="0.2">
      <c r="A192" s="5"/>
      <c r="B192" s="31" t="s">
        <v>1212</v>
      </c>
      <c r="C192" s="5"/>
      <c r="D192" s="6"/>
      <c r="J192" s="2"/>
      <c r="K192" s="2"/>
      <c r="L192" s="4" t="s">
        <v>87</v>
      </c>
      <c r="N192" s="10" t="s">
        <v>556</v>
      </c>
    </row>
    <row r="193" spans="1:14" x14ac:dyDescent="0.2">
      <c r="B193" s="31" t="s">
        <v>1886</v>
      </c>
      <c r="C193" s="5"/>
      <c r="D193" s="6"/>
      <c r="J193" s="2"/>
      <c r="K193" s="1"/>
      <c r="L193" s="4" t="s">
        <v>953</v>
      </c>
      <c r="N193" s="15" t="s">
        <v>480</v>
      </c>
    </row>
    <row r="194" spans="1:14" x14ac:dyDescent="0.2">
      <c r="A194" s="2"/>
      <c r="B194" s="31" t="s">
        <v>1887</v>
      </c>
      <c r="C194" s="6"/>
      <c r="D194" s="6"/>
      <c r="J194" s="2"/>
      <c r="K194" s="1"/>
      <c r="L194" s="4" t="s">
        <v>931</v>
      </c>
      <c r="N194" s="15" t="s">
        <v>554</v>
      </c>
    </row>
    <row r="195" spans="1:14" x14ac:dyDescent="0.2">
      <c r="A195" s="2"/>
      <c r="B195" s="31" t="s">
        <v>1888</v>
      </c>
      <c r="C195" s="6"/>
      <c r="D195" s="6"/>
      <c r="J195" s="2"/>
      <c r="K195" s="1"/>
      <c r="L195" s="4" t="s">
        <v>1184</v>
      </c>
      <c r="N195" s="15" t="s">
        <v>597</v>
      </c>
    </row>
    <row r="196" spans="1:14" x14ac:dyDescent="0.2">
      <c r="A196" s="2"/>
      <c r="B196" s="31" t="s">
        <v>1252</v>
      </c>
      <c r="C196" s="6"/>
      <c r="D196" s="6"/>
      <c r="J196" s="2"/>
      <c r="K196" s="2"/>
      <c r="L196" s="4" t="s">
        <v>1921</v>
      </c>
      <c r="N196" s="13" t="s">
        <v>13</v>
      </c>
    </row>
    <row r="197" spans="1:14" x14ac:dyDescent="0.2">
      <c r="A197" s="1"/>
      <c r="B197" s="31" t="s">
        <v>1241</v>
      </c>
      <c r="C197" s="5"/>
      <c r="D197" s="6"/>
      <c r="J197" s="2"/>
      <c r="K197" s="2"/>
      <c r="L197" s="4" t="s">
        <v>285</v>
      </c>
      <c r="N197" s="13" t="s">
        <v>40</v>
      </c>
    </row>
    <row r="198" spans="1:14" x14ac:dyDescent="0.2">
      <c r="A198" s="2"/>
      <c r="B198" s="31" t="s">
        <v>1204</v>
      </c>
      <c r="C198" s="6"/>
      <c r="D198" s="6"/>
      <c r="J198" s="2"/>
      <c r="K198" s="2"/>
      <c r="L198" s="4" t="s">
        <v>937</v>
      </c>
      <c r="N198" s="13" t="s">
        <v>613</v>
      </c>
    </row>
    <row r="199" spans="1:14" x14ac:dyDescent="0.2">
      <c r="A199" s="2"/>
      <c r="B199" s="31" t="s">
        <v>1197</v>
      </c>
      <c r="C199" s="6"/>
      <c r="D199" s="6"/>
      <c r="J199" s="2"/>
      <c r="K199" s="2"/>
      <c r="L199" s="4" t="s">
        <v>711</v>
      </c>
      <c r="N199" s="13" t="s">
        <v>621</v>
      </c>
    </row>
    <row r="200" spans="1:14" x14ac:dyDescent="0.2">
      <c r="A200" s="2"/>
      <c r="B200" s="31" t="s">
        <v>1037</v>
      </c>
      <c r="C200" s="6"/>
      <c r="D200" s="6"/>
      <c r="J200" s="2"/>
      <c r="K200" s="2"/>
      <c r="L200" s="4" t="s">
        <v>1127</v>
      </c>
      <c r="N200" s="13" t="s">
        <v>616</v>
      </c>
    </row>
    <row r="201" spans="1:14" x14ac:dyDescent="0.2">
      <c r="A201" s="2"/>
      <c r="B201" s="31" t="s">
        <v>1824</v>
      </c>
      <c r="C201" s="6"/>
      <c r="D201" s="6"/>
      <c r="J201" s="1"/>
      <c r="K201" s="2"/>
      <c r="L201" s="4" t="s">
        <v>796</v>
      </c>
      <c r="N201" s="13" t="s">
        <v>620</v>
      </c>
    </row>
    <row r="202" spans="1:14" x14ac:dyDescent="0.2">
      <c r="A202" s="1"/>
      <c r="B202" s="31" t="s">
        <v>921</v>
      </c>
      <c r="C202" s="6"/>
      <c r="D202" s="6"/>
      <c r="K202" s="1"/>
      <c r="L202" s="4" t="s">
        <v>42</v>
      </c>
      <c r="N202" s="13" t="s">
        <v>200</v>
      </c>
    </row>
    <row r="203" spans="1:14" x14ac:dyDescent="0.2">
      <c r="A203" s="2"/>
      <c r="B203" s="31" t="s">
        <v>1227</v>
      </c>
      <c r="C203" s="5"/>
      <c r="D203" s="6"/>
      <c r="K203" s="1"/>
      <c r="L203" s="4" t="s">
        <v>1101</v>
      </c>
      <c r="N203" s="13" t="s">
        <v>270</v>
      </c>
    </row>
    <row r="204" spans="1:14" x14ac:dyDescent="0.2">
      <c r="B204" s="31" t="s">
        <v>483</v>
      </c>
      <c r="C204" s="5"/>
      <c r="D204" s="6"/>
      <c r="K204" s="2"/>
      <c r="L204" s="4" t="s">
        <v>1143</v>
      </c>
      <c r="N204" s="13" t="s">
        <v>617</v>
      </c>
    </row>
    <row r="205" spans="1:14" x14ac:dyDescent="0.2">
      <c r="A205" s="2"/>
      <c r="B205" s="31" t="s">
        <v>870</v>
      </c>
      <c r="C205" s="5"/>
      <c r="D205" s="6"/>
      <c r="K205" s="2"/>
      <c r="L205" s="4" t="s">
        <v>1952</v>
      </c>
      <c r="N205" s="13" t="s">
        <v>380</v>
      </c>
    </row>
    <row r="206" spans="1:14" x14ac:dyDescent="0.2">
      <c r="A206" s="1"/>
      <c r="B206" s="31" t="s">
        <v>701</v>
      </c>
      <c r="C206" s="5"/>
      <c r="D206" s="6"/>
      <c r="K206" s="2"/>
      <c r="L206" s="4" t="s">
        <v>103</v>
      </c>
      <c r="N206" s="13" t="s">
        <v>618</v>
      </c>
    </row>
    <row r="207" spans="1:14" x14ac:dyDescent="0.2">
      <c r="A207" s="2"/>
      <c r="B207" s="31" t="s">
        <v>1889</v>
      </c>
      <c r="C207" s="6"/>
      <c r="D207" s="6"/>
      <c r="K207" s="2"/>
      <c r="L207" s="4" t="s">
        <v>1876</v>
      </c>
      <c r="N207" s="13" t="s">
        <v>619</v>
      </c>
    </row>
    <row r="208" spans="1:14" x14ac:dyDescent="0.2">
      <c r="A208" s="2"/>
      <c r="B208" s="31" t="s">
        <v>786</v>
      </c>
      <c r="C208" s="5"/>
      <c r="D208" s="6"/>
      <c r="K208" s="2"/>
      <c r="L208" s="4" t="s">
        <v>985</v>
      </c>
      <c r="N208" s="13" t="s">
        <v>202</v>
      </c>
    </row>
    <row r="209" spans="1:14" x14ac:dyDescent="0.2">
      <c r="A209" s="2"/>
      <c r="B209" s="31" t="s">
        <v>1180</v>
      </c>
      <c r="C209" s="6"/>
      <c r="D209" s="6"/>
      <c r="K209" s="1"/>
      <c r="L209" s="4" t="s">
        <v>110</v>
      </c>
      <c r="N209" s="13" t="s">
        <v>614</v>
      </c>
    </row>
    <row r="210" spans="1:14" x14ac:dyDescent="0.2">
      <c r="A210" s="2"/>
      <c r="B210" s="31" t="s">
        <v>699</v>
      </c>
      <c r="C210" s="6"/>
      <c r="D210" s="6"/>
      <c r="K210" s="2"/>
      <c r="L210" s="4" t="s">
        <v>50</v>
      </c>
      <c r="N210" s="13" t="s">
        <v>313</v>
      </c>
    </row>
    <row r="211" spans="1:14" x14ac:dyDescent="0.2">
      <c r="A211" s="2"/>
      <c r="B211" s="31" t="s">
        <v>1258</v>
      </c>
      <c r="C211" s="5"/>
      <c r="D211" s="6"/>
      <c r="K211" s="2"/>
      <c r="L211" s="4" t="s">
        <v>1769</v>
      </c>
      <c r="N211" s="13" t="s">
        <v>625</v>
      </c>
    </row>
    <row r="212" spans="1:14" x14ac:dyDescent="0.2">
      <c r="A212" s="2"/>
      <c r="B212" s="31" t="s">
        <v>1890</v>
      </c>
      <c r="C212" s="6"/>
      <c r="D212" s="6"/>
      <c r="K212" s="2"/>
      <c r="L212" s="4" t="s">
        <v>1019</v>
      </c>
      <c r="N212" s="13" t="s">
        <v>622</v>
      </c>
    </row>
    <row r="213" spans="1:14" x14ac:dyDescent="0.2">
      <c r="A213" s="2"/>
      <c r="B213" s="31" t="s">
        <v>1698</v>
      </c>
      <c r="C213" s="6"/>
      <c r="D213" s="6"/>
      <c r="K213" s="1"/>
      <c r="L213" s="4" t="s">
        <v>1152</v>
      </c>
      <c r="N213" s="13" t="s">
        <v>624</v>
      </c>
    </row>
    <row r="214" spans="1:14" x14ac:dyDescent="0.2">
      <c r="B214" s="31" t="s">
        <v>732</v>
      </c>
      <c r="C214" s="6"/>
      <c r="D214" s="6"/>
      <c r="K214" s="2"/>
      <c r="L214" s="4" t="s">
        <v>1105</v>
      </c>
      <c r="N214" s="13" t="s">
        <v>236</v>
      </c>
    </row>
    <row r="215" spans="1:14" x14ac:dyDescent="0.2">
      <c r="B215" s="31" t="s">
        <v>1187</v>
      </c>
      <c r="C215" s="5"/>
      <c r="D215" s="6"/>
      <c r="K215" s="2"/>
      <c r="L215" s="4" t="s">
        <v>949</v>
      </c>
      <c r="N215" s="13" t="s">
        <v>531</v>
      </c>
    </row>
    <row r="216" spans="1:14" x14ac:dyDescent="0.2">
      <c r="A216" s="2"/>
      <c r="B216" s="31" t="s">
        <v>489</v>
      </c>
      <c r="C216" s="6"/>
      <c r="D216" s="6"/>
      <c r="K216" s="1"/>
      <c r="L216" s="4" t="s">
        <v>1939</v>
      </c>
      <c r="N216" s="13" t="s">
        <v>545</v>
      </c>
    </row>
    <row r="217" spans="1:14" x14ac:dyDescent="0.2">
      <c r="A217" s="2"/>
      <c r="B217" s="31" t="s">
        <v>1891</v>
      </c>
      <c r="C217" s="6"/>
      <c r="D217" s="6"/>
      <c r="K217" s="1"/>
      <c r="L217" s="4" t="s">
        <v>1905</v>
      </c>
      <c r="N217" s="13" t="s">
        <v>187</v>
      </c>
    </row>
    <row r="218" spans="1:14" x14ac:dyDescent="0.2">
      <c r="A218" s="2"/>
      <c r="B218" s="31" t="s">
        <v>1221</v>
      </c>
      <c r="C218" s="6"/>
      <c r="D218" s="6"/>
      <c r="K218" s="2"/>
      <c r="L218" s="4" t="s">
        <v>1176</v>
      </c>
      <c r="N218" s="13" t="s">
        <v>626</v>
      </c>
    </row>
    <row r="219" spans="1:14" x14ac:dyDescent="0.2">
      <c r="B219" s="31" t="s">
        <v>1797</v>
      </c>
      <c r="C219" s="6"/>
      <c r="D219" s="6"/>
      <c r="K219" s="2"/>
      <c r="L219" s="4" t="s">
        <v>851</v>
      </c>
      <c r="N219" s="13" t="s">
        <v>627</v>
      </c>
    </row>
    <row r="220" spans="1:14" x14ac:dyDescent="0.2">
      <c r="A220" s="1"/>
      <c r="B220" s="31" t="s">
        <v>1166</v>
      </c>
      <c r="C220" s="6"/>
      <c r="D220" s="6"/>
      <c r="K220" s="2"/>
      <c r="L220" s="4" t="s">
        <v>837</v>
      </c>
      <c r="N220" s="13" t="s">
        <v>299</v>
      </c>
    </row>
    <row r="221" spans="1:14" x14ac:dyDescent="0.2">
      <c r="A221" s="2"/>
      <c r="B221" s="31" t="s">
        <v>1892</v>
      </c>
      <c r="C221" s="6"/>
      <c r="D221" s="6"/>
      <c r="K221" s="1"/>
      <c r="L221" s="4" t="s">
        <v>347</v>
      </c>
      <c r="N221" s="13" t="s">
        <v>615</v>
      </c>
    </row>
    <row r="222" spans="1:14" x14ac:dyDescent="0.2">
      <c r="B222" s="31" t="s">
        <v>738</v>
      </c>
      <c r="C222" s="6"/>
      <c r="D222" s="6"/>
      <c r="K222" s="2"/>
      <c r="L222" s="4" t="s">
        <v>873</v>
      </c>
      <c r="N222" s="13" t="s">
        <v>623</v>
      </c>
    </row>
    <row r="223" spans="1:14" x14ac:dyDescent="0.2">
      <c r="A223" s="2"/>
      <c r="B223" s="31" t="s">
        <v>1232</v>
      </c>
      <c r="C223" s="6"/>
      <c r="D223" s="6"/>
      <c r="K223" s="2"/>
      <c r="L223" s="4" t="s">
        <v>943</v>
      </c>
    </row>
    <row r="224" spans="1:14" x14ac:dyDescent="0.2">
      <c r="A224" s="2"/>
      <c r="B224" s="31" t="s">
        <v>1229</v>
      </c>
      <c r="C224" s="6"/>
      <c r="D224" s="6"/>
      <c r="K224" s="2"/>
      <c r="L224" s="4" t="s">
        <v>924</v>
      </c>
    </row>
    <row r="225" spans="1:12" x14ac:dyDescent="0.2">
      <c r="A225" s="2"/>
      <c r="B225" s="31" t="s">
        <v>1847</v>
      </c>
      <c r="C225" s="6"/>
      <c r="D225" s="6"/>
      <c r="K225" s="2"/>
      <c r="L225" s="4" t="s">
        <v>1159</v>
      </c>
    </row>
    <row r="226" spans="1:12" x14ac:dyDescent="0.2">
      <c r="B226" s="31" t="s">
        <v>1529</v>
      </c>
      <c r="C226" s="6"/>
      <c r="D226" s="6"/>
      <c r="K226" s="2"/>
      <c r="L226" s="4" t="s">
        <v>1010</v>
      </c>
    </row>
    <row r="227" spans="1:12" x14ac:dyDescent="0.2">
      <c r="A227" s="2"/>
      <c r="B227" s="31" t="s">
        <v>1893</v>
      </c>
      <c r="C227" s="6"/>
      <c r="D227" s="6"/>
      <c r="K227" s="2"/>
      <c r="L227" s="4" t="s">
        <v>1006</v>
      </c>
    </row>
    <row r="228" spans="1:12" x14ac:dyDescent="0.2">
      <c r="A228" s="1"/>
      <c r="B228" s="31" t="s">
        <v>1253</v>
      </c>
      <c r="C228" s="6"/>
      <c r="D228" s="6"/>
      <c r="K228" s="2"/>
      <c r="L228" s="4" t="s">
        <v>1246</v>
      </c>
    </row>
    <row r="229" spans="1:12" x14ac:dyDescent="0.2">
      <c r="A229" s="2"/>
      <c r="B229" s="31" t="s">
        <v>857</v>
      </c>
      <c r="C229" s="6"/>
      <c r="D229" s="6"/>
      <c r="K229" s="2"/>
      <c r="L229" s="4" t="s">
        <v>845</v>
      </c>
    </row>
    <row r="230" spans="1:12" x14ac:dyDescent="0.2">
      <c r="A230" s="1"/>
      <c r="B230" s="31" t="s">
        <v>1169</v>
      </c>
      <c r="C230" s="6"/>
      <c r="D230" s="6"/>
      <c r="K230" s="2"/>
      <c r="L230" s="4" t="s">
        <v>180</v>
      </c>
    </row>
    <row r="231" spans="1:12" x14ac:dyDescent="0.2">
      <c r="A231" s="2"/>
      <c r="B231" s="31" t="s">
        <v>1249</v>
      </c>
      <c r="C231" s="5"/>
      <c r="D231" s="6"/>
      <c r="K231" s="1"/>
      <c r="L231" s="4" t="s">
        <v>321</v>
      </c>
    </row>
    <row r="232" spans="1:12" x14ac:dyDescent="0.2">
      <c r="A232" s="2"/>
      <c r="B232" s="31" t="s">
        <v>1894</v>
      </c>
      <c r="C232" s="6"/>
      <c r="D232" s="6"/>
      <c r="K232" s="2"/>
      <c r="L232" s="4" t="s">
        <v>325</v>
      </c>
    </row>
    <row r="233" spans="1:12" x14ac:dyDescent="0.2">
      <c r="A233" s="2"/>
      <c r="B233" s="31" t="s">
        <v>1895</v>
      </c>
      <c r="C233" s="6"/>
      <c r="D233" s="6"/>
      <c r="K233" s="2"/>
      <c r="L233" s="4" t="s">
        <v>786</v>
      </c>
    </row>
    <row r="234" spans="1:12" x14ac:dyDescent="0.2">
      <c r="A234" s="2"/>
      <c r="B234" s="31" t="s">
        <v>1820</v>
      </c>
      <c r="C234" s="6"/>
      <c r="D234" s="6"/>
      <c r="K234" s="2"/>
      <c r="L234" s="4" t="s">
        <v>138</v>
      </c>
    </row>
    <row r="235" spans="1:12" x14ac:dyDescent="0.2">
      <c r="B235" s="31" t="s">
        <v>1896</v>
      </c>
      <c r="C235" s="6"/>
      <c r="D235" s="6"/>
      <c r="K235" s="2"/>
      <c r="L235" s="4" t="s">
        <v>948</v>
      </c>
    </row>
    <row r="236" spans="1:12" x14ac:dyDescent="0.2">
      <c r="A236" s="2"/>
      <c r="B236" s="31" t="s">
        <v>1897</v>
      </c>
      <c r="C236" s="6"/>
      <c r="D236" s="6"/>
      <c r="K236" s="2"/>
      <c r="L236" s="4" t="s">
        <v>1227</v>
      </c>
    </row>
    <row r="237" spans="1:12" x14ac:dyDescent="0.2">
      <c r="A237" s="1"/>
      <c r="B237" s="31" t="s">
        <v>1343</v>
      </c>
      <c r="C237" s="6"/>
      <c r="D237" s="6"/>
      <c r="K237" s="1"/>
      <c r="L237" s="4" t="s">
        <v>781</v>
      </c>
    </row>
    <row r="238" spans="1:12" x14ac:dyDescent="0.2">
      <c r="B238" s="31" t="s">
        <v>1898</v>
      </c>
      <c r="C238" s="6"/>
      <c r="D238" s="6"/>
      <c r="K238" s="2"/>
      <c r="L238" s="4" t="s">
        <v>1199</v>
      </c>
    </row>
    <row r="239" spans="1:12" x14ac:dyDescent="0.2">
      <c r="A239" s="2"/>
      <c r="B239" s="31" t="s">
        <v>1899</v>
      </c>
      <c r="C239" s="6"/>
      <c r="D239" s="6"/>
      <c r="K239" s="2"/>
      <c r="L239" s="4" t="s">
        <v>1218</v>
      </c>
    </row>
    <row r="240" spans="1:12" x14ac:dyDescent="0.2">
      <c r="B240" s="31" t="s">
        <v>685</v>
      </c>
      <c r="C240" s="6"/>
      <c r="D240" s="6"/>
      <c r="K240" s="2"/>
      <c r="L240" s="4" t="s">
        <v>981</v>
      </c>
    </row>
    <row r="241" spans="1:12" x14ac:dyDescent="0.2">
      <c r="A241" s="2"/>
      <c r="B241" s="31" t="s">
        <v>1377</v>
      </c>
      <c r="C241" s="5"/>
      <c r="D241" s="6"/>
      <c r="K241" s="1"/>
      <c r="L241" s="4" t="s">
        <v>734</v>
      </c>
    </row>
    <row r="242" spans="1:12" x14ac:dyDescent="0.2">
      <c r="A242" s="2"/>
      <c r="B242" s="31" t="s">
        <v>1159</v>
      </c>
      <c r="D242" s="6"/>
      <c r="K242" s="1"/>
      <c r="L242" s="4" t="s">
        <v>1932</v>
      </c>
    </row>
    <row r="243" spans="1:12" x14ac:dyDescent="0.2">
      <c r="A243" s="2"/>
      <c r="B243" s="31" t="s">
        <v>994</v>
      </c>
      <c r="D243" s="6"/>
      <c r="K243" s="2"/>
      <c r="L243" s="4" t="s">
        <v>357</v>
      </c>
    </row>
    <row r="244" spans="1:12" x14ac:dyDescent="0.2">
      <c r="A244" s="2"/>
      <c r="B244" s="31" t="s">
        <v>1215</v>
      </c>
      <c r="D244" s="6"/>
      <c r="K244" s="2"/>
      <c r="L244" s="4" t="s">
        <v>857</v>
      </c>
    </row>
    <row r="245" spans="1:12" x14ac:dyDescent="0.2">
      <c r="A245" s="1"/>
      <c r="B245" s="31" t="s">
        <v>1196</v>
      </c>
      <c r="D245" s="6"/>
      <c r="K245" s="1"/>
      <c r="L245" s="4" t="s">
        <v>1879</v>
      </c>
    </row>
    <row r="246" spans="1:12" x14ac:dyDescent="0.2">
      <c r="A246" s="2"/>
      <c r="B246" s="31" t="s">
        <v>1900</v>
      </c>
      <c r="D246" s="6"/>
      <c r="K246" s="2"/>
      <c r="L246" s="4" t="s">
        <v>339</v>
      </c>
    </row>
    <row r="247" spans="1:12" x14ac:dyDescent="0.2">
      <c r="B247" s="31" t="s">
        <v>1799</v>
      </c>
      <c r="D247" s="6"/>
      <c r="K247" s="1"/>
      <c r="L247" s="4" t="s">
        <v>144</v>
      </c>
    </row>
    <row r="248" spans="1:12" x14ac:dyDescent="0.2">
      <c r="B248" s="31" t="s">
        <v>1748</v>
      </c>
      <c r="D248" s="6"/>
      <c r="K248" s="2"/>
      <c r="L248" s="4" t="s">
        <v>912</v>
      </c>
    </row>
    <row r="249" spans="1:12" x14ac:dyDescent="0.2">
      <c r="B249" s="31" t="s">
        <v>491</v>
      </c>
      <c r="D249" s="6"/>
      <c r="K249" s="1"/>
      <c r="L249" s="4" t="s">
        <v>1179</v>
      </c>
    </row>
    <row r="250" spans="1:12" x14ac:dyDescent="0.2">
      <c r="A250" s="2"/>
      <c r="B250" s="33" t="s">
        <v>380</v>
      </c>
      <c r="D250" s="6"/>
      <c r="K250" s="2"/>
      <c r="L250" s="4" t="s">
        <v>1116</v>
      </c>
    </row>
    <row r="251" spans="1:12" x14ac:dyDescent="0.2">
      <c r="A251" s="2"/>
      <c r="B251" s="31" t="s">
        <v>532</v>
      </c>
      <c r="D251" s="6"/>
      <c r="K251" s="1"/>
      <c r="L251" s="4" t="s">
        <v>1400</v>
      </c>
    </row>
    <row r="252" spans="1:12" x14ac:dyDescent="0.2">
      <c r="B252" s="31">
        <v>45536</v>
      </c>
      <c r="D252" s="6"/>
      <c r="K252" s="2"/>
      <c r="L252" s="4" t="s">
        <v>1252</v>
      </c>
    </row>
    <row r="253" spans="1:12" x14ac:dyDescent="0.2">
      <c r="B253" s="31" t="s">
        <v>1901</v>
      </c>
      <c r="D253" s="6"/>
      <c r="K253" s="2"/>
      <c r="L253" s="4" t="s">
        <v>883</v>
      </c>
    </row>
    <row r="254" spans="1:12" x14ac:dyDescent="0.2">
      <c r="A254" s="2"/>
      <c r="B254" s="31" t="s">
        <v>734</v>
      </c>
      <c r="D254" s="6"/>
      <c r="L254" s="4" t="s">
        <v>362</v>
      </c>
    </row>
    <row r="255" spans="1:12" x14ac:dyDescent="0.2">
      <c r="A255" s="2"/>
      <c r="B255" s="31" t="s">
        <v>799</v>
      </c>
      <c r="D255" s="6"/>
      <c r="L255" s="4" t="s">
        <v>1886</v>
      </c>
    </row>
    <row r="256" spans="1:12" x14ac:dyDescent="0.2">
      <c r="A256" s="2"/>
      <c r="B256" s="31" t="s">
        <v>1902</v>
      </c>
      <c r="D256" s="6"/>
      <c r="L256" s="4" t="s">
        <v>870</v>
      </c>
    </row>
    <row r="257" spans="1:12" x14ac:dyDescent="0.2">
      <c r="A257" s="2"/>
      <c r="B257" s="31" t="s">
        <v>1903</v>
      </c>
      <c r="D257" s="6"/>
      <c r="L257" s="4" t="s">
        <v>349</v>
      </c>
    </row>
    <row r="258" spans="1:12" x14ac:dyDescent="0.2">
      <c r="A258" s="2"/>
      <c r="B258" s="31" t="s">
        <v>112</v>
      </c>
      <c r="D258" s="6"/>
      <c r="L258" s="4" t="s">
        <v>1208</v>
      </c>
    </row>
    <row r="259" spans="1:12" x14ac:dyDescent="0.2">
      <c r="B259" s="31" t="s">
        <v>1904</v>
      </c>
      <c r="D259" s="6"/>
      <c r="L259" s="4" t="s">
        <v>1030</v>
      </c>
    </row>
    <row r="260" spans="1:12" x14ac:dyDescent="0.2">
      <c r="A260" s="2"/>
      <c r="B260" s="31" t="s">
        <v>1905</v>
      </c>
      <c r="D260" s="6"/>
      <c r="L260" s="4" t="s">
        <v>1150</v>
      </c>
    </row>
    <row r="261" spans="1:12" x14ac:dyDescent="0.2">
      <c r="A261" s="2"/>
      <c r="B261" s="31" t="s">
        <v>1205</v>
      </c>
      <c r="D261" s="6"/>
      <c r="L261" s="4" t="s">
        <v>356</v>
      </c>
    </row>
    <row r="262" spans="1:12" x14ac:dyDescent="0.2">
      <c r="A262" s="2"/>
      <c r="B262" s="31" t="s">
        <v>1654</v>
      </c>
      <c r="D262" s="6"/>
      <c r="L262" s="4" t="s">
        <v>58</v>
      </c>
    </row>
    <row r="263" spans="1:12" x14ac:dyDescent="0.2">
      <c r="A263" s="2"/>
      <c r="B263" s="31" t="s">
        <v>739</v>
      </c>
      <c r="D263" s="6"/>
      <c r="L263" s="4" t="s">
        <v>1832</v>
      </c>
    </row>
    <row r="264" spans="1:12" x14ac:dyDescent="0.2">
      <c r="A264" s="2"/>
      <c r="B264" s="31" t="s">
        <v>381</v>
      </c>
      <c r="D264" s="6"/>
      <c r="L264" s="4" t="s">
        <v>1909</v>
      </c>
    </row>
    <row r="265" spans="1:12" x14ac:dyDescent="0.2">
      <c r="A265" s="2"/>
      <c r="B265" s="31" t="s">
        <v>1906</v>
      </c>
      <c r="D265" s="6"/>
      <c r="L265" s="4" t="s">
        <v>381</v>
      </c>
    </row>
    <row r="266" spans="1:12" x14ac:dyDescent="0.2">
      <c r="B266" s="31" t="s">
        <v>1907</v>
      </c>
      <c r="D266" s="6"/>
      <c r="L266" s="4" t="s">
        <v>1719</v>
      </c>
    </row>
    <row r="267" spans="1:12" x14ac:dyDescent="0.2">
      <c r="A267" s="2"/>
      <c r="B267" s="31" t="s">
        <v>1496</v>
      </c>
      <c r="D267" s="6"/>
      <c r="L267" s="4" t="s">
        <v>1826</v>
      </c>
    </row>
    <row r="268" spans="1:12" x14ac:dyDescent="0.2">
      <c r="A268" s="2"/>
      <c r="B268" s="31" t="s">
        <v>908</v>
      </c>
      <c r="D268" s="6"/>
      <c r="L268" s="4" t="s">
        <v>1654</v>
      </c>
    </row>
    <row r="269" spans="1:12" x14ac:dyDescent="0.2">
      <c r="A269" s="1"/>
      <c r="B269" s="31" t="s">
        <v>1193</v>
      </c>
      <c r="D269" s="6"/>
      <c r="L269" s="4" t="s">
        <v>364</v>
      </c>
    </row>
    <row r="270" spans="1:12" x14ac:dyDescent="0.2">
      <c r="A270" s="2"/>
      <c r="B270" s="31" t="s">
        <v>1805</v>
      </c>
      <c r="D270" s="6"/>
      <c r="L270" s="4" t="s">
        <v>702</v>
      </c>
    </row>
    <row r="271" spans="1:12" x14ac:dyDescent="0.2">
      <c r="A271" s="2"/>
      <c r="B271" s="31" t="s">
        <v>1908</v>
      </c>
      <c r="D271" s="6"/>
      <c r="L271" s="4" t="s">
        <v>732</v>
      </c>
    </row>
    <row r="272" spans="1:12" x14ac:dyDescent="0.2">
      <c r="A272" s="2"/>
      <c r="B272" s="31" t="s">
        <v>1909</v>
      </c>
      <c r="D272" s="6"/>
      <c r="L272" s="4" t="s">
        <v>1760</v>
      </c>
    </row>
    <row r="273" spans="1:12" x14ac:dyDescent="0.2">
      <c r="A273" s="2"/>
      <c r="B273" s="31" t="s">
        <v>1689</v>
      </c>
      <c r="D273" s="6"/>
      <c r="L273" s="4" t="s">
        <v>1128</v>
      </c>
    </row>
    <row r="274" spans="1:12" x14ac:dyDescent="0.2">
      <c r="A274" s="2"/>
      <c r="B274" s="31" t="s">
        <v>1218</v>
      </c>
      <c r="D274" s="6"/>
      <c r="L274" s="4" t="s">
        <v>1186</v>
      </c>
    </row>
    <row r="275" spans="1:12" x14ac:dyDescent="0.2">
      <c r="A275" s="1"/>
      <c r="B275" s="31" t="s">
        <v>1910</v>
      </c>
      <c r="D275" s="6"/>
      <c r="L275" s="4" t="s">
        <v>1929</v>
      </c>
    </row>
    <row r="276" spans="1:12" x14ac:dyDescent="0.2">
      <c r="A276" s="2"/>
      <c r="B276" s="31" t="s">
        <v>1911</v>
      </c>
      <c r="D276" s="6"/>
      <c r="L276" s="4" t="s">
        <v>1198</v>
      </c>
    </row>
    <row r="277" spans="1:12" x14ac:dyDescent="0.2">
      <c r="A277" s="2"/>
      <c r="B277" s="31" t="s">
        <v>1912</v>
      </c>
      <c r="D277" s="6"/>
      <c r="L277" s="4" t="s">
        <v>65</v>
      </c>
    </row>
    <row r="278" spans="1:12" x14ac:dyDescent="0.2">
      <c r="A278" s="2"/>
      <c r="B278" s="31" t="s">
        <v>1913</v>
      </c>
      <c r="D278" s="6"/>
      <c r="L278" s="4" t="s">
        <v>936</v>
      </c>
    </row>
    <row r="279" spans="1:12" x14ac:dyDescent="0.2">
      <c r="A279" s="2"/>
      <c r="B279" s="31" t="s">
        <v>1183</v>
      </c>
      <c r="D279" s="6"/>
      <c r="L279" s="4" t="s">
        <v>1249</v>
      </c>
    </row>
    <row r="280" spans="1:12" x14ac:dyDescent="0.2">
      <c r="A280" s="2"/>
      <c r="B280" s="31" t="s">
        <v>1223</v>
      </c>
      <c r="D280" s="6"/>
      <c r="L280" s="4" t="s">
        <v>1926</v>
      </c>
    </row>
    <row r="281" spans="1:12" x14ac:dyDescent="0.2">
      <c r="A281" s="2"/>
      <c r="B281" s="31" t="s">
        <v>1237</v>
      </c>
      <c r="D281" s="6"/>
      <c r="L281" s="4" t="s">
        <v>1903</v>
      </c>
    </row>
    <row r="282" spans="1:12" x14ac:dyDescent="0.2">
      <c r="A282" s="1"/>
      <c r="B282" s="31" t="s">
        <v>1245</v>
      </c>
      <c r="D282" s="6"/>
      <c r="L282" s="4" t="s">
        <v>866</v>
      </c>
    </row>
    <row r="283" spans="1:12" x14ac:dyDescent="0.2">
      <c r="A283" s="2"/>
      <c r="B283" s="31" t="s">
        <v>1914</v>
      </c>
      <c r="D283" s="6"/>
      <c r="L283" s="4" t="s">
        <v>1023</v>
      </c>
    </row>
    <row r="284" spans="1:12" x14ac:dyDescent="0.2">
      <c r="A284" s="1"/>
      <c r="B284" s="31" t="s">
        <v>1826</v>
      </c>
      <c r="D284" s="6"/>
      <c r="L284" s="4" t="s">
        <v>151</v>
      </c>
    </row>
    <row r="285" spans="1:12" x14ac:dyDescent="0.2">
      <c r="A285" s="2"/>
      <c r="B285" s="31" t="s">
        <v>1854</v>
      </c>
      <c r="D285" s="6"/>
      <c r="L285" s="4" t="s">
        <v>703</v>
      </c>
    </row>
    <row r="286" spans="1:12" x14ac:dyDescent="0.2">
      <c r="B286" s="31" t="s">
        <v>1915</v>
      </c>
      <c r="D286" s="6"/>
      <c r="L286" s="4" t="s">
        <v>685</v>
      </c>
    </row>
    <row r="287" spans="1:12" x14ac:dyDescent="0.2">
      <c r="A287" s="2"/>
      <c r="B287" s="31" t="s">
        <v>690</v>
      </c>
      <c r="D287" s="6"/>
      <c r="L287" s="4" t="s">
        <v>1934</v>
      </c>
    </row>
    <row r="288" spans="1:12" x14ac:dyDescent="0.2">
      <c r="A288" s="2"/>
      <c r="B288" s="31" t="s">
        <v>1255</v>
      </c>
      <c r="D288" s="6"/>
      <c r="L288" s="4" t="s">
        <v>123</v>
      </c>
    </row>
    <row r="289" spans="1:12" x14ac:dyDescent="0.2">
      <c r="A289" s="2"/>
      <c r="B289" s="31" t="s">
        <v>1916</v>
      </c>
      <c r="D289" s="6"/>
      <c r="L289" s="4" t="s">
        <v>1004</v>
      </c>
    </row>
    <row r="290" spans="1:12" x14ac:dyDescent="0.2">
      <c r="A290" s="2"/>
      <c r="B290" s="31" t="s">
        <v>1917</v>
      </c>
      <c r="D290" s="6"/>
      <c r="L290" s="4" t="s">
        <v>1014</v>
      </c>
    </row>
    <row r="291" spans="1:12" x14ac:dyDescent="0.2">
      <c r="A291" s="2"/>
      <c r="B291" s="31" t="s">
        <v>1918</v>
      </c>
      <c r="D291" s="6"/>
      <c r="L291" s="4" t="s">
        <v>73</v>
      </c>
    </row>
    <row r="292" spans="1:12" x14ac:dyDescent="0.2">
      <c r="A292" s="2"/>
      <c r="B292" s="31" t="s">
        <v>1919</v>
      </c>
      <c r="D292" s="6"/>
      <c r="L292" s="4" t="s">
        <v>409</v>
      </c>
    </row>
    <row r="293" spans="1:12" x14ac:dyDescent="0.2">
      <c r="A293" s="1"/>
      <c r="B293" s="31" t="s">
        <v>828</v>
      </c>
      <c r="D293" s="6"/>
      <c r="L293" s="4" t="s">
        <v>1092</v>
      </c>
    </row>
    <row r="294" spans="1:12" x14ac:dyDescent="0.2">
      <c r="A294" s="2"/>
      <c r="B294" s="31" t="s">
        <v>1863</v>
      </c>
      <c r="D294" s="6"/>
      <c r="L294" s="4" t="s">
        <v>141</v>
      </c>
    </row>
    <row r="295" spans="1:12" x14ac:dyDescent="0.2">
      <c r="A295" s="2"/>
      <c r="B295" s="31" t="s">
        <v>1216</v>
      </c>
      <c r="D295" s="6"/>
      <c r="L295" s="4" t="s">
        <v>1759</v>
      </c>
    </row>
    <row r="296" spans="1:12" x14ac:dyDescent="0.2">
      <c r="B296" s="31" t="s">
        <v>1920</v>
      </c>
      <c r="D296" s="6"/>
      <c r="L296" s="4" t="s">
        <v>788</v>
      </c>
    </row>
    <row r="297" spans="1:12" x14ac:dyDescent="0.2">
      <c r="A297" s="1"/>
      <c r="B297" s="31" t="s">
        <v>1766</v>
      </c>
      <c r="D297" s="6"/>
      <c r="L297" s="4" t="s">
        <v>1166</v>
      </c>
    </row>
    <row r="298" spans="1:12" x14ac:dyDescent="0.2">
      <c r="A298" s="2"/>
      <c r="B298" s="31" t="s">
        <v>1921</v>
      </c>
      <c r="D298" s="6"/>
      <c r="L298" s="4" t="s">
        <v>1172</v>
      </c>
    </row>
    <row r="299" spans="1:12" x14ac:dyDescent="0.2">
      <c r="A299" s="2"/>
      <c r="B299" s="31" t="s">
        <v>1922</v>
      </c>
      <c r="D299" s="6"/>
      <c r="L299" s="4" t="s">
        <v>1742</v>
      </c>
    </row>
    <row r="300" spans="1:12" x14ac:dyDescent="0.2">
      <c r="A300" s="2"/>
      <c r="B300" s="31" t="s">
        <v>1832</v>
      </c>
      <c r="D300" s="6"/>
      <c r="L300" s="4" t="s">
        <v>394</v>
      </c>
    </row>
    <row r="301" spans="1:12" x14ac:dyDescent="0.2">
      <c r="A301" s="2"/>
      <c r="B301" s="31" t="s">
        <v>1923</v>
      </c>
      <c r="D301" s="6"/>
      <c r="L301" s="4" t="s">
        <v>147</v>
      </c>
    </row>
    <row r="302" spans="1:12" x14ac:dyDescent="0.2">
      <c r="A302" s="1"/>
      <c r="B302" s="31" t="s">
        <v>1590</v>
      </c>
      <c r="D302" s="6"/>
      <c r="L302" s="4" t="s">
        <v>1002</v>
      </c>
    </row>
    <row r="303" spans="1:12" x14ac:dyDescent="0.2">
      <c r="B303" s="31" t="s">
        <v>882</v>
      </c>
      <c r="D303" s="6"/>
      <c r="L303" s="4" t="s">
        <v>802</v>
      </c>
    </row>
    <row r="304" spans="1:12" x14ac:dyDescent="0.2">
      <c r="B304" s="31" t="s">
        <v>1924</v>
      </c>
      <c r="D304" s="6"/>
      <c r="L304" s="4" t="s">
        <v>763</v>
      </c>
    </row>
    <row r="305" spans="2:12" x14ac:dyDescent="0.2">
      <c r="B305" s="31" t="s">
        <v>1198</v>
      </c>
      <c r="D305" s="6"/>
      <c r="L305" s="4" t="s">
        <v>1244</v>
      </c>
    </row>
    <row r="306" spans="2:12" x14ac:dyDescent="0.2">
      <c r="B306" s="31" t="s">
        <v>1825</v>
      </c>
      <c r="D306" s="6"/>
      <c r="L306" s="4" t="s">
        <v>775</v>
      </c>
    </row>
    <row r="307" spans="2:12" x14ac:dyDescent="0.2">
      <c r="B307" s="31" t="s">
        <v>1780</v>
      </c>
      <c r="D307" s="6"/>
      <c r="L307" s="4" t="s">
        <v>88</v>
      </c>
    </row>
    <row r="308" spans="2:12" x14ac:dyDescent="0.2">
      <c r="B308" s="31" t="s">
        <v>1925</v>
      </c>
      <c r="D308" s="6"/>
      <c r="L308" s="4" t="s">
        <v>1026</v>
      </c>
    </row>
    <row r="309" spans="2:12" x14ac:dyDescent="0.2">
      <c r="B309" s="31" t="s">
        <v>1926</v>
      </c>
      <c r="D309" s="6"/>
      <c r="L309" s="4" t="s">
        <v>1802</v>
      </c>
    </row>
    <row r="310" spans="2:12" x14ac:dyDescent="0.2">
      <c r="B310" s="31" t="s">
        <v>1927</v>
      </c>
      <c r="D310" s="6"/>
      <c r="L310" s="4" t="s">
        <v>1902</v>
      </c>
    </row>
    <row r="311" spans="2:12" x14ac:dyDescent="0.2">
      <c r="B311" s="31" t="s">
        <v>1759</v>
      </c>
      <c r="D311" s="6"/>
      <c r="L311" s="4" t="s">
        <v>1088</v>
      </c>
    </row>
    <row r="312" spans="2:12" x14ac:dyDescent="0.2">
      <c r="B312" s="31" t="s">
        <v>1928</v>
      </c>
      <c r="D312" s="6"/>
      <c r="L312" s="12" t="s">
        <v>406</v>
      </c>
    </row>
    <row r="313" spans="2:12" x14ac:dyDescent="0.2">
      <c r="B313" s="31" t="s">
        <v>1754</v>
      </c>
      <c r="D313" s="6"/>
      <c r="L313" s="4" t="s">
        <v>1847</v>
      </c>
    </row>
    <row r="314" spans="2:12" x14ac:dyDescent="0.2">
      <c r="B314" s="31" t="s">
        <v>482</v>
      </c>
      <c r="D314" s="6"/>
      <c r="L314" s="4" t="s">
        <v>408</v>
      </c>
    </row>
    <row r="315" spans="2:12" x14ac:dyDescent="0.2">
      <c r="B315" s="31" t="s">
        <v>800</v>
      </c>
      <c r="D315" s="6"/>
      <c r="L315" s="4" t="s">
        <v>157</v>
      </c>
    </row>
    <row r="316" spans="2:12" x14ac:dyDescent="0.2">
      <c r="B316" s="31" t="s">
        <v>1929</v>
      </c>
      <c r="D316" s="6"/>
      <c r="L316" s="4" t="s">
        <v>928</v>
      </c>
    </row>
    <row r="317" spans="2:12" x14ac:dyDescent="0.2">
      <c r="B317" s="31" t="s">
        <v>1930</v>
      </c>
      <c r="D317" s="6"/>
      <c r="L317" s="4" t="s">
        <v>1138</v>
      </c>
    </row>
    <row r="318" spans="2:12" x14ac:dyDescent="0.2">
      <c r="B318" s="31" t="s">
        <v>1931</v>
      </c>
      <c r="D318" s="6"/>
      <c r="L318" s="4" t="s">
        <v>1899</v>
      </c>
    </row>
    <row r="319" spans="2:12" x14ac:dyDescent="0.2">
      <c r="B319" s="31" t="s">
        <v>1746</v>
      </c>
      <c r="D319" s="6"/>
      <c r="L319" s="4" t="s">
        <v>1123</v>
      </c>
    </row>
    <row r="320" spans="2:12" x14ac:dyDescent="0.2">
      <c r="B320" s="31" t="s">
        <v>1760</v>
      </c>
      <c r="D320" s="6"/>
      <c r="L320" s="4" t="s">
        <v>1040</v>
      </c>
    </row>
    <row r="321" spans="2:12" x14ac:dyDescent="0.2">
      <c r="B321" s="31" t="s">
        <v>1932</v>
      </c>
      <c r="D321" s="6"/>
      <c r="L321" s="4" t="s">
        <v>412</v>
      </c>
    </row>
    <row r="322" spans="2:12" x14ac:dyDescent="0.2">
      <c r="B322" s="31" t="s">
        <v>1933</v>
      </c>
      <c r="D322" s="6"/>
      <c r="L322" s="4" t="s">
        <v>722</v>
      </c>
    </row>
    <row r="323" spans="2:12" x14ac:dyDescent="0.2">
      <c r="B323" s="31" t="s">
        <v>1934</v>
      </c>
      <c r="D323" s="6"/>
      <c r="L323" s="4" t="s">
        <v>947</v>
      </c>
    </row>
    <row r="324" spans="2:12" x14ac:dyDescent="0.2">
      <c r="B324" s="31" t="s">
        <v>1935</v>
      </c>
      <c r="D324" s="6"/>
      <c r="L324" s="4" t="s">
        <v>989</v>
      </c>
    </row>
    <row r="325" spans="2:12" x14ac:dyDescent="0.2">
      <c r="B325" s="31" t="s">
        <v>735</v>
      </c>
      <c r="D325" s="6"/>
      <c r="L325" s="12" t="s">
        <v>171</v>
      </c>
    </row>
    <row r="326" spans="2:12" x14ac:dyDescent="0.2">
      <c r="B326" s="31" t="s">
        <v>1719</v>
      </c>
      <c r="D326" s="6"/>
      <c r="L326" s="4" t="s">
        <v>1000</v>
      </c>
    </row>
    <row r="327" spans="2:12" x14ac:dyDescent="0.2">
      <c r="B327" s="31" t="s">
        <v>1936</v>
      </c>
      <c r="D327" s="6"/>
      <c r="L327" s="4" t="s">
        <v>96</v>
      </c>
    </row>
    <row r="328" spans="2:12" x14ac:dyDescent="0.2">
      <c r="B328" s="31" t="s">
        <v>1937</v>
      </c>
      <c r="D328" s="6"/>
      <c r="L328" s="4" t="s">
        <v>1938</v>
      </c>
    </row>
    <row r="329" spans="2:12" x14ac:dyDescent="0.2">
      <c r="B329" s="31" t="s">
        <v>1938</v>
      </c>
      <c r="D329" s="6"/>
      <c r="L329" s="4" t="s">
        <v>154</v>
      </c>
    </row>
    <row r="330" spans="2:12" x14ac:dyDescent="0.2">
      <c r="B330" s="31" t="s">
        <v>1939</v>
      </c>
      <c r="D330" s="6"/>
      <c r="L330" s="4" t="s">
        <v>1740</v>
      </c>
    </row>
    <row r="331" spans="2:12" x14ac:dyDescent="0.2">
      <c r="B331" s="31" t="s">
        <v>682</v>
      </c>
      <c r="D331" s="6"/>
      <c r="L331" s="4" t="s">
        <v>942</v>
      </c>
    </row>
    <row r="332" spans="2:12" x14ac:dyDescent="0.2">
      <c r="B332" s="31" t="s">
        <v>1769</v>
      </c>
      <c r="D332" s="6"/>
      <c r="L332" s="4" t="s">
        <v>280</v>
      </c>
    </row>
    <row r="333" spans="2:12" x14ac:dyDescent="0.2">
      <c r="B333" s="31" t="s">
        <v>1940</v>
      </c>
      <c r="D333" s="6"/>
      <c r="L333" s="4" t="s">
        <v>1167</v>
      </c>
    </row>
    <row r="334" spans="2:12" x14ac:dyDescent="0.2">
      <c r="B334" s="31" t="s">
        <v>1941</v>
      </c>
      <c r="D334" s="6"/>
      <c r="L334" s="4" t="s">
        <v>1924</v>
      </c>
    </row>
    <row r="335" spans="2:12" x14ac:dyDescent="0.2">
      <c r="B335" s="31" t="s">
        <v>1219</v>
      </c>
      <c r="D335" s="6"/>
      <c r="L335" s="4" t="s">
        <v>1803</v>
      </c>
    </row>
    <row r="336" spans="2:12" x14ac:dyDescent="0.2">
      <c r="B336" s="31" t="s">
        <v>1244</v>
      </c>
      <c r="D336" s="6"/>
      <c r="L336" s="4" t="s">
        <v>739</v>
      </c>
    </row>
    <row r="337" spans="2:12" x14ac:dyDescent="0.2">
      <c r="B337" s="31" t="s">
        <v>1942</v>
      </c>
      <c r="D337" s="6"/>
      <c r="L337" s="4" t="s">
        <v>1820</v>
      </c>
    </row>
    <row r="338" spans="2:12" x14ac:dyDescent="0.2">
      <c r="B338" s="31" t="s">
        <v>1943</v>
      </c>
      <c r="D338" s="6"/>
      <c r="L338" s="4" t="s">
        <v>1953</v>
      </c>
    </row>
    <row r="339" spans="2:12" x14ac:dyDescent="0.2">
      <c r="B339" s="31" t="s">
        <v>1764</v>
      </c>
      <c r="D339" s="6"/>
      <c r="L339" s="4" t="s">
        <v>1028</v>
      </c>
    </row>
    <row r="340" spans="2:12" x14ac:dyDescent="0.2">
      <c r="B340" s="31" t="s">
        <v>1944</v>
      </c>
      <c r="D340" s="6"/>
      <c r="L340" s="4" t="s">
        <v>184</v>
      </c>
    </row>
    <row r="341" spans="2:12" x14ac:dyDescent="0.2">
      <c r="B341" s="31" t="s">
        <v>1834</v>
      </c>
      <c r="D341" s="6"/>
      <c r="L341" s="4" t="s">
        <v>161</v>
      </c>
    </row>
    <row r="342" spans="2:12" x14ac:dyDescent="0.2">
      <c r="B342" s="31" t="s">
        <v>1400</v>
      </c>
      <c r="D342" s="6"/>
      <c r="L342" s="4" t="s">
        <v>446</v>
      </c>
    </row>
    <row r="343" spans="2:12" x14ac:dyDescent="0.2">
      <c r="B343" s="31" t="s">
        <v>1945</v>
      </c>
      <c r="D343" s="6"/>
      <c r="L343" s="4" t="s">
        <v>447</v>
      </c>
    </row>
    <row r="344" spans="2:12" x14ac:dyDescent="0.2">
      <c r="B344" s="31" t="s">
        <v>749</v>
      </c>
      <c r="D344" s="6"/>
      <c r="L344" s="4" t="s">
        <v>1215</v>
      </c>
    </row>
    <row r="345" spans="2:12" x14ac:dyDescent="0.2">
      <c r="B345" s="31" t="s">
        <v>1946</v>
      </c>
      <c r="D345" s="6"/>
      <c r="L345" s="4" t="s">
        <v>689</v>
      </c>
    </row>
    <row r="346" spans="2:12" x14ac:dyDescent="0.2">
      <c r="B346" s="31" t="s">
        <v>1747</v>
      </c>
      <c r="D346" s="6"/>
      <c r="L346" s="4" t="s">
        <v>1027</v>
      </c>
    </row>
    <row r="347" spans="2:12" x14ac:dyDescent="0.2">
      <c r="B347" s="31" t="s">
        <v>1289</v>
      </c>
      <c r="D347" s="6"/>
      <c r="L347" s="4" t="s">
        <v>1182</v>
      </c>
    </row>
    <row r="348" spans="2:12" x14ac:dyDescent="0.2">
      <c r="B348" s="31" t="s">
        <v>709</v>
      </c>
      <c r="D348" s="6"/>
      <c r="L348" s="4" t="s">
        <v>196</v>
      </c>
    </row>
    <row r="349" spans="2:12" x14ac:dyDescent="0.2">
      <c r="B349" s="31" t="s">
        <v>858</v>
      </c>
      <c r="D349" s="6"/>
      <c r="L349" s="4" t="s">
        <v>1799</v>
      </c>
    </row>
    <row r="350" spans="2:12" x14ac:dyDescent="0.2">
      <c r="B350" s="31" t="s">
        <v>748</v>
      </c>
      <c r="D350" s="6"/>
      <c r="L350" s="4" t="s">
        <v>712</v>
      </c>
    </row>
    <row r="351" spans="2:12" x14ac:dyDescent="0.2">
      <c r="B351" s="31" t="s">
        <v>802</v>
      </c>
      <c r="D351" s="6"/>
      <c r="L351" s="4" t="s">
        <v>790</v>
      </c>
    </row>
    <row r="352" spans="2:12" x14ac:dyDescent="0.2">
      <c r="B352" s="31" t="s">
        <v>1947</v>
      </c>
      <c r="D352" s="6"/>
      <c r="L352" s="4" t="s">
        <v>1891</v>
      </c>
    </row>
    <row r="353" spans="2:12" x14ac:dyDescent="0.2">
      <c r="B353" s="31" t="s">
        <v>763</v>
      </c>
      <c r="D353" s="6"/>
      <c r="L353" s="4" t="s">
        <v>970</v>
      </c>
    </row>
    <row r="354" spans="2:12" x14ac:dyDescent="0.2">
      <c r="B354" s="31" t="s">
        <v>1220</v>
      </c>
      <c r="D354" s="6"/>
      <c r="L354" s="4" t="s">
        <v>1880</v>
      </c>
    </row>
    <row r="355" spans="2:12" x14ac:dyDescent="0.2">
      <c r="B355" s="31" t="s">
        <v>1777</v>
      </c>
      <c r="D355" s="6"/>
      <c r="L355" s="4" t="s">
        <v>1824</v>
      </c>
    </row>
    <row r="356" spans="2:12" x14ac:dyDescent="0.2">
      <c r="B356" s="31" t="s">
        <v>1203</v>
      </c>
      <c r="D356" s="6"/>
      <c r="L356" s="4" t="s">
        <v>1289</v>
      </c>
    </row>
    <row r="357" spans="2:12" x14ac:dyDescent="0.2">
      <c r="B357" s="31" t="s">
        <v>1302</v>
      </c>
      <c r="D357" s="6"/>
      <c r="L357" s="4" t="s">
        <v>1020</v>
      </c>
    </row>
    <row r="358" spans="2:12" x14ac:dyDescent="0.2">
      <c r="B358" s="31" t="s">
        <v>1948</v>
      </c>
      <c r="D358" s="6"/>
      <c r="L358" s="4" t="s">
        <v>973</v>
      </c>
    </row>
    <row r="359" spans="2:12" x14ac:dyDescent="0.2">
      <c r="B359" s="31" t="s">
        <v>726</v>
      </c>
      <c r="D359" s="6"/>
      <c r="L359" s="4" t="s">
        <v>1888</v>
      </c>
    </row>
    <row r="360" spans="2:12" x14ac:dyDescent="0.2">
      <c r="B360" s="31" t="s">
        <v>49</v>
      </c>
      <c r="D360" s="6"/>
      <c r="L360" s="4" t="s">
        <v>1193</v>
      </c>
    </row>
    <row r="361" spans="2:12" x14ac:dyDescent="0.2">
      <c r="B361" s="31" t="s">
        <v>1949</v>
      </c>
      <c r="D361" s="6"/>
      <c r="L361" s="4" t="s">
        <v>933</v>
      </c>
    </row>
    <row r="362" spans="2:12" x14ac:dyDescent="0.2">
      <c r="B362" s="31" t="s">
        <v>1950</v>
      </c>
      <c r="D362" s="6"/>
      <c r="L362" s="4" t="s">
        <v>1780</v>
      </c>
    </row>
    <row r="363" spans="2:12" x14ac:dyDescent="0.2">
      <c r="B363" s="31" t="s">
        <v>970</v>
      </c>
      <c r="D363" s="6"/>
      <c r="L363" s="4" t="s">
        <v>1155</v>
      </c>
    </row>
    <row r="364" spans="2:12" x14ac:dyDescent="0.2">
      <c r="B364" s="31" t="s">
        <v>1951</v>
      </c>
      <c r="D364" s="6"/>
      <c r="L364" s="4" t="s">
        <v>183</v>
      </c>
    </row>
    <row r="365" spans="2:12" x14ac:dyDescent="0.2">
      <c r="B365" s="31" t="s">
        <v>1952</v>
      </c>
      <c r="D365" s="6"/>
      <c r="L365" s="4" t="s">
        <v>789</v>
      </c>
    </row>
    <row r="366" spans="2:12" x14ac:dyDescent="0.2">
      <c r="B366" s="31" t="s">
        <v>1021</v>
      </c>
      <c r="D366" s="6"/>
      <c r="L366" s="4" t="s">
        <v>1196</v>
      </c>
    </row>
    <row r="367" spans="2:12" x14ac:dyDescent="0.2">
      <c r="B367" s="31" t="s">
        <v>1803</v>
      </c>
      <c r="D367" s="6"/>
      <c r="L367" s="4" t="s">
        <v>987</v>
      </c>
    </row>
    <row r="368" spans="2:12" x14ac:dyDescent="0.2">
      <c r="B368" s="31" t="s">
        <v>768</v>
      </c>
      <c r="D368" s="6"/>
      <c r="L368" s="4" t="s">
        <v>891</v>
      </c>
    </row>
    <row r="369" spans="2:12" x14ac:dyDescent="0.2">
      <c r="B369" s="31" t="s">
        <v>1214</v>
      </c>
      <c r="D369" s="6"/>
      <c r="L369" s="4" t="s">
        <v>1177</v>
      </c>
    </row>
    <row r="370" spans="2:12" x14ac:dyDescent="0.2">
      <c r="B370" s="31" t="s">
        <v>448</v>
      </c>
      <c r="D370" s="6"/>
      <c r="L370" s="4" t="s">
        <v>772</v>
      </c>
    </row>
    <row r="371" spans="2:12" x14ac:dyDescent="0.2">
      <c r="B371" s="31" t="s">
        <v>1810</v>
      </c>
      <c r="D371" s="6"/>
      <c r="L371" s="4" t="s">
        <v>1012</v>
      </c>
    </row>
    <row r="372" spans="2:12" x14ac:dyDescent="0.2">
      <c r="B372" s="31" t="s">
        <v>1755</v>
      </c>
      <c r="D372" s="6"/>
      <c r="L372" s="4" t="s">
        <v>1169</v>
      </c>
    </row>
    <row r="373" spans="2:12" x14ac:dyDescent="0.2">
      <c r="B373" s="31" t="s">
        <v>1199</v>
      </c>
      <c r="D373" s="6"/>
      <c r="L373" s="4" t="s">
        <v>745</v>
      </c>
    </row>
    <row r="374" spans="2:12" x14ac:dyDescent="0.2">
      <c r="B374" s="31" t="s">
        <v>550</v>
      </c>
      <c r="D374" s="6"/>
      <c r="L374" s="4" t="s">
        <v>208</v>
      </c>
    </row>
    <row r="375" spans="2:12" x14ac:dyDescent="0.2">
      <c r="B375" s="31" t="s">
        <v>113</v>
      </c>
      <c r="D375" s="6"/>
      <c r="L375" s="4" t="s">
        <v>1007</v>
      </c>
    </row>
    <row r="376" spans="2:12" x14ac:dyDescent="0.2">
      <c r="B376" s="31" t="s">
        <v>1953</v>
      </c>
      <c r="D376" s="6"/>
      <c r="L376" s="4" t="s">
        <v>1210</v>
      </c>
    </row>
    <row r="377" spans="2:12" x14ac:dyDescent="0.2">
      <c r="B377" s="31" t="s">
        <v>1813</v>
      </c>
      <c r="D377" s="6"/>
      <c r="L377" s="4" t="s">
        <v>1746</v>
      </c>
    </row>
    <row r="378" spans="2:12" x14ac:dyDescent="0.2">
      <c r="B378" s="31" t="s">
        <v>1954</v>
      </c>
      <c r="D378" s="6"/>
      <c r="L378" s="4" t="s">
        <v>168</v>
      </c>
    </row>
    <row r="379" spans="2:12" x14ac:dyDescent="0.2">
      <c r="B379" s="31" t="s">
        <v>775</v>
      </c>
      <c r="D379" s="6"/>
      <c r="L379" s="4" t="s">
        <v>459</v>
      </c>
    </row>
    <row r="380" spans="2:12" x14ac:dyDescent="0.2">
      <c r="B380" s="31" t="s">
        <v>886</v>
      </c>
      <c r="D380" s="6"/>
      <c r="L380" s="4" t="s">
        <v>642</v>
      </c>
    </row>
    <row r="381" spans="2:12" x14ac:dyDescent="0.2">
      <c r="B381" s="31" t="s">
        <v>1955</v>
      </c>
      <c r="D381" s="6"/>
      <c r="L381" s="4" t="s">
        <v>774</v>
      </c>
    </row>
    <row r="382" spans="2:12" x14ac:dyDescent="0.2">
      <c r="B382" s="31" t="s">
        <v>783</v>
      </c>
      <c r="D382" s="6"/>
      <c r="L382" s="4" t="s">
        <v>445</v>
      </c>
    </row>
    <row r="383" spans="2:12" x14ac:dyDescent="0.2">
      <c r="B383" s="31" t="s">
        <v>1956</v>
      </c>
      <c r="D383" s="6"/>
      <c r="L383" s="4" t="s">
        <v>1877</v>
      </c>
    </row>
    <row r="384" spans="2:12" x14ac:dyDescent="0.2">
      <c r="B384" s="31" t="s">
        <v>1957</v>
      </c>
      <c r="D384" s="6"/>
      <c r="L384" s="4" t="s">
        <v>1797</v>
      </c>
    </row>
    <row r="385" spans="2:12" x14ac:dyDescent="0.2">
      <c r="B385" s="31" t="s">
        <v>1251</v>
      </c>
      <c r="D385" s="6"/>
      <c r="L385" s="4" t="s">
        <v>706</v>
      </c>
    </row>
    <row r="386" spans="2:12" x14ac:dyDescent="0.2">
      <c r="B386" s="31" t="s">
        <v>1958</v>
      </c>
      <c r="D386" s="6"/>
      <c r="L386" s="4" t="s">
        <v>1005</v>
      </c>
    </row>
    <row r="387" spans="2:12" x14ac:dyDescent="0.2">
      <c r="D387" s="6"/>
      <c r="L387" s="4" t="s">
        <v>740</v>
      </c>
    </row>
    <row r="388" spans="2:12" x14ac:dyDescent="0.2">
      <c r="D388" s="6"/>
      <c r="L388" s="4" t="s">
        <v>1875</v>
      </c>
    </row>
    <row r="389" spans="2:12" x14ac:dyDescent="0.2">
      <c r="D389" s="6"/>
      <c r="L389" s="4" t="s">
        <v>1777</v>
      </c>
    </row>
    <row r="390" spans="2:12" x14ac:dyDescent="0.2">
      <c r="D390" s="6"/>
      <c r="L390" s="4" t="s">
        <v>770</v>
      </c>
    </row>
    <row r="391" spans="2:12" x14ac:dyDescent="0.2">
      <c r="D391" s="6"/>
      <c r="L391" s="4" t="s">
        <v>699</v>
      </c>
    </row>
    <row r="392" spans="2:12" x14ac:dyDescent="0.2">
      <c r="D392" s="6"/>
      <c r="L392" s="4" t="s">
        <v>992</v>
      </c>
    </row>
    <row r="393" spans="2:12" x14ac:dyDescent="0.2">
      <c r="D393" s="6"/>
      <c r="L393" s="4" t="s">
        <v>1901</v>
      </c>
    </row>
    <row r="394" spans="2:12" x14ac:dyDescent="0.2">
      <c r="D394" s="6"/>
      <c r="L394" s="4" t="s">
        <v>1925</v>
      </c>
    </row>
    <row r="395" spans="2:12" x14ac:dyDescent="0.2">
      <c r="D395" s="6"/>
      <c r="L395" s="4" t="s">
        <v>1223</v>
      </c>
    </row>
    <row r="396" spans="2:12" x14ac:dyDescent="0.2">
      <c r="D396" s="6"/>
      <c r="L396" s="4" t="s">
        <v>1258</v>
      </c>
    </row>
    <row r="397" spans="2:12" x14ac:dyDescent="0.2">
      <c r="D397" s="6"/>
      <c r="L397" s="4" t="s">
        <v>1944</v>
      </c>
    </row>
    <row r="398" spans="2:12" x14ac:dyDescent="0.2">
      <c r="D398" s="6"/>
      <c r="L398" s="4" t="s">
        <v>1935</v>
      </c>
    </row>
    <row r="399" spans="2:12" x14ac:dyDescent="0.2">
      <c r="D399" s="6"/>
      <c r="L399" s="4" t="s">
        <v>1931</v>
      </c>
    </row>
    <row r="400" spans="2:12" x14ac:dyDescent="0.2">
      <c r="D400" s="6"/>
      <c r="L400" s="4" t="s">
        <v>1918</v>
      </c>
    </row>
    <row r="401" spans="2:12" x14ac:dyDescent="0.2">
      <c r="D401" s="6"/>
      <c r="L401" s="4" t="s">
        <v>1898</v>
      </c>
    </row>
    <row r="402" spans="2:12" x14ac:dyDescent="0.2">
      <c r="D402" s="6"/>
      <c r="L402" s="4" t="s">
        <v>1911</v>
      </c>
    </row>
    <row r="403" spans="2:12" x14ac:dyDescent="0.2">
      <c r="D403" s="6"/>
      <c r="L403" s="4" t="s">
        <v>1895</v>
      </c>
    </row>
    <row r="404" spans="2:12" x14ac:dyDescent="0.2">
      <c r="D404" s="6"/>
      <c r="L404" s="4" t="s">
        <v>1203</v>
      </c>
    </row>
    <row r="405" spans="2:12" x14ac:dyDescent="0.2">
      <c r="D405" s="6"/>
      <c r="L405" s="4" t="s">
        <v>1933</v>
      </c>
    </row>
    <row r="406" spans="2:12" x14ac:dyDescent="0.2">
      <c r="D406" s="6"/>
      <c r="L406" s="4" t="s">
        <v>1947</v>
      </c>
    </row>
    <row r="407" spans="2:12" x14ac:dyDescent="0.2">
      <c r="D407" s="6"/>
      <c r="L407" s="4" t="s">
        <v>1900</v>
      </c>
    </row>
    <row r="408" spans="2:12" x14ac:dyDescent="0.2">
      <c r="D408" s="6"/>
      <c r="L408" s="4" t="s">
        <v>1915</v>
      </c>
    </row>
    <row r="409" spans="2:12" x14ac:dyDescent="0.2">
      <c r="D409" s="6"/>
      <c r="L409" s="4" t="s">
        <v>1954</v>
      </c>
    </row>
    <row r="410" spans="2:12" x14ac:dyDescent="0.2">
      <c r="B410" s="35"/>
      <c r="D410" s="6"/>
      <c r="L410" s="4" t="s">
        <v>1496</v>
      </c>
    </row>
    <row r="411" spans="2:12" x14ac:dyDescent="0.2">
      <c r="B411" s="35"/>
      <c r="D411" s="6"/>
      <c r="L411" s="4" t="s">
        <v>1955</v>
      </c>
    </row>
    <row r="412" spans="2:12" x14ac:dyDescent="0.2">
      <c r="B412" s="35"/>
      <c r="D412" s="6"/>
      <c r="L412" s="4" t="s">
        <v>1958</v>
      </c>
    </row>
    <row r="413" spans="2:12" x14ac:dyDescent="0.2">
      <c r="B413" s="35"/>
      <c r="D413" s="6"/>
      <c r="L413" s="4" t="s">
        <v>1377</v>
      </c>
    </row>
    <row r="414" spans="2:12" x14ac:dyDescent="0.2">
      <c r="B414" s="35"/>
      <c r="D414" s="6"/>
      <c r="L414" s="4" t="s">
        <v>1884</v>
      </c>
    </row>
    <row r="415" spans="2:12" x14ac:dyDescent="0.2">
      <c r="D415" s="6"/>
      <c r="L415" s="4" t="s">
        <v>1889</v>
      </c>
    </row>
    <row r="416" spans="2:12" x14ac:dyDescent="0.2">
      <c r="D416" s="6"/>
      <c r="L416" s="4" t="s">
        <v>1202</v>
      </c>
    </row>
    <row r="417" spans="2:12" x14ac:dyDescent="0.2">
      <c r="B417" s="35"/>
      <c r="D417" s="6"/>
      <c r="L417" s="4" t="s">
        <v>1916</v>
      </c>
    </row>
    <row r="418" spans="2:12" x14ac:dyDescent="0.2">
      <c r="D418" s="6"/>
      <c r="L418" s="4" t="s">
        <v>913</v>
      </c>
    </row>
    <row r="419" spans="2:12" x14ac:dyDescent="0.2">
      <c r="B419" s="35"/>
      <c r="D419" s="6"/>
      <c r="L419" s="4" t="s">
        <v>1922</v>
      </c>
    </row>
    <row r="420" spans="2:12" x14ac:dyDescent="0.2">
      <c r="D420" s="6"/>
      <c r="L420" s="4" t="s">
        <v>767</v>
      </c>
    </row>
    <row r="421" spans="2:12" x14ac:dyDescent="0.2">
      <c r="B421" s="35"/>
      <c r="D421" s="6"/>
      <c r="L421" s="4" t="s">
        <v>1871</v>
      </c>
    </row>
    <row r="422" spans="2:12" x14ac:dyDescent="0.2">
      <c r="D422" s="6"/>
      <c r="L422" s="4" t="s">
        <v>456</v>
      </c>
    </row>
    <row r="423" spans="2:12" x14ac:dyDescent="0.2">
      <c r="B423" s="35"/>
      <c r="D423" s="6"/>
      <c r="L423" s="4" t="s">
        <v>231</v>
      </c>
    </row>
    <row r="424" spans="2:12" x14ac:dyDescent="0.2">
      <c r="D424" s="6"/>
      <c r="L424" s="4" t="s">
        <v>237</v>
      </c>
    </row>
    <row r="425" spans="2:12" x14ac:dyDescent="0.2">
      <c r="B425" s="35"/>
      <c r="D425" s="6"/>
      <c r="L425" s="4" t="s">
        <v>1908</v>
      </c>
    </row>
    <row r="426" spans="2:12" x14ac:dyDescent="0.2">
      <c r="B426" s="35"/>
      <c r="D426" s="6"/>
      <c r="L426" s="28" t="s">
        <v>1386</v>
      </c>
    </row>
    <row r="427" spans="2:12" x14ac:dyDescent="0.2">
      <c r="B427" s="35"/>
      <c r="D427" s="6"/>
      <c r="L427" s="4" t="s">
        <v>1734</v>
      </c>
    </row>
    <row r="428" spans="2:12" x14ac:dyDescent="0.2">
      <c r="B428" s="35"/>
      <c r="D428" s="6"/>
      <c r="L428" s="4" t="s">
        <v>690</v>
      </c>
    </row>
    <row r="429" spans="2:12" x14ac:dyDescent="0.2">
      <c r="B429" s="35"/>
      <c r="D429" s="6"/>
      <c r="L429" s="4" t="s">
        <v>1766</v>
      </c>
    </row>
    <row r="430" spans="2:12" x14ac:dyDescent="0.2">
      <c r="B430" s="35"/>
      <c r="D430" s="6"/>
      <c r="L430" s="4" t="s">
        <v>1096</v>
      </c>
    </row>
    <row r="431" spans="2:12" x14ac:dyDescent="0.2">
      <c r="B431" s="35"/>
      <c r="D431" s="6"/>
      <c r="L431" s="4" t="s">
        <v>1001</v>
      </c>
    </row>
    <row r="432" spans="2:12" x14ac:dyDescent="0.2">
      <c r="B432" s="35"/>
      <c r="D432" s="6"/>
      <c r="L432" s="4" t="s">
        <v>1180</v>
      </c>
    </row>
    <row r="433" spans="2:12" x14ac:dyDescent="0.2">
      <c r="B433" s="35"/>
      <c r="D433" s="6"/>
      <c r="L433" s="4" t="s">
        <v>1863</v>
      </c>
    </row>
    <row r="434" spans="2:12" x14ac:dyDescent="0.2">
      <c r="B434" s="35"/>
      <c r="D434" s="6"/>
      <c r="L434" s="4" t="s">
        <v>1893</v>
      </c>
    </row>
    <row r="435" spans="2:12" x14ac:dyDescent="0.2">
      <c r="B435" s="35"/>
      <c r="D435" s="6"/>
      <c r="L435" s="4" t="s">
        <v>467</v>
      </c>
    </row>
    <row r="436" spans="2:12" x14ac:dyDescent="0.2">
      <c r="B436" s="35"/>
      <c r="D436" s="6"/>
      <c r="L436" s="4" t="s">
        <v>248</v>
      </c>
    </row>
    <row r="437" spans="2:12" x14ac:dyDescent="0.2">
      <c r="B437" s="35"/>
      <c r="D437" s="6"/>
      <c r="L437" s="4" t="s">
        <v>254</v>
      </c>
    </row>
    <row r="438" spans="2:12" x14ac:dyDescent="0.2">
      <c r="B438" s="35"/>
      <c r="D438" s="6"/>
      <c r="L438" s="4" t="s">
        <v>906</v>
      </c>
    </row>
    <row r="439" spans="2:12" x14ac:dyDescent="0.2">
      <c r="B439" s="35"/>
      <c r="D439" s="6"/>
      <c r="L439" s="4" t="s">
        <v>1029</v>
      </c>
    </row>
    <row r="440" spans="2:12" x14ac:dyDescent="0.2">
      <c r="B440" s="35"/>
      <c r="D440" s="6"/>
      <c r="L440" s="4" t="s">
        <v>766</v>
      </c>
    </row>
    <row r="441" spans="2:12" x14ac:dyDescent="0.2">
      <c r="B441" s="35"/>
      <c r="D441" s="6"/>
      <c r="L441" s="4" t="s">
        <v>1923</v>
      </c>
    </row>
    <row r="442" spans="2:12" x14ac:dyDescent="0.2">
      <c r="B442" s="35"/>
      <c r="D442" s="6"/>
      <c r="L442" s="4" t="s">
        <v>1015</v>
      </c>
    </row>
    <row r="443" spans="2:12" x14ac:dyDescent="0.2">
      <c r="B443" s="35"/>
      <c r="D443" s="6"/>
      <c r="L443" s="4" t="s">
        <v>1216</v>
      </c>
    </row>
    <row r="444" spans="2:12" x14ac:dyDescent="0.2">
      <c r="B444" s="35"/>
      <c r="D444" s="6"/>
      <c r="L444" s="4" t="s">
        <v>671</v>
      </c>
    </row>
    <row r="445" spans="2:12" x14ac:dyDescent="0.2">
      <c r="B445" s="35"/>
      <c r="D445" s="6"/>
      <c r="L445" s="4" t="s">
        <v>1882</v>
      </c>
    </row>
    <row r="446" spans="2:12" x14ac:dyDescent="0.2">
      <c r="B446" s="35"/>
      <c r="D446" s="6"/>
      <c r="L446" s="4" t="s">
        <v>879</v>
      </c>
    </row>
    <row r="447" spans="2:12" x14ac:dyDescent="0.2">
      <c r="B447" s="35"/>
      <c r="D447" s="6"/>
      <c r="L447" s="4" t="s">
        <v>1945</v>
      </c>
    </row>
    <row r="448" spans="2:12" x14ac:dyDescent="0.2">
      <c r="D448" s="6"/>
      <c r="L448" s="4" t="s">
        <v>260</v>
      </c>
    </row>
    <row r="449" spans="2:12" x14ac:dyDescent="0.2">
      <c r="B449" s="35"/>
      <c r="D449" s="6"/>
      <c r="L449" s="4" t="s">
        <v>472</v>
      </c>
    </row>
    <row r="450" spans="2:12" x14ac:dyDescent="0.2">
      <c r="B450" s="35"/>
      <c r="D450" s="6"/>
      <c r="L450" s="4" t="s">
        <v>954</v>
      </c>
    </row>
    <row r="451" spans="2:12" x14ac:dyDescent="0.2">
      <c r="B451" s="35"/>
      <c r="D451" s="6"/>
      <c r="L451" s="4" t="s">
        <v>800</v>
      </c>
    </row>
    <row r="452" spans="2:12" x14ac:dyDescent="0.2">
      <c r="B452" s="35"/>
      <c r="D452" s="6"/>
      <c r="L452" s="4" t="s">
        <v>1873</v>
      </c>
    </row>
    <row r="453" spans="2:12" x14ac:dyDescent="0.2">
      <c r="B453" s="35"/>
      <c r="D453" s="6"/>
      <c r="L453" s="4" t="s">
        <v>815</v>
      </c>
    </row>
    <row r="454" spans="2:12" x14ac:dyDescent="0.2">
      <c r="B454" s="35"/>
      <c r="D454" s="6"/>
      <c r="L454" s="4" t="s">
        <v>1081</v>
      </c>
    </row>
    <row r="455" spans="2:12" x14ac:dyDescent="0.2">
      <c r="B455" s="35"/>
      <c r="D455" s="6"/>
      <c r="L455" s="4" t="s">
        <v>1206</v>
      </c>
    </row>
    <row r="456" spans="2:12" x14ac:dyDescent="0.2">
      <c r="B456" s="35"/>
      <c r="D456" s="6"/>
      <c r="L456" s="4" t="s">
        <v>354</v>
      </c>
    </row>
    <row r="457" spans="2:12" x14ac:dyDescent="0.2">
      <c r="D457" s="6"/>
      <c r="L457" s="4" t="s">
        <v>482</v>
      </c>
    </row>
    <row r="458" spans="2:12" x14ac:dyDescent="0.2">
      <c r="B458" s="35"/>
      <c r="D458" s="6"/>
      <c r="L458" s="4" t="s">
        <v>1017</v>
      </c>
    </row>
    <row r="459" spans="2:12" x14ac:dyDescent="0.2">
      <c r="B459" s="35"/>
      <c r="D459" s="6"/>
      <c r="L459" s="4" t="s">
        <v>946</v>
      </c>
    </row>
    <row r="460" spans="2:12" x14ac:dyDescent="0.2">
      <c r="D460" s="6"/>
      <c r="L460" s="4" t="s">
        <v>908</v>
      </c>
    </row>
    <row r="461" spans="2:12" x14ac:dyDescent="0.2">
      <c r="B461" s="35"/>
      <c r="D461" s="6"/>
      <c r="L461" s="4" t="s">
        <v>1181</v>
      </c>
    </row>
    <row r="462" spans="2:12" x14ac:dyDescent="0.2">
      <c r="B462" s="35"/>
      <c r="D462" s="6"/>
      <c r="L462" s="4" t="s">
        <v>983</v>
      </c>
    </row>
    <row r="463" spans="2:12" x14ac:dyDescent="0.2">
      <c r="B463" s="35"/>
      <c r="D463" s="6"/>
      <c r="L463" s="4" t="s">
        <v>658</v>
      </c>
    </row>
    <row r="464" spans="2:12" x14ac:dyDescent="0.2">
      <c r="D464" s="6"/>
      <c r="L464" s="4" t="s">
        <v>1090</v>
      </c>
    </row>
    <row r="465" spans="2:12" x14ac:dyDescent="0.2">
      <c r="B465" s="35"/>
      <c r="D465" s="6"/>
      <c r="L465" s="4" t="s">
        <v>1755</v>
      </c>
    </row>
    <row r="466" spans="2:12" x14ac:dyDescent="0.2">
      <c r="D466" s="6"/>
      <c r="L466" s="4" t="s">
        <v>1003</v>
      </c>
    </row>
    <row r="467" spans="2:12" x14ac:dyDescent="0.2">
      <c r="B467" s="35"/>
      <c r="D467" s="6"/>
      <c r="L467" s="4" t="s">
        <v>1086</v>
      </c>
    </row>
    <row r="468" spans="2:12" x14ac:dyDescent="0.2">
      <c r="B468" s="35"/>
      <c r="D468" s="6"/>
      <c r="L468" s="4" t="s">
        <v>1253</v>
      </c>
    </row>
    <row r="469" spans="2:12" x14ac:dyDescent="0.2">
      <c r="B469" s="35"/>
      <c r="D469" s="6"/>
      <c r="L469" s="4" t="s">
        <v>1919</v>
      </c>
    </row>
    <row r="470" spans="2:12" x14ac:dyDescent="0.2">
      <c r="B470" s="35"/>
      <c r="D470" s="6"/>
      <c r="L470" s="4" t="s">
        <v>1912</v>
      </c>
    </row>
    <row r="471" spans="2:12" x14ac:dyDescent="0.2">
      <c r="B471" s="35"/>
      <c r="D471" s="6"/>
      <c r="L471" s="4" t="s">
        <v>485</v>
      </c>
    </row>
    <row r="472" spans="2:12" x14ac:dyDescent="0.2">
      <c r="B472" s="35"/>
      <c r="D472" s="6"/>
      <c r="L472" s="4" t="s">
        <v>489</v>
      </c>
    </row>
    <row r="473" spans="2:12" x14ac:dyDescent="0.2">
      <c r="D473" s="6"/>
      <c r="L473" s="4" t="s">
        <v>1106</v>
      </c>
    </row>
    <row r="474" spans="2:12" x14ac:dyDescent="0.2">
      <c r="B474" s="35"/>
      <c r="D474" s="6"/>
      <c r="L474" s="4" t="s">
        <v>1087</v>
      </c>
    </row>
    <row r="475" spans="2:12" x14ac:dyDescent="0.2">
      <c r="B475" s="35"/>
      <c r="D475" s="6"/>
      <c r="L475" s="4" t="s">
        <v>749</v>
      </c>
    </row>
    <row r="476" spans="2:12" x14ac:dyDescent="0.2">
      <c r="B476" s="35"/>
      <c r="D476" s="6"/>
      <c r="L476" s="4" t="s">
        <v>1153</v>
      </c>
    </row>
    <row r="477" spans="2:12" x14ac:dyDescent="0.2">
      <c r="B477" s="35"/>
      <c r="D477" s="6"/>
      <c r="L477" s="4" t="s">
        <v>951</v>
      </c>
    </row>
    <row r="478" spans="2:12" x14ac:dyDescent="0.2">
      <c r="B478" s="35"/>
      <c r="D478" s="6"/>
      <c r="L478" s="4" t="s">
        <v>998</v>
      </c>
    </row>
    <row r="479" spans="2:12" x14ac:dyDescent="0.2">
      <c r="B479" s="35"/>
      <c r="D479" s="6"/>
      <c r="L479" s="4" t="s">
        <v>494</v>
      </c>
    </row>
    <row r="480" spans="2:12" x14ac:dyDescent="0.2">
      <c r="D480" s="6"/>
      <c r="L480" s="4" t="s">
        <v>1083</v>
      </c>
    </row>
    <row r="481" spans="2:12" x14ac:dyDescent="0.2">
      <c r="B481" s="35"/>
      <c r="D481" s="6"/>
      <c r="L481" s="4" t="s">
        <v>1927</v>
      </c>
    </row>
    <row r="482" spans="2:12" x14ac:dyDescent="0.2">
      <c r="D482" s="6"/>
      <c r="L482" s="4" t="s">
        <v>497</v>
      </c>
    </row>
    <row r="483" spans="2:12" x14ac:dyDescent="0.2">
      <c r="B483" s="35"/>
      <c r="D483" s="6"/>
      <c r="L483" s="4" t="s">
        <v>1881</v>
      </c>
    </row>
    <row r="484" spans="2:12" x14ac:dyDescent="0.2">
      <c r="B484" s="35"/>
      <c r="D484" s="6"/>
      <c r="L484" s="4" t="s">
        <v>726</v>
      </c>
    </row>
    <row r="485" spans="2:12" x14ac:dyDescent="0.2">
      <c r="B485" s="35"/>
      <c r="D485" s="6"/>
      <c r="L485" s="4" t="s">
        <v>1251</v>
      </c>
    </row>
    <row r="486" spans="2:12" x14ac:dyDescent="0.2">
      <c r="B486" s="35"/>
      <c r="D486" s="6"/>
      <c r="L486" s="4" t="s">
        <v>1878</v>
      </c>
    </row>
    <row r="487" spans="2:12" x14ac:dyDescent="0.2">
      <c r="D487" s="6"/>
      <c r="L487" s="4" t="s">
        <v>1795</v>
      </c>
    </row>
    <row r="488" spans="2:12" x14ac:dyDescent="0.2">
      <c r="D488" s="6"/>
      <c r="L488" s="4" t="s">
        <v>921</v>
      </c>
    </row>
    <row r="489" spans="2:12" x14ac:dyDescent="0.2">
      <c r="B489" s="35"/>
      <c r="D489" s="6"/>
      <c r="L489" s="4" t="s">
        <v>1245</v>
      </c>
    </row>
    <row r="490" spans="2:12" x14ac:dyDescent="0.2">
      <c r="B490" s="35"/>
      <c r="D490" s="6"/>
      <c r="L490" s="4" t="s">
        <v>1943</v>
      </c>
    </row>
    <row r="491" spans="2:12" x14ac:dyDescent="0.2">
      <c r="B491" s="35"/>
      <c r="D491" s="6"/>
      <c r="L491" s="4" t="s">
        <v>1129</v>
      </c>
    </row>
    <row r="492" spans="2:12" x14ac:dyDescent="0.2">
      <c r="B492" s="35"/>
      <c r="D492" s="6"/>
      <c r="L492" s="4" t="s">
        <v>174</v>
      </c>
    </row>
    <row r="493" spans="2:12" x14ac:dyDescent="0.2">
      <c r="B493" s="35"/>
      <c r="D493" s="6"/>
      <c r="L493" s="4" t="s">
        <v>952</v>
      </c>
    </row>
    <row r="494" spans="2:12" x14ac:dyDescent="0.2">
      <c r="B494" s="35"/>
      <c r="D494" s="6"/>
      <c r="L494" s="4" t="s">
        <v>677</v>
      </c>
    </row>
    <row r="495" spans="2:12" x14ac:dyDescent="0.2">
      <c r="D495" s="6"/>
      <c r="L495" s="4" t="s">
        <v>688</v>
      </c>
    </row>
    <row r="496" spans="2:12" x14ac:dyDescent="0.2">
      <c r="D496" s="6"/>
      <c r="L496" s="4" t="s">
        <v>181</v>
      </c>
    </row>
    <row r="497" spans="2:12" x14ac:dyDescent="0.2">
      <c r="B497" s="35"/>
      <c r="D497" s="6"/>
      <c r="L497" s="4" t="s">
        <v>768</v>
      </c>
    </row>
    <row r="498" spans="2:12" x14ac:dyDescent="0.2">
      <c r="B498" s="35"/>
      <c r="D498" s="6"/>
      <c r="L498" s="4" t="s">
        <v>1079</v>
      </c>
    </row>
    <row r="499" spans="2:12" x14ac:dyDescent="0.2">
      <c r="B499" s="35"/>
      <c r="D499" s="6"/>
      <c r="L499" s="4" t="s">
        <v>988</v>
      </c>
    </row>
    <row r="500" spans="2:12" x14ac:dyDescent="0.2">
      <c r="D500" s="6"/>
      <c r="L500" s="4" t="s">
        <v>1173</v>
      </c>
    </row>
    <row r="501" spans="2:12" x14ac:dyDescent="0.2">
      <c r="B501" s="35"/>
      <c r="D501" s="6"/>
      <c r="L501" s="4" t="s">
        <v>829</v>
      </c>
    </row>
    <row r="502" spans="2:12" x14ac:dyDescent="0.2">
      <c r="B502" s="35"/>
      <c r="D502" s="6"/>
      <c r="L502" s="4" t="s">
        <v>1183</v>
      </c>
    </row>
    <row r="503" spans="2:12" x14ac:dyDescent="0.2">
      <c r="B503" s="35"/>
      <c r="D503" s="6"/>
      <c r="L503" s="4" t="s">
        <v>1920</v>
      </c>
    </row>
    <row r="504" spans="2:12" x14ac:dyDescent="0.2">
      <c r="B504" s="35"/>
      <c r="D504" s="6"/>
      <c r="L504" s="4" t="s">
        <v>520</v>
      </c>
    </row>
    <row r="505" spans="2:12" x14ac:dyDescent="0.2">
      <c r="D505" s="6"/>
      <c r="L505" s="4" t="s">
        <v>836</v>
      </c>
    </row>
    <row r="506" spans="2:12" x14ac:dyDescent="0.2">
      <c r="D506" s="6"/>
      <c r="L506" s="4" t="s">
        <v>1913</v>
      </c>
    </row>
    <row r="507" spans="2:12" x14ac:dyDescent="0.2">
      <c r="D507" s="6"/>
      <c r="L507" s="4" t="s">
        <v>1928</v>
      </c>
    </row>
    <row r="508" spans="2:12" x14ac:dyDescent="0.2">
      <c r="D508" s="6"/>
      <c r="L508" s="4" t="s">
        <v>1204</v>
      </c>
    </row>
    <row r="509" spans="2:12" x14ac:dyDescent="0.2">
      <c r="B509" s="35"/>
      <c r="D509" s="6"/>
      <c r="L509" s="4" t="s">
        <v>1887</v>
      </c>
    </row>
    <row r="510" spans="2:12" x14ac:dyDescent="0.2">
      <c r="D510" s="6"/>
      <c r="L510" s="4" t="s">
        <v>516</v>
      </c>
    </row>
    <row r="511" spans="2:12" x14ac:dyDescent="0.2">
      <c r="D511" s="6"/>
      <c r="L511" s="4" t="s">
        <v>269</v>
      </c>
    </row>
    <row r="512" spans="2:12" x14ac:dyDescent="0.2">
      <c r="B512" s="35"/>
      <c r="D512" s="6"/>
      <c r="L512" s="4" t="s">
        <v>984</v>
      </c>
    </row>
    <row r="513" spans="2:12" x14ac:dyDescent="0.2">
      <c r="B513" s="35"/>
      <c r="D513" s="6"/>
      <c r="L513" s="4" t="s">
        <v>986</v>
      </c>
    </row>
    <row r="514" spans="2:12" x14ac:dyDescent="0.2">
      <c r="B514" s="35"/>
      <c r="D514" s="6"/>
      <c r="L514" s="4" t="s">
        <v>996</v>
      </c>
    </row>
    <row r="515" spans="2:12" x14ac:dyDescent="0.2">
      <c r="B515" s="35"/>
      <c r="D515" s="6"/>
      <c r="L515" s="4" t="s">
        <v>242</v>
      </c>
    </row>
    <row r="516" spans="2:12" x14ac:dyDescent="0.2">
      <c r="D516" s="6"/>
      <c r="L516" s="4" t="s">
        <v>1904</v>
      </c>
    </row>
    <row r="517" spans="2:12" x14ac:dyDescent="0.2">
      <c r="B517" s="35"/>
      <c r="D517" s="6"/>
      <c r="L517" s="4" t="s">
        <v>528</v>
      </c>
    </row>
    <row r="518" spans="2:12" x14ac:dyDescent="0.2">
      <c r="B518" s="35"/>
      <c r="D518" s="6"/>
      <c r="L518" s="4" t="s">
        <v>651</v>
      </c>
    </row>
    <row r="519" spans="2:12" x14ac:dyDescent="0.2">
      <c r="D519" s="6"/>
      <c r="L519" s="4" t="s">
        <v>647</v>
      </c>
    </row>
    <row r="520" spans="2:12" x14ac:dyDescent="0.2">
      <c r="B520" s="35"/>
      <c r="D520" s="6"/>
      <c r="L520" s="4" t="s">
        <v>650</v>
      </c>
    </row>
    <row r="521" spans="2:12" x14ac:dyDescent="0.2">
      <c r="D521" s="6"/>
      <c r="L521" s="4" t="s">
        <v>648</v>
      </c>
    </row>
    <row r="522" spans="2:12" x14ac:dyDescent="0.2">
      <c r="B522" s="35"/>
      <c r="D522" s="6"/>
      <c r="L522" s="4" t="s">
        <v>653</v>
      </c>
    </row>
    <row r="523" spans="2:12" x14ac:dyDescent="0.2">
      <c r="B523" s="35"/>
      <c r="D523" s="6"/>
      <c r="L523" s="4" t="s">
        <v>1187</v>
      </c>
    </row>
    <row r="524" spans="2:12" x14ac:dyDescent="0.2">
      <c r="B524" s="35"/>
      <c r="D524" s="6"/>
      <c r="L524" s="4" t="s">
        <v>532</v>
      </c>
    </row>
    <row r="525" spans="2:12" x14ac:dyDescent="0.2">
      <c r="B525" s="35"/>
      <c r="D525" s="6"/>
      <c r="L525" s="4" t="s">
        <v>1230</v>
      </c>
    </row>
    <row r="526" spans="2:12" x14ac:dyDescent="0.2">
      <c r="B526" s="35"/>
      <c r="D526" s="6"/>
      <c r="L526" s="4" t="s">
        <v>698</v>
      </c>
    </row>
    <row r="527" spans="2:12" x14ac:dyDescent="0.2">
      <c r="B527" s="35"/>
      <c r="D527" s="6"/>
      <c r="L527" s="4" t="s">
        <v>1907</v>
      </c>
    </row>
    <row r="528" spans="2:12" x14ac:dyDescent="0.2">
      <c r="B528" s="35"/>
      <c r="D528" s="6"/>
      <c r="L528" s="4" t="s">
        <v>1018</v>
      </c>
    </row>
    <row r="529" spans="2:12" x14ac:dyDescent="0.2">
      <c r="B529" s="35"/>
      <c r="D529" s="6"/>
      <c r="L529" s="4" t="s">
        <v>1117</v>
      </c>
    </row>
    <row r="530" spans="2:12" x14ac:dyDescent="0.2">
      <c r="B530" s="35"/>
      <c r="D530" s="6"/>
      <c r="L530" s="4" t="s">
        <v>1205</v>
      </c>
    </row>
    <row r="531" spans="2:12" x14ac:dyDescent="0.2">
      <c r="B531" s="35"/>
      <c r="D531" s="6"/>
      <c r="L531" s="4" t="s">
        <v>538</v>
      </c>
    </row>
    <row r="532" spans="2:12" x14ac:dyDescent="0.2">
      <c r="B532" s="35"/>
      <c r="D532" s="6"/>
      <c r="L532" s="4" t="s">
        <v>1748</v>
      </c>
    </row>
    <row r="533" spans="2:12" x14ac:dyDescent="0.2">
      <c r="B533" s="35"/>
      <c r="D533" s="6"/>
      <c r="L533" s="4" t="s">
        <v>1728</v>
      </c>
    </row>
    <row r="534" spans="2:12" x14ac:dyDescent="0.2">
      <c r="B534" s="35"/>
      <c r="D534" s="6"/>
      <c r="L534" s="4" t="s">
        <v>1930</v>
      </c>
    </row>
    <row r="535" spans="2:12" x14ac:dyDescent="0.2">
      <c r="B535" s="35"/>
      <c r="D535" s="6"/>
      <c r="L535" s="4" t="s">
        <v>541</v>
      </c>
    </row>
    <row r="536" spans="2:12" x14ac:dyDescent="0.2">
      <c r="D536" s="6"/>
      <c r="L536" s="4" t="s">
        <v>679</v>
      </c>
    </row>
    <row r="537" spans="2:12" x14ac:dyDescent="0.2">
      <c r="B537" s="35"/>
      <c r="D537" s="6"/>
      <c r="L537" s="4" t="s">
        <v>1037</v>
      </c>
    </row>
    <row r="538" spans="2:12" x14ac:dyDescent="0.2">
      <c r="B538" s="35"/>
      <c r="D538" s="6"/>
      <c r="L538" s="4" t="s">
        <v>827</v>
      </c>
    </row>
    <row r="539" spans="2:12" x14ac:dyDescent="0.2">
      <c r="B539" s="35"/>
      <c r="D539" s="6"/>
      <c r="L539" s="4" t="s">
        <v>1315</v>
      </c>
    </row>
    <row r="540" spans="2:12" x14ac:dyDescent="0.2">
      <c r="B540" s="35"/>
      <c r="D540" s="6"/>
      <c r="L540" s="4" t="s">
        <v>1099</v>
      </c>
    </row>
    <row r="541" spans="2:12" x14ac:dyDescent="0.2">
      <c r="B541" s="35"/>
      <c r="D541" s="6"/>
      <c r="L541" s="4" t="s">
        <v>1077</v>
      </c>
    </row>
    <row r="542" spans="2:12" x14ac:dyDescent="0.2">
      <c r="B542" s="35"/>
      <c r="D542" s="6"/>
      <c r="L542" s="4" t="s">
        <v>634</v>
      </c>
    </row>
    <row r="543" spans="2:12" x14ac:dyDescent="0.2">
      <c r="B543" s="35"/>
      <c r="D543" s="6"/>
      <c r="L543" s="4" t="s">
        <v>939</v>
      </c>
    </row>
    <row r="544" spans="2:12" x14ac:dyDescent="0.2">
      <c r="D544" s="6"/>
      <c r="L544" s="4" t="s">
        <v>550</v>
      </c>
    </row>
    <row r="545" spans="4:12" x14ac:dyDescent="0.2">
      <c r="D545" s="6"/>
      <c r="L545" s="4" t="s">
        <v>940</v>
      </c>
    </row>
    <row r="546" spans="4:12" x14ac:dyDescent="0.2">
      <c r="D546" s="6"/>
      <c r="L546" s="4" t="s">
        <v>1810</v>
      </c>
    </row>
    <row r="547" spans="4:12" x14ac:dyDescent="0.2">
      <c r="D547" s="6"/>
      <c r="L547" s="4" t="s">
        <v>980</v>
      </c>
    </row>
    <row r="548" spans="4:12" x14ac:dyDescent="0.2">
      <c r="D548" s="6"/>
      <c r="L548" s="4" t="s">
        <v>1302</v>
      </c>
    </row>
    <row r="549" spans="4:12" x14ac:dyDescent="0.2">
      <c r="D549" s="6"/>
      <c r="L549" s="4" t="s">
        <v>1946</v>
      </c>
    </row>
    <row r="550" spans="4:12" x14ac:dyDescent="0.2">
      <c r="D550" s="6"/>
      <c r="L550" s="4" t="s">
        <v>1148</v>
      </c>
    </row>
    <row r="551" spans="4:12" x14ac:dyDescent="0.2">
      <c r="D551" s="6"/>
      <c r="L551" s="4" t="s">
        <v>1219</v>
      </c>
    </row>
    <row r="552" spans="4:12" x14ac:dyDescent="0.2">
      <c r="D552" s="6"/>
      <c r="L552" s="4" t="s">
        <v>982</v>
      </c>
    </row>
    <row r="553" spans="4:12" x14ac:dyDescent="0.2">
      <c r="D553" s="6"/>
      <c r="L553" s="4" t="s">
        <v>193</v>
      </c>
    </row>
    <row r="554" spans="4:12" x14ac:dyDescent="0.2">
      <c r="D554" s="6"/>
      <c r="L554" s="4" t="s">
        <v>828</v>
      </c>
    </row>
    <row r="555" spans="4:12" x14ac:dyDescent="0.2">
      <c r="D555" s="6"/>
      <c r="L555" s="4" t="s">
        <v>1940</v>
      </c>
    </row>
    <row r="556" spans="4:12" x14ac:dyDescent="0.2">
      <c r="D556" s="6"/>
      <c r="L556" s="4" t="s">
        <v>704</v>
      </c>
    </row>
    <row r="557" spans="4:12" x14ac:dyDescent="0.2">
      <c r="D557" s="6"/>
      <c r="L557" s="4" t="s">
        <v>1016</v>
      </c>
    </row>
    <row r="558" spans="4:12" x14ac:dyDescent="0.2">
      <c r="D558" s="6"/>
      <c r="L558" s="4" t="s">
        <v>1170</v>
      </c>
    </row>
    <row r="559" spans="4:12" x14ac:dyDescent="0.2">
      <c r="D559" s="6"/>
      <c r="L559" s="4" t="s">
        <v>930</v>
      </c>
    </row>
    <row r="560" spans="4:12" x14ac:dyDescent="0.2">
      <c r="D560" s="6"/>
      <c r="L560" s="4" t="s">
        <v>941</v>
      </c>
    </row>
    <row r="561" spans="4:12" x14ac:dyDescent="0.2">
      <c r="D561" s="6"/>
      <c r="L561" s="4" t="s">
        <v>104</v>
      </c>
    </row>
    <row r="562" spans="4:12" x14ac:dyDescent="0.2">
      <c r="D562" s="6"/>
      <c r="L562" s="4" t="s">
        <v>810</v>
      </c>
    </row>
    <row r="563" spans="4:12" x14ac:dyDescent="0.2">
      <c r="D563" s="6"/>
      <c r="L563" s="4" t="s">
        <v>111</v>
      </c>
    </row>
    <row r="564" spans="4:12" x14ac:dyDescent="0.2">
      <c r="D564" s="6"/>
      <c r="L564" s="4" t="s">
        <v>995</v>
      </c>
    </row>
    <row r="565" spans="4:12" x14ac:dyDescent="0.2">
      <c r="D565" s="6"/>
      <c r="L565" s="4" t="s">
        <v>303</v>
      </c>
    </row>
    <row r="566" spans="4:12" x14ac:dyDescent="0.2">
      <c r="D566" s="6"/>
      <c r="L566" s="4" t="s">
        <v>1874</v>
      </c>
    </row>
    <row r="567" spans="4:12" x14ac:dyDescent="0.2">
      <c r="D567" s="6"/>
      <c r="L567" s="4" t="s">
        <v>308</v>
      </c>
    </row>
    <row r="568" spans="4:12" x14ac:dyDescent="0.2">
      <c r="D568" s="6"/>
      <c r="K568" s="2"/>
      <c r="L568" s="1"/>
    </row>
    <row r="569" spans="4:12" x14ac:dyDescent="0.2">
      <c r="D569" s="6"/>
      <c r="K569" s="2"/>
      <c r="L569" s="1"/>
    </row>
    <row r="570" spans="4:12" x14ac:dyDescent="0.2">
      <c r="D570" s="6"/>
      <c r="K570" s="2"/>
      <c r="L570" s="1"/>
    </row>
    <row r="571" spans="4:12" x14ac:dyDescent="0.2">
      <c r="D571" s="6"/>
      <c r="K571" s="2"/>
      <c r="L571" s="1"/>
    </row>
    <row r="572" spans="4:12" x14ac:dyDescent="0.2">
      <c r="D572" s="6"/>
      <c r="K572" s="2"/>
      <c r="L572" s="1"/>
    </row>
    <row r="573" spans="4:12" x14ac:dyDescent="0.2">
      <c r="D573" s="6"/>
      <c r="K573" s="2"/>
      <c r="L573" s="1"/>
    </row>
    <row r="574" spans="4:12" x14ac:dyDescent="0.2">
      <c r="D574" s="6"/>
      <c r="K574" s="2"/>
      <c r="L574" s="1"/>
    </row>
    <row r="575" spans="4:12" x14ac:dyDescent="0.2">
      <c r="D575" s="6"/>
      <c r="K575" s="2"/>
      <c r="L575" s="1"/>
    </row>
    <row r="576" spans="4:12" x14ac:dyDescent="0.2">
      <c r="D576" s="6"/>
      <c r="K576" s="2"/>
      <c r="L576" s="1"/>
    </row>
    <row r="577" spans="4:12" x14ac:dyDescent="0.2">
      <c r="D577" s="6"/>
      <c r="K577" s="2"/>
      <c r="L577" s="1"/>
    </row>
    <row r="578" spans="4:12" x14ac:dyDescent="0.2">
      <c r="D578" s="6"/>
      <c r="K578" s="1"/>
      <c r="L578" s="1"/>
    </row>
    <row r="579" spans="4:12" x14ac:dyDescent="0.2">
      <c r="D579" s="6"/>
      <c r="K579" s="2"/>
      <c r="L579" s="1"/>
    </row>
    <row r="580" spans="4:12" x14ac:dyDescent="0.2">
      <c r="D580" s="6"/>
      <c r="K580" s="2"/>
      <c r="L580" s="1"/>
    </row>
    <row r="581" spans="4:12" x14ac:dyDescent="0.2">
      <c r="D581" s="6"/>
      <c r="K581" s="2"/>
      <c r="L581" s="1"/>
    </row>
    <row r="582" spans="4:12" x14ac:dyDescent="0.2">
      <c r="D582" s="6"/>
      <c r="K582" s="2"/>
      <c r="L582" s="1"/>
    </row>
    <row r="583" spans="4:12" x14ac:dyDescent="0.2">
      <c r="D583" s="6"/>
      <c r="K583" s="2"/>
      <c r="L583" s="1"/>
    </row>
    <row r="584" spans="4:12" x14ac:dyDescent="0.2">
      <c r="D584" s="6"/>
      <c r="K584" s="2"/>
      <c r="L584" s="1"/>
    </row>
    <row r="585" spans="4:12" x14ac:dyDescent="0.2">
      <c r="D585" s="6"/>
      <c r="K585" s="2"/>
      <c r="L585" s="1"/>
    </row>
    <row r="586" spans="4:12" x14ac:dyDescent="0.2">
      <c r="D586" s="6"/>
      <c r="K586" s="2"/>
      <c r="L586" s="1"/>
    </row>
    <row r="587" spans="4:12" x14ac:dyDescent="0.2">
      <c r="D587" s="6"/>
      <c r="K587" s="2"/>
      <c r="L587" s="1"/>
    </row>
    <row r="588" spans="4:12" x14ac:dyDescent="0.2">
      <c r="D588" s="6"/>
      <c r="K588" s="2"/>
      <c r="L588" s="1"/>
    </row>
    <row r="589" spans="4:12" x14ac:dyDescent="0.2">
      <c r="D589" s="6"/>
      <c r="K589" s="2"/>
      <c r="L589" s="1"/>
    </row>
    <row r="590" spans="4:12" x14ac:dyDescent="0.2">
      <c r="D590" s="6"/>
      <c r="K590" s="2"/>
    </row>
    <row r="591" spans="4:12" x14ac:dyDescent="0.2">
      <c r="D591" s="6"/>
      <c r="K591" s="2"/>
    </row>
    <row r="592" spans="4:12" x14ac:dyDescent="0.2">
      <c r="D592" s="6"/>
      <c r="K592" s="1"/>
    </row>
    <row r="593" spans="4:11" x14ac:dyDescent="0.2">
      <c r="D593" s="6"/>
      <c r="K593" s="2"/>
    </row>
    <row r="594" spans="4:11" x14ac:dyDescent="0.2">
      <c r="D594" s="6"/>
      <c r="K594" s="2"/>
    </row>
    <row r="595" spans="4:11" x14ac:dyDescent="0.2">
      <c r="D595" s="6"/>
      <c r="K595" s="2"/>
    </row>
    <row r="596" spans="4:11" x14ac:dyDescent="0.2">
      <c r="D596" s="6"/>
      <c r="K596" s="2"/>
    </row>
    <row r="597" spans="4:11" x14ac:dyDescent="0.2">
      <c r="D597" s="6"/>
      <c r="K597" s="2"/>
    </row>
    <row r="598" spans="4:11" x14ac:dyDescent="0.2">
      <c r="D598" s="6"/>
      <c r="K598" s="1"/>
    </row>
    <row r="599" spans="4:11" x14ac:dyDescent="0.2">
      <c r="D599" s="6"/>
      <c r="K599" s="1"/>
    </row>
    <row r="600" spans="4:11" x14ac:dyDescent="0.2">
      <c r="D600" s="6"/>
      <c r="K600" s="2"/>
    </row>
    <row r="601" spans="4:11" x14ac:dyDescent="0.2">
      <c r="D601" s="6"/>
      <c r="K601" s="2"/>
    </row>
    <row r="602" spans="4:11" x14ac:dyDescent="0.2">
      <c r="D602" s="6"/>
      <c r="K602" s="2"/>
    </row>
    <row r="603" spans="4:11" x14ac:dyDescent="0.2">
      <c r="D603" s="6"/>
      <c r="K603" s="2"/>
    </row>
    <row r="604" spans="4:11" x14ac:dyDescent="0.2">
      <c r="D604" s="6"/>
      <c r="K604" s="2"/>
    </row>
    <row r="605" spans="4:11" x14ac:dyDescent="0.2">
      <c r="D605" s="6"/>
      <c r="K605" s="2"/>
    </row>
    <row r="606" spans="4:11" x14ac:dyDescent="0.2">
      <c r="D606" s="6"/>
      <c r="K606" s="1"/>
    </row>
    <row r="607" spans="4:11" x14ac:dyDescent="0.2">
      <c r="D607" s="6"/>
      <c r="K607" s="2"/>
    </row>
    <row r="608" spans="4:11" x14ac:dyDescent="0.2">
      <c r="D608" s="6"/>
      <c r="K608" s="2"/>
    </row>
    <row r="609" spans="4:11" x14ac:dyDescent="0.2">
      <c r="D609" s="6"/>
      <c r="K609" s="2"/>
    </row>
    <row r="610" spans="4:11" x14ac:dyDescent="0.2">
      <c r="D610" s="6"/>
      <c r="K610" s="2"/>
    </row>
    <row r="611" spans="4:11" x14ac:dyDescent="0.2">
      <c r="D611" s="6"/>
      <c r="K611" s="2"/>
    </row>
    <row r="612" spans="4:11" x14ac:dyDescent="0.2">
      <c r="D612" s="6"/>
      <c r="K612" s="1"/>
    </row>
    <row r="613" spans="4:11" x14ac:dyDescent="0.2">
      <c r="D613" s="6"/>
      <c r="K613" s="2"/>
    </row>
    <row r="614" spans="4:11" x14ac:dyDescent="0.2">
      <c r="D614" s="6"/>
      <c r="K614" s="2"/>
    </row>
    <row r="615" spans="4:11" x14ac:dyDescent="0.2">
      <c r="D615" s="6"/>
      <c r="K615" s="2"/>
    </row>
    <row r="616" spans="4:11" x14ac:dyDescent="0.2">
      <c r="D616" s="6"/>
      <c r="K616" s="2"/>
    </row>
    <row r="617" spans="4:11" x14ac:dyDescent="0.2">
      <c r="D617" s="6"/>
      <c r="K617" s="2"/>
    </row>
    <row r="618" spans="4:11" x14ac:dyDescent="0.2">
      <c r="D618" s="6"/>
      <c r="K618" s="2"/>
    </row>
    <row r="619" spans="4:11" x14ac:dyDescent="0.2">
      <c r="D619" s="6"/>
      <c r="K619" s="2"/>
    </row>
    <row r="620" spans="4:11" x14ac:dyDescent="0.2">
      <c r="D620" s="6"/>
      <c r="K620" s="2"/>
    </row>
    <row r="621" spans="4:11" x14ac:dyDescent="0.2">
      <c r="D621" s="6"/>
      <c r="K621" s="2"/>
    </row>
    <row r="622" spans="4:11" x14ac:dyDescent="0.2">
      <c r="D622" s="6"/>
      <c r="K622" s="1"/>
    </row>
    <row r="623" spans="4:11" x14ac:dyDescent="0.2">
      <c r="D623" s="6"/>
      <c r="K623" s="2"/>
    </row>
    <row r="624" spans="4:11" x14ac:dyDescent="0.2">
      <c r="D624" s="6"/>
      <c r="K624" s="2"/>
    </row>
    <row r="625" spans="4:11" x14ac:dyDescent="0.2">
      <c r="D625" s="6"/>
      <c r="K625" s="2"/>
    </row>
    <row r="626" spans="4:11" x14ac:dyDescent="0.2">
      <c r="D626" s="6"/>
      <c r="K626" s="2"/>
    </row>
    <row r="627" spans="4:11" x14ac:dyDescent="0.2">
      <c r="D627" s="6"/>
      <c r="K627" s="2"/>
    </row>
    <row r="628" spans="4:11" x14ac:dyDescent="0.2">
      <c r="D628" s="6"/>
      <c r="K628" s="2"/>
    </row>
    <row r="629" spans="4:11" x14ac:dyDescent="0.2">
      <c r="D629" s="6"/>
      <c r="K629" s="1"/>
    </row>
    <row r="630" spans="4:11" x14ac:dyDescent="0.2">
      <c r="D630" s="6"/>
      <c r="K630" s="2"/>
    </row>
    <row r="631" spans="4:11" x14ac:dyDescent="0.2">
      <c r="D631" s="6"/>
      <c r="K631" s="2"/>
    </row>
    <row r="632" spans="4:11" x14ac:dyDescent="0.2">
      <c r="D632" s="6"/>
      <c r="K632" s="2"/>
    </row>
    <row r="633" spans="4:11" x14ac:dyDescent="0.2">
      <c r="D633" s="6"/>
      <c r="K633" s="2"/>
    </row>
    <row r="634" spans="4:11" x14ac:dyDescent="0.2">
      <c r="D634" s="6"/>
      <c r="K634" s="2"/>
    </row>
    <row r="635" spans="4:11" x14ac:dyDescent="0.2">
      <c r="D635" s="6"/>
      <c r="K635" s="2"/>
    </row>
    <row r="636" spans="4:11" x14ac:dyDescent="0.2">
      <c r="D636" s="6"/>
      <c r="K636" s="2"/>
    </row>
    <row r="637" spans="4:11" x14ac:dyDescent="0.2">
      <c r="D637" s="6"/>
      <c r="K637" s="1"/>
    </row>
    <row r="638" spans="4:11" x14ac:dyDescent="0.2">
      <c r="D638" s="6"/>
      <c r="K638" s="2"/>
    </row>
    <row r="639" spans="4:11" x14ac:dyDescent="0.2">
      <c r="D639" s="6"/>
      <c r="K639" s="2"/>
    </row>
    <row r="640" spans="4:11" x14ac:dyDescent="0.2">
      <c r="D640" s="6"/>
      <c r="K640" s="2"/>
    </row>
    <row r="641" spans="4:11" x14ac:dyDescent="0.2">
      <c r="D641" s="6"/>
      <c r="K641" s="2"/>
    </row>
    <row r="642" spans="4:11" x14ac:dyDescent="0.2">
      <c r="D642" s="6"/>
      <c r="K642" s="2"/>
    </row>
    <row r="643" spans="4:11" x14ac:dyDescent="0.2">
      <c r="D643" s="6"/>
      <c r="K643" s="2"/>
    </row>
    <row r="644" spans="4:11" x14ac:dyDescent="0.2">
      <c r="D644" s="6"/>
      <c r="K644" s="2"/>
    </row>
    <row r="645" spans="4:11" x14ac:dyDescent="0.2">
      <c r="D645" s="6"/>
      <c r="K645" s="2"/>
    </row>
    <row r="646" spans="4:11" x14ac:dyDescent="0.2">
      <c r="D646" s="6"/>
      <c r="K646" s="1"/>
    </row>
    <row r="647" spans="4:11" x14ac:dyDescent="0.2">
      <c r="D647" s="6"/>
      <c r="K647" s="1"/>
    </row>
    <row r="648" spans="4:11" x14ac:dyDescent="0.2">
      <c r="D648" s="6"/>
      <c r="K648" s="2"/>
    </row>
    <row r="649" spans="4:11" x14ac:dyDescent="0.2">
      <c r="D649" s="6"/>
      <c r="K649" s="2"/>
    </row>
    <row r="650" spans="4:11" x14ac:dyDescent="0.2">
      <c r="D650" s="6"/>
      <c r="K650" s="2"/>
    </row>
    <row r="651" spans="4:11" x14ac:dyDescent="0.2">
      <c r="D651" s="6"/>
      <c r="K651" s="2"/>
    </row>
    <row r="652" spans="4:11" x14ac:dyDescent="0.2">
      <c r="D652" s="6"/>
      <c r="K652" s="2"/>
    </row>
    <row r="653" spans="4:11" x14ac:dyDescent="0.2">
      <c r="D653" s="6"/>
      <c r="K653" s="1"/>
    </row>
    <row r="654" spans="4:11" x14ac:dyDescent="0.2">
      <c r="D654" s="6"/>
      <c r="K654" s="2"/>
    </row>
    <row r="655" spans="4:11" x14ac:dyDescent="0.2">
      <c r="D655" s="6"/>
      <c r="K655" s="2"/>
    </row>
    <row r="656" spans="4:11" x14ac:dyDescent="0.2">
      <c r="D656" s="6"/>
      <c r="K656" s="2"/>
    </row>
    <row r="657" spans="4:11" x14ac:dyDescent="0.2">
      <c r="D657" s="6"/>
      <c r="K657" s="2"/>
    </row>
    <row r="658" spans="4:11" x14ac:dyDescent="0.2">
      <c r="D658" s="6"/>
      <c r="K658" s="2"/>
    </row>
    <row r="659" spans="4:11" x14ac:dyDescent="0.2">
      <c r="D659" s="6"/>
      <c r="K659" s="2"/>
    </row>
    <row r="660" spans="4:11" x14ac:dyDescent="0.2">
      <c r="D660" s="6"/>
      <c r="K660" s="2"/>
    </row>
    <row r="661" spans="4:11" x14ac:dyDescent="0.2">
      <c r="D661" s="6"/>
      <c r="K661" s="1"/>
    </row>
    <row r="662" spans="4:11" x14ac:dyDescent="0.2">
      <c r="D662" s="6"/>
      <c r="K662" s="2"/>
    </row>
    <row r="663" spans="4:11" x14ac:dyDescent="0.2">
      <c r="D663" s="6"/>
      <c r="K663" s="1"/>
    </row>
    <row r="664" spans="4:11" x14ac:dyDescent="0.2">
      <c r="D664" s="6"/>
      <c r="K664" s="2"/>
    </row>
    <row r="665" spans="4:11" x14ac:dyDescent="0.2">
      <c r="D665" s="6"/>
      <c r="K665" s="2"/>
    </row>
    <row r="666" spans="4:11" x14ac:dyDescent="0.2">
      <c r="D666" s="6"/>
      <c r="K666" s="2"/>
    </row>
    <row r="667" spans="4:11" x14ac:dyDescent="0.2">
      <c r="D667" s="6"/>
      <c r="K667" s="2"/>
    </row>
    <row r="668" spans="4:11" x14ac:dyDescent="0.2">
      <c r="D668" s="6"/>
      <c r="K668" s="2"/>
    </row>
    <row r="669" spans="4:11" x14ac:dyDescent="0.2">
      <c r="D669" s="6"/>
      <c r="K669" s="2"/>
    </row>
    <row r="670" spans="4:11" x14ac:dyDescent="0.2">
      <c r="D670" s="6"/>
      <c r="K670" s="2"/>
    </row>
    <row r="671" spans="4:11" x14ac:dyDescent="0.2">
      <c r="D671" s="6"/>
      <c r="K671" s="2"/>
    </row>
    <row r="672" spans="4:11" x14ac:dyDescent="0.2">
      <c r="D672" s="6"/>
      <c r="K672" s="2"/>
    </row>
    <row r="673" spans="4:11" x14ac:dyDescent="0.2">
      <c r="D673" s="6"/>
      <c r="K673" s="2"/>
    </row>
    <row r="674" spans="4:11" x14ac:dyDescent="0.2">
      <c r="D674" s="6"/>
      <c r="K674" s="1"/>
    </row>
    <row r="675" spans="4:11" x14ac:dyDescent="0.2">
      <c r="D675" s="6"/>
      <c r="K675" s="1"/>
    </row>
    <row r="676" spans="4:11" x14ac:dyDescent="0.2">
      <c r="D676" s="6"/>
      <c r="K676" s="1"/>
    </row>
    <row r="677" spans="4:11" x14ac:dyDescent="0.2">
      <c r="D677" s="6"/>
      <c r="K677" s="2"/>
    </row>
    <row r="678" spans="4:11" x14ac:dyDescent="0.2">
      <c r="D678" s="6"/>
      <c r="K678" s="2"/>
    </row>
    <row r="679" spans="4:11" x14ac:dyDescent="0.2">
      <c r="D679" s="6"/>
      <c r="K679" s="2"/>
    </row>
    <row r="680" spans="4:11" x14ac:dyDescent="0.2">
      <c r="D680" s="6"/>
      <c r="K680" s="2"/>
    </row>
    <row r="681" spans="4:11" x14ac:dyDescent="0.2">
      <c r="D681" s="6"/>
      <c r="K681" s="2"/>
    </row>
    <row r="682" spans="4:11" x14ac:dyDescent="0.2">
      <c r="D682" s="6"/>
      <c r="K682" s="2"/>
    </row>
    <row r="683" spans="4:11" x14ac:dyDescent="0.2">
      <c r="D683" s="6"/>
      <c r="K683" s="2"/>
    </row>
    <row r="684" spans="4:11" x14ac:dyDescent="0.2">
      <c r="D684" s="6"/>
      <c r="K684" s="2"/>
    </row>
    <row r="685" spans="4:11" x14ac:dyDescent="0.2">
      <c r="D685" s="6"/>
      <c r="K685" s="2"/>
    </row>
    <row r="686" spans="4:11" x14ac:dyDescent="0.2">
      <c r="D686" s="6"/>
      <c r="K686" s="2"/>
    </row>
    <row r="687" spans="4:11" x14ac:dyDescent="0.2">
      <c r="D687" s="6"/>
      <c r="K687" s="2"/>
    </row>
    <row r="688" spans="4:11" x14ac:dyDescent="0.2">
      <c r="D688" s="6"/>
      <c r="K688" s="2"/>
    </row>
    <row r="689" spans="4:11" x14ac:dyDescent="0.2">
      <c r="D689" s="6"/>
      <c r="K689" s="1"/>
    </row>
    <row r="690" spans="4:11" x14ac:dyDescent="0.2">
      <c r="D690" s="6"/>
      <c r="K690" s="2"/>
    </row>
    <row r="691" spans="4:11" x14ac:dyDescent="0.2">
      <c r="D691" s="6"/>
      <c r="K691" s="2"/>
    </row>
    <row r="692" spans="4:11" x14ac:dyDescent="0.2">
      <c r="D692" s="6"/>
      <c r="K692" s="2"/>
    </row>
    <row r="693" spans="4:11" x14ac:dyDescent="0.2">
      <c r="D693" s="6"/>
      <c r="K693" s="1"/>
    </row>
    <row r="694" spans="4:11" x14ac:dyDescent="0.2">
      <c r="D694" s="6"/>
      <c r="K694" s="2"/>
    </row>
    <row r="695" spans="4:11" x14ac:dyDescent="0.2">
      <c r="D695" s="6"/>
      <c r="K695" s="2"/>
    </row>
    <row r="696" spans="4:11" x14ac:dyDescent="0.2">
      <c r="D696" s="6"/>
      <c r="K696" s="1"/>
    </row>
    <row r="697" spans="4:11" x14ac:dyDescent="0.2">
      <c r="D697" s="6"/>
      <c r="K697" s="1"/>
    </row>
    <row r="698" spans="4:11" x14ac:dyDescent="0.2">
      <c r="D698" s="6"/>
      <c r="K698" s="2"/>
    </row>
    <row r="699" spans="4:11" x14ac:dyDescent="0.2">
      <c r="D699" s="6"/>
      <c r="K699" s="2"/>
    </row>
    <row r="700" spans="4:11" x14ac:dyDescent="0.2">
      <c r="D700" s="6"/>
      <c r="K700" s="2"/>
    </row>
    <row r="701" spans="4:11" x14ac:dyDescent="0.2">
      <c r="D701" s="6"/>
      <c r="K701" s="2"/>
    </row>
    <row r="702" spans="4:11" x14ac:dyDescent="0.2">
      <c r="D702" s="6"/>
      <c r="K702" s="2"/>
    </row>
    <row r="703" spans="4:11" x14ac:dyDescent="0.2">
      <c r="D703" s="6"/>
      <c r="K703" s="2"/>
    </row>
    <row r="704" spans="4:11" x14ac:dyDescent="0.2">
      <c r="D704" s="6"/>
      <c r="K704" s="2"/>
    </row>
    <row r="705" spans="4:11" x14ac:dyDescent="0.2">
      <c r="D705" s="6"/>
      <c r="K705" s="2"/>
    </row>
    <row r="706" spans="4:11" x14ac:dyDescent="0.2">
      <c r="D706" s="6"/>
      <c r="K706" s="2"/>
    </row>
    <row r="707" spans="4:11" x14ac:dyDescent="0.2">
      <c r="D707" s="6"/>
      <c r="K707" s="2"/>
    </row>
    <row r="708" spans="4:11" x14ac:dyDescent="0.2">
      <c r="D708" s="6"/>
      <c r="K708" s="2"/>
    </row>
    <row r="709" spans="4:11" x14ac:dyDescent="0.2">
      <c r="D709" s="6"/>
      <c r="K709" s="2"/>
    </row>
    <row r="710" spans="4:11" x14ac:dyDescent="0.2">
      <c r="D710" s="6"/>
      <c r="K710" s="2"/>
    </row>
    <row r="711" spans="4:11" x14ac:dyDescent="0.2">
      <c r="D711" s="6"/>
      <c r="K711" s="2"/>
    </row>
    <row r="712" spans="4:11" x14ac:dyDescent="0.2">
      <c r="D712" s="6"/>
      <c r="K712" s="2"/>
    </row>
    <row r="713" spans="4:11" x14ac:dyDescent="0.2">
      <c r="D713" s="6"/>
      <c r="K713" s="2"/>
    </row>
    <row r="714" spans="4:11" x14ac:dyDescent="0.2">
      <c r="D714" s="6"/>
      <c r="K714" s="1"/>
    </row>
    <row r="715" spans="4:11" x14ac:dyDescent="0.2">
      <c r="D715" s="6"/>
      <c r="K715" s="2"/>
    </row>
    <row r="716" spans="4:11" x14ac:dyDescent="0.2">
      <c r="D716" s="6"/>
      <c r="K716" s="2"/>
    </row>
    <row r="717" spans="4:11" x14ac:dyDescent="0.2">
      <c r="D717" s="6"/>
      <c r="K717" s="1"/>
    </row>
    <row r="718" spans="4:11" x14ac:dyDescent="0.2">
      <c r="D718" s="6"/>
      <c r="K718" s="2"/>
    </row>
    <row r="719" spans="4:11" x14ac:dyDescent="0.2">
      <c r="D719" s="6"/>
      <c r="K719" s="2"/>
    </row>
    <row r="720" spans="4:11" x14ac:dyDescent="0.2">
      <c r="D720" s="6"/>
      <c r="K720" s="2"/>
    </row>
    <row r="721" spans="4:11" x14ac:dyDescent="0.2">
      <c r="D721" s="6"/>
      <c r="K721" s="1"/>
    </row>
    <row r="722" spans="4:11" x14ac:dyDescent="0.2">
      <c r="D722" s="6"/>
      <c r="K722" s="1"/>
    </row>
    <row r="723" spans="4:11" x14ac:dyDescent="0.2">
      <c r="D723" s="6"/>
      <c r="K723" s="2"/>
    </row>
    <row r="724" spans="4:11" x14ac:dyDescent="0.2">
      <c r="D724" s="6"/>
      <c r="K724" s="2"/>
    </row>
    <row r="725" spans="4:11" x14ac:dyDescent="0.2">
      <c r="D725" s="6"/>
      <c r="K725" s="2"/>
    </row>
    <row r="726" spans="4:11" x14ac:dyDescent="0.2">
      <c r="D726" s="6"/>
    </row>
    <row r="727" spans="4:11" x14ac:dyDescent="0.2">
      <c r="D727" s="6"/>
    </row>
    <row r="728" spans="4:11" x14ac:dyDescent="0.2">
      <c r="D728" s="6"/>
    </row>
    <row r="729" spans="4:11" x14ac:dyDescent="0.2">
      <c r="D729" s="6"/>
    </row>
    <row r="730" spans="4:11" x14ac:dyDescent="0.2">
      <c r="D730" s="6"/>
    </row>
    <row r="731" spans="4:11" x14ac:dyDescent="0.2">
      <c r="D731" s="6"/>
    </row>
    <row r="732" spans="4:11" x14ac:dyDescent="0.2">
      <c r="D732" s="6"/>
    </row>
    <row r="733" spans="4:11" x14ac:dyDescent="0.2">
      <c r="D733" s="6"/>
    </row>
    <row r="734" spans="4:11" x14ac:dyDescent="0.2">
      <c r="D734" s="6"/>
    </row>
    <row r="735" spans="4:11" x14ac:dyDescent="0.2">
      <c r="D735" s="6"/>
    </row>
    <row r="736" spans="4:11" x14ac:dyDescent="0.2">
      <c r="D736" s="6"/>
    </row>
    <row r="737" spans="4:4" x14ac:dyDescent="0.2">
      <c r="D737" s="6"/>
    </row>
    <row r="738" spans="4:4" x14ac:dyDescent="0.2">
      <c r="D738" s="6"/>
    </row>
    <row r="739" spans="4:4" x14ac:dyDescent="0.2">
      <c r="D739" s="6"/>
    </row>
    <row r="740" spans="4:4" x14ac:dyDescent="0.2">
      <c r="D740" s="6"/>
    </row>
    <row r="741" spans="4:4" x14ac:dyDescent="0.2">
      <c r="D741" s="6"/>
    </row>
    <row r="742" spans="4:4" x14ac:dyDescent="0.2">
      <c r="D742" s="6"/>
    </row>
    <row r="743" spans="4:4" x14ac:dyDescent="0.2">
      <c r="D743" s="6"/>
    </row>
    <row r="744" spans="4:4" x14ac:dyDescent="0.2">
      <c r="D744" s="6"/>
    </row>
    <row r="745" spans="4:4" x14ac:dyDescent="0.2">
      <c r="D745" s="6"/>
    </row>
    <row r="746" spans="4:4" x14ac:dyDescent="0.2">
      <c r="D746" s="6"/>
    </row>
    <row r="747" spans="4:4" x14ac:dyDescent="0.2">
      <c r="D747" s="6"/>
    </row>
    <row r="748" spans="4:4" x14ac:dyDescent="0.2">
      <c r="D748" s="6"/>
    </row>
    <row r="749" spans="4:4" x14ac:dyDescent="0.2">
      <c r="D749" s="6"/>
    </row>
    <row r="750" spans="4:4" x14ac:dyDescent="0.2">
      <c r="D750" s="6"/>
    </row>
    <row r="751" spans="4:4" x14ac:dyDescent="0.2">
      <c r="D751" s="6"/>
    </row>
    <row r="752" spans="4:4" x14ac:dyDescent="0.2">
      <c r="D752" s="6"/>
    </row>
    <row r="753" spans="4:4" x14ac:dyDescent="0.2">
      <c r="D753" s="6"/>
    </row>
    <row r="754" spans="4:4" x14ac:dyDescent="0.2">
      <c r="D754" s="6"/>
    </row>
    <row r="755" spans="4:4" x14ac:dyDescent="0.2">
      <c r="D755" s="6"/>
    </row>
    <row r="756" spans="4:4" x14ac:dyDescent="0.2">
      <c r="D756" s="6"/>
    </row>
    <row r="757" spans="4:4" x14ac:dyDescent="0.2">
      <c r="D757" s="6"/>
    </row>
    <row r="758" spans="4:4" x14ac:dyDescent="0.2">
      <c r="D758" s="6"/>
    </row>
    <row r="759" spans="4:4" x14ac:dyDescent="0.2">
      <c r="D759" s="6"/>
    </row>
    <row r="760" spans="4:4" x14ac:dyDescent="0.2">
      <c r="D760" s="6"/>
    </row>
    <row r="761" spans="4:4" x14ac:dyDescent="0.2">
      <c r="D761" s="6"/>
    </row>
    <row r="762" spans="4:4" x14ac:dyDescent="0.2">
      <c r="D762" s="6"/>
    </row>
    <row r="763" spans="4:4" x14ac:dyDescent="0.2">
      <c r="D763" s="6"/>
    </row>
    <row r="764" spans="4:4" x14ac:dyDescent="0.2">
      <c r="D764" s="6"/>
    </row>
    <row r="765" spans="4:4" x14ac:dyDescent="0.2">
      <c r="D765" s="6"/>
    </row>
    <row r="766" spans="4:4" x14ac:dyDescent="0.2">
      <c r="D766" s="6"/>
    </row>
    <row r="767" spans="4:4" x14ac:dyDescent="0.2">
      <c r="D767" s="6"/>
    </row>
    <row r="768" spans="4:4" x14ac:dyDescent="0.2">
      <c r="D768" s="6"/>
    </row>
    <row r="769" spans="4:4" x14ac:dyDescent="0.2">
      <c r="D769" s="6"/>
    </row>
    <row r="770" spans="4:4" x14ac:dyDescent="0.2">
      <c r="D770" s="6"/>
    </row>
    <row r="771" spans="4:4" x14ac:dyDescent="0.2">
      <c r="D771" s="6"/>
    </row>
    <row r="772" spans="4:4" x14ac:dyDescent="0.2">
      <c r="D772" s="6"/>
    </row>
    <row r="773" spans="4:4" x14ac:dyDescent="0.2">
      <c r="D773" s="6"/>
    </row>
    <row r="774" spans="4:4" x14ac:dyDescent="0.2">
      <c r="D774" s="6"/>
    </row>
    <row r="775" spans="4:4" x14ac:dyDescent="0.2">
      <c r="D775" s="6"/>
    </row>
    <row r="776" spans="4:4" x14ac:dyDescent="0.2">
      <c r="D776" s="6"/>
    </row>
    <row r="777" spans="4:4" x14ac:dyDescent="0.2">
      <c r="D777" s="6"/>
    </row>
    <row r="778" spans="4:4" x14ac:dyDescent="0.2">
      <c r="D778" s="6"/>
    </row>
    <row r="779" spans="4:4" x14ac:dyDescent="0.2">
      <c r="D779" s="6"/>
    </row>
    <row r="780" spans="4:4" x14ac:dyDescent="0.2">
      <c r="D780" s="6"/>
    </row>
    <row r="781" spans="4:4" x14ac:dyDescent="0.2">
      <c r="D781" s="6"/>
    </row>
    <row r="782" spans="4:4" x14ac:dyDescent="0.2">
      <c r="D782" s="6"/>
    </row>
    <row r="783" spans="4:4" x14ac:dyDescent="0.2">
      <c r="D783" s="6"/>
    </row>
    <row r="784" spans="4:4" x14ac:dyDescent="0.2">
      <c r="D784" s="6"/>
    </row>
    <row r="785" spans="4:4" x14ac:dyDescent="0.2">
      <c r="D785" s="6"/>
    </row>
    <row r="786" spans="4:4" x14ac:dyDescent="0.2">
      <c r="D786" s="6"/>
    </row>
    <row r="787" spans="4:4" x14ac:dyDescent="0.2">
      <c r="D787" s="6"/>
    </row>
    <row r="788" spans="4:4" x14ac:dyDescent="0.2">
      <c r="D788" s="6"/>
    </row>
    <row r="789" spans="4:4" x14ac:dyDescent="0.2">
      <c r="D789" s="6"/>
    </row>
    <row r="790" spans="4:4" x14ac:dyDescent="0.2">
      <c r="D790" s="6"/>
    </row>
    <row r="791" spans="4:4" x14ac:dyDescent="0.2">
      <c r="D791" s="6"/>
    </row>
    <row r="792" spans="4:4" x14ac:dyDescent="0.2">
      <c r="D792" s="6"/>
    </row>
    <row r="793" spans="4:4" x14ac:dyDescent="0.2">
      <c r="D793" s="6"/>
    </row>
    <row r="794" spans="4:4" x14ac:dyDescent="0.2">
      <c r="D794" s="6"/>
    </row>
    <row r="795" spans="4:4" x14ac:dyDescent="0.2">
      <c r="D795" s="6"/>
    </row>
    <row r="796" spans="4:4" x14ac:dyDescent="0.2">
      <c r="D796" s="6"/>
    </row>
    <row r="797" spans="4:4" x14ac:dyDescent="0.2">
      <c r="D797" s="6"/>
    </row>
    <row r="798" spans="4:4" x14ac:dyDescent="0.2">
      <c r="D798" s="6"/>
    </row>
    <row r="799" spans="4:4" x14ac:dyDescent="0.2">
      <c r="D799" s="6"/>
    </row>
    <row r="800" spans="4:4" x14ac:dyDescent="0.2">
      <c r="D800" s="6"/>
    </row>
    <row r="801" spans="4:4" x14ac:dyDescent="0.2">
      <c r="D801" s="6"/>
    </row>
    <row r="802" spans="4:4" x14ac:dyDescent="0.2">
      <c r="D802" s="6"/>
    </row>
    <row r="803" spans="4:4" x14ac:dyDescent="0.2">
      <c r="D803" s="6"/>
    </row>
    <row r="804" spans="4:4" x14ac:dyDescent="0.2">
      <c r="D804" s="6"/>
    </row>
    <row r="805" spans="4:4" x14ac:dyDescent="0.2">
      <c r="D805" s="6"/>
    </row>
    <row r="806" spans="4:4" x14ac:dyDescent="0.2">
      <c r="D806" s="6"/>
    </row>
    <row r="807" spans="4:4" x14ac:dyDescent="0.2">
      <c r="D807" s="6"/>
    </row>
    <row r="808" spans="4:4" x14ac:dyDescent="0.2">
      <c r="D808" s="6"/>
    </row>
    <row r="809" spans="4:4" x14ac:dyDescent="0.2">
      <c r="D809" s="6"/>
    </row>
    <row r="810" spans="4:4" x14ac:dyDescent="0.2">
      <c r="D810" s="6"/>
    </row>
    <row r="811" spans="4:4" x14ac:dyDescent="0.2">
      <c r="D811" s="6"/>
    </row>
    <row r="812" spans="4:4" x14ac:dyDescent="0.2">
      <c r="D812" s="6"/>
    </row>
    <row r="813" spans="4:4" x14ac:dyDescent="0.2">
      <c r="D813" s="6"/>
    </row>
    <row r="814" spans="4:4" x14ac:dyDescent="0.2">
      <c r="D814" s="6"/>
    </row>
    <row r="815" spans="4:4" x14ac:dyDescent="0.2">
      <c r="D815" s="6"/>
    </row>
    <row r="816" spans="4:4" x14ac:dyDescent="0.2">
      <c r="D816" s="6"/>
    </row>
    <row r="817" spans="4:4" x14ac:dyDescent="0.2">
      <c r="D817" s="6"/>
    </row>
    <row r="818" spans="4:4" x14ac:dyDescent="0.2">
      <c r="D818" s="6"/>
    </row>
    <row r="819" spans="4:4" x14ac:dyDescent="0.2">
      <c r="D819" s="6"/>
    </row>
    <row r="820" spans="4:4" x14ac:dyDescent="0.2">
      <c r="D820" s="6"/>
    </row>
    <row r="821" spans="4:4" x14ac:dyDescent="0.2">
      <c r="D821" s="6"/>
    </row>
    <row r="822" spans="4:4" x14ac:dyDescent="0.2">
      <c r="D822" s="6"/>
    </row>
    <row r="823" spans="4:4" x14ac:dyDescent="0.2">
      <c r="D823" s="6"/>
    </row>
    <row r="824" spans="4:4" x14ac:dyDescent="0.2">
      <c r="D824" s="6"/>
    </row>
    <row r="825" spans="4:4" x14ac:dyDescent="0.2">
      <c r="D825" s="6"/>
    </row>
    <row r="826" spans="4:4" x14ac:dyDescent="0.2">
      <c r="D826" s="6"/>
    </row>
    <row r="827" spans="4:4" x14ac:dyDescent="0.2">
      <c r="D827" s="6"/>
    </row>
    <row r="828" spans="4:4" x14ac:dyDescent="0.2">
      <c r="D828" s="6"/>
    </row>
    <row r="829" spans="4:4" x14ac:dyDescent="0.2">
      <c r="D829" s="6"/>
    </row>
    <row r="830" spans="4:4" x14ac:dyDescent="0.2">
      <c r="D830" s="6"/>
    </row>
    <row r="831" spans="4:4" x14ac:dyDescent="0.2">
      <c r="D831" s="6"/>
    </row>
    <row r="832" spans="4:4" x14ac:dyDescent="0.2">
      <c r="D832" s="6"/>
    </row>
    <row r="833" spans="4:4" x14ac:dyDescent="0.2">
      <c r="D833" s="6"/>
    </row>
    <row r="834" spans="4:4" x14ac:dyDescent="0.2">
      <c r="D834" s="6"/>
    </row>
    <row r="835" spans="4:4" x14ac:dyDescent="0.2">
      <c r="D835" s="6"/>
    </row>
    <row r="836" spans="4:4" x14ac:dyDescent="0.2">
      <c r="D836" s="6"/>
    </row>
    <row r="837" spans="4:4" x14ac:dyDescent="0.2">
      <c r="D837" s="6"/>
    </row>
    <row r="838" spans="4:4" x14ac:dyDescent="0.2">
      <c r="D838" s="6"/>
    </row>
    <row r="839" spans="4:4" x14ac:dyDescent="0.2">
      <c r="D839" s="6"/>
    </row>
    <row r="840" spans="4:4" x14ac:dyDescent="0.2">
      <c r="D840" s="6"/>
    </row>
    <row r="841" spans="4:4" x14ac:dyDescent="0.2">
      <c r="D841" s="6"/>
    </row>
    <row r="842" spans="4:4" x14ac:dyDescent="0.2">
      <c r="D842" s="6"/>
    </row>
    <row r="843" spans="4:4" x14ac:dyDescent="0.2">
      <c r="D843" s="6"/>
    </row>
    <row r="844" spans="4:4" x14ac:dyDescent="0.2">
      <c r="D844" s="6"/>
    </row>
    <row r="845" spans="4:4" x14ac:dyDescent="0.2">
      <c r="D845" s="6"/>
    </row>
    <row r="846" spans="4:4" x14ac:dyDescent="0.2">
      <c r="D846" s="6"/>
    </row>
    <row r="847" spans="4:4" x14ac:dyDescent="0.2">
      <c r="D847" s="6"/>
    </row>
    <row r="848" spans="4:4" x14ac:dyDescent="0.2">
      <c r="D848" s="6"/>
    </row>
    <row r="849" spans="4:4" x14ac:dyDescent="0.2">
      <c r="D849" s="6"/>
    </row>
    <row r="850" spans="4:4" x14ac:dyDescent="0.2">
      <c r="D850" s="6"/>
    </row>
    <row r="851" spans="4:4" x14ac:dyDescent="0.2">
      <c r="D851" s="6"/>
    </row>
    <row r="852" spans="4:4" x14ac:dyDescent="0.2">
      <c r="D852" s="6"/>
    </row>
    <row r="853" spans="4:4" x14ac:dyDescent="0.2">
      <c r="D853" s="6"/>
    </row>
    <row r="854" spans="4:4" x14ac:dyDescent="0.2">
      <c r="D854" s="6"/>
    </row>
    <row r="855" spans="4:4" x14ac:dyDescent="0.2">
      <c r="D855" s="6"/>
    </row>
    <row r="856" spans="4:4" x14ac:dyDescent="0.2">
      <c r="D856" s="6"/>
    </row>
    <row r="857" spans="4:4" x14ac:dyDescent="0.2">
      <c r="D857" s="6"/>
    </row>
    <row r="858" spans="4:4" x14ac:dyDescent="0.2">
      <c r="D858" s="6"/>
    </row>
    <row r="859" spans="4:4" x14ac:dyDescent="0.2">
      <c r="D859" s="6"/>
    </row>
    <row r="860" spans="4:4" x14ac:dyDescent="0.2">
      <c r="D860" s="6"/>
    </row>
    <row r="861" spans="4:4" x14ac:dyDescent="0.2">
      <c r="D861" s="6"/>
    </row>
    <row r="862" spans="4:4" x14ac:dyDescent="0.2">
      <c r="D862" s="6"/>
    </row>
    <row r="863" spans="4:4" x14ac:dyDescent="0.2">
      <c r="D863" s="6"/>
    </row>
    <row r="864" spans="4:4" x14ac:dyDescent="0.2">
      <c r="D864" s="6"/>
    </row>
    <row r="865" spans="4:4" x14ac:dyDescent="0.2">
      <c r="D865" s="6"/>
    </row>
    <row r="866" spans="4:4" x14ac:dyDescent="0.2">
      <c r="D866" s="6"/>
    </row>
    <row r="867" spans="4:4" x14ac:dyDescent="0.2">
      <c r="D867" s="6"/>
    </row>
    <row r="868" spans="4:4" x14ac:dyDescent="0.2">
      <c r="D868" s="6"/>
    </row>
    <row r="869" spans="4:4" x14ac:dyDescent="0.2">
      <c r="D869" s="6"/>
    </row>
    <row r="870" spans="4:4" x14ac:dyDescent="0.2">
      <c r="D870" s="6"/>
    </row>
    <row r="871" spans="4:4" x14ac:dyDescent="0.2">
      <c r="D871" s="6"/>
    </row>
    <row r="872" spans="4:4" x14ac:dyDescent="0.2">
      <c r="D872" s="6"/>
    </row>
    <row r="873" spans="4:4" x14ac:dyDescent="0.2">
      <c r="D873" s="6"/>
    </row>
    <row r="874" spans="4:4" x14ac:dyDescent="0.2">
      <c r="D874" s="6"/>
    </row>
    <row r="875" spans="4:4" x14ac:dyDescent="0.2">
      <c r="D875" s="6"/>
    </row>
    <row r="876" spans="4:4" x14ac:dyDescent="0.2">
      <c r="D876" s="6"/>
    </row>
    <row r="877" spans="4:4" x14ac:dyDescent="0.2">
      <c r="D877" s="6"/>
    </row>
    <row r="878" spans="4:4" x14ac:dyDescent="0.2">
      <c r="D878" s="6"/>
    </row>
    <row r="879" spans="4:4" x14ac:dyDescent="0.2">
      <c r="D879" s="6"/>
    </row>
    <row r="880" spans="4:4" x14ac:dyDescent="0.2">
      <c r="D880" s="6"/>
    </row>
    <row r="881" spans="4:4" x14ac:dyDescent="0.2">
      <c r="D881" s="6"/>
    </row>
    <row r="882" spans="4:4" x14ac:dyDescent="0.2">
      <c r="D882" s="6"/>
    </row>
    <row r="883" spans="4:4" x14ac:dyDescent="0.2">
      <c r="D883" s="6"/>
    </row>
    <row r="884" spans="4:4" x14ac:dyDescent="0.2">
      <c r="D884" s="6"/>
    </row>
    <row r="885" spans="4:4" x14ac:dyDescent="0.2">
      <c r="D885" s="6"/>
    </row>
    <row r="886" spans="4:4" x14ac:dyDescent="0.2">
      <c r="D886" s="6"/>
    </row>
    <row r="887" spans="4:4" x14ac:dyDescent="0.2">
      <c r="D887" s="6"/>
    </row>
    <row r="888" spans="4:4" x14ac:dyDescent="0.2">
      <c r="D888" s="6"/>
    </row>
    <row r="889" spans="4:4" x14ac:dyDescent="0.2">
      <c r="D889" s="6"/>
    </row>
    <row r="890" spans="4:4" x14ac:dyDescent="0.2">
      <c r="D890" s="6"/>
    </row>
    <row r="891" spans="4:4" x14ac:dyDescent="0.2">
      <c r="D891" s="6"/>
    </row>
    <row r="892" spans="4:4" x14ac:dyDescent="0.2">
      <c r="D892" s="6"/>
    </row>
    <row r="893" spans="4:4" x14ac:dyDescent="0.2">
      <c r="D893" s="6"/>
    </row>
    <row r="894" spans="4:4" x14ac:dyDescent="0.2">
      <c r="D894" s="6"/>
    </row>
    <row r="895" spans="4:4" x14ac:dyDescent="0.2">
      <c r="D895" s="6"/>
    </row>
    <row r="896" spans="4:4" x14ac:dyDescent="0.2">
      <c r="D896" s="6"/>
    </row>
    <row r="897" spans="4:4" x14ac:dyDescent="0.2">
      <c r="D897" s="6"/>
    </row>
    <row r="898" spans="4:4" x14ac:dyDescent="0.2">
      <c r="D898" s="6"/>
    </row>
    <row r="899" spans="4:4" x14ac:dyDescent="0.2">
      <c r="D899" s="6"/>
    </row>
    <row r="900" spans="4:4" x14ac:dyDescent="0.2">
      <c r="D900" s="6"/>
    </row>
    <row r="901" spans="4:4" x14ac:dyDescent="0.2">
      <c r="D901" s="6"/>
    </row>
    <row r="902" spans="4:4" x14ac:dyDescent="0.2">
      <c r="D902" s="6"/>
    </row>
    <row r="903" spans="4:4" x14ac:dyDescent="0.2">
      <c r="D903" s="6"/>
    </row>
    <row r="904" spans="4:4" x14ac:dyDescent="0.2">
      <c r="D904" s="6"/>
    </row>
    <row r="905" spans="4:4" x14ac:dyDescent="0.2">
      <c r="D905" s="6"/>
    </row>
    <row r="906" spans="4:4" x14ac:dyDescent="0.2">
      <c r="D906" s="6"/>
    </row>
    <row r="907" spans="4:4" x14ac:dyDescent="0.2">
      <c r="D907" s="6"/>
    </row>
    <row r="908" spans="4:4" x14ac:dyDescent="0.2">
      <c r="D908" s="6"/>
    </row>
    <row r="909" spans="4:4" x14ac:dyDescent="0.2">
      <c r="D909" s="6"/>
    </row>
    <row r="910" spans="4:4" x14ac:dyDescent="0.2">
      <c r="D910" s="6"/>
    </row>
    <row r="911" spans="4:4" x14ac:dyDescent="0.2">
      <c r="D911" s="6"/>
    </row>
    <row r="912" spans="4:4" x14ac:dyDescent="0.2">
      <c r="D912" s="6"/>
    </row>
    <row r="913" spans="4:4" x14ac:dyDescent="0.2">
      <c r="D913" s="6"/>
    </row>
    <row r="914" spans="4:4" x14ac:dyDescent="0.2">
      <c r="D914" s="6"/>
    </row>
    <row r="915" spans="4:4" x14ac:dyDescent="0.2">
      <c r="D915" s="6"/>
    </row>
    <row r="916" spans="4:4" x14ac:dyDescent="0.2">
      <c r="D916" s="6"/>
    </row>
    <row r="917" spans="4:4" x14ac:dyDescent="0.2">
      <c r="D917" s="6"/>
    </row>
    <row r="918" spans="4:4" x14ac:dyDescent="0.2">
      <c r="D918" s="6"/>
    </row>
    <row r="919" spans="4:4" x14ac:dyDescent="0.2">
      <c r="D919" s="6"/>
    </row>
    <row r="920" spans="4:4" x14ac:dyDescent="0.2">
      <c r="D920" s="6"/>
    </row>
    <row r="921" spans="4:4" x14ac:dyDescent="0.2">
      <c r="D921" s="6"/>
    </row>
    <row r="922" spans="4:4" x14ac:dyDescent="0.2">
      <c r="D922" s="6"/>
    </row>
    <row r="923" spans="4:4" x14ac:dyDescent="0.2">
      <c r="D923" s="6"/>
    </row>
    <row r="924" spans="4:4" x14ac:dyDescent="0.2">
      <c r="D924" s="6"/>
    </row>
    <row r="925" spans="4:4" x14ac:dyDescent="0.2">
      <c r="D925" s="6"/>
    </row>
    <row r="926" spans="4:4" x14ac:dyDescent="0.2">
      <c r="D926" s="6"/>
    </row>
    <row r="927" spans="4:4" x14ac:dyDescent="0.2">
      <c r="D927" s="6"/>
    </row>
    <row r="928" spans="4:4" x14ac:dyDescent="0.2">
      <c r="D928" s="6"/>
    </row>
    <row r="929" spans="4:4" x14ac:dyDescent="0.2">
      <c r="D929" s="6"/>
    </row>
    <row r="930" spans="4:4" x14ac:dyDescent="0.2">
      <c r="D930" s="6"/>
    </row>
    <row r="931" spans="4:4" x14ac:dyDescent="0.2">
      <c r="D931" s="6"/>
    </row>
    <row r="932" spans="4:4" x14ac:dyDescent="0.2">
      <c r="D932" s="6"/>
    </row>
    <row r="933" spans="4:4" x14ac:dyDescent="0.2">
      <c r="D933" s="6"/>
    </row>
    <row r="934" spans="4:4" x14ac:dyDescent="0.2">
      <c r="D934" s="6"/>
    </row>
    <row r="935" spans="4:4" x14ac:dyDescent="0.2">
      <c r="D935" s="6"/>
    </row>
    <row r="936" spans="4:4" x14ac:dyDescent="0.2">
      <c r="D936" s="6"/>
    </row>
    <row r="937" spans="4:4" x14ac:dyDescent="0.2">
      <c r="D937" s="6"/>
    </row>
    <row r="938" spans="4:4" x14ac:dyDescent="0.2">
      <c r="D938" s="6"/>
    </row>
    <row r="939" spans="4:4" x14ac:dyDescent="0.2">
      <c r="D939" s="6"/>
    </row>
    <row r="940" spans="4:4" x14ac:dyDescent="0.2">
      <c r="D940" s="6"/>
    </row>
    <row r="941" spans="4:4" x14ac:dyDescent="0.2">
      <c r="D941" s="6"/>
    </row>
    <row r="942" spans="4:4" x14ac:dyDescent="0.2">
      <c r="D942" s="6"/>
    </row>
    <row r="943" spans="4:4" x14ac:dyDescent="0.2">
      <c r="D943" s="6"/>
    </row>
    <row r="944" spans="4:4" x14ac:dyDescent="0.2">
      <c r="D944" s="6"/>
    </row>
    <row r="945" spans="4:4" x14ac:dyDescent="0.2">
      <c r="D945" s="6"/>
    </row>
    <row r="946" spans="4:4" x14ac:dyDescent="0.2">
      <c r="D946" s="6"/>
    </row>
    <row r="947" spans="4:4" x14ac:dyDescent="0.2">
      <c r="D947" s="6"/>
    </row>
    <row r="948" spans="4:4" x14ac:dyDescent="0.2">
      <c r="D948" s="6"/>
    </row>
    <row r="949" spans="4:4" x14ac:dyDescent="0.2">
      <c r="D949" s="6"/>
    </row>
    <row r="950" spans="4:4" x14ac:dyDescent="0.2">
      <c r="D950" s="6"/>
    </row>
    <row r="951" spans="4:4" x14ac:dyDescent="0.2">
      <c r="D951" s="6"/>
    </row>
    <row r="952" spans="4:4" x14ac:dyDescent="0.2">
      <c r="D952" s="6"/>
    </row>
    <row r="953" spans="4:4" x14ac:dyDescent="0.2">
      <c r="D953" s="6"/>
    </row>
    <row r="954" spans="4:4" x14ac:dyDescent="0.2">
      <c r="D954" s="6"/>
    </row>
    <row r="955" spans="4:4" x14ac:dyDescent="0.2">
      <c r="D955" s="6"/>
    </row>
    <row r="956" spans="4:4" x14ac:dyDescent="0.2">
      <c r="D956" s="6"/>
    </row>
    <row r="957" spans="4:4" x14ac:dyDescent="0.2">
      <c r="D957" s="6"/>
    </row>
    <row r="958" spans="4:4" x14ac:dyDescent="0.2">
      <c r="D958" s="6"/>
    </row>
    <row r="959" spans="4:4" x14ac:dyDescent="0.2">
      <c r="D959" s="6"/>
    </row>
    <row r="960" spans="4:4" x14ac:dyDescent="0.2">
      <c r="D960" s="6"/>
    </row>
    <row r="961" spans="4:4" x14ac:dyDescent="0.2">
      <c r="D961" s="6"/>
    </row>
    <row r="962" spans="4:4" x14ac:dyDescent="0.2">
      <c r="D962" s="6"/>
    </row>
    <row r="963" spans="4:4" x14ac:dyDescent="0.2">
      <c r="D963" s="6"/>
    </row>
    <row r="964" spans="4:4" x14ac:dyDescent="0.2">
      <c r="D964" s="6"/>
    </row>
    <row r="965" spans="4:4" x14ac:dyDescent="0.2">
      <c r="D965" s="6"/>
    </row>
    <row r="966" spans="4:4" x14ac:dyDescent="0.2">
      <c r="D966" s="6"/>
    </row>
    <row r="967" spans="4:4" x14ac:dyDescent="0.2">
      <c r="D967" s="6"/>
    </row>
    <row r="968" spans="4:4" x14ac:dyDescent="0.2">
      <c r="D968" s="6"/>
    </row>
    <row r="969" spans="4:4" x14ac:dyDescent="0.2">
      <c r="D969" s="6"/>
    </row>
    <row r="970" spans="4:4" x14ac:dyDescent="0.2">
      <c r="D970" s="6"/>
    </row>
    <row r="971" spans="4:4" x14ac:dyDescent="0.2">
      <c r="D971" s="6"/>
    </row>
    <row r="972" spans="4:4" x14ac:dyDescent="0.2">
      <c r="D972" s="6"/>
    </row>
    <row r="973" spans="4:4" x14ac:dyDescent="0.2">
      <c r="D973" s="6"/>
    </row>
    <row r="974" spans="4:4" x14ac:dyDescent="0.2">
      <c r="D974" s="6"/>
    </row>
    <row r="975" spans="4:4" x14ac:dyDescent="0.2">
      <c r="D975" s="6"/>
    </row>
    <row r="976" spans="4:4" x14ac:dyDescent="0.2">
      <c r="D976" s="6"/>
    </row>
    <row r="977" spans="4:4" x14ac:dyDescent="0.2">
      <c r="D977" s="6"/>
    </row>
    <row r="978" spans="4:4" x14ac:dyDescent="0.2">
      <c r="D978" s="6"/>
    </row>
    <row r="979" spans="4:4" x14ac:dyDescent="0.2">
      <c r="D979" s="6"/>
    </row>
    <row r="980" spans="4:4" x14ac:dyDescent="0.2">
      <c r="D980" s="6"/>
    </row>
    <row r="981" spans="4:4" x14ac:dyDescent="0.2">
      <c r="D981" s="6"/>
    </row>
    <row r="982" spans="4:4" x14ac:dyDescent="0.2">
      <c r="D982" s="6"/>
    </row>
    <row r="983" spans="4:4" x14ac:dyDescent="0.2">
      <c r="D983" s="6"/>
    </row>
    <row r="984" spans="4:4" x14ac:dyDescent="0.2">
      <c r="D984" s="6"/>
    </row>
    <row r="985" spans="4:4" x14ac:dyDescent="0.2">
      <c r="D985" s="6"/>
    </row>
    <row r="986" spans="4:4" x14ac:dyDescent="0.2">
      <c r="D986" s="6"/>
    </row>
    <row r="987" spans="4:4" x14ac:dyDescent="0.2">
      <c r="D987" s="6"/>
    </row>
    <row r="988" spans="4:4" x14ac:dyDescent="0.2">
      <c r="D988" s="6"/>
    </row>
    <row r="989" spans="4:4" x14ac:dyDescent="0.2">
      <c r="D989" s="6"/>
    </row>
    <row r="990" spans="4:4" x14ac:dyDescent="0.2">
      <c r="D990" s="6"/>
    </row>
    <row r="991" spans="4:4" x14ac:dyDescent="0.2">
      <c r="D991" s="6"/>
    </row>
    <row r="992" spans="4:4" x14ac:dyDescent="0.2">
      <c r="D992" s="6"/>
    </row>
    <row r="993" spans="4:4" x14ac:dyDescent="0.2">
      <c r="D993" s="6"/>
    </row>
    <row r="994" spans="4:4" x14ac:dyDescent="0.2">
      <c r="D994" s="6"/>
    </row>
    <row r="995" spans="4:4" x14ac:dyDescent="0.2">
      <c r="D995" s="6"/>
    </row>
    <row r="996" spans="4:4" x14ac:dyDescent="0.2">
      <c r="D996" s="6"/>
    </row>
    <row r="997" spans="4:4" x14ac:dyDescent="0.2">
      <c r="D997" s="6"/>
    </row>
    <row r="998" spans="4:4" x14ac:dyDescent="0.2">
      <c r="D998" s="6"/>
    </row>
    <row r="999" spans="4:4" x14ac:dyDescent="0.2">
      <c r="D999" s="6"/>
    </row>
    <row r="1000" spans="4:4" x14ac:dyDescent="0.2">
      <c r="D1000" s="6"/>
    </row>
    <row r="1001" spans="4:4" x14ac:dyDescent="0.2">
      <c r="D1001" s="6"/>
    </row>
    <row r="1002" spans="4:4" x14ac:dyDescent="0.2">
      <c r="D1002" s="6"/>
    </row>
    <row r="1003" spans="4:4" x14ac:dyDescent="0.2">
      <c r="D1003" s="6"/>
    </row>
    <row r="1004" spans="4:4" x14ac:dyDescent="0.2">
      <c r="D1004" s="6"/>
    </row>
    <row r="1005" spans="4:4" x14ac:dyDescent="0.2">
      <c r="D1005" s="6"/>
    </row>
    <row r="1006" spans="4:4" x14ac:dyDescent="0.2">
      <c r="D1006" s="6"/>
    </row>
    <row r="1007" spans="4:4" x14ac:dyDescent="0.2">
      <c r="D1007" s="6"/>
    </row>
    <row r="1008" spans="4:4" x14ac:dyDescent="0.2">
      <c r="D1008" s="6"/>
    </row>
    <row r="1009" spans="4:4" x14ac:dyDescent="0.2">
      <c r="D1009" s="6"/>
    </row>
    <row r="1010" spans="4:4" x14ac:dyDescent="0.2">
      <c r="D1010" s="6"/>
    </row>
    <row r="1011" spans="4:4" x14ac:dyDescent="0.2">
      <c r="D1011" s="6"/>
    </row>
    <row r="1012" spans="4:4" x14ac:dyDescent="0.2">
      <c r="D1012" s="6"/>
    </row>
    <row r="1013" spans="4:4" x14ac:dyDescent="0.2">
      <c r="D1013" s="6"/>
    </row>
    <row r="1014" spans="4:4" x14ac:dyDescent="0.2">
      <c r="D1014" s="6"/>
    </row>
    <row r="1015" spans="4:4" x14ac:dyDescent="0.2">
      <c r="D1015" s="6"/>
    </row>
    <row r="1016" spans="4:4" x14ac:dyDescent="0.2">
      <c r="D1016" s="6"/>
    </row>
    <row r="1017" spans="4:4" x14ac:dyDescent="0.2">
      <c r="D1017" s="6"/>
    </row>
    <row r="1018" spans="4:4" x14ac:dyDescent="0.2">
      <c r="D1018" s="6"/>
    </row>
    <row r="1019" spans="4:4" x14ac:dyDescent="0.2">
      <c r="D1019" s="6"/>
    </row>
    <row r="1020" spans="4:4" x14ac:dyDescent="0.2">
      <c r="D1020" s="6"/>
    </row>
    <row r="1021" spans="4:4" x14ac:dyDescent="0.2">
      <c r="D1021" s="6"/>
    </row>
    <row r="1022" spans="4:4" x14ac:dyDescent="0.2">
      <c r="D1022" s="6"/>
    </row>
    <row r="1023" spans="4:4" x14ac:dyDescent="0.2">
      <c r="D1023" s="6"/>
    </row>
    <row r="1024" spans="4:4" x14ac:dyDescent="0.2">
      <c r="D1024" s="6"/>
    </row>
    <row r="1025" spans="4:4" x14ac:dyDescent="0.2">
      <c r="D1025" s="6"/>
    </row>
    <row r="1026" spans="4:4" x14ac:dyDescent="0.2">
      <c r="D1026" s="6"/>
    </row>
    <row r="1027" spans="4:4" x14ac:dyDescent="0.2">
      <c r="D1027" s="6"/>
    </row>
    <row r="1028" spans="4:4" x14ac:dyDescent="0.2">
      <c r="D1028" s="6"/>
    </row>
    <row r="1029" spans="4:4" x14ac:dyDescent="0.2">
      <c r="D1029" s="6"/>
    </row>
    <row r="1030" spans="4:4" x14ac:dyDescent="0.2">
      <c r="D1030" s="6"/>
    </row>
    <row r="1031" spans="4:4" x14ac:dyDescent="0.2">
      <c r="D1031" s="6"/>
    </row>
    <row r="1032" spans="4:4" x14ac:dyDescent="0.2">
      <c r="D1032" s="6"/>
    </row>
    <row r="1033" spans="4:4" x14ac:dyDescent="0.2">
      <c r="D1033" s="6"/>
    </row>
    <row r="1034" spans="4:4" x14ac:dyDescent="0.2">
      <c r="D1034" s="6"/>
    </row>
    <row r="1035" spans="4:4" x14ac:dyDescent="0.2">
      <c r="D1035" s="6"/>
    </row>
    <row r="1036" spans="4:4" x14ac:dyDescent="0.2">
      <c r="D1036" s="6"/>
    </row>
    <row r="1037" spans="4:4" x14ac:dyDescent="0.2">
      <c r="D1037" s="6"/>
    </row>
    <row r="1038" spans="4:4" x14ac:dyDescent="0.2">
      <c r="D1038" s="6"/>
    </row>
    <row r="1039" spans="4:4" x14ac:dyDescent="0.2">
      <c r="D1039" s="6"/>
    </row>
    <row r="1040" spans="4:4" x14ac:dyDescent="0.2">
      <c r="D1040" s="6"/>
    </row>
    <row r="1041" spans="4:4" x14ac:dyDescent="0.2">
      <c r="D1041" s="6"/>
    </row>
    <row r="1042" spans="4:4" x14ac:dyDescent="0.2">
      <c r="D1042" s="6"/>
    </row>
    <row r="1043" spans="4:4" x14ac:dyDescent="0.2">
      <c r="D1043" s="6"/>
    </row>
    <row r="1044" spans="4:4" x14ac:dyDescent="0.2">
      <c r="D1044" s="6"/>
    </row>
    <row r="1045" spans="4:4" x14ac:dyDescent="0.2">
      <c r="D1045" s="6"/>
    </row>
    <row r="1046" spans="4:4" x14ac:dyDescent="0.2">
      <c r="D1046" s="6"/>
    </row>
    <row r="1047" spans="4:4" x14ac:dyDescent="0.2">
      <c r="D1047" s="6"/>
    </row>
    <row r="1048" spans="4:4" x14ac:dyDescent="0.2">
      <c r="D1048" s="6"/>
    </row>
    <row r="1049" spans="4:4" x14ac:dyDescent="0.2">
      <c r="D1049" s="6"/>
    </row>
    <row r="1050" spans="4:4" x14ac:dyDescent="0.2">
      <c r="D1050" s="6"/>
    </row>
    <row r="1051" spans="4:4" x14ac:dyDescent="0.2">
      <c r="D1051" s="6"/>
    </row>
    <row r="1052" spans="4:4" x14ac:dyDescent="0.2">
      <c r="D1052" s="6"/>
    </row>
    <row r="1053" spans="4:4" x14ac:dyDescent="0.2">
      <c r="D1053" s="6"/>
    </row>
    <row r="1054" spans="4:4" x14ac:dyDescent="0.2">
      <c r="D1054" s="6"/>
    </row>
    <row r="1055" spans="4:4" x14ac:dyDescent="0.2">
      <c r="D1055" s="6"/>
    </row>
    <row r="1056" spans="4:4" x14ac:dyDescent="0.2">
      <c r="D1056" s="6"/>
    </row>
    <row r="1057" spans="4:4" x14ac:dyDescent="0.2">
      <c r="D1057" s="6"/>
    </row>
    <row r="1058" spans="4:4" x14ac:dyDescent="0.2">
      <c r="D1058" s="6"/>
    </row>
    <row r="1059" spans="4:4" x14ac:dyDescent="0.2">
      <c r="D1059" s="6"/>
    </row>
    <row r="1060" spans="4:4" x14ac:dyDescent="0.2">
      <c r="D1060" s="6"/>
    </row>
    <row r="1061" spans="4:4" x14ac:dyDescent="0.2">
      <c r="D1061" s="6"/>
    </row>
    <row r="1062" spans="4:4" x14ac:dyDescent="0.2">
      <c r="D1062" s="6"/>
    </row>
    <row r="1063" spans="4:4" x14ac:dyDescent="0.2">
      <c r="D1063" s="6"/>
    </row>
    <row r="1064" spans="4:4" x14ac:dyDescent="0.2">
      <c r="D1064" s="6"/>
    </row>
    <row r="1065" spans="4:4" x14ac:dyDescent="0.2">
      <c r="D1065" s="6"/>
    </row>
    <row r="1066" spans="4:4" x14ac:dyDescent="0.2">
      <c r="D1066" s="6"/>
    </row>
    <row r="1067" spans="4:4" x14ac:dyDescent="0.2">
      <c r="D1067" s="6"/>
    </row>
    <row r="1068" spans="4:4" x14ac:dyDescent="0.2">
      <c r="D1068" s="6"/>
    </row>
    <row r="1069" spans="4:4" x14ac:dyDescent="0.2">
      <c r="D1069" s="6"/>
    </row>
    <row r="1070" spans="4:4" x14ac:dyDescent="0.2">
      <c r="D1070" s="6"/>
    </row>
    <row r="1071" spans="4:4" x14ac:dyDescent="0.2">
      <c r="D1071" s="6"/>
    </row>
    <row r="1072" spans="4:4" x14ac:dyDescent="0.2">
      <c r="D1072" s="6"/>
    </row>
    <row r="1073" spans="4:4" x14ac:dyDescent="0.2">
      <c r="D1073" s="6"/>
    </row>
    <row r="1074" spans="4:4" x14ac:dyDescent="0.2">
      <c r="D1074" s="6"/>
    </row>
    <row r="1075" spans="4:4" x14ac:dyDescent="0.2">
      <c r="D1075" s="6"/>
    </row>
    <row r="1076" spans="4:4" x14ac:dyDescent="0.2">
      <c r="D1076" s="6"/>
    </row>
    <row r="1077" spans="4:4" x14ac:dyDescent="0.2">
      <c r="D1077" s="6"/>
    </row>
    <row r="1078" spans="4:4" x14ac:dyDescent="0.2">
      <c r="D1078" s="6"/>
    </row>
    <row r="1079" spans="4:4" x14ac:dyDescent="0.2">
      <c r="D1079" s="6"/>
    </row>
    <row r="1080" spans="4:4" x14ac:dyDescent="0.2">
      <c r="D1080" s="6"/>
    </row>
    <row r="1081" spans="4:4" x14ac:dyDescent="0.2">
      <c r="D1081" s="6"/>
    </row>
    <row r="1082" spans="4:4" x14ac:dyDescent="0.2">
      <c r="D1082" s="6"/>
    </row>
    <row r="1083" spans="4:4" x14ac:dyDescent="0.2">
      <c r="D1083" s="6"/>
    </row>
    <row r="1084" spans="4:4" x14ac:dyDescent="0.2">
      <c r="D1084" s="6"/>
    </row>
    <row r="1085" spans="4:4" x14ac:dyDescent="0.2">
      <c r="D1085" s="6"/>
    </row>
    <row r="1086" spans="4:4" x14ac:dyDescent="0.2">
      <c r="D1086" s="6"/>
    </row>
    <row r="1087" spans="4:4" x14ac:dyDescent="0.2">
      <c r="D1087" s="6"/>
    </row>
    <row r="1088" spans="4:4" x14ac:dyDescent="0.2">
      <c r="D1088" s="6"/>
    </row>
    <row r="1089" spans="4:4" x14ac:dyDescent="0.2">
      <c r="D1089" s="6"/>
    </row>
    <row r="1090" spans="4:4" x14ac:dyDescent="0.2">
      <c r="D1090" s="6"/>
    </row>
    <row r="1091" spans="4:4" x14ac:dyDescent="0.2">
      <c r="D1091" s="6"/>
    </row>
    <row r="1092" spans="4:4" x14ac:dyDescent="0.2">
      <c r="D1092" s="6"/>
    </row>
    <row r="1093" spans="4:4" x14ac:dyDescent="0.2">
      <c r="D1093" s="6"/>
    </row>
    <row r="1094" spans="4:4" x14ac:dyDescent="0.2">
      <c r="D1094" s="6"/>
    </row>
    <row r="1095" spans="4:4" x14ac:dyDescent="0.2">
      <c r="D1095" s="6"/>
    </row>
    <row r="1096" spans="4:4" x14ac:dyDescent="0.2">
      <c r="D1096" s="6"/>
    </row>
    <row r="1097" spans="4:4" x14ac:dyDescent="0.2">
      <c r="D1097" s="6"/>
    </row>
    <row r="1098" spans="4:4" x14ac:dyDescent="0.2">
      <c r="D1098" s="6"/>
    </row>
    <row r="1099" spans="4:4" x14ac:dyDescent="0.2">
      <c r="D1099" s="6"/>
    </row>
    <row r="1100" spans="4:4" x14ac:dyDescent="0.2">
      <c r="D1100" s="6"/>
    </row>
    <row r="1101" spans="4:4" x14ac:dyDescent="0.2">
      <c r="D1101" s="6"/>
    </row>
    <row r="1102" spans="4:4" x14ac:dyDescent="0.2">
      <c r="D1102" s="6"/>
    </row>
    <row r="1103" spans="4:4" x14ac:dyDescent="0.2">
      <c r="D1103" s="6"/>
    </row>
    <row r="1104" spans="4:4" x14ac:dyDescent="0.2">
      <c r="D1104" s="6"/>
    </row>
    <row r="1105" spans="4:4" x14ac:dyDescent="0.2">
      <c r="D1105" s="6"/>
    </row>
    <row r="1106" spans="4:4" x14ac:dyDescent="0.2">
      <c r="D1106" s="6"/>
    </row>
    <row r="1107" spans="4:4" x14ac:dyDescent="0.2">
      <c r="D1107" s="6"/>
    </row>
    <row r="1108" spans="4:4" x14ac:dyDescent="0.2">
      <c r="D1108" s="6"/>
    </row>
    <row r="1109" spans="4:4" x14ac:dyDescent="0.2">
      <c r="D1109" s="6"/>
    </row>
    <row r="1110" spans="4:4" x14ac:dyDescent="0.2">
      <c r="D1110" s="6"/>
    </row>
    <row r="1111" spans="4:4" x14ac:dyDescent="0.2">
      <c r="D1111" s="6"/>
    </row>
    <row r="1112" spans="4:4" x14ac:dyDescent="0.2">
      <c r="D1112" s="6"/>
    </row>
    <row r="1113" spans="4:4" x14ac:dyDescent="0.2">
      <c r="D1113" s="6"/>
    </row>
    <row r="1114" spans="4:4" x14ac:dyDescent="0.2">
      <c r="D1114" s="6"/>
    </row>
    <row r="1115" spans="4:4" x14ac:dyDescent="0.2">
      <c r="D1115" s="6"/>
    </row>
    <row r="1116" spans="4:4" x14ac:dyDescent="0.2">
      <c r="D1116" s="6"/>
    </row>
    <row r="1117" spans="4:4" x14ac:dyDescent="0.2">
      <c r="D1117" s="6"/>
    </row>
    <row r="1118" spans="4:4" x14ac:dyDescent="0.2">
      <c r="D1118" s="6"/>
    </row>
    <row r="1119" spans="4:4" x14ac:dyDescent="0.2">
      <c r="D1119" s="6"/>
    </row>
    <row r="1120" spans="4:4" x14ac:dyDescent="0.2">
      <c r="D1120" s="6"/>
    </row>
    <row r="1121" spans="4:4" x14ac:dyDescent="0.2">
      <c r="D1121" s="6"/>
    </row>
    <row r="1122" spans="4:4" x14ac:dyDescent="0.2">
      <c r="D1122" s="6"/>
    </row>
  </sheetData>
  <autoFilter ref="L1:L1123" xr:uid="{2C1F5DEA-167A-B14A-818F-DB7FEE63D6E9}">
    <sortState xmlns:xlrd2="http://schemas.microsoft.com/office/spreadsheetml/2017/richdata2" ref="L2:L1123">
      <sortCondition sortBy="cellColor" ref="L1:L1123" dxfId="510"/>
    </sortState>
  </autoFilter>
  <sortState xmlns:xlrd2="http://schemas.microsoft.com/office/spreadsheetml/2017/richdata2" ref="L2:L1126">
    <sortCondition ref="L1:L1126"/>
  </sortState>
  <conditionalFormatting sqref="A1">
    <cfRule type="duplicateValues" dxfId="283" priority="63"/>
    <cfRule type="duplicateValues" dxfId="282" priority="62"/>
    <cfRule type="duplicateValues" dxfId="281" priority="61"/>
  </conditionalFormatting>
  <conditionalFormatting sqref="A1:A21">
    <cfRule type="duplicateValues" dxfId="280" priority="64"/>
  </conditionalFormatting>
  <conditionalFormatting sqref="A1:A40">
    <cfRule type="duplicateValues" dxfId="279" priority="65"/>
  </conditionalFormatting>
  <conditionalFormatting sqref="A1:A1048576">
    <cfRule type="duplicateValues" dxfId="278" priority="49"/>
  </conditionalFormatting>
  <conditionalFormatting sqref="A2:A21">
    <cfRule type="duplicateValues" dxfId="277" priority="60"/>
  </conditionalFormatting>
  <conditionalFormatting sqref="A22:A37">
    <cfRule type="duplicateValues" dxfId="276" priority="59"/>
  </conditionalFormatting>
  <conditionalFormatting sqref="A38:A40">
    <cfRule type="duplicateValues" dxfId="275" priority="58"/>
  </conditionalFormatting>
  <conditionalFormatting sqref="A156:A182">
    <cfRule type="duplicateValues" dxfId="274" priority="51"/>
    <cfRule type="duplicateValues" dxfId="273" priority="50"/>
  </conditionalFormatting>
  <conditionalFormatting sqref="A183:A1048576 A1:A155">
    <cfRule type="duplicateValues" dxfId="272" priority="52"/>
  </conditionalFormatting>
  <conditionalFormatting sqref="A249:A283">
    <cfRule type="duplicateValues" dxfId="271" priority="54"/>
    <cfRule type="duplicateValues" dxfId="270" priority="53"/>
  </conditionalFormatting>
  <conditionalFormatting sqref="A284:A1048576 A1:A40">
    <cfRule type="duplicateValues" dxfId="269" priority="57"/>
  </conditionalFormatting>
  <conditionalFormatting sqref="A284:A1048576 A1:A60">
    <cfRule type="duplicateValues" dxfId="268" priority="56"/>
  </conditionalFormatting>
  <conditionalFormatting sqref="A284:A1048576 A1:A89">
    <cfRule type="duplicateValues" dxfId="267" priority="55"/>
  </conditionalFormatting>
  <conditionalFormatting sqref="B1">
    <cfRule type="duplicateValues" dxfId="266" priority="47"/>
  </conditionalFormatting>
  <conditionalFormatting sqref="B1:B1048576">
    <cfRule type="duplicateValues" dxfId="265" priority="29"/>
    <cfRule type="duplicateValues" dxfId="264" priority="30"/>
  </conditionalFormatting>
  <conditionalFormatting sqref="B2:B245">
    <cfRule type="duplicateValues" dxfId="263" priority="48"/>
  </conditionalFormatting>
  <conditionalFormatting sqref="B246:B262">
    <cfRule type="duplicateValues" dxfId="262" priority="46"/>
  </conditionalFormatting>
  <conditionalFormatting sqref="B263:B273">
    <cfRule type="duplicateValues" dxfId="261" priority="44"/>
  </conditionalFormatting>
  <conditionalFormatting sqref="B274:B300">
    <cfRule type="duplicateValues" dxfId="260" priority="42"/>
  </conditionalFormatting>
  <conditionalFormatting sqref="B301:B316">
    <cfRule type="duplicateValues" dxfId="259" priority="40"/>
  </conditionalFormatting>
  <conditionalFormatting sqref="B317:B318">
    <cfRule type="duplicateValues" dxfId="258" priority="39"/>
  </conditionalFormatting>
  <conditionalFormatting sqref="B383:B409">
    <cfRule type="duplicateValues" dxfId="257" priority="32"/>
    <cfRule type="duplicateValues" dxfId="256" priority="31"/>
  </conditionalFormatting>
  <conditionalFormatting sqref="B410:B1048576 B1:B382">
    <cfRule type="duplicateValues" dxfId="255" priority="33"/>
  </conditionalFormatting>
  <conditionalFormatting sqref="B510:B544">
    <cfRule type="duplicateValues" dxfId="254" priority="34"/>
    <cfRule type="duplicateValues" dxfId="253" priority="35"/>
  </conditionalFormatting>
  <conditionalFormatting sqref="B545:B1048576 B1:B262">
    <cfRule type="duplicateValues" dxfId="252" priority="45"/>
  </conditionalFormatting>
  <conditionalFormatting sqref="B545:B1048576 B1:B273">
    <cfRule type="duplicateValues" dxfId="251" priority="43"/>
  </conditionalFormatting>
  <conditionalFormatting sqref="B545:B1048576 B1:B300">
    <cfRule type="duplicateValues" dxfId="250" priority="41"/>
  </conditionalFormatting>
  <conditionalFormatting sqref="B545:B1048576 B1:B318">
    <cfRule type="duplicateValues" dxfId="249" priority="38"/>
  </conditionalFormatting>
  <conditionalFormatting sqref="B545:B1048576 B1:B335">
    <cfRule type="duplicateValues" dxfId="248" priority="37"/>
  </conditionalFormatting>
  <conditionalFormatting sqref="B545:B1048576 B1:B350">
    <cfRule type="duplicateValues" dxfId="247" priority="36"/>
  </conditionalFormatting>
  <conditionalFormatting sqref="C1">
    <cfRule type="duplicateValues" dxfId="246" priority="17"/>
    <cfRule type="duplicateValues" dxfId="245" priority="15"/>
    <cfRule type="duplicateValues" dxfId="244" priority="16"/>
    <cfRule type="duplicateValues" dxfId="243" priority="22"/>
    <cfRule type="duplicateValues" dxfId="242" priority="21"/>
    <cfRule type="duplicateValues" dxfId="241" priority="20"/>
    <cfRule type="duplicateValues" dxfId="240" priority="19"/>
    <cfRule type="duplicateValues" dxfId="239" priority="18"/>
  </conditionalFormatting>
  <conditionalFormatting sqref="C1:C1048576">
    <cfRule type="duplicateValues" dxfId="238" priority="7"/>
  </conditionalFormatting>
  <conditionalFormatting sqref="C2:C8">
    <cfRule type="duplicateValues" dxfId="237" priority="25"/>
    <cfRule type="duplicateValues" dxfId="236" priority="24"/>
  </conditionalFormatting>
  <conditionalFormatting sqref="C72:C98">
    <cfRule type="duplicateValues" dxfId="235" priority="9"/>
    <cfRule type="duplicateValues" dxfId="234" priority="8"/>
  </conditionalFormatting>
  <conditionalFormatting sqref="C99:C1048576 C1:C71">
    <cfRule type="duplicateValues" dxfId="233" priority="10"/>
  </conditionalFormatting>
  <conditionalFormatting sqref="C207:C241">
    <cfRule type="duplicateValues" dxfId="232" priority="12"/>
    <cfRule type="duplicateValues" dxfId="231" priority="11"/>
  </conditionalFormatting>
  <conditionalFormatting sqref="C242:C1048576 C1:C29">
    <cfRule type="duplicateValues" dxfId="230" priority="14"/>
  </conditionalFormatting>
  <conditionalFormatting sqref="C242:C1048576 C1:C47">
    <cfRule type="duplicateValues" dxfId="229" priority="13"/>
  </conditionalFormatting>
  <conditionalFormatting sqref="C242:C1048576 C2:C8">
    <cfRule type="duplicateValues" dxfId="228" priority="23"/>
  </conditionalFormatting>
  <conditionalFormatting sqref="C242:C1048576">
    <cfRule type="duplicateValues" dxfId="227" priority="28"/>
    <cfRule type="duplicateValues" dxfId="226" priority="26"/>
    <cfRule type="duplicateValues" dxfId="225" priority="27"/>
  </conditionalFormatting>
  <conditionalFormatting sqref="J1:J1048576">
    <cfRule type="duplicateValues" dxfId="224" priority="5"/>
  </conditionalFormatting>
  <conditionalFormatting sqref="J38:J1048576 J1:J10">
    <cfRule type="duplicateValues" dxfId="223" priority="6"/>
  </conditionalFormatting>
  <conditionalFormatting sqref="K1:K567 K740:K1048576">
    <cfRule type="duplicateValues" dxfId="222" priority="3"/>
  </conditionalFormatting>
  <conditionalFormatting sqref="K100:K567 K740:K1048576 K1:K72">
    <cfRule type="duplicateValues" dxfId="221" priority="4"/>
  </conditionalFormatting>
  <conditionalFormatting sqref="L1:L1048576">
    <cfRule type="duplicateValues" dxfId="220" priority="1"/>
  </conditionalFormatting>
  <conditionalFormatting sqref="L735:L1048576 L1:L562 K568:K739">
    <cfRule type="duplicateValues" dxfId="219" priority="2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D1C3-2098-1A49-B357-29D1FD05697C}">
  <dimension ref="A1:T411"/>
  <sheetViews>
    <sheetView zoomScaleNormal="145" workbookViewId="0">
      <pane ySplit="1" topLeftCell="A2" activePane="bottomLeft" state="frozen"/>
      <selection pane="bottomLeft" activeCell="L11" sqref="L11:M11"/>
    </sheetView>
  </sheetViews>
  <sheetFormatPr baseColWidth="10" defaultRowHeight="16" x14ac:dyDescent="0.2"/>
  <cols>
    <col min="1" max="1" width="13.6640625" style="28" customWidth="1"/>
    <col min="2" max="2" width="14.6640625" style="5" customWidth="1"/>
    <col min="3" max="3" width="13.83203125" style="5" customWidth="1"/>
    <col min="4" max="9" width="10.83203125" style="4"/>
    <col min="10" max="10" width="14.1640625" style="4" customWidth="1"/>
    <col min="11" max="11" width="10.83203125" style="4"/>
    <col min="12" max="12" width="30.6640625" style="5" customWidth="1"/>
    <col min="13" max="16384" width="10.83203125" style="4"/>
  </cols>
  <sheetData>
    <row r="1" spans="1:20" x14ac:dyDescent="0.2">
      <c r="A1" s="36" t="s">
        <v>1986</v>
      </c>
      <c r="B1" s="1" t="s">
        <v>1987</v>
      </c>
      <c r="C1" s="1" t="s">
        <v>1988</v>
      </c>
      <c r="H1" s="3" t="s">
        <v>2002</v>
      </c>
      <c r="I1" s="3" t="s">
        <v>2003</v>
      </c>
      <c r="J1" s="3" t="s">
        <v>2004</v>
      </c>
      <c r="L1" s="1" t="s">
        <v>4921</v>
      </c>
      <c r="N1" s="50" t="s">
        <v>4886</v>
      </c>
      <c r="O1" s="50" t="s">
        <v>4879</v>
      </c>
      <c r="P1" s="50" t="s">
        <v>4880</v>
      </c>
      <c r="Q1" s="50" t="s">
        <v>4881</v>
      </c>
      <c r="R1" s="50" t="s">
        <v>4882</v>
      </c>
      <c r="S1" s="1" t="s">
        <v>4878</v>
      </c>
      <c r="T1" s="1" t="s">
        <v>4885</v>
      </c>
    </row>
    <row r="2" spans="1:20" x14ac:dyDescent="0.2">
      <c r="A2" s="35" t="s">
        <v>1959</v>
      </c>
      <c r="B2" s="16" t="s">
        <v>171</v>
      </c>
      <c r="C2" s="5" t="s">
        <v>134</v>
      </c>
      <c r="H2" s="12" t="s">
        <v>401</v>
      </c>
      <c r="I2" s="4" t="s">
        <v>660</v>
      </c>
      <c r="J2" s="7" t="s">
        <v>200</v>
      </c>
      <c r="L2" s="15" t="s">
        <v>579</v>
      </c>
      <c r="N2" s="48" t="s">
        <v>4883</v>
      </c>
      <c r="O2" s="49">
        <v>0</v>
      </c>
      <c r="P2" s="49">
        <v>0</v>
      </c>
      <c r="Q2" s="49">
        <v>24</v>
      </c>
      <c r="R2" s="49">
        <v>3</v>
      </c>
      <c r="S2" s="5">
        <f>SUM(O2:R2)</f>
        <v>27</v>
      </c>
      <c r="T2" s="5">
        <f>((O2+P2)/S2)*100</f>
        <v>0</v>
      </c>
    </row>
    <row r="3" spans="1:20" x14ac:dyDescent="0.2">
      <c r="A3" s="38" t="s">
        <v>171</v>
      </c>
      <c r="B3" s="5" t="s">
        <v>116</v>
      </c>
      <c r="C3" s="5" t="s">
        <v>628</v>
      </c>
      <c r="H3" s="12" t="s">
        <v>406</v>
      </c>
      <c r="I3" s="4" t="s">
        <v>969</v>
      </c>
      <c r="J3" s="7" t="s">
        <v>380</v>
      </c>
      <c r="L3" s="15" t="s">
        <v>457</v>
      </c>
      <c r="N3" s="48" t="s">
        <v>4884</v>
      </c>
      <c r="O3" s="49">
        <v>2</v>
      </c>
      <c r="P3" s="49">
        <v>3</v>
      </c>
      <c r="Q3" s="49">
        <v>240</v>
      </c>
      <c r="R3" s="49">
        <v>0</v>
      </c>
      <c r="S3" s="5">
        <f>SUM(O3:R3)</f>
        <v>245</v>
      </c>
      <c r="T3" s="5">
        <f>((O3+P3)/S3)*100</f>
        <v>2.0408163265306123</v>
      </c>
    </row>
    <row r="4" spans="1:20" x14ac:dyDescent="0.2">
      <c r="A4" s="35" t="s">
        <v>1084</v>
      </c>
      <c r="B4" s="5" t="s">
        <v>1055</v>
      </c>
      <c r="C4" s="5" t="s">
        <v>814</v>
      </c>
      <c r="H4" s="12" t="s">
        <v>171</v>
      </c>
      <c r="I4" s="4" t="s">
        <v>693</v>
      </c>
      <c r="J4" s="8" t="s">
        <v>606</v>
      </c>
      <c r="L4" s="15" t="s">
        <v>611</v>
      </c>
    </row>
    <row r="5" spans="1:20" x14ac:dyDescent="0.2">
      <c r="A5" s="35" t="s">
        <v>969</v>
      </c>
      <c r="B5" s="10" t="s">
        <v>488</v>
      </c>
      <c r="C5" s="5" t="s">
        <v>634</v>
      </c>
      <c r="I5" s="4" t="s">
        <v>824</v>
      </c>
      <c r="J5" s="8" t="s">
        <v>488</v>
      </c>
      <c r="L5" s="15" t="s">
        <v>23</v>
      </c>
    </row>
    <row r="6" spans="1:20" x14ac:dyDescent="0.2">
      <c r="A6" s="35" t="s">
        <v>865</v>
      </c>
      <c r="B6" s="5" t="s">
        <v>843</v>
      </c>
      <c r="C6" s="5" t="s">
        <v>955</v>
      </c>
      <c r="I6" s="4" t="s">
        <v>780</v>
      </c>
      <c r="J6" s="8" t="s">
        <v>573</v>
      </c>
      <c r="L6" s="15" t="s">
        <v>35</v>
      </c>
    </row>
    <row r="7" spans="1:20" x14ac:dyDescent="0.2">
      <c r="A7" s="35" t="s">
        <v>1101</v>
      </c>
      <c r="B7" s="5" t="s">
        <v>215</v>
      </c>
      <c r="C7" s="5" t="s">
        <v>638</v>
      </c>
      <c r="I7" s="4" t="s">
        <v>134</v>
      </c>
      <c r="J7" s="4" t="s">
        <v>2</v>
      </c>
      <c r="L7" s="15" t="s">
        <v>39</v>
      </c>
    </row>
    <row r="8" spans="1:20" x14ac:dyDescent="0.2">
      <c r="A8" s="39" t="s">
        <v>573</v>
      </c>
      <c r="B8" s="13" t="s">
        <v>380</v>
      </c>
      <c r="C8" s="5" t="s">
        <v>956</v>
      </c>
      <c r="I8" s="4" t="s">
        <v>839</v>
      </c>
      <c r="J8" s="4" t="s">
        <v>1752</v>
      </c>
      <c r="L8" s="15" t="s">
        <v>562</v>
      </c>
    </row>
    <row r="9" spans="1:20" x14ac:dyDescent="0.2">
      <c r="A9" s="35" t="s">
        <v>1094</v>
      </c>
      <c r="B9" s="16" t="s">
        <v>401</v>
      </c>
      <c r="C9" s="5" t="s">
        <v>631</v>
      </c>
      <c r="I9" s="4" t="s">
        <v>409</v>
      </c>
      <c r="J9" s="4" t="s">
        <v>1745</v>
      </c>
      <c r="L9" s="15" t="s">
        <v>496</v>
      </c>
    </row>
    <row r="10" spans="1:20" x14ac:dyDescent="0.2">
      <c r="A10" s="35" t="s">
        <v>1079</v>
      </c>
      <c r="B10" s="5" t="s">
        <v>695</v>
      </c>
      <c r="C10" s="5" t="s">
        <v>635</v>
      </c>
      <c r="I10" s="4" t="s">
        <v>825</v>
      </c>
      <c r="J10" s="4" t="s">
        <v>21</v>
      </c>
      <c r="L10" s="15" t="s">
        <v>77</v>
      </c>
    </row>
    <row r="11" spans="1:20" x14ac:dyDescent="0.2">
      <c r="A11" s="35" t="s">
        <v>1086</v>
      </c>
      <c r="B11" s="5" t="s">
        <v>370</v>
      </c>
      <c r="C11" s="5" t="s">
        <v>637</v>
      </c>
      <c r="I11" s="4" t="s">
        <v>978</v>
      </c>
      <c r="J11" s="4" t="s">
        <v>716</v>
      </c>
      <c r="L11" s="15" t="s">
        <v>501</v>
      </c>
    </row>
    <row r="12" spans="1:20" x14ac:dyDescent="0.2">
      <c r="A12" s="35" t="s">
        <v>1088</v>
      </c>
      <c r="B12" s="17" t="s">
        <v>406</v>
      </c>
      <c r="C12" s="16" t="s">
        <v>171</v>
      </c>
      <c r="I12" s="4" t="s">
        <v>712</v>
      </c>
      <c r="J12" s="4" t="s">
        <v>29</v>
      </c>
      <c r="L12" s="15" t="s">
        <v>507</v>
      </c>
    </row>
    <row r="13" spans="1:20" x14ac:dyDescent="0.2">
      <c r="A13" s="35" t="s">
        <v>1111</v>
      </c>
      <c r="B13" s="5" t="s">
        <v>780</v>
      </c>
      <c r="C13" s="5" t="s">
        <v>367</v>
      </c>
      <c r="I13" s="4" t="s">
        <v>864</v>
      </c>
      <c r="J13" s="4" t="s">
        <v>37</v>
      </c>
      <c r="L13" s="10" t="s">
        <v>81</v>
      </c>
    </row>
    <row r="14" spans="1:20" x14ac:dyDescent="0.2">
      <c r="A14" s="35" t="s">
        <v>1732</v>
      </c>
      <c r="B14" s="5" t="s">
        <v>1061</v>
      </c>
      <c r="C14" s="5" t="s">
        <v>957</v>
      </c>
      <c r="I14" s="4" t="s">
        <v>891</v>
      </c>
      <c r="J14" s="4" t="s">
        <v>1061</v>
      </c>
      <c r="L14" s="15" t="s">
        <v>108</v>
      </c>
    </row>
    <row r="15" spans="1:20" x14ac:dyDescent="0.2">
      <c r="A15" s="35" t="s">
        <v>469</v>
      </c>
      <c r="B15" s="5" t="s">
        <v>1058</v>
      </c>
      <c r="C15" s="5" t="s">
        <v>645</v>
      </c>
      <c r="I15" s="4" t="s">
        <v>892</v>
      </c>
      <c r="J15" s="4" t="s">
        <v>12</v>
      </c>
      <c r="L15" s="15" t="s">
        <v>422</v>
      </c>
    </row>
    <row r="16" spans="1:20" x14ac:dyDescent="0.2">
      <c r="A16" s="35" t="s">
        <v>1096</v>
      </c>
      <c r="B16" s="5" t="s">
        <v>12</v>
      </c>
      <c r="C16" s="5" t="s">
        <v>82</v>
      </c>
      <c r="I16" s="4" t="s">
        <v>909</v>
      </c>
      <c r="J16" s="4" t="s">
        <v>1964</v>
      </c>
      <c r="L16" s="15" t="s">
        <v>535</v>
      </c>
    </row>
    <row r="17" spans="1:12" x14ac:dyDescent="0.2">
      <c r="A17" s="35" t="s">
        <v>1874</v>
      </c>
      <c r="B17" s="5" t="s">
        <v>1062</v>
      </c>
      <c r="C17" s="17" t="s">
        <v>406</v>
      </c>
      <c r="I17" s="4" t="s">
        <v>767</v>
      </c>
      <c r="J17" s="4" t="s">
        <v>967</v>
      </c>
      <c r="L17" s="15" t="s">
        <v>512</v>
      </c>
    </row>
    <row r="18" spans="1:12" x14ac:dyDescent="0.2">
      <c r="A18" s="35" t="s">
        <v>1960</v>
      </c>
      <c r="B18" s="5" t="s">
        <v>1063</v>
      </c>
      <c r="C18" s="5" t="s">
        <v>894</v>
      </c>
      <c r="I18" s="4" t="s">
        <v>718</v>
      </c>
      <c r="J18" s="4" t="s">
        <v>1069</v>
      </c>
      <c r="L18" s="15" t="s">
        <v>568</v>
      </c>
    </row>
    <row r="19" spans="1:12" x14ac:dyDescent="0.2">
      <c r="A19" s="37" t="s">
        <v>200</v>
      </c>
      <c r="B19" s="5" t="s">
        <v>1064</v>
      </c>
      <c r="C19" s="5" t="s">
        <v>649</v>
      </c>
      <c r="I19" s="4" t="s">
        <v>658</v>
      </c>
      <c r="J19" s="4" t="s">
        <v>1146</v>
      </c>
      <c r="L19" s="15" t="s">
        <v>571</v>
      </c>
    </row>
    <row r="20" spans="1:12" x14ac:dyDescent="0.2">
      <c r="A20" s="35" t="s">
        <v>102</v>
      </c>
      <c r="B20" s="5" t="s">
        <v>1059</v>
      </c>
      <c r="C20" s="5" t="s">
        <v>958</v>
      </c>
      <c r="I20" s="4" t="s">
        <v>651</v>
      </c>
      <c r="J20" s="4" t="s">
        <v>843</v>
      </c>
      <c r="L20" s="15" t="s">
        <v>521</v>
      </c>
    </row>
    <row r="21" spans="1:12" x14ac:dyDescent="0.2">
      <c r="A21" s="35" t="s">
        <v>767</v>
      </c>
      <c r="B21" s="5" t="s">
        <v>803</v>
      </c>
      <c r="C21" s="5" t="s">
        <v>648</v>
      </c>
      <c r="I21" s="4" t="s">
        <v>647</v>
      </c>
      <c r="J21" s="4" t="s">
        <v>1068</v>
      </c>
      <c r="L21" s="15" t="s">
        <v>152</v>
      </c>
    </row>
    <row r="22" spans="1:12" x14ac:dyDescent="0.2">
      <c r="A22" s="35" t="s">
        <v>1108</v>
      </c>
      <c r="B22" s="5" t="s">
        <v>670</v>
      </c>
      <c r="C22" s="5" t="s">
        <v>650</v>
      </c>
      <c r="I22" s="4" t="s">
        <v>650</v>
      </c>
      <c r="J22" s="4" t="s">
        <v>1758</v>
      </c>
      <c r="L22" s="15" t="s">
        <v>493</v>
      </c>
    </row>
    <row r="23" spans="1:12" x14ac:dyDescent="0.2">
      <c r="A23" s="35" t="s">
        <v>1734</v>
      </c>
      <c r="B23" s="5" t="s">
        <v>1065</v>
      </c>
      <c r="C23" s="5" t="s">
        <v>652</v>
      </c>
      <c r="I23" s="4" t="s">
        <v>648</v>
      </c>
      <c r="J23" s="4" t="s">
        <v>1956</v>
      </c>
      <c r="L23" s="15" t="s">
        <v>558</v>
      </c>
    </row>
    <row r="24" spans="1:12" x14ac:dyDescent="0.2">
      <c r="A24" s="35" t="s">
        <v>322</v>
      </c>
      <c r="B24" s="5" t="s">
        <v>1066</v>
      </c>
      <c r="C24" s="5" t="s">
        <v>651</v>
      </c>
      <c r="I24" s="4" t="s">
        <v>653</v>
      </c>
      <c r="J24" s="4" t="s">
        <v>1608</v>
      </c>
      <c r="L24" s="15" t="s">
        <v>557</v>
      </c>
    </row>
    <row r="25" spans="1:12" x14ac:dyDescent="0.2">
      <c r="A25" s="35" t="s">
        <v>1873</v>
      </c>
      <c r="B25" s="5" t="s">
        <v>409</v>
      </c>
      <c r="C25" s="5" t="s">
        <v>647</v>
      </c>
      <c r="I25" s="4" t="s">
        <v>679</v>
      </c>
      <c r="J25" s="4" t="s">
        <v>724</v>
      </c>
      <c r="L25" s="15" t="s">
        <v>63</v>
      </c>
    </row>
    <row r="26" spans="1:12" x14ac:dyDescent="0.2">
      <c r="A26" s="35" t="s">
        <v>1132</v>
      </c>
      <c r="B26" s="5" t="s">
        <v>1007</v>
      </c>
      <c r="C26" s="16" t="s">
        <v>401</v>
      </c>
      <c r="I26" s="5"/>
      <c r="J26" s="4" t="s">
        <v>652</v>
      </c>
      <c r="L26" s="15" t="s">
        <v>379</v>
      </c>
    </row>
    <row r="27" spans="1:12" x14ac:dyDescent="0.2">
      <c r="A27" s="35" t="s">
        <v>1125</v>
      </c>
      <c r="B27" s="5" t="s">
        <v>785</v>
      </c>
      <c r="C27" s="5" t="s">
        <v>959</v>
      </c>
      <c r="I27" s="5"/>
      <c r="J27" s="4" t="s">
        <v>116</v>
      </c>
      <c r="L27" s="10" t="s">
        <v>149</v>
      </c>
    </row>
    <row r="28" spans="1:12" x14ac:dyDescent="0.2">
      <c r="A28" s="35" t="s">
        <v>644</v>
      </c>
      <c r="B28" s="5" t="s">
        <v>1067</v>
      </c>
      <c r="C28" s="5" t="s">
        <v>653</v>
      </c>
      <c r="I28" s="5"/>
      <c r="J28" s="4" t="s">
        <v>903</v>
      </c>
      <c r="L28" s="15" t="s">
        <v>169</v>
      </c>
    </row>
    <row r="29" spans="1:12" x14ac:dyDescent="0.2">
      <c r="A29" s="35" t="s">
        <v>347</v>
      </c>
      <c r="B29" s="5" t="s">
        <v>1052</v>
      </c>
      <c r="C29" s="5" t="s">
        <v>655</v>
      </c>
      <c r="I29" s="5"/>
      <c r="J29" s="4" t="s">
        <v>1243</v>
      </c>
      <c r="L29" s="10" t="s">
        <v>580</v>
      </c>
    </row>
    <row r="30" spans="1:12" x14ac:dyDescent="0.2">
      <c r="A30" s="35" t="s">
        <v>1143</v>
      </c>
      <c r="B30" s="5" t="s">
        <v>730</v>
      </c>
      <c r="C30" s="5" t="s">
        <v>677</v>
      </c>
      <c r="I30" s="5"/>
      <c r="J30" s="4" t="s">
        <v>659</v>
      </c>
      <c r="L30" s="15" t="s">
        <v>226</v>
      </c>
    </row>
    <row r="31" spans="1:12" x14ac:dyDescent="0.2">
      <c r="A31" s="38" t="s">
        <v>401</v>
      </c>
      <c r="B31" s="5" t="s">
        <v>1068</v>
      </c>
      <c r="C31" s="5" t="s">
        <v>824</v>
      </c>
      <c r="I31" s="5"/>
      <c r="J31" s="4" t="s">
        <v>1851</v>
      </c>
      <c r="L31" s="15" t="s">
        <v>572</v>
      </c>
    </row>
    <row r="32" spans="1:12" x14ac:dyDescent="0.2">
      <c r="A32" s="35" t="s">
        <v>810</v>
      </c>
      <c r="B32" s="5" t="s">
        <v>1069</v>
      </c>
      <c r="C32" s="5" t="s">
        <v>659</v>
      </c>
      <c r="I32" s="5"/>
      <c r="J32" s="4" t="s">
        <v>834</v>
      </c>
      <c r="L32" s="15" t="s">
        <v>188</v>
      </c>
    </row>
    <row r="33" spans="1:12" x14ac:dyDescent="0.2">
      <c r="A33" s="35" t="s">
        <v>134</v>
      </c>
      <c r="B33" s="5" t="s">
        <v>1070</v>
      </c>
      <c r="C33" s="5" t="s">
        <v>532</v>
      </c>
      <c r="I33" s="5"/>
      <c r="J33" s="4" t="s">
        <v>82</v>
      </c>
      <c r="L33" s="15" t="s">
        <v>244</v>
      </c>
    </row>
    <row r="34" spans="1:12" x14ac:dyDescent="0.2">
      <c r="A34" s="35" t="s">
        <v>1146</v>
      </c>
      <c r="B34" s="5" t="s">
        <v>1071</v>
      </c>
      <c r="C34" s="5" t="s">
        <v>960</v>
      </c>
      <c r="I34" s="5"/>
      <c r="J34" s="4" t="s">
        <v>139</v>
      </c>
      <c r="L34" s="15" t="s">
        <v>91</v>
      </c>
    </row>
    <row r="35" spans="1:12" x14ac:dyDescent="0.2">
      <c r="A35" s="35" t="s">
        <v>824</v>
      </c>
      <c r="B35" s="5" t="s">
        <v>1072</v>
      </c>
      <c r="C35" s="5" t="s">
        <v>654</v>
      </c>
      <c r="I35" s="5"/>
      <c r="J35" s="4" t="s">
        <v>1959</v>
      </c>
      <c r="L35" s="15" t="s">
        <v>71</v>
      </c>
    </row>
    <row r="36" spans="1:12" x14ac:dyDescent="0.2">
      <c r="A36" s="40" t="s">
        <v>406</v>
      </c>
      <c r="B36" s="5" t="s">
        <v>1073</v>
      </c>
      <c r="C36" s="5" t="s">
        <v>658</v>
      </c>
      <c r="I36" s="5"/>
      <c r="J36" s="4" t="s">
        <v>1535</v>
      </c>
      <c r="L36" s="10" t="s">
        <v>585</v>
      </c>
    </row>
    <row r="37" spans="1:12" x14ac:dyDescent="0.2">
      <c r="A37" s="35" t="s">
        <v>825</v>
      </c>
      <c r="B37" s="5" t="s">
        <v>1074</v>
      </c>
      <c r="C37" s="10" t="s">
        <v>606</v>
      </c>
      <c r="I37" s="5"/>
      <c r="J37" s="4" t="s">
        <v>684</v>
      </c>
      <c r="L37" s="10" t="s">
        <v>255</v>
      </c>
    </row>
    <row r="38" spans="1:12" x14ac:dyDescent="0.2">
      <c r="A38" s="35" t="s">
        <v>1154</v>
      </c>
      <c r="B38" s="5" t="s">
        <v>416</v>
      </c>
      <c r="C38" s="5" t="s">
        <v>660</v>
      </c>
      <c r="I38" s="5"/>
      <c r="J38" s="4" t="s">
        <v>701</v>
      </c>
      <c r="L38" s="15" t="s">
        <v>99</v>
      </c>
    </row>
    <row r="39" spans="1:12" x14ac:dyDescent="0.2">
      <c r="A39" s="35" t="s">
        <v>651</v>
      </c>
      <c r="C39" s="5" t="s">
        <v>961</v>
      </c>
      <c r="I39" s="5"/>
      <c r="J39" s="4" t="s">
        <v>638</v>
      </c>
      <c r="L39" s="15" t="s">
        <v>603</v>
      </c>
    </row>
    <row r="40" spans="1:12" x14ac:dyDescent="0.2">
      <c r="A40" s="35" t="s">
        <v>909</v>
      </c>
      <c r="C40" s="5" t="s">
        <v>657</v>
      </c>
      <c r="I40" s="5"/>
      <c r="J40" s="4" t="s">
        <v>882</v>
      </c>
      <c r="L40" s="15" t="s">
        <v>212</v>
      </c>
    </row>
    <row r="41" spans="1:12" x14ac:dyDescent="0.2">
      <c r="A41" s="35" t="s">
        <v>1792</v>
      </c>
      <c r="C41" s="5" t="s">
        <v>780</v>
      </c>
      <c r="I41" s="5"/>
      <c r="J41" s="4" t="s">
        <v>1111</v>
      </c>
      <c r="L41" s="15" t="s">
        <v>575</v>
      </c>
    </row>
    <row r="42" spans="1:12" x14ac:dyDescent="0.2">
      <c r="A42" s="35" t="s">
        <v>647</v>
      </c>
      <c r="C42" s="5" t="s">
        <v>892</v>
      </c>
      <c r="I42" s="5"/>
      <c r="J42" s="4" t="s">
        <v>975</v>
      </c>
      <c r="L42" s="15" t="s">
        <v>266</v>
      </c>
    </row>
    <row r="43" spans="1:12" x14ac:dyDescent="0.2">
      <c r="A43" s="35" t="s">
        <v>978</v>
      </c>
      <c r="C43" s="5" t="s">
        <v>662</v>
      </c>
      <c r="I43" s="5"/>
      <c r="J43" s="4" t="s">
        <v>631</v>
      </c>
      <c r="L43" s="15" t="s">
        <v>218</v>
      </c>
    </row>
    <row r="44" spans="1:12" x14ac:dyDescent="0.2">
      <c r="A44" s="35" t="s">
        <v>679</v>
      </c>
      <c r="C44" s="5" t="s">
        <v>962</v>
      </c>
      <c r="I44" s="5"/>
      <c r="J44" s="4" t="s">
        <v>894</v>
      </c>
      <c r="L44" s="15" t="s">
        <v>279</v>
      </c>
    </row>
    <row r="45" spans="1:12" x14ac:dyDescent="0.2">
      <c r="A45" s="35" t="s">
        <v>650</v>
      </c>
      <c r="C45" s="5" t="s">
        <v>483</v>
      </c>
      <c r="I45" s="5"/>
      <c r="J45" s="4" t="s">
        <v>215</v>
      </c>
      <c r="L45" s="15" t="s">
        <v>229</v>
      </c>
    </row>
    <row r="46" spans="1:12" x14ac:dyDescent="0.2">
      <c r="A46" s="35" t="s">
        <v>21</v>
      </c>
      <c r="C46" s="5" t="s">
        <v>664</v>
      </c>
      <c r="I46" s="5"/>
      <c r="J46" s="4" t="s">
        <v>832</v>
      </c>
      <c r="L46" s="10" t="s">
        <v>477</v>
      </c>
    </row>
    <row r="47" spans="1:12" x14ac:dyDescent="0.2">
      <c r="A47" s="35" t="s">
        <v>113</v>
      </c>
      <c r="C47" s="5" t="s">
        <v>963</v>
      </c>
      <c r="I47" s="5"/>
      <c r="J47" s="4" t="s">
        <v>977</v>
      </c>
      <c r="L47" s="15" t="s">
        <v>589</v>
      </c>
    </row>
    <row r="48" spans="1:12" x14ac:dyDescent="0.2">
      <c r="A48" s="35" t="s">
        <v>1890</v>
      </c>
      <c r="C48" s="5" t="s">
        <v>684</v>
      </c>
      <c r="I48" s="5"/>
      <c r="J48" s="4" t="s">
        <v>1890</v>
      </c>
      <c r="L48" s="15" t="s">
        <v>451</v>
      </c>
    </row>
    <row r="49" spans="1:12" x14ac:dyDescent="0.2">
      <c r="A49" s="35" t="s">
        <v>1172</v>
      </c>
      <c r="C49" s="5" t="s">
        <v>891</v>
      </c>
      <c r="I49" s="5"/>
      <c r="J49" s="4" t="s">
        <v>782</v>
      </c>
      <c r="L49" s="15" t="s">
        <v>526</v>
      </c>
    </row>
    <row r="50" spans="1:12" x14ac:dyDescent="0.2">
      <c r="A50" s="35" t="s">
        <v>1194</v>
      </c>
      <c r="C50" s="5" t="s">
        <v>701</v>
      </c>
      <c r="I50" s="5"/>
      <c r="J50" s="4" t="s">
        <v>697</v>
      </c>
      <c r="L50" s="15" t="s">
        <v>64</v>
      </c>
    </row>
    <row r="51" spans="1:12" x14ac:dyDescent="0.2">
      <c r="A51" s="35" t="s">
        <v>1174</v>
      </c>
      <c r="C51" s="5" t="s">
        <v>673</v>
      </c>
      <c r="I51" s="5"/>
      <c r="J51" s="4" t="s">
        <v>729</v>
      </c>
      <c r="L51" s="15" t="s">
        <v>114</v>
      </c>
    </row>
    <row r="52" spans="1:12" x14ac:dyDescent="0.2">
      <c r="A52" s="35" t="s">
        <v>1162</v>
      </c>
      <c r="C52" s="5" t="s">
        <v>679</v>
      </c>
      <c r="I52" s="5"/>
      <c r="J52" s="4" t="s">
        <v>637</v>
      </c>
      <c r="L52" s="10" t="s">
        <v>300</v>
      </c>
    </row>
    <row r="53" spans="1:12" x14ac:dyDescent="0.2">
      <c r="A53" s="35" t="s">
        <v>1744</v>
      </c>
      <c r="C53" s="5" t="s">
        <v>782</v>
      </c>
      <c r="I53" s="5"/>
      <c r="J53" s="4" t="s">
        <v>692</v>
      </c>
      <c r="L53" s="15" t="s">
        <v>518</v>
      </c>
    </row>
    <row r="54" spans="1:12" x14ac:dyDescent="0.2">
      <c r="A54" s="35" t="s">
        <v>1158</v>
      </c>
      <c r="C54" s="5" t="s">
        <v>964</v>
      </c>
      <c r="I54" s="2"/>
      <c r="J54" s="4" t="s">
        <v>1132</v>
      </c>
      <c r="L54" s="15" t="s">
        <v>252</v>
      </c>
    </row>
    <row r="55" spans="1:12" x14ac:dyDescent="0.2">
      <c r="A55" s="35" t="s">
        <v>1766</v>
      </c>
      <c r="C55" s="5" t="s">
        <v>965</v>
      </c>
      <c r="I55" s="2"/>
      <c r="J55" s="4" t="s">
        <v>958</v>
      </c>
      <c r="L55" s="15" t="s">
        <v>127</v>
      </c>
    </row>
    <row r="56" spans="1:12" x14ac:dyDescent="0.2">
      <c r="A56" s="35" t="s">
        <v>845</v>
      </c>
      <c r="C56" s="5" t="s">
        <v>672</v>
      </c>
      <c r="I56" s="2"/>
      <c r="J56" s="4" t="s">
        <v>833</v>
      </c>
      <c r="L56" s="10" t="s">
        <v>272</v>
      </c>
    </row>
    <row r="57" spans="1:12" x14ac:dyDescent="0.2">
      <c r="A57" s="35" t="s">
        <v>648</v>
      </c>
      <c r="C57" s="5" t="s">
        <v>661</v>
      </c>
      <c r="I57" s="2"/>
      <c r="J57" s="4" t="s">
        <v>696</v>
      </c>
      <c r="L57" s="15" t="s">
        <v>277</v>
      </c>
    </row>
    <row r="58" spans="1:12" x14ac:dyDescent="0.2">
      <c r="A58" s="35" t="s">
        <v>1212</v>
      </c>
      <c r="C58" s="5" t="s">
        <v>681</v>
      </c>
      <c r="I58" s="2"/>
      <c r="J58" s="4" t="s">
        <v>715</v>
      </c>
      <c r="L58" s="10" t="s">
        <v>563</v>
      </c>
    </row>
    <row r="59" spans="1:12" x14ac:dyDescent="0.2">
      <c r="A59" s="35" t="s">
        <v>660</v>
      </c>
      <c r="C59" s="5" t="s">
        <v>903</v>
      </c>
      <c r="I59" s="2"/>
      <c r="J59" s="4" t="s">
        <v>664</v>
      </c>
      <c r="L59" s="15" t="s">
        <v>326</v>
      </c>
    </row>
    <row r="60" spans="1:12" x14ac:dyDescent="0.2">
      <c r="A60" s="35" t="s">
        <v>1831</v>
      </c>
      <c r="C60" s="5" t="s">
        <v>773</v>
      </c>
      <c r="I60" s="1"/>
      <c r="J60" s="4" t="s">
        <v>1125</v>
      </c>
      <c r="L60" s="15" t="s">
        <v>95</v>
      </c>
    </row>
    <row r="61" spans="1:12" x14ac:dyDescent="0.2">
      <c r="A61" s="35" t="s">
        <v>658</v>
      </c>
      <c r="C61" s="5" t="s">
        <v>697</v>
      </c>
      <c r="I61" s="1"/>
      <c r="J61" s="4" t="s">
        <v>865</v>
      </c>
      <c r="L61" s="15" t="s">
        <v>289</v>
      </c>
    </row>
    <row r="62" spans="1:12" x14ac:dyDescent="0.2">
      <c r="A62" s="35" t="s">
        <v>1152</v>
      </c>
      <c r="C62" s="5" t="s">
        <v>699</v>
      </c>
      <c r="I62" s="2"/>
      <c r="J62" s="4" t="s">
        <v>113</v>
      </c>
      <c r="L62" s="15" t="s">
        <v>609</v>
      </c>
    </row>
    <row r="63" spans="1:12" x14ac:dyDescent="0.2">
      <c r="A63" s="35" t="s">
        <v>1961</v>
      </c>
      <c r="C63" s="5" t="s">
        <v>666</v>
      </c>
      <c r="I63" s="2"/>
      <c r="J63" s="4" t="s">
        <v>1212</v>
      </c>
      <c r="L63" s="15" t="s">
        <v>302</v>
      </c>
    </row>
    <row r="64" spans="1:12" x14ac:dyDescent="0.2">
      <c r="A64" s="35" t="s">
        <v>1205</v>
      </c>
      <c r="C64" s="5" t="s">
        <v>966</v>
      </c>
      <c r="I64" s="2"/>
      <c r="J64" s="4" t="s">
        <v>1222</v>
      </c>
      <c r="L64" s="15" t="s">
        <v>118</v>
      </c>
    </row>
    <row r="65" spans="1:12" x14ac:dyDescent="0.2">
      <c r="A65" s="35" t="s">
        <v>1797</v>
      </c>
      <c r="B65" s="6"/>
      <c r="C65" s="5" t="s">
        <v>967</v>
      </c>
      <c r="I65" s="2"/>
      <c r="J65" s="4" t="s">
        <v>1072</v>
      </c>
      <c r="L65" s="10" t="s">
        <v>307</v>
      </c>
    </row>
    <row r="66" spans="1:12" x14ac:dyDescent="0.2">
      <c r="A66" s="35" t="s">
        <v>1195</v>
      </c>
      <c r="C66" s="5" t="s">
        <v>825</v>
      </c>
      <c r="I66" s="2"/>
      <c r="J66" s="4" t="s">
        <v>1195</v>
      </c>
      <c r="L66" s="10" t="s">
        <v>471</v>
      </c>
    </row>
    <row r="67" spans="1:12" x14ac:dyDescent="0.2">
      <c r="A67" s="35" t="s">
        <v>1795</v>
      </c>
      <c r="B67" s="6"/>
      <c r="C67" s="5" t="s">
        <v>693</v>
      </c>
      <c r="I67" s="2"/>
      <c r="J67" s="4" t="s">
        <v>899</v>
      </c>
      <c r="L67" s="10" t="s">
        <v>343</v>
      </c>
    </row>
    <row r="68" spans="1:12" x14ac:dyDescent="0.2">
      <c r="A68" s="35" t="s">
        <v>1817</v>
      </c>
      <c r="B68" s="6"/>
      <c r="C68" s="5" t="s">
        <v>707</v>
      </c>
      <c r="I68" s="2"/>
      <c r="J68" s="4" t="s">
        <v>1059</v>
      </c>
      <c r="L68" s="15" t="s">
        <v>593</v>
      </c>
    </row>
    <row r="69" spans="1:12" x14ac:dyDescent="0.2">
      <c r="A69" s="35" t="s">
        <v>37</v>
      </c>
      <c r="B69" s="6"/>
      <c r="C69" s="5" t="s">
        <v>34</v>
      </c>
      <c r="I69" s="2"/>
      <c r="J69" s="4" t="s">
        <v>672</v>
      </c>
      <c r="L69" s="15" t="s">
        <v>353</v>
      </c>
    </row>
    <row r="70" spans="1:12" x14ac:dyDescent="0.2">
      <c r="A70" s="35" t="s">
        <v>1816</v>
      </c>
      <c r="B70" s="6"/>
      <c r="C70" s="5" t="s">
        <v>715</v>
      </c>
      <c r="I70" s="1"/>
      <c r="J70" s="4" t="s">
        <v>1705</v>
      </c>
      <c r="L70" s="15" t="s">
        <v>131</v>
      </c>
    </row>
    <row r="71" spans="1:12" x14ac:dyDescent="0.2">
      <c r="A71" s="35" t="s">
        <v>1860</v>
      </c>
      <c r="B71" s="6"/>
      <c r="C71" s="5" t="s">
        <v>674</v>
      </c>
      <c r="I71" s="2"/>
      <c r="J71" s="4" t="s">
        <v>748</v>
      </c>
      <c r="L71" s="15" t="s">
        <v>314</v>
      </c>
    </row>
    <row r="72" spans="1:12" x14ac:dyDescent="0.2">
      <c r="A72" s="35" t="s">
        <v>2</v>
      </c>
      <c r="B72" s="6"/>
      <c r="C72" s="5" t="s">
        <v>913</v>
      </c>
      <c r="I72" s="2"/>
      <c r="J72" s="4" t="s">
        <v>1247</v>
      </c>
      <c r="L72" s="15" t="s">
        <v>335</v>
      </c>
    </row>
    <row r="73" spans="1:12" x14ac:dyDescent="0.2">
      <c r="A73" s="35" t="s">
        <v>1962</v>
      </c>
      <c r="B73" s="6"/>
      <c r="C73" s="5" t="s">
        <v>968</v>
      </c>
      <c r="I73" s="2"/>
      <c r="J73" s="4" t="s">
        <v>850</v>
      </c>
      <c r="L73" s="15" t="s">
        <v>360</v>
      </c>
    </row>
    <row r="74" spans="1:12" x14ac:dyDescent="0.2">
      <c r="A74" s="35" t="s">
        <v>1247</v>
      </c>
      <c r="B74" s="6"/>
      <c r="C74" s="5" t="s">
        <v>729</v>
      </c>
      <c r="I74" s="2"/>
      <c r="J74" s="4" t="s">
        <v>1063</v>
      </c>
      <c r="L74" s="15" t="s">
        <v>346</v>
      </c>
    </row>
    <row r="75" spans="1:12" x14ac:dyDescent="0.2">
      <c r="A75" s="35" t="s">
        <v>29</v>
      </c>
      <c r="B75" s="6"/>
      <c r="C75" s="5" t="s">
        <v>969</v>
      </c>
      <c r="I75" s="2"/>
      <c r="J75" s="4" t="s">
        <v>971</v>
      </c>
      <c r="L75" s="10" t="s">
        <v>359</v>
      </c>
    </row>
    <row r="76" spans="1:12" x14ac:dyDescent="0.2">
      <c r="A76" s="35" t="s">
        <v>1217</v>
      </c>
      <c r="B76" s="6"/>
      <c r="C76" s="5" t="s">
        <v>192</v>
      </c>
      <c r="I76" s="1"/>
      <c r="J76" s="4" t="s">
        <v>628</v>
      </c>
      <c r="L76" s="15" t="s">
        <v>583</v>
      </c>
    </row>
    <row r="77" spans="1:12" x14ac:dyDescent="0.2">
      <c r="A77" s="35" t="s">
        <v>1151</v>
      </c>
      <c r="B77" s="6"/>
      <c r="C77" s="5" t="s">
        <v>700</v>
      </c>
      <c r="I77" s="2"/>
      <c r="J77" s="4" t="s">
        <v>1154</v>
      </c>
      <c r="L77" s="10" t="s">
        <v>405</v>
      </c>
    </row>
    <row r="78" spans="1:12" x14ac:dyDescent="0.2">
      <c r="A78" s="35" t="s">
        <v>883</v>
      </c>
      <c r="B78" s="6"/>
      <c r="C78" s="5" t="s">
        <v>713</v>
      </c>
      <c r="I78" s="2"/>
      <c r="J78" s="4" t="s">
        <v>102</v>
      </c>
      <c r="L78" s="15" t="s">
        <v>607</v>
      </c>
    </row>
    <row r="79" spans="1:12" x14ac:dyDescent="0.2">
      <c r="A79" s="35" t="s">
        <v>1222</v>
      </c>
      <c r="B79" s="6"/>
      <c r="C79" s="5" t="s">
        <v>712</v>
      </c>
      <c r="I79" s="2"/>
      <c r="J79" s="4" t="s">
        <v>826</v>
      </c>
      <c r="L79" s="15" t="s">
        <v>599</v>
      </c>
    </row>
    <row r="80" spans="1:12" x14ac:dyDescent="0.2">
      <c r="A80" s="35" t="s">
        <v>1239</v>
      </c>
      <c r="B80" s="6"/>
      <c r="C80" s="5" t="s">
        <v>907</v>
      </c>
      <c r="I80" s="1"/>
      <c r="J80" s="4" t="s">
        <v>1801</v>
      </c>
      <c r="L80" s="15" t="s">
        <v>415</v>
      </c>
    </row>
    <row r="81" spans="1:12" x14ac:dyDescent="0.2">
      <c r="A81" s="35" t="s">
        <v>1761</v>
      </c>
      <c r="C81" s="5" t="s">
        <v>764</v>
      </c>
      <c r="I81" s="2"/>
      <c r="J81" s="4" t="s">
        <v>1067</v>
      </c>
      <c r="L81" s="15" t="s">
        <v>419</v>
      </c>
    </row>
    <row r="82" spans="1:12" x14ac:dyDescent="0.2">
      <c r="A82" s="35" t="s">
        <v>801</v>
      </c>
      <c r="C82" s="5" t="s">
        <v>732</v>
      </c>
      <c r="I82" s="1"/>
      <c r="J82" s="4" t="s">
        <v>1108</v>
      </c>
      <c r="L82" s="15" t="s">
        <v>216</v>
      </c>
    </row>
    <row r="83" spans="1:12" x14ac:dyDescent="0.2">
      <c r="A83" s="35" t="s">
        <v>520</v>
      </c>
      <c r="C83" s="5" t="s">
        <v>689</v>
      </c>
      <c r="I83" s="2"/>
      <c r="J83" s="4" t="s">
        <v>322</v>
      </c>
      <c r="L83" s="15" t="s">
        <v>610</v>
      </c>
    </row>
    <row r="84" spans="1:12" x14ac:dyDescent="0.2">
      <c r="A84" s="35" t="s">
        <v>1745</v>
      </c>
      <c r="B84" s="6"/>
      <c r="C84" s="5" t="s">
        <v>839</v>
      </c>
      <c r="I84" s="2"/>
      <c r="J84" s="4" t="s">
        <v>34</v>
      </c>
      <c r="L84" s="15" t="s">
        <v>395</v>
      </c>
    </row>
    <row r="85" spans="1:12" x14ac:dyDescent="0.2">
      <c r="A85" s="35" t="s">
        <v>1183</v>
      </c>
      <c r="C85" s="5" t="s">
        <v>739</v>
      </c>
      <c r="I85" s="2"/>
      <c r="J85" s="4" t="s">
        <v>1831</v>
      </c>
      <c r="L85" s="10" t="s">
        <v>376</v>
      </c>
    </row>
    <row r="86" spans="1:12" x14ac:dyDescent="0.2">
      <c r="A86" s="35" t="s">
        <v>1963</v>
      </c>
      <c r="B86" s="6"/>
      <c r="C86" s="5" t="s">
        <v>724</v>
      </c>
      <c r="I86" s="2"/>
      <c r="J86" s="4" t="s">
        <v>42</v>
      </c>
      <c r="L86" s="15" t="s">
        <v>564</v>
      </c>
    </row>
    <row r="87" spans="1:12" x14ac:dyDescent="0.2">
      <c r="A87" s="35" t="s">
        <v>1768</v>
      </c>
      <c r="C87" s="5" t="s">
        <v>970</v>
      </c>
      <c r="I87" s="2"/>
      <c r="J87" s="4" t="s">
        <v>1101</v>
      </c>
      <c r="L87" s="15" t="s">
        <v>389</v>
      </c>
    </row>
    <row r="88" spans="1:12" x14ac:dyDescent="0.2">
      <c r="A88" s="35" t="s">
        <v>828</v>
      </c>
      <c r="B88" s="6"/>
      <c r="C88" s="5" t="s">
        <v>727</v>
      </c>
      <c r="I88" s="2"/>
      <c r="J88" s="4" t="s">
        <v>1143</v>
      </c>
      <c r="L88" s="15" t="s">
        <v>437</v>
      </c>
    </row>
    <row r="89" spans="1:12" x14ac:dyDescent="0.2">
      <c r="A89" s="35" t="s">
        <v>829</v>
      </c>
      <c r="C89" s="5" t="s">
        <v>685</v>
      </c>
      <c r="I89" s="1"/>
      <c r="J89" s="4" t="s">
        <v>1073</v>
      </c>
      <c r="L89" s="15" t="s">
        <v>559</v>
      </c>
    </row>
    <row r="90" spans="1:12" x14ac:dyDescent="0.2">
      <c r="A90" s="35" t="s">
        <v>1964</v>
      </c>
      <c r="B90" s="6"/>
      <c r="C90" s="5" t="s">
        <v>834</v>
      </c>
      <c r="I90" s="1"/>
      <c r="J90" s="4" t="s">
        <v>1152</v>
      </c>
      <c r="L90" s="15" t="s">
        <v>130</v>
      </c>
    </row>
    <row r="91" spans="1:12" x14ac:dyDescent="0.2">
      <c r="A91" s="35" t="s">
        <v>891</v>
      </c>
      <c r="C91" s="5" t="s">
        <v>731</v>
      </c>
      <c r="I91" s="1"/>
      <c r="J91" s="4" t="s">
        <v>1965</v>
      </c>
      <c r="L91" s="15" t="s">
        <v>239</v>
      </c>
    </row>
    <row r="92" spans="1:12" x14ac:dyDescent="0.2">
      <c r="A92" s="35" t="s">
        <v>1909</v>
      </c>
      <c r="B92" s="6"/>
      <c r="C92" s="5" t="s">
        <v>909</v>
      </c>
      <c r="I92" s="2"/>
      <c r="J92" s="4" t="s">
        <v>851</v>
      </c>
      <c r="L92" s="15" t="s">
        <v>418</v>
      </c>
    </row>
    <row r="93" spans="1:12" x14ac:dyDescent="0.2">
      <c r="A93" s="35" t="s">
        <v>851</v>
      </c>
      <c r="B93" s="6"/>
      <c r="C93" s="5" t="s">
        <v>971</v>
      </c>
      <c r="I93" s="2"/>
      <c r="J93" s="4" t="s">
        <v>837</v>
      </c>
      <c r="L93" s="15" t="s">
        <v>421</v>
      </c>
    </row>
    <row r="94" spans="1:12" x14ac:dyDescent="0.2">
      <c r="A94" s="35" t="s">
        <v>790</v>
      </c>
      <c r="B94" s="6"/>
      <c r="C94" s="5" t="s">
        <v>826</v>
      </c>
      <c r="I94" s="2"/>
      <c r="J94" s="4" t="s">
        <v>347</v>
      </c>
      <c r="L94" s="15" t="s">
        <v>561</v>
      </c>
    </row>
    <row r="95" spans="1:12" x14ac:dyDescent="0.2">
      <c r="A95" s="35" t="s">
        <v>1166</v>
      </c>
      <c r="B95" s="6"/>
      <c r="C95" s="5" t="s">
        <v>882</v>
      </c>
      <c r="I95" s="2"/>
      <c r="J95" s="4" t="s">
        <v>845</v>
      </c>
      <c r="L95" s="10" t="s">
        <v>612</v>
      </c>
    </row>
    <row r="96" spans="1:12" x14ac:dyDescent="0.2">
      <c r="A96" s="35" t="s">
        <v>1547</v>
      </c>
      <c r="B96" s="6"/>
      <c r="C96" s="5" t="s">
        <v>718</v>
      </c>
      <c r="I96" s="2"/>
      <c r="J96" s="4" t="s">
        <v>1775</v>
      </c>
      <c r="L96" s="10" t="s">
        <v>410</v>
      </c>
    </row>
    <row r="97" spans="1:12" x14ac:dyDescent="0.2">
      <c r="A97" s="35" t="s">
        <v>1181</v>
      </c>
      <c r="B97" s="6"/>
      <c r="C97" s="5" t="s">
        <v>691</v>
      </c>
      <c r="I97" s="2"/>
      <c r="J97" s="4" t="s">
        <v>691</v>
      </c>
      <c r="L97" s="15" t="s">
        <v>245</v>
      </c>
    </row>
    <row r="98" spans="1:12" x14ac:dyDescent="0.2">
      <c r="A98" s="35" t="s">
        <v>1965</v>
      </c>
      <c r="B98" s="6"/>
      <c r="C98" s="5" t="s">
        <v>720</v>
      </c>
      <c r="I98" s="2"/>
      <c r="J98" s="4" t="s">
        <v>192</v>
      </c>
      <c r="L98" s="15" t="s">
        <v>150</v>
      </c>
    </row>
    <row r="99" spans="1:12" x14ac:dyDescent="0.2">
      <c r="A99" s="35" t="s">
        <v>1801</v>
      </c>
      <c r="B99" s="6"/>
      <c r="C99" s="5" t="s">
        <v>409</v>
      </c>
      <c r="I99" s="1"/>
      <c r="J99" s="4" t="s">
        <v>857</v>
      </c>
      <c r="L99" s="15" t="s">
        <v>399</v>
      </c>
    </row>
    <row r="100" spans="1:12" x14ac:dyDescent="0.2">
      <c r="A100" s="35" t="s">
        <v>1258</v>
      </c>
      <c r="B100" s="6"/>
      <c r="C100" s="5" t="s">
        <v>899</v>
      </c>
      <c r="I100" s="2"/>
      <c r="J100" s="4" t="s">
        <v>144</v>
      </c>
      <c r="L100" s="15" t="s">
        <v>604</v>
      </c>
    </row>
    <row r="101" spans="1:12" x14ac:dyDescent="0.2">
      <c r="A101" s="35" t="s">
        <v>1966</v>
      </c>
      <c r="B101" s="6"/>
      <c r="C101" s="5" t="s">
        <v>696</v>
      </c>
      <c r="I101" s="1"/>
      <c r="J101" s="4" t="s">
        <v>963</v>
      </c>
      <c r="L101" s="15" t="s">
        <v>158</v>
      </c>
    </row>
    <row r="102" spans="1:12" x14ac:dyDescent="0.2">
      <c r="A102" s="35" t="s">
        <v>1170</v>
      </c>
      <c r="B102" s="6"/>
      <c r="C102" s="5" t="s">
        <v>42</v>
      </c>
      <c r="I102" s="2"/>
      <c r="J102" s="4" t="s">
        <v>883</v>
      </c>
      <c r="L102" s="15" t="s">
        <v>165</v>
      </c>
    </row>
    <row r="103" spans="1:12" x14ac:dyDescent="0.2">
      <c r="A103" s="35" t="s">
        <v>1775</v>
      </c>
      <c r="B103" s="6"/>
      <c r="C103" s="5" t="s">
        <v>667</v>
      </c>
      <c r="I103" s="2"/>
      <c r="J103" s="4" t="s">
        <v>870</v>
      </c>
      <c r="L103" s="15" t="s">
        <v>588</v>
      </c>
    </row>
    <row r="104" spans="1:12" x14ac:dyDescent="0.2">
      <c r="A104" s="35" t="s">
        <v>550</v>
      </c>
      <c r="B104" s="6"/>
      <c r="C104" s="5" t="s">
        <v>767</v>
      </c>
      <c r="I104" s="2"/>
      <c r="J104" s="4" t="s">
        <v>1174</v>
      </c>
      <c r="L104" s="15" t="s">
        <v>398</v>
      </c>
    </row>
    <row r="105" spans="1:12" x14ac:dyDescent="0.2">
      <c r="A105" s="35" t="s">
        <v>850</v>
      </c>
      <c r="B105" s="6"/>
      <c r="C105" s="5" t="s">
        <v>688</v>
      </c>
      <c r="I105" s="2"/>
      <c r="J105" s="4" t="s">
        <v>1762</v>
      </c>
      <c r="L105" s="10" t="s">
        <v>463</v>
      </c>
    </row>
    <row r="106" spans="1:12" x14ac:dyDescent="0.2">
      <c r="A106" s="35" t="s">
        <v>1956</v>
      </c>
      <c r="B106" s="6"/>
      <c r="C106" s="5" t="s">
        <v>692</v>
      </c>
      <c r="I106" s="2"/>
      <c r="J106" s="4" t="s">
        <v>965</v>
      </c>
      <c r="L106" s="15" t="s">
        <v>578</v>
      </c>
    </row>
    <row r="107" spans="1:12" x14ac:dyDescent="0.2">
      <c r="A107" s="35" t="s">
        <v>1851</v>
      </c>
      <c r="B107" s="6"/>
      <c r="C107" s="5" t="s">
        <v>675</v>
      </c>
      <c r="I107" s="2"/>
      <c r="J107" s="4" t="s">
        <v>1817</v>
      </c>
      <c r="L107" s="15" t="s">
        <v>170</v>
      </c>
    </row>
    <row r="108" spans="1:12" x14ac:dyDescent="0.2">
      <c r="A108" s="35" t="s">
        <v>653</v>
      </c>
      <c r="B108" s="6"/>
      <c r="C108" s="5" t="s">
        <v>745</v>
      </c>
      <c r="I108" s="2"/>
      <c r="J108" s="4" t="s">
        <v>1208</v>
      </c>
      <c r="L108" s="15" t="s">
        <v>606</v>
      </c>
    </row>
    <row r="109" spans="1:12" x14ac:dyDescent="0.2">
      <c r="A109" s="35" t="s">
        <v>832</v>
      </c>
      <c r="B109" s="6"/>
      <c r="C109" s="5" t="s">
        <v>702</v>
      </c>
      <c r="I109" s="1"/>
      <c r="J109" s="4" t="s">
        <v>367</v>
      </c>
      <c r="L109" s="15" t="s">
        <v>423</v>
      </c>
    </row>
    <row r="110" spans="1:12" x14ac:dyDescent="0.2">
      <c r="A110" s="35" t="s">
        <v>1967</v>
      </c>
      <c r="B110" s="6"/>
      <c r="C110" s="5" t="s">
        <v>972</v>
      </c>
      <c r="I110" s="2"/>
      <c r="J110" s="4" t="s">
        <v>1074</v>
      </c>
      <c r="L110" s="15" t="s">
        <v>190</v>
      </c>
    </row>
    <row r="111" spans="1:12" x14ac:dyDescent="0.2">
      <c r="A111" s="35" t="s">
        <v>870</v>
      </c>
      <c r="B111" s="6"/>
      <c r="C111" s="5" t="s">
        <v>973</v>
      </c>
      <c r="I111" s="2"/>
      <c r="J111" s="4" t="s">
        <v>1909</v>
      </c>
      <c r="L111" s="15" t="s">
        <v>565</v>
      </c>
    </row>
    <row r="112" spans="1:12" x14ac:dyDescent="0.2">
      <c r="A112" s="35" t="s">
        <v>1762</v>
      </c>
      <c r="B112" s="6"/>
      <c r="C112" s="5" t="s">
        <v>974</v>
      </c>
      <c r="I112" s="2"/>
      <c r="J112" s="4" t="s">
        <v>1961</v>
      </c>
      <c r="L112" s="15" t="s">
        <v>430</v>
      </c>
    </row>
    <row r="113" spans="1:12" x14ac:dyDescent="0.2">
      <c r="A113" s="35" t="s">
        <v>1566</v>
      </c>
      <c r="B113" s="6"/>
      <c r="C113" s="5" t="s">
        <v>975</v>
      </c>
      <c r="I113" s="2"/>
      <c r="J113" s="4" t="s">
        <v>966</v>
      </c>
      <c r="L113" s="15" t="s">
        <v>433</v>
      </c>
    </row>
    <row r="114" spans="1:12" x14ac:dyDescent="0.2">
      <c r="A114" s="35" t="s">
        <v>857</v>
      </c>
      <c r="B114" s="6"/>
      <c r="C114" s="5" t="s">
        <v>864</v>
      </c>
      <c r="I114" s="2"/>
      <c r="J114" s="4" t="s">
        <v>387</v>
      </c>
      <c r="L114" s="15" t="s">
        <v>375</v>
      </c>
    </row>
    <row r="115" spans="1:12" x14ac:dyDescent="0.2">
      <c r="A115" s="35" t="s">
        <v>712</v>
      </c>
      <c r="B115" s="6"/>
      <c r="C115" s="5" t="s">
        <v>833</v>
      </c>
      <c r="I115" s="2"/>
      <c r="J115" s="4" t="s">
        <v>1070</v>
      </c>
      <c r="L115" s="15" t="s">
        <v>438</v>
      </c>
    </row>
    <row r="116" spans="1:12" x14ac:dyDescent="0.2">
      <c r="A116" s="35" t="s">
        <v>1173</v>
      </c>
      <c r="B116" s="6"/>
      <c r="C116" s="5" t="s">
        <v>976</v>
      </c>
      <c r="I116" s="2"/>
      <c r="J116" s="4" t="s">
        <v>1239</v>
      </c>
      <c r="L116" s="15" t="s">
        <v>383</v>
      </c>
    </row>
    <row r="117" spans="1:12" x14ac:dyDescent="0.2">
      <c r="A117" s="35" t="s">
        <v>1228</v>
      </c>
      <c r="B117" s="6"/>
      <c r="C117" s="5" t="s">
        <v>977</v>
      </c>
      <c r="I117" s="2"/>
      <c r="J117" s="4" t="s">
        <v>773</v>
      </c>
      <c r="L117" s="10" t="s">
        <v>487</v>
      </c>
    </row>
    <row r="118" spans="1:12" x14ac:dyDescent="0.2">
      <c r="A118" s="35" t="s">
        <v>892</v>
      </c>
      <c r="B118" s="6"/>
      <c r="C118" s="5" t="s">
        <v>387</v>
      </c>
      <c r="I118" s="2"/>
      <c r="J118" s="4" t="s">
        <v>961</v>
      </c>
      <c r="L118" s="15" t="s">
        <v>600</v>
      </c>
    </row>
    <row r="119" spans="1:12" x14ac:dyDescent="0.2">
      <c r="A119" s="35" t="s">
        <v>1771</v>
      </c>
      <c r="B119" s="6"/>
      <c r="C119" s="5" t="s">
        <v>978</v>
      </c>
      <c r="I119" s="1"/>
      <c r="J119" s="4" t="s">
        <v>960</v>
      </c>
      <c r="L119" s="10" t="s">
        <v>214</v>
      </c>
    </row>
    <row r="120" spans="1:12" x14ac:dyDescent="0.2">
      <c r="A120" s="35" t="s">
        <v>839</v>
      </c>
      <c r="C120" s="5" t="s">
        <v>748</v>
      </c>
      <c r="I120" s="1"/>
      <c r="J120" s="4" t="s">
        <v>702</v>
      </c>
      <c r="L120" s="15" t="s">
        <v>576</v>
      </c>
    </row>
    <row r="121" spans="1:12" x14ac:dyDescent="0.2">
      <c r="A121" s="35" t="s">
        <v>1705</v>
      </c>
      <c r="B121" s="6"/>
      <c r="C121" s="5" t="s">
        <v>722</v>
      </c>
      <c r="I121" s="2"/>
      <c r="J121" s="4" t="s">
        <v>732</v>
      </c>
      <c r="L121" s="15" t="s">
        <v>443</v>
      </c>
    </row>
    <row r="122" spans="1:12" x14ac:dyDescent="0.2">
      <c r="A122" s="35" t="s">
        <v>1608</v>
      </c>
      <c r="B122" s="6"/>
      <c r="C122" s="5" t="s">
        <v>698</v>
      </c>
      <c r="I122" s="2"/>
      <c r="J122" s="4" t="s">
        <v>814</v>
      </c>
      <c r="L122" s="15" t="s">
        <v>581</v>
      </c>
    </row>
    <row r="123" spans="1:12" x14ac:dyDescent="0.2">
      <c r="A123" s="35" t="s">
        <v>837</v>
      </c>
      <c r="B123" s="6"/>
      <c r="C123" s="5" t="s">
        <v>979</v>
      </c>
      <c r="I123" s="2"/>
      <c r="J123" s="4" t="s">
        <v>730</v>
      </c>
      <c r="L123" s="15" t="s">
        <v>195</v>
      </c>
    </row>
    <row r="124" spans="1:12" x14ac:dyDescent="0.2">
      <c r="A124" s="35" t="s">
        <v>868</v>
      </c>
      <c r="B124" s="6"/>
      <c r="C124" s="5" t="s">
        <v>139</v>
      </c>
      <c r="I124" s="2"/>
      <c r="J124" s="4" t="s">
        <v>685</v>
      </c>
      <c r="L124" s="10" t="s">
        <v>225</v>
      </c>
    </row>
    <row r="125" spans="1:12" x14ac:dyDescent="0.2">
      <c r="A125" s="35" t="s">
        <v>1208</v>
      </c>
      <c r="B125" s="6"/>
      <c r="C125" s="5" t="s">
        <v>726</v>
      </c>
      <c r="I125" s="2"/>
      <c r="J125" s="4" t="s">
        <v>1064</v>
      </c>
      <c r="L125" s="15" t="s">
        <v>373</v>
      </c>
    </row>
    <row r="126" spans="1:12" x14ac:dyDescent="0.2">
      <c r="A126" s="35" t="s">
        <v>1243</v>
      </c>
      <c r="B126" s="6"/>
      <c r="C126" s="5" t="s">
        <v>669</v>
      </c>
      <c r="I126" s="2"/>
      <c r="J126" s="4" t="s">
        <v>1166</v>
      </c>
      <c r="L126" s="15" t="s">
        <v>530</v>
      </c>
    </row>
    <row r="127" spans="1:12" x14ac:dyDescent="0.2">
      <c r="A127" s="35" t="s">
        <v>879</v>
      </c>
      <c r="B127" s="6"/>
      <c r="C127" s="5" t="s">
        <v>716</v>
      </c>
      <c r="I127" s="2"/>
      <c r="J127" s="4" t="s">
        <v>1172</v>
      </c>
      <c r="L127" s="15" t="s">
        <v>587</v>
      </c>
    </row>
    <row r="128" spans="1:12" x14ac:dyDescent="0.2">
      <c r="A128" s="35" t="s">
        <v>693</v>
      </c>
      <c r="B128" s="6"/>
      <c r="C128" s="5" t="s">
        <v>736</v>
      </c>
      <c r="I128" s="2"/>
      <c r="J128" s="4" t="s">
        <v>649</v>
      </c>
      <c r="L128" s="15" t="s">
        <v>586</v>
      </c>
    </row>
    <row r="129" spans="1:12" x14ac:dyDescent="0.2">
      <c r="A129" s="35" t="s">
        <v>1758</v>
      </c>
      <c r="B129" s="6"/>
      <c r="I129" s="1"/>
      <c r="J129" s="4" t="s">
        <v>1744</v>
      </c>
      <c r="L129" s="15" t="s">
        <v>567</v>
      </c>
    </row>
    <row r="130" spans="1:12" x14ac:dyDescent="0.2">
      <c r="A130" s="35" t="s">
        <v>144</v>
      </c>
      <c r="B130" s="6"/>
      <c r="I130" s="2"/>
      <c r="J130" s="4" t="s">
        <v>416</v>
      </c>
      <c r="L130" s="15" t="s">
        <v>442</v>
      </c>
    </row>
    <row r="131" spans="1:12" x14ac:dyDescent="0.2">
      <c r="A131" s="35" t="s">
        <v>718</v>
      </c>
      <c r="I131" s="2"/>
      <c r="J131" s="4" t="s">
        <v>1963</v>
      </c>
      <c r="L131" s="15" t="s">
        <v>458</v>
      </c>
    </row>
    <row r="132" spans="1:12" x14ac:dyDescent="0.2">
      <c r="A132" s="35" t="s">
        <v>1968</v>
      </c>
      <c r="B132" s="6"/>
      <c r="I132" s="2"/>
      <c r="J132" s="4" t="s">
        <v>1158</v>
      </c>
      <c r="L132" s="10" t="s">
        <v>461</v>
      </c>
    </row>
    <row r="133" spans="1:12" x14ac:dyDescent="0.2">
      <c r="A133" s="35" t="s">
        <v>946</v>
      </c>
      <c r="B133" s="6"/>
      <c r="I133" s="2"/>
      <c r="J133" s="4" t="s">
        <v>764</v>
      </c>
      <c r="L133" s="10" t="s">
        <v>427</v>
      </c>
    </row>
    <row r="134" spans="1:12" x14ac:dyDescent="0.2">
      <c r="A134" s="35" t="s">
        <v>864</v>
      </c>
      <c r="I134" s="2"/>
      <c r="J134" s="4" t="s">
        <v>955</v>
      </c>
      <c r="L134" s="10" t="s">
        <v>592</v>
      </c>
    </row>
    <row r="135" spans="1:12" x14ac:dyDescent="0.2">
      <c r="A135" s="35" t="s">
        <v>852</v>
      </c>
      <c r="B135" s="6"/>
      <c r="I135" s="2"/>
      <c r="J135" s="4" t="s">
        <v>1088</v>
      </c>
      <c r="L135" s="15" t="s">
        <v>542</v>
      </c>
    </row>
    <row r="136" spans="1:12" x14ac:dyDescent="0.2">
      <c r="A136" s="35" t="s">
        <v>1752</v>
      </c>
      <c r="B136" s="6"/>
      <c r="I136" s="2"/>
      <c r="J136" s="4" t="s">
        <v>803</v>
      </c>
      <c r="L136" s="15" t="s">
        <v>462</v>
      </c>
    </row>
    <row r="137" spans="1:12" x14ac:dyDescent="0.2">
      <c r="A137" s="35" t="s">
        <v>1535</v>
      </c>
      <c r="B137" s="6"/>
      <c r="I137" s="2"/>
      <c r="J137" s="4" t="s">
        <v>1960</v>
      </c>
      <c r="L137" s="15" t="s">
        <v>243</v>
      </c>
    </row>
    <row r="138" spans="1:12" x14ac:dyDescent="0.2">
      <c r="A138" s="35" t="s">
        <v>1969</v>
      </c>
      <c r="B138" s="6"/>
      <c r="I138" s="2"/>
      <c r="J138" s="4" t="s">
        <v>1968</v>
      </c>
      <c r="L138" s="15" t="s">
        <v>207</v>
      </c>
    </row>
    <row r="139" spans="1:12" x14ac:dyDescent="0.2">
      <c r="A139" s="35" t="s">
        <v>762</v>
      </c>
      <c r="I139" s="2"/>
      <c r="J139" s="4" t="s">
        <v>1969</v>
      </c>
      <c r="L139" s="15" t="s">
        <v>454</v>
      </c>
    </row>
    <row r="140" spans="1:12" x14ac:dyDescent="0.2">
      <c r="A140" s="35"/>
      <c r="B140" s="6"/>
      <c r="I140" s="2"/>
      <c r="J140" s="4" t="s">
        <v>1217</v>
      </c>
      <c r="L140" s="15" t="s">
        <v>473</v>
      </c>
    </row>
    <row r="141" spans="1:12" x14ac:dyDescent="0.2">
      <c r="A141" s="35"/>
      <c r="I141" s="1"/>
      <c r="J141" s="4" t="s">
        <v>907</v>
      </c>
      <c r="L141" s="15" t="s">
        <v>344</v>
      </c>
    </row>
    <row r="142" spans="1:12" x14ac:dyDescent="0.2">
      <c r="A142" s="35"/>
      <c r="B142" s="6"/>
      <c r="I142" s="2"/>
      <c r="J142" s="4" t="s">
        <v>722</v>
      </c>
      <c r="L142" s="10" t="s">
        <v>265</v>
      </c>
    </row>
    <row r="143" spans="1:12" x14ac:dyDescent="0.2">
      <c r="A143" s="35"/>
      <c r="B143" s="6"/>
      <c r="I143" s="1"/>
      <c r="J143" s="4" t="s">
        <v>1058</v>
      </c>
      <c r="L143" s="10" t="s">
        <v>432</v>
      </c>
    </row>
    <row r="144" spans="1:12" x14ac:dyDescent="0.2">
      <c r="A144" s="35"/>
      <c r="B144" s="6"/>
      <c r="I144" s="2"/>
      <c r="J144" s="4" t="s">
        <v>1066</v>
      </c>
      <c r="L144" s="15" t="s">
        <v>478</v>
      </c>
    </row>
    <row r="145" spans="1:12" x14ac:dyDescent="0.2">
      <c r="A145" s="35"/>
      <c r="B145" s="6"/>
      <c r="I145" s="2"/>
      <c r="J145" s="4" t="s">
        <v>675</v>
      </c>
      <c r="L145" s="15" t="s">
        <v>577</v>
      </c>
    </row>
    <row r="146" spans="1:12" x14ac:dyDescent="0.2">
      <c r="A146" s="35"/>
      <c r="B146" s="6"/>
      <c r="I146" s="2"/>
      <c r="J146" s="4" t="s">
        <v>1732</v>
      </c>
      <c r="L146" s="15" t="s">
        <v>509</v>
      </c>
    </row>
    <row r="147" spans="1:12" x14ac:dyDescent="0.2">
      <c r="A147" s="35"/>
      <c r="B147" s="6"/>
      <c r="I147" s="2"/>
      <c r="J147" s="4" t="s">
        <v>695</v>
      </c>
      <c r="L147" s="15" t="s">
        <v>566</v>
      </c>
    </row>
    <row r="148" spans="1:12" x14ac:dyDescent="0.2">
      <c r="A148" s="35"/>
      <c r="B148" s="6"/>
      <c r="I148" s="1"/>
      <c r="J148" s="4" t="s">
        <v>670</v>
      </c>
      <c r="L148" s="15" t="s">
        <v>495</v>
      </c>
    </row>
    <row r="149" spans="1:12" x14ac:dyDescent="0.2">
      <c r="A149" s="35"/>
      <c r="B149" s="6"/>
      <c r="I149" s="2"/>
      <c r="J149" s="4" t="s">
        <v>1071</v>
      </c>
      <c r="L149" s="10" t="s">
        <v>488</v>
      </c>
    </row>
    <row r="150" spans="1:12" x14ac:dyDescent="0.2">
      <c r="A150" s="35"/>
      <c r="B150" s="6"/>
      <c r="I150" s="2"/>
      <c r="J150" s="4" t="s">
        <v>852</v>
      </c>
      <c r="L150" s="15" t="s">
        <v>499</v>
      </c>
    </row>
    <row r="151" spans="1:12" x14ac:dyDescent="0.2">
      <c r="A151" s="35"/>
      <c r="I151" s="2"/>
      <c r="J151" s="4" t="s">
        <v>739</v>
      </c>
      <c r="L151" s="15" t="s">
        <v>596</v>
      </c>
    </row>
    <row r="152" spans="1:12" x14ac:dyDescent="0.2">
      <c r="A152" s="35"/>
      <c r="B152" s="6"/>
      <c r="I152" s="2"/>
      <c r="J152" s="4" t="s">
        <v>1816</v>
      </c>
      <c r="L152" s="15" t="s">
        <v>393</v>
      </c>
    </row>
    <row r="153" spans="1:12" x14ac:dyDescent="0.2">
      <c r="A153" s="35"/>
      <c r="B153" s="6"/>
      <c r="I153" s="2"/>
      <c r="J153" s="4" t="s">
        <v>1547</v>
      </c>
      <c r="L153" s="10" t="s">
        <v>466</v>
      </c>
    </row>
    <row r="154" spans="1:12" x14ac:dyDescent="0.2">
      <c r="A154" s="35"/>
      <c r="B154" s="6"/>
      <c r="I154" s="2"/>
      <c r="J154" s="4" t="s">
        <v>731</v>
      </c>
      <c r="L154" s="15" t="s">
        <v>569</v>
      </c>
    </row>
    <row r="155" spans="1:12" x14ac:dyDescent="0.2">
      <c r="A155" s="35"/>
      <c r="B155" s="6"/>
      <c r="I155" s="2"/>
      <c r="J155" s="4" t="s">
        <v>959</v>
      </c>
      <c r="L155" s="15" t="s">
        <v>608</v>
      </c>
    </row>
    <row r="156" spans="1:12" x14ac:dyDescent="0.2">
      <c r="A156" s="35"/>
      <c r="B156" s="6"/>
      <c r="I156" s="1"/>
      <c r="J156" s="4" t="s">
        <v>689</v>
      </c>
      <c r="L156" s="10" t="s">
        <v>584</v>
      </c>
    </row>
    <row r="157" spans="1:12" x14ac:dyDescent="0.2">
      <c r="A157" s="35"/>
      <c r="B157" s="6"/>
      <c r="C157" s="6"/>
      <c r="I157" s="1"/>
      <c r="J157" s="4" t="s">
        <v>1162</v>
      </c>
      <c r="L157" s="10" t="s">
        <v>366</v>
      </c>
    </row>
    <row r="158" spans="1:12" x14ac:dyDescent="0.2">
      <c r="A158" s="35"/>
      <c r="C158" s="6"/>
      <c r="I158" s="1"/>
      <c r="J158" s="4" t="s">
        <v>790</v>
      </c>
      <c r="L158" s="15" t="s">
        <v>474</v>
      </c>
    </row>
    <row r="159" spans="1:12" x14ac:dyDescent="0.2">
      <c r="A159" s="35"/>
      <c r="B159" s="6"/>
      <c r="C159" s="6"/>
      <c r="I159" s="2"/>
      <c r="J159" s="4" t="s">
        <v>970</v>
      </c>
      <c r="L159" s="15" t="s">
        <v>510</v>
      </c>
    </row>
    <row r="160" spans="1:12" x14ac:dyDescent="0.2">
      <c r="A160" s="35"/>
      <c r="C160" s="6"/>
      <c r="I160" s="2"/>
      <c r="J160" s="4" t="s">
        <v>1566</v>
      </c>
      <c r="L160" s="15" t="s">
        <v>591</v>
      </c>
    </row>
    <row r="161" spans="1:12" x14ac:dyDescent="0.2">
      <c r="A161" s="35"/>
      <c r="B161" s="6"/>
      <c r="C161" s="6"/>
      <c r="I161" s="2"/>
      <c r="J161" s="4" t="s">
        <v>973</v>
      </c>
      <c r="L161" s="10" t="s">
        <v>513</v>
      </c>
    </row>
    <row r="162" spans="1:12" x14ac:dyDescent="0.2">
      <c r="A162" s="35"/>
      <c r="B162" s="6"/>
      <c r="C162" s="6"/>
      <c r="I162" s="2"/>
      <c r="J162" s="4" t="s">
        <v>964</v>
      </c>
      <c r="L162" s="15" t="s">
        <v>484</v>
      </c>
    </row>
    <row r="163" spans="1:12" x14ac:dyDescent="0.2">
      <c r="A163" s="35"/>
      <c r="B163" s="6"/>
      <c r="C163" s="6"/>
      <c r="I163" s="2"/>
      <c r="J163" s="4" t="s">
        <v>1792</v>
      </c>
      <c r="L163" s="15" t="s">
        <v>523</v>
      </c>
    </row>
    <row r="164" spans="1:12" x14ac:dyDescent="0.2">
      <c r="A164" s="35"/>
      <c r="B164" s="6"/>
      <c r="C164" s="6"/>
      <c r="I164" s="2"/>
      <c r="J164" s="4" t="s">
        <v>745</v>
      </c>
      <c r="L164" s="15" t="s">
        <v>519</v>
      </c>
    </row>
    <row r="165" spans="1:12" x14ac:dyDescent="0.2">
      <c r="A165" s="35"/>
      <c r="C165" s="6"/>
      <c r="I165" s="2"/>
      <c r="J165" s="4" t="s">
        <v>1761</v>
      </c>
      <c r="L165" s="15" t="s">
        <v>273</v>
      </c>
    </row>
    <row r="166" spans="1:12" x14ac:dyDescent="0.2">
      <c r="A166" s="35"/>
      <c r="B166" s="6"/>
      <c r="I166" s="1"/>
      <c r="J166" s="4" t="s">
        <v>1007</v>
      </c>
      <c r="L166" s="15" t="s">
        <v>560</v>
      </c>
    </row>
    <row r="167" spans="1:12" x14ac:dyDescent="0.2">
      <c r="A167" s="35"/>
      <c r="I167" s="1"/>
      <c r="J167" s="4" t="s">
        <v>1962</v>
      </c>
      <c r="L167" s="15" t="s">
        <v>601</v>
      </c>
    </row>
    <row r="168" spans="1:12" x14ac:dyDescent="0.2">
      <c r="A168" s="35"/>
      <c r="B168" s="6"/>
      <c r="I168" s="2"/>
      <c r="J168" s="4" t="s">
        <v>762</v>
      </c>
      <c r="L168" s="15" t="s">
        <v>524</v>
      </c>
    </row>
    <row r="169" spans="1:12" x14ac:dyDescent="0.2">
      <c r="A169" s="35"/>
      <c r="B169" s="6"/>
      <c r="C169" s="6"/>
      <c r="I169" s="2"/>
      <c r="J169" s="4" t="s">
        <v>1797</v>
      </c>
      <c r="L169" s="15" t="s">
        <v>527</v>
      </c>
    </row>
    <row r="170" spans="1:12" x14ac:dyDescent="0.2">
      <c r="A170" s="35"/>
      <c r="B170" s="6"/>
      <c r="I170" s="2"/>
      <c r="J170" s="4" t="s">
        <v>727</v>
      </c>
      <c r="L170" s="15" t="s">
        <v>537</v>
      </c>
    </row>
    <row r="171" spans="1:12" x14ac:dyDescent="0.2">
      <c r="A171" s="35"/>
      <c r="B171" s="6"/>
      <c r="C171" s="6"/>
      <c r="I171" s="2"/>
      <c r="J171" s="4" t="s">
        <v>699</v>
      </c>
      <c r="L171" s="10" t="s">
        <v>595</v>
      </c>
    </row>
    <row r="172" spans="1:12" x14ac:dyDescent="0.2">
      <c r="A172" s="35"/>
      <c r="B172" s="6"/>
      <c r="I172" s="2"/>
      <c r="J172" s="4" t="s">
        <v>1258</v>
      </c>
      <c r="L172" s="15" t="s">
        <v>374</v>
      </c>
    </row>
    <row r="173" spans="1:12" x14ac:dyDescent="0.2">
      <c r="A173" s="35"/>
      <c r="B173" s="6"/>
      <c r="C173" s="6"/>
      <c r="I173" s="1"/>
      <c r="J173" s="4" t="s">
        <v>913</v>
      </c>
      <c r="L173" s="15" t="s">
        <v>570</v>
      </c>
    </row>
    <row r="174" spans="1:12" x14ac:dyDescent="0.2">
      <c r="A174" s="35"/>
      <c r="I174" s="2"/>
      <c r="J174" s="4" t="s">
        <v>974</v>
      </c>
      <c r="L174" s="15" t="s">
        <v>582</v>
      </c>
    </row>
    <row r="175" spans="1:12" x14ac:dyDescent="0.2">
      <c r="A175" s="35"/>
      <c r="C175" s="6"/>
      <c r="I175" s="2"/>
      <c r="J175" s="4" t="s">
        <v>1228</v>
      </c>
      <c r="L175" s="15" t="s">
        <v>602</v>
      </c>
    </row>
    <row r="176" spans="1:12" x14ac:dyDescent="0.2">
      <c r="A176" s="35"/>
      <c r="B176" s="6"/>
      <c r="I176" s="2"/>
      <c r="J176" s="4" t="s">
        <v>1734</v>
      </c>
      <c r="L176" s="15" t="s">
        <v>590</v>
      </c>
    </row>
    <row r="177" spans="1:12" x14ac:dyDescent="0.2">
      <c r="A177" s="35"/>
      <c r="B177" s="6"/>
      <c r="C177" s="6"/>
      <c r="I177" s="1"/>
      <c r="J177" s="4" t="s">
        <v>1766</v>
      </c>
      <c r="L177" s="10" t="s">
        <v>282</v>
      </c>
    </row>
    <row r="178" spans="1:12" x14ac:dyDescent="0.2">
      <c r="A178" s="35"/>
      <c r="B178" s="6"/>
      <c r="C178" s="6"/>
      <c r="I178" s="2"/>
      <c r="J178" s="4" t="s">
        <v>1194</v>
      </c>
      <c r="L178" s="15" t="s">
        <v>574</v>
      </c>
    </row>
    <row r="179" spans="1:12" x14ac:dyDescent="0.2">
      <c r="A179" s="35"/>
      <c r="C179" s="6"/>
      <c r="I179" s="2"/>
      <c r="J179" s="4" t="s">
        <v>1096</v>
      </c>
      <c r="L179" s="15" t="s">
        <v>533</v>
      </c>
    </row>
    <row r="180" spans="1:12" x14ac:dyDescent="0.2">
      <c r="A180" s="35"/>
      <c r="B180" s="6"/>
      <c r="C180" s="6"/>
      <c r="I180" s="1"/>
      <c r="J180" s="4" t="s">
        <v>979</v>
      </c>
      <c r="L180" s="15" t="s">
        <v>605</v>
      </c>
    </row>
    <row r="181" spans="1:12" x14ac:dyDescent="0.2">
      <c r="A181" s="35"/>
      <c r="B181" s="6"/>
      <c r="C181" s="6"/>
      <c r="I181" s="1"/>
      <c r="J181" s="4" t="s">
        <v>1055</v>
      </c>
      <c r="L181" s="10" t="s">
        <v>594</v>
      </c>
    </row>
    <row r="182" spans="1:12" x14ac:dyDescent="0.2">
      <c r="A182" s="35"/>
      <c r="B182" s="6"/>
      <c r="C182" s="6"/>
      <c r="I182" s="2"/>
      <c r="J182" s="4" t="s">
        <v>879</v>
      </c>
      <c r="L182" s="10" t="s">
        <v>540</v>
      </c>
    </row>
    <row r="183" spans="1:12" x14ac:dyDescent="0.2">
      <c r="A183" s="35"/>
      <c r="B183" s="6"/>
      <c r="C183" s="6"/>
      <c r="I183" s="2"/>
      <c r="J183" s="4" t="s">
        <v>469</v>
      </c>
      <c r="L183" s="15" t="s">
        <v>286</v>
      </c>
    </row>
    <row r="184" spans="1:12" x14ac:dyDescent="0.2">
      <c r="A184" s="35"/>
      <c r="B184" s="6"/>
      <c r="C184" s="6"/>
      <c r="I184" s="2"/>
      <c r="J184" s="4" t="s">
        <v>1873</v>
      </c>
      <c r="L184" s="15" t="s">
        <v>468</v>
      </c>
    </row>
    <row r="185" spans="1:12" x14ac:dyDescent="0.2">
      <c r="A185" s="35"/>
      <c r="C185" s="6"/>
      <c r="I185" s="1"/>
      <c r="J185" s="4" t="s">
        <v>1084</v>
      </c>
      <c r="L185" s="10" t="s">
        <v>546</v>
      </c>
    </row>
    <row r="186" spans="1:12" x14ac:dyDescent="0.2">
      <c r="A186" s="35"/>
      <c r="C186" s="6"/>
      <c r="I186" s="2"/>
      <c r="J186" s="4" t="s">
        <v>1062</v>
      </c>
      <c r="L186" s="15" t="s">
        <v>598</v>
      </c>
    </row>
    <row r="187" spans="1:12" x14ac:dyDescent="0.2">
      <c r="A187" s="35"/>
      <c r="C187" s="6"/>
      <c r="I187" s="2"/>
      <c r="J187" s="4" t="s">
        <v>946</v>
      </c>
      <c r="L187" s="10" t="s">
        <v>290</v>
      </c>
    </row>
    <row r="188" spans="1:12" x14ac:dyDescent="0.2">
      <c r="A188" s="35"/>
      <c r="C188" s="6"/>
      <c r="I188" s="2"/>
      <c r="J188" s="4" t="s">
        <v>976</v>
      </c>
      <c r="L188" s="15" t="s">
        <v>295</v>
      </c>
    </row>
    <row r="189" spans="1:12" x14ac:dyDescent="0.2">
      <c r="A189" s="35"/>
      <c r="B189" s="6"/>
      <c r="C189" s="6"/>
      <c r="I189" s="2"/>
      <c r="J189" s="4" t="s">
        <v>1181</v>
      </c>
      <c r="L189" s="15" t="s">
        <v>573</v>
      </c>
    </row>
    <row r="190" spans="1:12" x14ac:dyDescent="0.2">
      <c r="A190" s="35"/>
      <c r="C190" s="6"/>
      <c r="I190" s="2"/>
      <c r="J190" s="4" t="s">
        <v>483</v>
      </c>
      <c r="L190" s="10" t="s">
        <v>253</v>
      </c>
    </row>
    <row r="191" spans="1:12" x14ac:dyDescent="0.2">
      <c r="A191" s="35"/>
      <c r="C191" s="6"/>
      <c r="I191" s="2"/>
      <c r="J191" s="4" t="s">
        <v>1052</v>
      </c>
      <c r="L191" s="15" t="s">
        <v>490</v>
      </c>
    </row>
    <row r="192" spans="1:12" x14ac:dyDescent="0.2">
      <c r="A192" s="35"/>
      <c r="B192" s="6"/>
      <c r="C192" s="6"/>
      <c r="I192" s="2"/>
      <c r="J192" s="4" t="s">
        <v>1086</v>
      </c>
      <c r="L192" s="10" t="s">
        <v>556</v>
      </c>
    </row>
    <row r="193" spans="1:12" x14ac:dyDescent="0.2">
      <c r="A193" s="35"/>
      <c r="B193" s="6"/>
      <c r="C193" s="6"/>
      <c r="I193" s="2"/>
      <c r="J193" s="4" t="s">
        <v>1151</v>
      </c>
      <c r="L193" s="15" t="s">
        <v>480</v>
      </c>
    </row>
    <row r="194" spans="1:12" x14ac:dyDescent="0.2">
      <c r="A194" s="35"/>
      <c r="B194" s="6"/>
      <c r="C194" s="6"/>
      <c r="I194" s="2"/>
      <c r="J194" s="4" t="s">
        <v>1860</v>
      </c>
      <c r="L194" s="15" t="s">
        <v>554</v>
      </c>
    </row>
    <row r="195" spans="1:12" x14ac:dyDescent="0.2">
      <c r="A195" s="35"/>
      <c r="C195" s="6"/>
      <c r="I195" s="1"/>
      <c r="J195" s="4" t="s">
        <v>956</v>
      </c>
      <c r="L195" s="15" t="s">
        <v>597</v>
      </c>
    </row>
    <row r="196" spans="1:12" x14ac:dyDescent="0.2">
      <c r="A196" s="35"/>
      <c r="B196" s="6"/>
      <c r="C196" s="6"/>
      <c r="I196" s="2"/>
      <c r="J196" s="4" t="s">
        <v>972</v>
      </c>
      <c r="L196" s="13" t="s">
        <v>13</v>
      </c>
    </row>
    <row r="197" spans="1:12" x14ac:dyDescent="0.2">
      <c r="A197" s="35"/>
      <c r="B197" s="6"/>
      <c r="C197" s="6"/>
      <c r="I197" s="2"/>
      <c r="J197" s="4" t="s">
        <v>726</v>
      </c>
      <c r="L197" s="13" t="s">
        <v>40</v>
      </c>
    </row>
    <row r="198" spans="1:12" x14ac:dyDescent="0.2">
      <c r="A198" s="35"/>
      <c r="C198" s="6"/>
      <c r="I198" s="2"/>
      <c r="J198" s="4" t="s">
        <v>1795</v>
      </c>
      <c r="L198" s="13" t="s">
        <v>613</v>
      </c>
    </row>
    <row r="199" spans="1:12" x14ac:dyDescent="0.2">
      <c r="A199" s="35"/>
      <c r="B199" s="6"/>
      <c r="C199" s="6"/>
      <c r="I199" s="2"/>
      <c r="J199" s="4" t="s">
        <v>1966</v>
      </c>
      <c r="L199" s="13" t="s">
        <v>621</v>
      </c>
    </row>
    <row r="200" spans="1:12" x14ac:dyDescent="0.2">
      <c r="A200" s="35"/>
      <c r="C200" s="6"/>
      <c r="I200" s="2"/>
      <c r="J200" s="4" t="s">
        <v>957</v>
      </c>
      <c r="L200" s="13" t="s">
        <v>616</v>
      </c>
    </row>
    <row r="201" spans="1:12" x14ac:dyDescent="0.2">
      <c r="A201" s="35"/>
      <c r="B201" s="6"/>
      <c r="C201" s="6"/>
      <c r="I201" s="1"/>
      <c r="J201" s="4" t="s">
        <v>677</v>
      </c>
      <c r="L201" s="13" t="s">
        <v>620</v>
      </c>
    </row>
    <row r="202" spans="1:12" x14ac:dyDescent="0.2">
      <c r="A202" s="35"/>
      <c r="B202" s="6"/>
      <c r="C202" s="6"/>
      <c r="I202" s="2"/>
      <c r="J202" s="4" t="s">
        <v>968</v>
      </c>
      <c r="L202" s="13" t="s">
        <v>200</v>
      </c>
    </row>
    <row r="203" spans="1:12" x14ac:dyDescent="0.2">
      <c r="A203" s="35"/>
      <c r="B203" s="6"/>
      <c r="C203" s="6"/>
      <c r="I203" s="2"/>
      <c r="J203" s="4" t="s">
        <v>688</v>
      </c>
      <c r="L203" s="13" t="s">
        <v>270</v>
      </c>
    </row>
    <row r="204" spans="1:12" x14ac:dyDescent="0.2">
      <c r="A204" s="35"/>
      <c r="B204" s="6"/>
      <c r="I204" s="2"/>
      <c r="J204" s="4" t="s">
        <v>666</v>
      </c>
      <c r="L204" s="13" t="s">
        <v>617</v>
      </c>
    </row>
    <row r="205" spans="1:12" x14ac:dyDescent="0.2">
      <c r="A205" s="35"/>
      <c r="B205" s="6"/>
      <c r="C205" s="6"/>
      <c r="I205" s="1"/>
      <c r="J205" s="4" t="s">
        <v>1079</v>
      </c>
      <c r="L205" s="13" t="s">
        <v>380</v>
      </c>
    </row>
    <row r="206" spans="1:12" x14ac:dyDescent="0.2">
      <c r="A206" s="35"/>
      <c r="B206" s="6"/>
      <c r="C206" s="6"/>
      <c r="I206" s="1"/>
      <c r="J206" s="4" t="s">
        <v>1173</v>
      </c>
      <c r="L206" s="13" t="s">
        <v>618</v>
      </c>
    </row>
    <row r="207" spans="1:12" x14ac:dyDescent="0.2">
      <c r="A207" s="35"/>
      <c r="B207" s="6"/>
      <c r="C207" s="6"/>
      <c r="I207" s="2"/>
      <c r="J207" s="4" t="s">
        <v>829</v>
      </c>
      <c r="L207" s="13" t="s">
        <v>619</v>
      </c>
    </row>
    <row r="208" spans="1:12" x14ac:dyDescent="0.2">
      <c r="A208" s="35"/>
      <c r="B208" s="6"/>
      <c r="C208" s="6"/>
      <c r="I208" s="2"/>
      <c r="J208" s="4" t="s">
        <v>1183</v>
      </c>
      <c r="L208" s="13" t="s">
        <v>202</v>
      </c>
    </row>
    <row r="209" spans="1:12" x14ac:dyDescent="0.2">
      <c r="A209" s="35"/>
      <c r="B209" s="6"/>
      <c r="C209" s="6"/>
      <c r="I209" s="1"/>
      <c r="J209" s="4" t="s">
        <v>520</v>
      </c>
      <c r="L209" s="13" t="s">
        <v>614</v>
      </c>
    </row>
    <row r="210" spans="1:12" x14ac:dyDescent="0.2">
      <c r="A210" s="35"/>
      <c r="B210" s="6"/>
      <c r="C210" s="6"/>
      <c r="I210" s="2"/>
      <c r="J210" s="4" t="s">
        <v>736</v>
      </c>
      <c r="L210" s="13" t="s">
        <v>313</v>
      </c>
    </row>
    <row r="211" spans="1:12" x14ac:dyDescent="0.2">
      <c r="A211" s="35"/>
      <c r="B211" s="6"/>
      <c r="C211" s="6"/>
      <c r="I211" s="1"/>
      <c r="J211" s="4" t="s">
        <v>644</v>
      </c>
      <c r="L211" s="13" t="s">
        <v>625</v>
      </c>
    </row>
    <row r="212" spans="1:12" x14ac:dyDescent="0.2">
      <c r="A212" s="35"/>
      <c r="B212" s="6"/>
      <c r="C212" s="6"/>
      <c r="I212" s="2"/>
      <c r="J212" s="4" t="s">
        <v>673</v>
      </c>
      <c r="L212" s="13" t="s">
        <v>622</v>
      </c>
    </row>
    <row r="213" spans="1:12" x14ac:dyDescent="0.2">
      <c r="A213" s="35"/>
      <c r="B213" s="6"/>
      <c r="C213" s="6"/>
      <c r="I213" s="2"/>
      <c r="J213" s="4" t="s">
        <v>654</v>
      </c>
      <c r="L213" s="13" t="s">
        <v>624</v>
      </c>
    </row>
    <row r="214" spans="1:12" x14ac:dyDescent="0.2">
      <c r="A214" s="35"/>
      <c r="B214" s="6"/>
      <c r="C214" s="6"/>
      <c r="I214" s="1"/>
      <c r="J214" s="4" t="s">
        <v>635</v>
      </c>
      <c r="L214" s="13" t="s">
        <v>236</v>
      </c>
    </row>
    <row r="215" spans="1:12" x14ac:dyDescent="0.2">
      <c r="A215" s="35"/>
      <c r="B215" s="6"/>
      <c r="I215" s="2"/>
      <c r="J215" s="4" t="s">
        <v>662</v>
      </c>
      <c r="L215" s="13" t="s">
        <v>531</v>
      </c>
    </row>
    <row r="216" spans="1:12" x14ac:dyDescent="0.2">
      <c r="A216" s="35"/>
      <c r="B216" s="6"/>
      <c r="I216" s="1"/>
      <c r="J216" s="4" t="s">
        <v>370</v>
      </c>
      <c r="L216" s="13" t="s">
        <v>545</v>
      </c>
    </row>
    <row r="217" spans="1:12" x14ac:dyDescent="0.2">
      <c r="A217" s="35"/>
      <c r="C217" s="6"/>
      <c r="I217" s="2"/>
      <c r="J217" s="4" t="s">
        <v>1065</v>
      </c>
      <c r="L217" s="13" t="s">
        <v>187</v>
      </c>
    </row>
    <row r="218" spans="1:12" x14ac:dyDescent="0.2">
      <c r="A218" s="35"/>
      <c r="B218" s="6"/>
      <c r="C218" s="6"/>
      <c r="I218" s="2"/>
      <c r="J218" s="4" t="s">
        <v>785</v>
      </c>
      <c r="L218" s="13" t="s">
        <v>626</v>
      </c>
    </row>
    <row r="219" spans="1:12" x14ac:dyDescent="0.2">
      <c r="A219" s="35"/>
      <c r="B219" s="6"/>
      <c r="I219" s="2"/>
      <c r="J219" s="4" t="s">
        <v>655</v>
      </c>
      <c r="L219" s="13" t="s">
        <v>627</v>
      </c>
    </row>
    <row r="220" spans="1:12" x14ac:dyDescent="0.2">
      <c r="A220" s="35"/>
      <c r="B220" s="6"/>
      <c r="C220" s="6"/>
      <c r="J220" s="4" t="s">
        <v>532</v>
      </c>
      <c r="L220" s="13" t="s">
        <v>299</v>
      </c>
    </row>
    <row r="221" spans="1:12" x14ac:dyDescent="0.2">
      <c r="A221" s="35"/>
      <c r="B221" s="6"/>
      <c r="C221" s="6"/>
      <c r="J221" s="4" t="s">
        <v>1771</v>
      </c>
      <c r="L221" s="13" t="s">
        <v>615</v>
      </c>
    </row>
    <row r="222" spans="1:12" x14ac:dyDescent="0.2">
      <c r="A222" s="35"/>
      <c r="B222" s="6"/>
      <c r="C222" s="6"/>
      <c r="J222" s="4" t="s">
        <v>667</v>
      </c>
      <c r="L222" s="13" t="s">
        <v>623</v>
      </c>
    </row>
    <row r="223" spans="1:12" x14ac:dyDescent="0.2">
      <c r="A223" s="35"/>
      <c r="B223" s="6"/>
      <c r="C223" s="6"/>
      <c r="J223" s="4" t="s">
        <v>698</v>
      </c>
    </row>
    <row r="224" spans="1:12" x14ac:dyDescent="0.2">
      <c r="A224" s="35"/>
      <c r="B224" s="6"/>
      <c r="J224" s="4" t="s">
        <v>1205</v>
      </c>
    </row>
    <row r="225" spans="1:10" x14ac:dyDescent="0.2">
      <c r="A225" s="35"/>
      <c r="B225" s="6"/>
      <c r="C225" s="6"/>
      <c r="J225" s="4" t="s">
        <v>1967</v>
      </c>
    </row>
    <row r="226" spans="1:10" x14ac:dyDescent="0.2">
      <c r="A226" s="35"/>
      <c r="B226" s="6"/>
      <c r="J226" s="4" t="s">
        <v>801</v>
      </c>
    </row>
    <row r="227" spans="1:10" x14ac:dyDescent="0.2">
      <c r="A227" s="35"/>
      <c r="C227" s="6"/>
      <c r="J227" s="4" t="s">
        <v>645</v>
      </c>
    </row>
    <row r="228" spans="1:10" x14ac:dyDescent="0.2">
      <c r="A228" s="35"/>
      <c r="C228" s="6"/>
      <c r="J228" s="4" t="s">
        <v>962</v>
      </c>
    </row>
    <row r="229" spans="1:10" x14ac:dyDescent="0.2">
      <c r="A229" s="35"/>
      <c r="C229" s="6"/>
      <c r="J229" s="4" t="s">
        <v>720</v>
      </c>
    </row>
    <row r="230" spans="1:10" x14ac:dyDescent="0.2">
      <c r="A230" s="35"/>
      <c r="C230" s="6"/>
      <c r="J230" s="4" t="s">
        <v>669</v>
      </c>
    </row>
    <row r="231" spans="1:10" x14ac:dyDescent="0.2">
      <c r="A231" s="35"/>
      <c r="C231" s="6"/>
      <c r="J231" s="4" t="s">
        <v>634</v>
      </c>
    </row>
    <row r="232" spans="1:10" x14ac:dyDescent="0.2">
      <c r="A232" s="35"/>
      <c r="C232" s="6"/>
      <c r="J232" s="4" t="s">
        <v>868</v>
      </c>
    </row>
    <row r="233" spans="1:10" x14ac:dyDescent="0.2">
      <c r="A233" s="35"/>
      <c r="C233" s="6"/>
      <c r="J233" s="4" t="s">
        <v>1768</v>
      </c>
    </row>
    <row r="234" spans="1:10" x14ac:dyDescent="0.2">
      <c r="A234" s="35"/>
      <c r="C234" s="6"/>
      <c r="J234" s="4" t="s">
        <v>550</v>
      </c>
    </row>
    <row r="235" spans="1:10" x14ac:dyDescent="0.2">
      <c r="A235" s="35"/>
      <c r="J235" s="4" t="s">
        <v>661</v>
      </c>
    </row>
    <row r="236" spans="1:10" x14ac:dyDescent="0.2">
      <c r="A236" s="35"/>
      <c r="C236" s="6"/>
      <c r="J236" s="4" t="s">
        <v>1094</v>
      </c>
    </row>
    <row r="237" spans="1:10" x14ac:dyDescent="0.2">
      <c r="A237" s="35"/>
      <c r="C237" s="6"/>
      <c r="J237" s="4" t="s">
        <v>828</v>
      </c>
    </row>
    <row r="238" spans="1:10" x14ac:dyDescent="0.2">
      <c r="A238" s="35"/>
      <c r="C238" s="6"/>
      <c r="J238" s="4" t="s">
        <v>681</v>
      </c>
    </row>
    <row r="239" spans="1:10" x14ac:dyDescent="0.2">
      <c r="A239" s="35"/>
      <c r="C239" s="6"/>
      <c r="J239" s="4" t="s">
        <v>713</v>
      </c>
    </row>
    <row r="240" spans="1:10" x14ac:dyDescent="0.2">
      <c r="A240" s="35"/>
      <c r="C240" s="6"/>
      <c r="J240" s="4" t="s">
        <v>707</v>
      </c>
    </row>
    <row r="241" spans="1:10" x14ac:dyDescent="0.2">
      <c r="A241" s="35"/>
      <c r="C241" s="6"/>
      <c r="J241" s="4" t="s">
        <v>1170</v>
      </c>
    </row>
    <row r="242" spans="1:10" x14ac:dyDescent="0.2">
      <c r="A242" s="35"/>
      <c r="J242" s="4" t="s">
        <v>810</v>
      </c>
    </row>
    <row r="243" spans="1:10" x14ac:dyDescent="0.2">
      <c r="A243" s="35"/>
      <c r="C243" s="6"/>
      <c r="J243" s="4" t="s">
        <v>674</v>
      </c>
    </row>
    <row r="244" spans="1:10" x14ac:dyDescent="0.2">
      <c r="A244" s="35"/>
      <c r="J244" s="4" t="s">
        <v>657</v>
      </c>
    </row>
    <row r="245" spans="1:10" x14ac:dyDescent="0.2">
      <c r="A245" s="35"/>
      <c r="C245" s="6"/>
      <c r="J245" s="4" t="s">
        <v>700</v>
      </c>
    </row>
    <row r="246" spans="1:10" x14ac:dyDescent="0.2">
      <c r="A246" s="35"/>
      <c r="C246" s="6"/>
      <c r="J246" s="4" t="s">
        <v>1874</v>
      </c>
    </row>
    <row r="247" spans="1:10" x14ac:dyDescent="0.2">
      <c r="A247" s="35"/>
      <c r="C247" s="6"/>
      <c r="J247" s="1"/>
    </row>
    <row r="248" spans="1:10" x14ac:dyDescent="0.2">
      <c r="A248" s="35"/>
      <c r="C248" s="6"/>
      <c r="J248" s="1"/>
    </row>
    <row r="249" spans="1:10" x14ac:dyDescent="0.2">
      <c r="A249" s="35"/>
      <c r="J249" s="1"/>
    </row>
    <row r="250" spans="1:10" x14ac:dyDescent="0.2">
      <c r="A250" s="35"/>
      <c r="C250" s="6"/>
      <c r="J250" s="1"/>
    </row>
    <row r="251" spans="1:10" x14ac:dyDescent="0.2">
      <c r="A251" s="35"/>
      <c r="J251" s="1"/>
    </row>
    <row r="252" spans="1:10" x14ac:dyDescent="0.2">
      <c r="A252" s="35"/>
      <c r="C252" s="6"/>
      <c r="J252" s="1"/>
    </row>
    <row r="253" spans="1:10" x14ac:dyDescent="0.2">
      <c r="A253" s="35"/>
      <c r="C253" s="6"/>
      <c r="J253" s="1"/>
    </row>
    <row r="254" spans="1:10" x14ac:dyDescent="0.2">
      <c r="A254" s="35"/>
      <c r="C254" s="6"/>
      <c r="J254" s="1"/>
    </row>
    <row r="255" spans="1:10" x14ac:dyDescent="0.2">
      <c r="A255" s="35"/>
      <c r="C255" s="6"/>
      <c r="J255" s="1"/>
    </row>
    <row r="256" spans="1:10" x14ac:dyDescent="0.2">
      <c r="A256" s="35"/>
      <c r="C256" s="6"/>
      <c r="J256" s="1"/>
    </row>
    <row r="257" spans="1:10" x14ac:dyDescent="0.2">
      <c r="A257" s="35"/>
      <c r="C257" s="6"/>
      <c r="J257" s="1"/>
    </row>
    <row r="258" spans="1:10" x14ac:dyDescent="0.2">
      <c r="A258" s="35"/>
      <c r="J258" s="1"/>
    </row>
    <row r="259" spans="1:10" x14ac:dyDescent="0.2">
      <c r="A259" s="35"/>
      <c r="J259" s="1"/>
    </row>
    <row r="260" spans="1:10" x14ac:dyDescent="0.2">
      <c r="A260" s="35"/>
      <c r="C260" s="6"/>
      <c r="J260" s="1"/>
    </row>
    <row r="261" spans="1:10" x14ac:dyDescent="0.2">
      <c r="A261" s="35"/>
      <c r="C261" s="6"/>
      <c r="J261" s="1"/>
    </row>
    <row r="262" spans="1:10" x14ac:dyDescent="0.2">
      <c r="A262" s="35"/>
      <c r="C262" s="6"/>
      <c r="J262" s="1"/>
    </row>
    <row r="263" spans="1:10" x14ac:dyDescent="0.2">
      <c r="A263" s="35"/>
      <c r="J263" s="1"/>
    </row>
    <row r="264" spans="1:10" x14ac:dyDescent="0.2">
      <c r="A264" s="35"/>
      <c r="C264" s="6"/>
      <c r="J264" s="1"/>
    </row>
    <row r="265" spans="1:10" x14ac:dyDescent="0.2">
      <c r="A265" s="35"/>
      <c r="C265" s="6"/>
      <c r="J265" s="1"/>
    </row>
    <row r="266" spans="1:10" x14ac:dyDescent="0.2">
      <c r="A266" s="35"/>
      <c r="C266" s="6"/>
      <c r="J266" s="1"/>
    </row>
    <row r="267" spans="1:10" x14ac:dyDescent="0.2">
      <c r="A267" s="35"/>
      <c r="C267" s="6"/>
      <c r="J267" s="1"/>
    </row>
    <row r="268" spans="1:10" x14ac:dyDescent="0.2">
      <c r="A268" s="35"/>
      <c r="C268" s="6"/>
      <c r="J268" s="1"/>
    </row>
    <row r="269" spans="1:10" x14ac:dyDescent="0.2">
      <c r="A269" s="35"/>
      <c r="J269" s="1"/>
    </row>
    <row r="270" spans="1:10" x14ac:dyDescent="0.2">
      <c r="A270" s="35"/>
      <c r="J270" s="1"/>
    </row>
    <row r="271" spans="1:10" x14ac:dyDescent="0.2">
      <c r="A271" s="35"/>
      <c r="J271" s="1"/>
    </row>
    <row r="272" spans="1:10" x14ac:dyDescent="0.2">
      <c r="A272" s="35"/>
      <c r="J272" s="2"/>
    </row>
    <row r="273" spans="1:10" x14ac:dyDescent="0.2">
      <c r="A273" s="35"/>
      <c r="C273" s="6"/>
      <c r="J273" s="2"/>
    </row>
    <row r="274" spans="1:10" x14ac:dyDescent="0.2">
      <c r="A274" s="35"/>
      <c r="J274" s="2"/>
    </row>
    <row r="275" spans="1:10" x14ac:dyDescent="0.2">
      <c r="A275" s="35"/>
      <c r="J275" s="1"/>
    </row>
    <row r="276" spans="1:10" x14ac:dyDescent="0.2">
      <c r="A276" s="35"/>
      <c r="C276" s="6"/>
      <c r="J276" s="2"/>
    </row>
    <row r="277" spans="1:10" x14ac:dyDescent="0.2">
      <c r="A277" s="35"/>
      <c r="C277" s="6"/>
      <c r="J277" s="1"/>
    </row>
    <row r="278" spans="1:10" x14ac:dyDescent="0.2">
      <c r="A278" s="35"/>
      <c r="C278" s="6"/>
      <c r="J278" s="2"/>
    </row>
    <row r="279" spans="1:10" x14ac:dyDescent="0.2">
      <c r="A279" s="35"/>
      <c r="J279" s="2"/>
    </row>
    <row r="280" spans="1:10" x14ac:dyDescent="0.2">
      <c r="A280" s="35"/>
      <c r="C280" s="6"/>
      <c r="J280" s="2"/>
    </row>
    <row r="281" spans="1:10" x14ac:dyDescent="0.2">
      <c r="A281" s="35"/>
      <c r="C281" s="6"/>
      <c r="J281" s="2"/>
    </row>
    <row r="282" spans="1:10" x14ac:dyDescent="0.2">
      <c r="A282" s="35"/>
      <c r="J282" s="2"/>
    </row>
    <row r="283" spans="1:10" x14ac:dyDescent="0.2">
      <c r="A283" s="35"/>
      <c r="C283" s="6"/>
      <c r="J283" s="2"/>
    </row>
    <row r="284" spans="1:10" x14ac:dyDescent="0.2">
      <c r="A284" s="35"/>
      <c r="J284" s="1"/>
    </row>
    <row r="285" spans="1:10" x14ac:dyDescent="0.2">
      <c r="A285" s="35"/>
      <c r="C285" s="6"/>
      <c r="J285" s="1"/>
    </row>
    <row r="286" spans="1:10" x14ac:dyDescent="0.2">
      <c r="A286" s="35"/>
      <c r="C286" s="6"/>
      <c r="J286" s="1"/>
    </row>
    <row r="287" spans="1:10" x14ac:dyDescent="0.2">
      <c r="A287" s="35"/>
      <c r="C287" s="6"/>
      <c r="J287" s="2"/>
    </row>
    <row r="288" spans="1:10" x14ac:dyDescent="0.2">
      <c r="A288" s="35"/>
      <c r="C288" s="6"/>
      <c r="J288" s="2"/>
    </row>
    <row r="289" spans="1:10" x14ac:dyDescent="0.2">
      <c r="A289" s="35"/>
      <c r="C289" s="6"/>
      <c r="J289" s="2"/>
    </row>
    <row r="290" spans="1:10" x14ac:dyDescent="0.2">
      <c r="A290" s="35"/>
      <c r="C290" s="6"/>
      <c r="J290" s="2"/>
    </row>
    <row r="291" spans="1:10" x14ac:dyDescent="0.2">
      <c r="A291" s="35"/>
      <c r="C291" s="6"/>
      <c r="J291" s="2"/>
    </row>
    <row r="292" spans="1:10" x14ac:dyDescent="0.2">
      <c r="A292" s="35"/>
      <c r="C292" s="6"/>
      <c r="J292" s="2"/>
    </row>
    <row r="293" spans="1:10" x14ac:dyDescent="0.2">
      <c r="A293" s="35"/>
      <c r="C293" s="6"/>
      <c r="J293" s="2"/>
    </row>
    <row r="294" spans="1:10" x14ac:dyDescent="0.2">
      <c r="A294" s="35"/>
      <c r="C294" s="6"/>
      <c r="J294" s="1"/>
    </row>
    <row r="295" spans="1:10" x14ac:dyDescent="0.2">
      <c r="A295" s="35"/>
      <c r="C295" s="6"/>
      <c r="J295" s="2"/>
    </row>
    <row r="296" spans="1:10" x14ac:dyDescent="0.2">
      <c r="A296" s="35"/>
      <c r="C296" s="6"/>
      <c r="J296" s="1"/>
    </row>
    <row r="297" spans="1:10" x14ac:dyDescent="0.2">
      <c r="A297" s="35"/>
      <c r="C297" s="6"/>
      <c r="J297" s="2"/>
    </row>
    <row r="298" spans="1:10" x14ac:dyDescent="0.2">
      <c r="A298" s="35"/>
      <c r="C298" s="6"/>
      <c r="J298" s="2"/>
    </row>
    <row r="299" spans="1:10" x14ac:dyDescent="0.2">
      <c r="A299" s="35"/>
      <c r="C299" s="6"/>
      <c r="J299" s="2"/>
    </row>
    <row r="300" spans="1:10" x14ac:dyDescent="0.2">
      <c r="A300" s="35"/>
      <c r="C300" s="6"/>
      <c r="J300" s="2"/>
    </row>
    <row r="301" spans="1:10" x14ac:dyDescent="0.2">
      <c r="A301" s="35"/>
      <c r="J301" s="2"/>
    </row>
    <row r="302" spans="1:10" x14ac:dyDescent="0.2">
      <c r="A302" s="35"/>
      <c r="C302" s="6"/>
      <c r="J302" s="2"/>
    </row>
    <row r="303" spans="1:10" x14ac:dyDescent="0.2">
      <c r="A303" s="35"/>
      <c r="C303" s="6"/>
      <c r="J303" s="2"/>
    </row>
    <row r="304" spans="1:10" x14ac:dyDescent="0.2">
      <c r="A304" s="35"/>
      <c r="C304" s="6"/>
      <c r="J304" s="1"/>
    </row>
    <row r="305" spans="1:10" x14ac:dyDescent="0.2">
      <c r="A305" s="35"/>
      <c r="C305" s="6"/>
      <c r="J305" s="2"/>
    </row>
    <row r="306" spans="1:10" x14ac:dyDescent="0.2">
      <c r="A306" s="35"/>
      <c r="C306" s="6"/>
      <c r="J306" s="2"/>
    </row>
    <row r="307" spans="1:10" x14ac:dyDescent="0.2">
      <c r="A307" s="35"/>
      <c r="C307" s="6"/>
      <c r="J307" s="2"/>
    </row>
    <row r="308" spans="1:10" x14ac:dyDescent="0.2">
      <c r="A308" s="35"/>
      <c r="C308" s="6"/>
      <c r="J308" s="2"/>
    </row>
    <row r="309" spans="1:10" x14ac:dyDescent="0.2">
      <c r="A309" s="35"/>
      <c r="C309" s="6"/>
      <c r="J309" s="2"/>
    </row>
    <row r="310" spans="1:10" x14ac:dyDescent="0.2">
      <c r="A310" s="35"/>
      <c r="C310" s="6"/>
      <c r="J310" s="2"/>
    </row>
    <row r="311" spans="1:10" x14ac:dyDescent="0.2">
      <c r="A311" s="35"/>
      <c r="J311" s="2"/>
    </row>
    <row r="312" spans="1:10" x14ac:dyDescent="0.2">
      <c r="A312" s="35"/>
      <c r="J312" s="2"/>
    </row>
    <row r="313" spans="1:10" x14ac:dyDescent="0.2">
      <c r="A313" s="35"/>
      <c r="J313" s="2"/>
    </row>
    <row r="314" spans="1:10" x14ac:dyDescent="0.2">
      <c r="A314" s="35"/>
      <c r="J314" s="1"/>
    </row>
    <row r="315" spans="1:10" x14ac:dyDescent="0.2">
      <c r="A315" s="35"/>
      <c r="J315" s="1"/>
    </row>
    <row r="316" spans="1:10" x14ac:dyDescent="0.2">
      <c r="A316" s="35"/>
      <c r="J316" s="2"/>
    </row>
    <row r="317" spans="1:10" x14ac:dyDescent="0.2">
      <c r="A317" s="35"/>
      <c r="J317" s="2"/>
    </row>
    <row r="318" spans="1:10" x14ac:dyDescent="0.2">
      <c r="A318" s="35"/>
      <c r="J318" s="2"/>
    </row>
    <row r="319" spans="1:10" x14ac:dyDescent="0.2">
      <c r="A319" s="35"/>
      <c r="J319" s="2"/>
    </row>
    <row r="320" spans="1:10" x14ac:dyDescent="0.2">
      <c r="A320" s="35"/>
      <c r="J320" s="2"/>
    </row>
    <row r="321" spans="1:10" x14ac:dyDescent="0.2">
      <c r="A321" s="35"/>
      <c r="J321" s="2"/>
    </row>
    <row r="322" spans="1:10" x14ac:dyDescent="0.2">
      <c r="A322" s="35"/>
      <c r="J322" s="2"/>
    </row>
    <row r="323" spans="1:10" x14ac:dyDescent="0.2">
      <c r="A323" s="35"/>
      <c r="J323" s="2"/>
    </row>
    <row r="324" spans="1:10" x14ac:dyDescent="0.2">
      <c r="A324" s="35"/>
      <c r="J324" s="1"/>
    </row>
    <row r="325" spans="1:10" x14ac:dyDescent="0.2">
      <c r="A325" s="35"/>
      <c r="J325" s="2"/>
    </row>
    <row r="326" spans="1:10" x14ac:dyDescent="0.2">
      <c r="A326" s="35"/>
      <c r="J326" s="2"/>
    </row>
    <row r="327" spans="1:10" x14ac:dyDescent="0.2">
      <c r="A327" s="35"/>
      <c r="J327" s="2"/>
    </row>
    <row r="328" spans="1:10" x14ac:dyDescent="0.2">
      <c r="A328" s="35"/>
      <c r="J328" s="2"/>
    </row>
    <row r="329" spans="1:10" x14ac:dyDescent="0.2">
      <c r="J329" s="2"/>
    </row>
    <row r="330" spans="1:10" x14ac:dyDescent="0.2">
      <c r="J330" s="2"/>
    </row>
    <row r="331" spans="1:10" x14ac:dyDescent="0.2">
      <c r="J331" s="2"/>
    </row>
    <row r="332" spans="1:10" x14ac:dyDescent="0.2">
      <c r="J332" s="2"/>
    </row>
    <row r="333" spans="1:10" x14ac:dyDescent="0.2">
      <c r="J333" s="2"/>
    </row>
    <row r="334" spans="1:10" x14ac:dyDescent="0.2">
      <c r="J334" s="2"/>
    </row>
    <row r="335" spans="1:10" x14ac:dyDescent="0.2">
      <c r="J335" s="1"/>
    </row>
    <row r="336" spans="1:10" x14ac:dyDescent="0.2">
      <c r="J336" s="2"/>
    </row>
    <row r="337" spans="10:10" x14ac:dyDescent="0.2">
      <c r="J337" s="1"/>
    </row>
    <row r="338" spans="10:10" x14ac:dyDescent="0.2">
      <c r="J338" s="2"/>
    </row>
    <row r="339" spans="10:10" x14ac:dyDescent="0.2">
      <c r="J339" s="2"/>
    </row>
    <row r="340" spans="10:10" x14ac:dyDescent="0.2">
      <c r="J340" s="2"/>
    </row>
    <row r="341" spans="10:10" x14ac:dyDescent="0.2">
      <c r="J341" s="2"/>
    </row>
    <row r="342" spans="10:10" x14ac:dyDescent="0.2">
      <c r="J342" s="1"/>
    </row>
    <row r="343" spans="10:10" x14ac:dyDescent="0.2">
      <c r="J343" s="2"/>
    </row>
    <row r="344" spans="10:10" x14ac:dyDescent="0.2">
      <c r="J344" s="2"/>
    </row>
    <row r="345" spans="10:10" x14ac:dyDescent="0.2">
      <c r="J345" s="2"/>
    </row>
    <row r="346" spans="10:10" x14ac:dyDescent="0.2">
      <c r="J346" s="2"/>
    </row>
    <row r="347" spans="10:10" x14ac:dyDescent="0.2">
      <c r="J347" s="2"/>
    </row>
    <row r="348" spans="10:10" x14ac:dyDescent="0.2">
      <c r="J348" s="2"/>
    </row>
    <row r="349" spans="10:10" x14ac:dyDescent="0.2">
      <c r="J349" s="2"/>
    </row>
    <row r="350" spans="10:10" x14ac:dyDescent="0.2">
      <c r="J350" s="1"/>
    </row>
    <row r="351" spans="10:10" x14ac:dyDescent="0.2">
      <c r="J351" s="1"/>
    </row>
    <row r="352" spans="10:10" x14ac:dyDescent="0.2">
      <c r="J352" s="1"/>
    </row>
    <row r="353" spans="10:10" x14ac:dyDescent="0.2">
      <c r="J353" s="2"/>
    </row>
    <row r="354" spans="10:10" x14ac:dyDescent="0.2">
      <c r="J354" s="2"/>
    </row>
    <row r="355" spans="10:10" x14ac:dyDescent="0.2">
      <c r="J355" s="2"/>
    </row>
    <row r="356" spans="10:10" x14ac:dyDescent="0.2">
      <c r="J356" s="2"/>
    </row>
    <row r="357" spans="10:10" x14ac:dyDescent="0.2">
      <c r="J357" s="2"/>
    </row>
    <row r="358" spans="10:10" x14ac:dyDescent="0.2">
      <c r="J358" s="2"/>
    </row>
    <row r="359" spans="10:10" x14ac:dyDescent="0.2">
      <c r="J359" s="2"/>
    </row>
    <row r="360" spans="10:10" x14ac:dyDescent="0.2">
      <c r="J360" s="1"/>
    </row>
    <row r="361" spans="10:10" x14ac:dyDescent="0.2">
      <c r="J361" s="1"/>
    </row>
    <row r="362" spans="10:10" x14ac:dyDescent="0.2">
      <c r="J362" s="2"/>
    </row>
    <row r="363" spans="10:10" x14ac:dyDescent="0.2">
      <c r="J363" s="2"/>
    </row>
    <row r="364" spans="10:10" x14ac:dyDescent="0.2">
      <c r="J364" s="2"/>
    </row>
    <row r="365" spans="10:10" x14ac:dyDescent="0.2">
      <c r="J365" s="2"/>
    </row>
    <row r="366" spans="10:10" x14ac:dyDescent="0.2">
      <c r="J366" s="2"/>
    </row>
    <row r="367" spans="10:10" x14ac:dyDescent="0.2">
      <c r="J367" s="2"/>
    </row>
    <row r="368" spans="10:10" x14ac:dyDescent="0.2">
      <c r="J368" s="2"/>
    </row>
    <row r="369" spans="10:10" x14ac:dyDescent="0.2">
      <c r="J369" s="2"/>
    </row>
    <row r="370" spans="10:10" x14ac:dyDescent="0.2">
      <c r="J370" s="1"/>
    </row>
    <row r="371" spans="10:10" x14ac:dyDescent="0.2">
      <c r="J371" s="2"/>
    </row>
    <row r="372" spans="10:10" x14ac:dyDescent="0.2">
      <c r="J372" s="2"/>
    </row>
    <row r="373" spans="10:10" x14ac:dyDescent="0.2">
      <c r="J373" s="1"/>
    </row>
    <row r="374" spans="10:10" x14ac:dyDescent="0.2">
      <c r="J374" s="1"/>
    </row>
    <row r="375" spans="10:10" x14ac:dyDescent="0.2">
      <c r="J375" s="2"/>
    </row>
    <row r="376" spans="10:10" x14ac:dyDescent="0.2">
      <c r="J376" s="2"/>
    </row>
    <row r="377" spans="10:10" x14ac:dyDescent="0.2">
      <c r="J377" s="2"/>
    </row>
    <row r="378" spans="10:10" x14ac:dyDescent="0.2">
      <c r="J378" s="1"/>
    </row>
    <row r="379" spans="10:10" x14ac:dyDescent="0.2">
      <c r="J379" s="2"/>
    </row>
    <row r="380" spans="10:10" x14ac:dyDescent="0.2">
      <c r="J380" s="2"/>
    </row>
    <row r="381" spans="10:10" x14ac:dyDescent="0.2">
      <c r="J381" s="2"/>
    </row>
    <row r="382" spans="10:10" x14ac:dyDescent="0.2">
      <c r="J382" s="2"/>
    </row>
    <row r="383" spans="10:10" x14ac:dyDescent="0.2">
      <c r="J383" s="2"/>
    </row>
    <row r="384" spans="10:10" x14ac:dyDescent="0.2">
      <c r="J384" s="2"/>
    </row>
    <row r="385" spans="10:10" x14ac:dyDescent="0.2">
      <c r="J385" s="2"/>
    </row>
    <row r="386" spans="10:10" x14ac:dyDescent="0.2">
      <c r="J386" s="2"/>
    </row>
    <row r="387" spans="10:10" x14ac:dyDescent="0.2">
      <c r="J387" s="2"/>
    </row>
    <row r="388" spans="10:10" x14ac:dyDescent="0.2">
      <c r="J388" s="1"/>
    </row>
    <row r="389" spans="10:10" x14ac:dyDescent="0.2">
      <c r="J389" s="2"/>
    </row>
    <row r="390" spans="10:10" x14ac:dyDescent="0.2">
      <c r="J390" s="2"/>
    </row>
    <row r="391" spans="10:10" x14ac:dyDescent="0.2">
      <c r="J391" s="2"/>
    </row>
    <row r="392" spans="10:10" x14ac:dyDescent="0.2">
      <c r="J392" s="2"/>
    </row>
    <row r="393" spans="10:10" x14ac:dyDescent="0.2">
      <c r="J393" s="2"/>
    </row>
    <row r="394" spans="10:10" x14ac:dyDescent="0.2">
      <c r="J394" s="1"/>
    </row>
    <row r="395" spans="10:10" x14ac:dyDescent="0.2">
      <c r="J395" s="2"/>
    </row>
    <row r="396" spans="10:10" x14ac:dyDescent="0.2">
      <c r="J396" s="2"/>
    </row>
    <row r="397" spans="10:10" x14ac:dyDescent="0.2">
      <c r="J397" s="2"/>
    </row>
    <row r="398" spans="10:10" x14ac:dyDescent="0.2">
      <c r="J398" s="1"/>
    </row>
    <row r="399" spans="10:10" x14ac:dyDescent="0.2">
      <c r="J399" s="1"/>
    </row>
    <row r="400" spans="10:10" x14ac:dyDescent="0.2">
      <c r="J400" s="2"/>
    </row>
    <row r="401" spans="10:10" x14ac:dyDescent="0.2">
      <c r="J401" s="2"/>
    </row>
    <row r="402" spans="10:10" x14ac:dyDescent="0.2">
      <c r="J402" s="1"/>
    </row>
    <row r="403" spans="10:10" x14ac:dyDescent="0.2">
      <c r="J403" s="2"/>
    </row>
    <row r="404" spans="10:10" x14ac:dyDescent="0.2">
      <c r="J404" s="1"/>
    </row>
    <row r="405" spans="10:10" x14ac:dyDescent="0.2">
      <c r="J405" s="2"/>
    </row>
    <row r="406" spans="10:10" x14ac:dyDescent="0.2">
      <c r="J406" s="1"/>
    </row>
    <row r="407" spans="10:10" x14ac:dyDescent="0.2">
      <c r="J407" s="2"/>
    </row>
    <row r="408" spans="10:10" x14ac:dyDescent="0.2">
      <c r="J408" s="1"/>
    </row>
    <row r="409" spans="10:10" x14ac:dyDescent="0.2">
      <c r="J409" s="2"/>
    </row>
    <row r="410" spans="10:10" x14ac:dyDescent="0.2">
      <c r="J410" s="2"/>
    </row>
    <row r="411" spans="10:10" x14ac:dyDescent="0.2">
      <c r="J411" s="2"/>
    </row>
  </sheetData>
  <autoFilter ref="J1:J1117" xr:uid="{06BCD1C3-2098-1A49-B357-29D1FD05697C}">
    <sortState xmlns:xlrd2="http://schemas.microsoft.com/office/spreadsheetml/2017/richdata2" ref="J2:J1117">
      <sortCondition sortBy="cellColor" ref="J1:J1117" dxfId="509"/>
    </sortState>
  </autoFilter>
  <sortState xmlns:xlrd2="http://schemas.microsoft.com/office/spreadsheetml/2017/richdata2" ref="J2:J540">
    <sortCondition ref="J1:J540"/>
  </sortState>
  <conditionalFormatting sqref="B1:B1048576">
    <cfRule type="duplicateValues" dxfId="218" priority="29"/>
  </conditionalFormatting>
  <conditionalFormatting sqref="B10:B16">
    <cfRule type="duplicateValues" dxfId="217" priority="43"/>
  </conditionalFormatting>
  <conditionalFormatting sqref="B17:B19">
    <cfRule type="duplicateValues" dxfId="216" priority="41"/>
  </conditionalFormatting>
  <conditionalFormatting sqref="B20:B22">
    <cfRule type="duplicateValues" dxfId="215" priority="39"/>
  </conditionalFormatting>
  <conditionalFormatting sqref="B38:B64">
    <cfRule type="duplicateValues" dxfId="214" priority="31"/>
    <cfRule type="duplicateValues" dxfId="213" priority="30"/>
  </conditionalFormatting>
  <conditionalFormatting sqref="B65:B1048576 B1:B37">
    <cfRule type="duplicateValues" dxfId="212" priority="32"/>
  </conditionalFormatting>
  <conditionalFormatting sqref="B193:B227">
    <cfRule type="duplicateValues" dxfId="211" priority="34"/>
    <cfRule type="duplicateValues" dxfId="210" priority="33"/>
  </conditionalFormatting>
  <conditionalFormatting sqref="B228:B1048576 B1:B9">
    <cfRule type="duplicateValues" dxfId="209" priority="45"/>
    <cfRule type="duplicateValues" dxfId="208" priority="44"/>
  </conditionalFormatting>
  <conditionalFormatting sqref="B228:B1048576 B1:B16">
    <cfRule type="duplicateValues" dxfId="207" priority="42"/>
  </conditionalFormatting>
  <conditionalFormatting sqref="B228:B1048576 B1:B19">
    <cfRule type="duplicateValues" dxfId="206" priority="40"/>
  </conditionalFormatting>
  <conditionalFormatting sqref="B228:B1048576 B1:B22">
    <cfRule type="duplicateValues" dxfId="205" priority="38"/>
  </conditionalFormatting>
  <conditionalFormatting sqref="B228:B1048576 B1:B29">
    <cfRule type="duplicateValues" dxfId="204" priority="36"/>
  </conditionalFormatting>
  <conditionalFormatting sqref="B228:B1048576 B1:B33">
    <cfRule type="duplicateValues" dxfId="203" priority="35"/>
  </conditionalFormatting>
  <conditionalFormatting sqref="B228:B1048576">
    <cfRule type="duplicateValues" dxfId="202" priority="37"/>
  </conditionalFormatting>
  <conditionalFormatting sqref="C1">
    <cfRule type="duplicateValues" dxfId="201" priority="23"/>
    <cfRule type="duplicateValues" dxfId="200" priority="21"/>
    <cfRule type="duplicateValues" dxfId="199" priority="22"/>
    <cfRule type="duplicateValues" dxfId="198" priority="24"/>
    <cfRule type="duplicateValues" dxfId="197" priority="25"/>
    <cfRule type="duplicateValues" dxfId="196" priority="26"/>
    <cfRule type="duplicateValues" dxfId="195" priority="27"/>
    <cfRule type="duplicateValues" dxfId="194" priority="28"/>
  </conditionalFormatting>
  <conditionalFormatting sqref="C1:C1048576">
    <cfRule type="duplicateValues" dxfId="193" priority="7"/>
    <cfRule type="duplicateValues" dxfId="192" priority="8"/>
  </conditionalFormatting>
  <conditionalFormatting sqref="C129:C155">
    <cfRule type="duplicateValues" dxfId="191" priority="10"/>
    <cfRule type="duplicateValues" dxfId="190" priority="9"/>
  </conditionalFormatting>
  <conditionalFormatting sqref="C157:C1048576 C1:C128">
    <cfRule type="duplicateValues" dxfId="189" priority="11"/>
  </conditionalFormatting>
  <conditionalFormatting sqref="C277:C311">
    <cfRule type="duplicateValues" dxfId="188" priority="13"/>
    <cfRule type="duplicateValues" dxfId="187" priority="12"/>
  </conditionalFormatting>
  <conditionalFormatting sqref="C312:C1048576 C1:C82">
    <cfRule type="duplicateValues" dxfId="186" priority="20"/>
  </conditionalFormatting>
  <conditionalFormatting sqref="C312:C1048576 C1:C88">
    <cfRule type="duplicateValues" dxfId="185" priority="19"/>
  </conditionalFormatting>
  <conditionalFormatting sqref="C312:C1048576 C1:C99">
    <cfRule type="duplicateValues" dxfId="184" priority="18"/>
    <cfRule type="duplicateValues" dxfId="183" priority="17"/>
    <cfRule type="duplicateValues" dxfId="182" priority="16"/>
  </conditionalFormatting>
  <conditionalFormatting sqref="C312:C1048576 C1:C111">
    <cfRule type="duplicateValues" dxfId="181" priority="15"/>
  </conditionalFormatting>
  <conditionalFormatting sqref="C312:C1048576 C1:C117">
    <cfRule type="duplicateValues" dxfId="180" priority="14"/>
  </conditionalFormatting>
  <conditionalFormatting sqref="I1:I25 I54:I1048576">
    <cfRule type="duplicateValues" dxfId="179" priority="6"/>
    <cfRule type="duplicateValues" dxfId="178" priority="5"/>
    <cfRule type="duplicateValues" dxfId="177" priority="4"/>
  </conditionalFormatting>
  <conditionalFormatting sqref="I1:I1048576">
    <cfRule type="duplicateValues" dxfId="176" priority="3"/>
  </conditionalFormatting>
  <conditionalFormatting sqref="J1:J1048576">
    <cfRule type="duplicateValues" dxfId="175" priority="1"/>
  </conditionalFormatting>
  <conditionalFormatting sqref="J272:J1048576 J1:J244">
    <cfRule type="duplicateValues" dxfId="174" priority="2"/>
  </conditionalFormatting>
  <pageMargins left="0.7" right="0.7" top="0.75" bottom="0.75" header="0.3" footer="0.3"/>
  <pageSetup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94BC-0CEB-9547-B998-F58BA39DC7DB}">
  <dimension ref="A1:AX3491"/>
  <sheetViews>
    <sheetView topLeftCell="AC1" zoomScale="112" zoomScaleNormal="90" workbookViewId="0">
      <pane ySplit="1" topLeftCell="A2" activePane="bottomLeft" state="frozen"/>
      <selection pane="bottomLeft" activeCell="AM34" sqref="AM34"/>
    </sheetView>
  </sheetViews>
  <sheetFormatPr baseColWidth="10" defaultRowHeight="16" x14ac:dyDescent="0.2"/>
  <cols>
    <col min="1" max="7" width="10.83203125" style="4"/>
    <col min="8" max="8" width="12.83203125" style="4" customWidth="1"/>
    <col min="9" max="10" width="10.83203125" style="4"/>
    <col min="11" max="11" width="14.1640625" style="4" customWidth="1"/>
    <col min="12" max="15" width="10.83203125" style="4"/>
    <col min="16" max="16" width="9" style="4" customWidth="1"/>
    <col min="17" max="22" width="10.83203125" style="4"/>
    <col min="23" max="23" width="13.33203125" style="4" customWidth="1"/>
    <col min="24" max="36" width="10.83203125" style="4"/>
    <col min="37" max="38" width="22.83203125" style="4" customWidth="1"/>
    <col min="39" max="40" width="26.6640625" style="4" customWidth="1"/>
    <col min="41" max="41" width="5" style="4" customWidth="1"/>
    <col min="42" max="44" width="20.33203125" style="4" customWidth="1"/>
    <col min="45" max="45" width="6.83203125" style="4" customWidth="1"/>
    <col min="46" max="46" width="20.33203125" style="4" customWidth="1"/>
    <col min="47" max="47" width="5.1640625" style="4" customWidth="1"/>
    <col min="48" max="48" width="16.5" style="5" customWidth="1"/>
    <col min="49" max="49" width="5.6640625" style="4" customWidth="1"/>
    <col min="50" max="50" width="17.6640625" style="5" customWidth="1"/>
    <col min="51" max="51" width="21" style="4" customWidth="1"/>
    <col min="52" max="16384" width="10.83203125" style="4"/>
  </cols>
  <sheetData>
    <row r="1" spans="1:50" x14ac:dyDescent="0.2">
      <c r="A1" s="3" t="s">
        <v>4902</v>
      </c>
      <c r="B1" s="3" t="s">
        <v>4906</v>
      </c>
      <c r="C1" s="3" t="s">
        <v>4121</v>
      </c>
      <c r="D1" s="3" t="s">
        <v>4122</v>
      </c>
      <c r="E1" s="3" t="s">
        <v>4123</v>
      </c>
      <c r="F1" s="3" t="s">
        <v>4127</v>
      </c>
      <c r="G1" s="3"/>
      <c r="H1" s="3" t="s">
        <v>4903</v>
      </c>
      <c r="I1" s="3" t="s">
        <v>4906</v>
      </c>
      <c r="J1" s="3" t="s">
        <v>4124</v>
      </c>
      <c r="K1" s="3" t="s">
        <v>4125</v>
      </c>
      <c r="L1" s="3" t="s">
        <v>4126</v>
      </c>
      <c r="M1" s="3" t="s">
        <v>4127</v>
      </c>
      <c r="N1" s="3"/>
      <c r="P1" s="3" t="s">
        <v>4904</v>
      </c>
      <c r="Q1" s="25" t="s">
        <v>2005</v>
      </c>
      <c r="R1" s="3" t="s">
        <v>4621</v>
      </c>
      <c r="S1" s="3" t="s">
        <v>4622</v>
      </c>
      <c r="T1" s="3" t="s">
        <v>4623</v>
      </c>
      <c r="U1" s="3" t="s">
        <v>4127</v>
      </c>
      <c r="W1" s="3" t="s">
        <v>4905</v>
      </c>
      <c r="X1" s="25" t="s">
        <v>2005</v>
      </c>
      <c r="Y1" s="3" t="s">
        <v>4624</v>
      </c>
      <c r="Z1" s="3" t="s">
        <v>4625</v>
      </c>
      <c r="AA1" s="3" t="s">
        <v>4626</v>
      </c>
      <c r="AB1" s="3" t="s">
        <v>4127</v>
      </c>
      <c r="AK1" s="3" t="s">
        <v>4907</v>
      </c>
      <c r="AL1" s="3" t="s">
        <v>4908</v>
      </c>
      <c r="AM1" s="3" t="s">
        <v>4909</v>
      </c>
      <c r="AN1" s="3" t="s">
        <v>4910</v>
      </c>
      <c r="AP1" s="3" t="s">
        <v>4911</v>
      </c>
      <c r="AQ1" s="3" t="s">
        <v>4912</v>
      </c>
      <c r="AR1" s="3" t="s">
        <v>4913</v>
      </c>
      <c r="AS1" s="3"/>
      <c r="AT1" s="3" t="s">
        <v>4914</v>
      </c>
      <c r="AU1" s="3"/>
      <c r="AV1" s="1" t="s">
        <v>1970</v>
      </c>
      <c r="AX1" s="1" t="s">
        <v>1973</v>
      </c>
    </row>
    <row r="2" spans="1:50" x14ac:dyDescent="0.2">
      <c r="B2" s="4" t="s">
        <v>1792</v>
      </c>
      <c r="C2" s="4">
        <v>25.545100000000001</v>
      </c>
      <c r="D2" s="4">
        <v>25.574100000000001</v>
      </c>
      <c r="E2" s="4">
        <v>25.388000000000002</v>
      </c>
      <c r="F2" s="4">
        <f t="shared" ref="F2:F65" si="0">(C2+D2+E2)/3</f>
        <v>25.502400000000005</v>
      </c>
      <c r="I2" s="4" t="s">
        <v>1792</v>
      </c>
      <c r="J2" s="4">
        <v>25.576000000000001</v>
      </c>
      <c r="K2" s="4">
        <v>25.197299999999998</v>
      </c>
      <c r="L2" s="4">
        <v>25.730399999999999</v>
      </c>
      <c r="M2" s="4">
        <f t="shared" ref="M2:M65" si="1">(J2+K2+L2)/3</f>
        <v>25.501233333333332</v>
      </c>
      <c r="Q2" s="43" t="s">
        <v>2535</v>
      </c>
      <c r="R2" s="4">
        <v>24.886007744986301</v>
      </c>
      <c r="S2" s="4">
        <v>24.080281111187499</v>
      </c>
      <c r="T2" s="4">
        <v>24.290264668889499</v>
      </c>
      <c r="U2" s="4">
        <f t="shared" ref="U2:U65" si="2">(R2+S2+T2)/3</f>
        <v>24.418851175021103</v>
      </c>
      <c r="X2" s="43" t="s">
        <v>1816</v>
      </c>
      <c r="Y2" s="4">
        <v>24.0710597887341</v>
      </c>
      <c r="Z2" s="4">
        <v>24.249035036083601</v>
      </c>
      <c r="AA2" s="4">
        <v>23.895277474725699</v>
      </c>
      <c r="AB2" s="4">
        <f t="shared" ref="AB2:AB65" si="3">(Y2+Z2+AA2)/3</f>
        <v>24.071790766514468</v>
      </c>
      <c r="AI2" s="28"/>
      <c r="AK2" s="4" t="s">
        <v>3936</v>
      </c>
      <c r="AL2" s="4" t="s">
        <v>4</v>
      </c>
      <c r="AM2" s="28" t="s">
        <v>4870</v>
      </c>
      <c r="AN2" s="4" t="s">
        <v>716</v>
      </c>
      <c r="AP2" s="4" t="s">
        <v>32</v>
      </c>
      <c r="AQ2" s="4" t="s">
        <v>102</v>
      </c>
      <c r="AR2" s="4" t="s">
        <v>32</v>
      </c>
      <c r="AS2" s="3"/>
      <c r="AT2" s="4" t="s">
        <v>554</v>
      </c>
      <c r="AV2" s="5" t="s">
        <v>1</v>
      </c>
      <c r="AX2" s="14" t="s">
        <v>313</v>
      </c>
    </row>
    <row r="3" spans="1:50" x14ac:dyDescent="0.2">
      <c r="B3" s="4" t="s">
        <v>1816</v>
      </c>
      <c r="C3" s="4">
        <v>25.598700000000001</v>
      </c>
      <c r="D3" s="4">
        <v>25.279499999999999</v>
      </c>
      <c r="E3" s="4">
        <v>25.0002</v>
      </c>
      <c r="F3" s="4">
        <f t="shared" si="0"/>
        <v>25.2928</v>
      </c>
      <c r="I3" s="4" t="s">
        <v>1816</v>
      </c>
      <c r="J3" s="4">
        <v>25.416399999999999</v>
      </c>
      <c r="K3" s="4">
        <v>25.184200000000001</v>
      </c>
      <c r="L3" s="4">
        <v>25.395199999999999</v>
      </c>
      <c r="M3" s="4">
        <f t="shared" si="1"/>
        <v>25.331933333333335</v>
      </c>
      <c r="Q3" s="43" t="s">
        <v>1816</v>
      </c>
      <c r="R3" s="4">
        <v>24.3940685025037</v>
      </c>
      <c r="S3" s="4">
        <v>23.581250414101099</v>
      </c>
      <c r="T3" s="4">
        <v>24.075117424259201</v>
      </c>
      <c r="U3" s="4">
        <f t="shared" si="2"/>
        <v>24.016812113621331</v>
      </c>
      <c r="X3" s="43" t="s">
        <v>4331</v>
      </c>
      <c r="Y3" s="4">
        <v>23.868042170186001</v>
      </c>
      <c r="Z3" s="4">
        <v>24.147900436585299</v>
      </c>
      <c r="AA3" s="4">
        <v>23.904357084200299</v>
      </c>
      <c r="AB3" s="4">
        <f t="shared" si="3"/>
        <v>23.973433230323867</v>
      </c>
      <c r="AI3" s="28"/>
      <c r="AK3" s="4" t="s">
        <v>3836</v>
      </c>
      <c r="AL3" s="4" t="s">
        <v>36</v>
      </c>
      <c r="AM3" s="28" t="s">
        <v>4871</v>
      </c>
      <c r="AN3" s="4" t="s">
        <v>872</v>
      </c>
      <c r="AP3" s="4" t="s">
        <v>18</v>
      </c>
      <c r="AQ3" s="4" t="s">
        <v>32</v>
      </c>
      <c r="AR3" s="4" t="s">
        <v>18</v>
      </c>
      <c r="AS3" s="3"/>
      <c r="AT3" s="4" t="s">
        <v>516</v>
      </c>
      <c r="AV3" s="5" t="s">
        <v>6</v>
      </c>
      <c r="AX3" s="6" t="s">
        <v>806</v>
      </c>
    </row>
    <row r="4" spans="1:50" x14ac:dyDescent="0.2">
      <c r="B4" s="4" t="s">
        <v>2048</v>
      </c>
      <c r="C4" s="4">
        <v>24.555900000000001</v>
      </c>
      <c r="D4" s="4">
        <v>24.8155</v>
      </c>
      <c r="E4" s="4">
        <v>25.017600000000002</v>
      </c>
      <c r="F4" s="4">
        <f t="shared" si="0"/>
        <v>24.796333333333337</v>
      </c>
      <c r="I4" s="4" t="s">
        <v>2048</v>
      </c>
      <c r="J4" s="4">
        <v>24.900200000000002</v>
      </c>
      <c r="K4" s="4">
        <v>24.323899999999998</v>
      </c>
      <c r="L4" s="4">
        <v>25.22</v>
      </c>
      <c r="M4" s="4">
        <f t="shared" si="1"/>
        <v>24.814699999999998</v>
      </c>
      <c r="Q4" s="43" t="s">
        <v>1792</v>
      </c>
      <c r="R4" s="4">
        <v>24.306947896578599</v>
      </c>
      <c r="S4" s="4">
        <v>23.519311630173899</v>
      </c>
      <c r="T4" s="4">
        <v>23.779017089028802</v>
      </c>
      <c r="U4" s="4">
        <f t="shared" si="2"/>
        <v>23.868425538593765</v>
      </c>
      <c r="X4" s="43" t="s">
        <v>1792</v>
      </c>
      <c r="Y4" s="4">
        <v>23.320604131739099</v>
      </c>
      <c r="Z4" s="4">
        <v>23.531783505463402</v>
      </c>
      <c r="AA4" s="4">
        <v>22.984643369953499</v>
      </c>
      <c r="AB4" s="4">
        <f t="shared" si="3"/>
        <v>23.279010335718667</v>
      </c>
      <c r="AK4" s="4" t="s">
        <v>4</v>
      </c>
      <c r="AL4" s="4" t="s">
        <v>75</v>
      </c>
      <c r="AM4" s="28" t="s">
        <v>4872</v>
      </c>
      <c r="AN4" s="4" t="s">
        <v>693</v>
      </c>
      <c r="AP4" s="4" t="s">
        <v>40</v>
      </c>
      <c r="AQ4" s="4" t="s">
        <v>183</v>
      </c>
      <c r="AR4" s="4" t="s">
        <v>40</v>
      </c>
      <c r="AS4" s="3"/>
      <c r="AT4" s="4" t="s">
        <v>40</v>
      </c>
      <c r="AV4" s="5" t="s">
        <v>4</v>
      </c>
      <c r="AX4" s="14" t="s">
        <v>202</v>
      </c>
    </row>
    <row r="5" spans="1:50" x14ac:dyDescent="0.2">
      <c r="B5" s="4" t="s">
        <v>978</v>
      </c>
      <c r="C5" s="4">
        <v>24.704999999999998</v>
      </c>
      <c r="D5" s="4">
        <v>24.615600000000001</v>
      </c>
      <c r="E5" s="4">
        <v>24.44</v>
      </c>
      <c r="F5" s="4">
        <f t="shared" si="0"/>
        <v>24.586866666666666</v>
      </c>
      <c r="I5" s="4" t="s">
        <v>978</v>
      </c>
      <c r="J5" s="4">
        <v>24.694500000000001</v>
      </c>
      <c r="K5" s="4">
        <v>24.1355</v>
      </c>
      <c r="L5" s="4">
        <v>24.8888</v>
      </c>
      <c r="M5" s="4">
        <f t="shared" si="1"/>
        <v>24.572933333333335</v>
      </c>
      <c r="Q5" s="43" t="s">
        <v>4331</v>
      </c>
      <c r="R5" s="4">
        <v>23.790258142738601</v>
      </c>
      <c r="S5" s="4">
        <v>23.628279063814801</v>
      </c>
      <c r="T5" s="4">
        <v>23.505155201731899</v>
      </c>
      <c r="U5" s="4">
        <f t="shared" si="2"/>
        <v>23.641230802761768</v>
      </c>
      <c r="X5" s="43" t="s">
        <v>2535</v>
      </c>
      <c r="Y5" s="4">
        <v>23.0084055607689</v>
      </c>
      <c r="Z5" s="4">
        <v>23.089718591765202</v>
      </c>
      <c r="AA5" s="4">
        <v>22.920224079922001</v>
      </c>
      <c r="AB5" s="4">
        <f t="shared" si="3"/>
        <v>23.00611607748537</v>
      </c>
      <c r="AK5" s="4" t="s">
        <v>2414</v>
      </c>
      <c r="AL5" s="4" t="s">
        <v>140</v>
      </c>
      <c r="AM5" s="4" t="s">
        <v>4170</v>
      </c>
      <c r="AN5" s="4" t="s">
        <v>833</v>
      </c>
      <c r="AP5" s="4" t="s">
        <v>616</v>
      </c>
      <c r="AQ5" s="4" t="s">
        <v>545</v>
      </c>
      <c r="AR5" s="4" t="s">
        <v>616</v>
      </c>
      <c r="AS5" s="3"/>
      <c r="AT5" s="4" t="s">
        <v>308</v>
      </c>
      <c r="AV5" s="13" t="s">
        <v>13</v>
      </c>
      <c r="AX5" s="14" t="s">
        <v>236</v>
      </c>
    </row>
    <row r="6" spans="1:50" x14ac:dyDescent="0.2">
      <c r="B6" s="4" t="s">
        <v>650</v>
      </c>
      <c r="C6" s="4">
        <v>23.380400000000002</v>
      </c>
      <c r="D6" s="4">
        <v>23.0276</v>
      </c>
      <c r="E6" s="4">
        <v>22.417400000000001</v>
      </c>
      <c r="F6" s="4">
        <f t="shared" si="0"/>
        <v>22.941800000000001</v>
      </c>
      <c r="I6" s="4" t="s">
        <v>3434</v>
      </c>
      <c r="J6" s="4">
        <v>23.398199999999999</v>
      </c>
      <c r="K6" s="4">
        <v>22.764700000000001</v>
      </c>
      <c r="L6" s="4">
        <v>23.4344</v>
      </c>
      <c r="M6" s="4">
        <f t="shared" si="1"/>
        <v>23.199100000000001</v>
      </c>
      <c r="Q6" s="43" t="s">
        <v>2665</v>
      </c>
      <c r="R6" s="4">
        <v>23.797162051543001</v>
      </c>
      <c r="S6" s="4">
        <v>23.306846391872099</v>
      </c>
      <c r="T6" s="4">
        <v>23.237935065602201</v>
      </c>
      <c r="U6" s="4">
        <f t="shared" si="2"/>
        <v>23.447314503005767</v>
      </c>
      <c r="X6" s="43" t="s">
        <v>3434</v>
      </c>
      <c r="Y6" s="4">
        <v>23.054236161673899</v>
      </c>
      <c r="Z6" s="4">
        <v>23.107467227960999</v>
      </c>
      <c r="AA6" s="4">
        <v>22.773558136114001</v>
      </c>
      <c r="AB6" s="4">
        <f t="shared" si="3"/>
        <v>22.978420508582968</v>
      </c>
      <c r="AK6" s="4" t="s">
        <v>3901</v>
      </c>
      <c r="AL6" s="4" t="s">
        <v>146</v>
      </c>
      <c r="AM6" s="4" t="s">
        <v>3232</v>
      </c>
      <c r="AN6" s="4" t="s">
        <v>715</v>
      </c>
      <c r="AP6" s="4" t="s">
        <v>82</v>
      </c>
      <c r="AQ6" s="4" t="s">
        <v>342</v>
      </c>
      <c r="AR6" s="4" t="s">
        <v>82</v>
      </c>
      <c r="AS6" s="3"/>
      <c r="AT6" s="4" t="s">
        <v>16</v>
      </c>
      <c r="AV6" s="5" t="s">
        <v>20</v>
      </c>
      <c r="AX6" s="6" t="s">
        <v>628</v>
      </c>
    </row>
    <row r="7" spans="1:50" x14ac:dyDescent="0.2">
      <c r="B7" s="4" t="s">
        <v>909</v>
      </c>
      <c r="C7" s="4">
        <v>22.669699999999999</v>
      </c>
      <c r="D7" s="4">
        <v>23.000299999999999</v>
      </c>
      <c r="E7" s="4">
        <v>22.840699999999998</v>
      </c>
      <c r="F7" s="4">
        <f t="shared" si="0"/>
        <v>22.8369</v>
      </c>
      <c r="I7" s="4" t="s">
        <v>2639</v>
      </c>
      <c r="J7" s="4">
        <v>22.904399999999999</v>
      </c>
      <c r="K7" s="4">
        <v>23.066199999999998</v>
      </c>
      <c r="L7" s="4">
        <v>22.834700000000002</v>
      </c>
      <c r="M7" s="4">
        <f t="shared" si="1"/>
        <v>22.935100000000002</v>
      </c>
      <c r="Q7" s="43" t="s">
        <v>3176</v>
      </c>
      <c r="R7" s="4">
        <v>23.656999226789502</v>
      </c>
      <c r="S7" s="4">
        <v>22.9372724076993</v>
      </c>
      <c r="T7" s="4">
        <v>23.1819814696238</v>
      </c>
      <c r="U7" s="4">
        <f t="shared" si="2"/>
        <v>23.258751034704204</v>
      </c>
      <c r="X7" s="43" t="s">
        <v>2665</v>
      </c>
      <c r="Y7" s="4">
        <v>22.858698395845</v>
      </c>
      <c r="Z7" s="4">
        <v>22.993189486543301</v>
      </c>
      <c r="AA7" s="4">
        <v>22.839779534763</v>
      </c>
      <c r="AB7" s="4">
        <f t="shared" si="3"/>
        <v>22.897222472383763</v>
      </c>
      <c r="AK7" s="4" t="s">
        <v>3899</v>
      </c>
      <c r="AL7" s="4" t="s">
        <v>160</v>
      </c>
      <c r="AM7" s="4" t="s">
        <v>1149</v>
      </c>
      <c r="AN7" s="4" t="s">
        <v>863</v>
      </c>
      <c r="AP7" s="4" t="s">
        <v>200</v>
      </c>
      <c r="AQ7" s="4" t="s">
        <v>396</v>
      </c>
      <c r="AR7" s="4" t="s">
        <v>200</v>
      </c>
      <c r="AS7" s="3"/>
      <c r="AT7" s="4" t="s">
        <v>102</v>
      </c>
      <c r="AV7" s="5" t="s">
        <v>8</v>
      </c>
      <c r="AX7" s="14" t="s">
        <v>299</v>
      </c>
    </row>
    <row r="8" spans="1:50" x14ac:dyDescent="0.2">
      <c r="B8" s="4" t="s">
        <v>2639</v>
      </c>
      <c r="C8" s="4">
        <v>22.856400000000001</v>
      </c>
      <c r="D8" s="4">
        <v>22.669799999999999</v>
      </c>
      <c r="E8" s="4">
        <v>22.876100000000001</v>
      </c>
      <c r="F8" s="4">
        <f t="shared" si="0"/>
        <v>22.800766666666664</v>
      </c>
      <c r="I8" s="4" t="s">
        <v>909</v>
      </c>
      <c r="J8" s="4">
        <v>22.6159</v>
      </c>
      <c r="K8" s="4">
        <v>22.717400000000001</v>
      </c>
      <c r="L8" s="4">
        <v>22.7682</v>
      </c>
      <c r="M8" s="4">
        <f t="shared" si="1"/>
        <v>22.700500000000002</v>
      </c>
      <c r="Q8" s="43" t="s">
        <v>2639</v>
      </c>
      <c r="R8" s="4">
        <v>23.376380415468802</v>
      </c>
      <c r="S8" s="4">
        <v>23.129025912072599</v>
      </c>
      <c r="T8" s="4">
        <v>23.171820680718199</v>
      </c>
      <c r="U8" s="4">
        <f t="shared" si="2"/>
        <v>23.22574233608653</v>
      </c>
      <c r="X8" s="43" t="s">
        <v>2639</v>
      </c>
      <c r="Y8" s="4">
        <v>22.8533683148618</v>
      </c>
      <c r="Z8" s="4">
        <v>23.025976452289001</v>
      </c>
      <c r="AA8" s="4">
        <v>22.731252279436902</v>
      </c>
      <c r="AB8" s="4">
        <f t="shared" si="3"/>
        <v>22.870199015529234</v>
      </c>
      <c r="AK8" s="4" t="s">
        <v>3599</v>
      </c>
      <c r="AL8" s="4" t="s">
        <v>318</v>
      </c>
      <c r="AM8" s="4" t="s">
        <v>4305</v>
      </c>
      <c r="AN8" s="4" t="s">
        <v>779</v>
      </c>
      <c r="AP8" s="4" t="s">
        <v>847</v>
      </c>
      <c r="AQ8" s="4" t="s">
        <v>472</v>
      </c>
      <c r="AR8" s="4" t="s">
        <v>847</v>
      </c>
      <c r="AS8" s="3"/>
      <c r="AT8" s="4" t="s">
        <v>32</v>
      </c>
      <c r="AV8" s="10" t="s">
        <v>23</v>
      </c>
      <c r="AX8" s="6" t="s">
        <v>631</v>
      </c>
    </row>
    <row r="9" spans="1:50" x14ac:dyDescent="0.2">
      <c r="B9" s="4" t="s">
        <v>653</v>
      </c>
      <c r="C9" s="4">
        <v>23.0703</v>
      </c>
      <c r="D9" s="4">
        <v>22.885000000000002</v>
      </c>
      <c r="E9" s="4">
        <v>22.321999999999999</v>
      </c>
      <c r="F9" s="4">
        <f t="shared" si="0"/>
        <v>22.7591</v>
      </c>
      <c r="I9" s="4" t="s">
        <v>448</v>
      </c>
      <c r="J9" s="4">
        <v>22.065899999999999</v>
      </c>
      <c r="K9" s="4">
        <v>22.153500000000001</v>
      </c>
      <c r="L9" s="4">
        <v>21.770800000000001</v>
      </c>
      <c r="M9" s="4">
        <f t="shared" si="1"/>
        <v>21.996733333333335</v>
      </c>
      <c r="Q9" s="43" t="s">
        <v>1756</v>
      </c>
      <c r="R9" s="4">
        <v>23.640831638726599</v>
      </c>
      <c r="S9" s="4">
        <v>22.763336911169599</v>
      </c>
      <c r="T9" s="4">
        <v>22.989713920235999</v>
      </c>
      <c r="U9" s="4">
        <f t="shared" si="2"/>
        <v>23.131294156710734</v>
      </c>
      <c r="X9" s="43" t="s">
        <v>978</v>
      </c>
      <c r="Y9" s="4">
        <v>22.669282141979501</v>
      </c>
      <c r="Z9" s="4">
        <v>22.9947322179232</v>
      </c>
      <c r="AA9" s="4">
        <v>22.4318135784345</v>
      </c>
      <c r="AB9" s="4">
        <f t="shared" si="3"/>
        <v>22.69860931277907</v>
      </c>
      <c r="AK9" s="4" t="s">
        <v>19</v>
      </c>
      <c r="AL9" s="4" t="s">
        <v>328</v>
      </c>
      <c r="AM9" s="6" t="s">
        <v>716</v>
      </c>
      <c r="AN9" s="4" t="s">
        <v>860</v>
      </c>
      <c r="AP9" s="4" t="s">
        <v>384</v>
      </c>
      <c r="AQ9" s="4" t="s">
        <v>554</v>
      </c>
      <c r="AR9" s="4" t="s">
        <v>384</v>
      </c>
      <c r="AS9" s="3"/>
      <c r="AT9" s="4" t="s">
        <v>183</v>
      </c>
      <c r="AV9" s="5" t="s">
        <v>31</v>
      </c>
      <c r="AX9" s="14" t="s">
        <v>200</v>
      </c>
    </row>
    <row r="10" spans="1:50" x14ac:dyDescent="0.2">
      <c r="B10" s="4" t="s">
        <v>3434</v>
      </c>
      <c r="C10" s="4">
        <v>22.8035</v>
      </c>
      <c r="D10" s="4">
        <v>22.683599999999998</v>
      </c>
      <c r="E10" s="4">
        <v>22.6983</v>
      </c>
      <c r="F10" s="4">
        <f t="shared" si="0"/>
        <v>22.728466666666666</v>
      </c>
      <c r="I10" s="4" t="s">
        <v>3446</v>
      </c>
      <c r="J10" s="4">
        <v>21.852</v>
      </c>
      <c r="K10" s="4">
        <v>22.016200000000001</v>
      </c>
      <c r="L10" s="4">
        <v>21.676600000000001</v>
      </c>
      <c r="M10" s="4">
        <f t="shared" si="1"/>
        <v>21.848266666666671</v>
      </c>
      <c r="Q10" s="43" t="s">
        <v>2286</v>
      </c>
      <c r="R10" s="4">
        <v>23.326617461648599</v>
      </c>
      <c r="S10" s="4">
        <v>22.3833111082679</v>
      </c>
      <c r="T10" s="4">
        <v>22.5633939565063</v>
      </c>
      <c r="U10" s="4">
        <f t="shared" si="2"/>
        <v>22.757774175474268</v>
      </c>
      <c r="X10" s="43" t="s">
        <v>3452</v>
      </c>
      <c r="Y10" s="4">
        <v>22.595330392142898</v>
      </c>
      <c r="Z10" s="4">
        <v>22.374858753896799</v>
      </c>
      <c r="AA10" s="4">
        <v>22.179892699022901</v>
      </c>
      <c r="AB10" s="4">
        <f t="shared" si="3"/>
        <v>22.383360615020866</v>
      </c>
      <c r="AK10" s="4" t="s">
        <v>3249</v>
      </c>
      <c r="AL10" s="4" t="s">
        <v>356</v>
      </c>
      <c r="AM10" s="4" t="s">
        <v>1897</v>
      </c>
      <c r="AN10" s="4" t="s">
        <v>866</v>
      </c>
      <c r="AP10" s="4" t="s">
        <v>202</v>
      </c>
      <c r="AQ10" s="4" t="s">
        <v>516</v>
      </c>
      <c r="AR10" s="4" t="s">
        <v>202</v>
      </c>
      <c r="AS10" s="3"/>
      <c r="AT10" s="4" t="s">
        <v>492</v>
      </c>
      <c r="AV10" s="5" t="s">
        <v>11</v>
      </c>
      <c r="AX10" s="15" t="s">
        <v>307</v>
      </c>
    </row>
    <row r="11" spans="1:50" x14ac:dyDescent="0.2">
      <c r="B11" s="4" t="s">
        <v>1061</v>
      </c>
      <c r="C11" s="4">
        <v>22.082899999999999</v>
      </c>
      <c r="D11" s="4">
        <v>22.0015</v>
      </c>
      <c r="E11" s="4">
        <v>22.573399999999999</v>
      </c>
      <c r="F11" s="4">
        <f t="shared" si="0"/>
        <v>22.21926666666667</v>
      </c>
      <c r="I11" s="4" t="s">
        <v>1918</v>
      </c>
      <c r="J11" s="4">
        <v>21.761399999999998</v>
      </c>
      <c r="K11" s="4">
        <v>21.866700000000002</v>
      </c>
      <c r="L11" s="4">
        <v>21.569700000000001</v>
      </c>
      <c r="M11" s="4">
        <f t="shared" si="1"/>
        <v>21.732600000000001</v>
      </c>
      <c r="Q11" s="43" t="s">
        <v>3452</v>
      </c>
      <c r="R11" s="4">
        <v>22.889737946547701</v>
      </c>
      <c r="S11" s="4">
        <v>22.5393377677022</v>
      </c>
      <c r="T11" s="4">
        <v>22.685887257287199</v>
      </c>
      <c r="U11" s="4">
        <f t="shared" si="2"/>
        <v>22.704987657179032</v>
      </c>
      <c r="X11" s="43" t="s">
        <v>2231</v>
      </c>
      <c r="Y11" s="4">
        <v>22.369477133320899</v>
      </c>
      <c r="Z11" s="4">
        <v>22.497020952420201</v>
      </c>
      <c r="AA11" s="4">
        <v>22.1413921637937</v>
      </c>
      <c r="AB11" s="4">
        <f t="shared" si="3"/>
        <v>22.3359634165116</v>
      </c>
      <c r="AK11" s="4" t="s">
        <v>3538</v>
      </c>
      <c r="AL11" s="4" t="s">
        <v>143</v>
      </c>
      <c r="AM11" s="4" t="s">
        <v>4227</v>
      </c>
      <c r="AN11" s="4" t="s">
        <v>854</v>
      </c>
      <c r="AP11" s="4" t="s">
        <v>208</v>
      </c>
      <c r="AQ11" s="4" t="s">
        <v>40</v>
      </c>
      <c r="AR11" s="4" t="s">
        <v>208</v>
      </c>
      <c r="AS11" s="3"/>
      <c r="AT11" s="4" t="s">
        <v>491</v>
      </c>
      <c r="AV11" s="5" t="s">
        <v>28</v>
      </c>
      <c r="AX11" s="15" t="s">
        <v>563</v>
      </c>
    </row>
    <row r="12" spans="1:50" x14ac:dyDescent="0.2">
      <c r="B12" s="4" t="s">
        <v>655</v>
      </c>
      <c r="C12" s="4">
        <v>22.675899999999999</v>
      </c>
      <c r="D12" s="4">
        <v>22.038</v>
      </c>
      <c r="E12" s="4">
        <v>21.313600000000001</v>
      </c>
      <c r="F12" s="4">
        <f t="shared" si="0"/>
        <v>22.009166666666669</v>
      </c>
      <c r="I12" s="4" t="s">
        <v>190</v>
      </c>
      <c r="J12" s="4">
        <v>21.786999999999999</v>
      </c>
      <c r="K12" s="4">
        <v>21.371700000000001</v>
      </c>
      <c r="L12" s="4">
        <v>21.686900000000001</v>
      </c>
      <c r="M12" s="4">
        <f t="shared" si="1"/>
        <v>21.615199999999998</v>
      </c>
      <c r="Q12" s="43" t="s">
        <v>3330</v>
      </c>
      <c r="R12" s="4">
        <v>22.977088477546499</v>
      </c>
      <c r="S12" s="4">
        <v>22.426383741108701</v>
      </c>
      <c r="T12" s="4">
        <v>22.469738088746698</v>
      </c>
      <c r="U12" s="4">
        <f t="shared" si="2"/>
        <v>22.62440343580063</v>
      </c>
      <c r="X12" s="43" t="s">
        <v>3176</v>
      </c>
      <c r="Y12" s="4">
        <v>22.1096960585628</v>
      </c>
      <c r="Z12" s="4">
        <v>22.231605663015699</v>
      </c>
      <c r="AA12" s="4">
        <v>22.1681750130568</v>
      </c>
      <c r="AB12" s="4">
        <f t="shared" si="3"/>
        <v>22.169825578211768</v>
      </c>
      <c r="AK12" s="4" t="s">
        <v>2362</v>
      </c>
      <c r="AL12" s="4" t="s">
        <v>88</v>
      </c>
      <c r="AM12" s="4" t="s">
        <v>1546</v>
      </c>
      <c r="AN12" s="4" t="s">
        <v>846</v>
      </c>
      <c r="AP12" s="4" t="s">
        <v>491</v>
      </c>
      <c r="AQ12" s="4" t="s">
        <v>16</v>
      </c>
      <c r="AR12" s="4" t="s">
        <v>491</v>
      </c>
      <c r="AS12" s="3"/>
      <c r="AT12" s="4" t="s">
        <v>202</v>
      </c>
      <c r="AV12" s="5" t="s">
        <v>70</v>
      </c>
      <c r="AX12" s="6" t="s">
        <v>807</v>
      </c>
    </row>
    <row r="13" spans="1:50" x14ac:dyDescent="0.2">
      <c r="B13" s="4" t="s">
        <v>1918</v>
      </c>
      <c r="C13" s="4">
        <v>21.806799999999999</v>
      </c>
      <c r="D13" s="4">
        <v>21.618500000000001</v>
      </c>
      <c r="E13" s="4">
        <v>21.697199999999999</v>
      </c>
      <c r="F13" s="4">
        <f t="shared" si="0"/>
        <v>21.7075</v>
      </c>
      <c r="I13" s="4" t="s">
        <v>3527</v>
      </c>
      <c r="J13" s="4">
        <v>21.4544</v>
      </c>
      <c r="K13" s="4">
        <v>21.579499999999999</v>
      </c>
      <c r="L13" s="4">
        <v>21.4557</v>
      </c>
      <c r="M13" s="4">
        <f t="shared" si="1"/>
        <v>21.496533333333332</v>
      </c>
      <c r="Q13" s="43" t="s">
        <v>3434</v>
      </c>
      <c r="R13" s="4">
        <v>22.5281759741626</v>
      </c>
      <c r="S13" s="4">
        <v>22.507491290428799</v>
      </c>
      <c r="T13" s="4">
        <v>22.5971162623939</v>
      </c>
      <c r="U13" s="4">
        <f t="shared" si="2"/>
        <v>22.544261175661763</v>
      </c>
      <c r="X13" s="43" t="s">
        <v>1756</v>
      </c>
      <c r="Y13" s="4">
        <v>22.197370647103298</v>
      </c>
      <c r="Z13" s="4">
        <v>22.1375713452165</v>
      </c>
      <c r="AA13" s="4">
        <v>22.025178471504201</v>
      </c>
      <c r="AB13" s="4">
        <f t="shared" si="3"/>
        <v>22.120040154608002</v>
      </c>
      <c r="AK13" s="4" t="s">
        <v>3571</v>
      </c>
      <c r="AL13" s="4" t="s">
        <v>271</v>
      </c>
      <c r="AM13" s="4" t="s">
        <v>4508</v>
      </c>
      <c r="AN13" s="4" t="s">
        <v>772</v>
      </c>
      <c r="AP13" s="4" t="s">
        <v>236</v>
      </c>
      <c r="AQ13" s="4" t="s">
        <v>491</v>
      </c>
      <c r="AR13" s="4" t="s">
        <v>236</v>
      </c>
      <c r="AS13" s="3"/>
      <c r="AT13" s="4" t="s">
        <v>266</v>
      </c>
      <c r="AV13" s="5" t="s">
        <v>16</v>
      </c>
      <c r="AX13" s="6" t="s">
        <v>491</v>
      </c>
    </row>
    <row r="14" spans="1:50" x14ac:dyDescent="0.2">
      <c r="B14" s="4" t="s">
        <v>1792</v>
      </c>
      <c r="C14" s="4">
        <v>21.617799999999999</v>
      </c>
      <c r="D14" s="4">
        <v>21.588100000000001</v>
      </c>
      <c r="E14" s="4">
        <v>21.323899999999998</v>
      </c>
      <c r="F14" s="4">
        <f t="shared" si="0"/>
        <v>21.509933333333333</v>
      </c>
      <c r="I14" s="4" t="s">
        <v>653</v>
      </c>
      <c r="J14" s="4">
        <v>21.529900000000001</v>
      </c>
      <c r="K14" s="4">
        <v>21.6371</v>
      </c>
      <c r="L14" s="4">
        <v>21.285599999999999</v>
      </c>
      <c r="M14" s="4">
        <f t="shared" si="1"/>
        <v>21.484200000000001</v>
      </c>
      <c r="Q14" s="43" t="s">
        <v>2040</v>
      </c>
      <c r="R14" s="4">
        <v>22.743719952069501</v>
      </c>
      <c r="S14" s="4">
        <v>22.092227404704801</v>
      </c>
      <c r="T14" s="4">
        <v>22.049534554022902</v>
      </c>
      <c r="U14" s="4">
        <f t="shared" si="2"/>
        <v>22.295160636932398</v>
      </c>
      <c r="X14" s="43" t="s">
        <v>648</v>
      </c>
      <c r="Y14" s="4">
        <v>22.215056798158699</v>
      </c>
      <c r="Z14" s="4">
        <v>22.219240782842402</v>
      </c>
      <c r="AA14" s="4">
        <v>21.890374765853899</v>
      </c>
      <c r="AB14" s="4">
        <f t="shared" si="3"/>
        <v>22.108224115618338</v>
      </c>
      <c r="AK14" s="4" t="s">
        <v>3927</v>
      </c>
      <c r="AL14" s="4" t="s">
        <v>310</v>
      </c>
      <c r="AM14" s="4" t="s">
        <v>4535</v>
      </c>
      <c r="AN14" s="4" t="s">
        <v>762</v>
      </c>
      <c r="AP14" s="4" t="s">
        <v>531</v>
      </c>
      <c r="AQ14" s="4" t="s">
        <v>552</v>
      </c>
      <c r="AR14" s="4" t="s">
        <v>531</v>
      </c>
      <c r="AS14" s="3"/>
      <c r="AT14" s="4" t="s">
        <v>9</v>
      </c>
      <c r="AV14" s="5" t="s">
        <v>36</v>
      </c>
      <c r="AX14" s="6" t="s">
        <v>32</v>
      </c>
    </row>
    <row r="15" spans="1:50" x14ac:dyDescent="0.2">
      <c r="B15" s="4" t="s">
        <v>799</v>
      </c>
      <c r="C15" s="4">
        <v>21.543199999999999</v>
      </c>
      <c r="D15" s="4">
        <v>21.479600000000001</v>
      </c>
      <c r="E15" s="4">
        <v>21.4391</v>
      </c>
      <c r="F15" s="4">
        <f t="shared" si="0"/>
        <v>21.487300000000001</v>
      </c>
      <c r="I15" s="4" t="s">
        <v>1954</v>
      </c>
      <c r="J15" s="4">
        <v>21.506599999999999</v>
      </c>
      <c r="K15" s="4">
        <v>21.405100000000001</v>
      </c>
      <c r="L15" s="4">
        <v>21.4894</v>
      </c>
      <c r="M15" s="4">
        <f t="shared" si="1"/>
        <v>21.467033333333333</v>
      </c>
      <c r="Q15" s="43" t="s">
        <v>1698</v>
      </c>
      <c r="R15" s="4">
        <v>22.461380187783899</v>
      </c>
      <c r="S15" s="4">
        <v>22.256600194571199</v>
      </c>
      <c r="T15" s="4">
        <v>22.161893236593201</v>
      </c>
      <c r="U15" s="4">
        <f t="shared" si="2"/>
        <v>22.293291206316098</v>
      </c>
      <c r="X15" s="43" t="s">
        <v>3330</v>
      </c>
      <c r="Y15" s="4">
        <v>21.9315836156999</v>
      </c>
      <c r="Z15" s="4">
        <v>22.0078240693962</v>
      </c>
      <c r="AA15" s="4">
        <v>22.0921178367111</v>
      </c>
      <c r="AB15" s="4">
        <f t="shared" si="3"/>
        <v>22.010508507269066</v>
      </c>
      <c r="AK15" s="4" t="s">
        <v>1531</v>
      </c>
      <c r="AL15" s="4" t="s">
        <v>327</v>
      </c>
      <c r="AM15" s="4" t="s">
        <v>4240</v>
      </c>
      <c r="AN15" s="4" t="s">
        <v>771</v>
      </c>
      <c r="AP15" s="4" t="s">
        <v>545</v>
      </c>
      <c r="AQ15" s="4" t="s">
        <v>200</v>
      </c>
      <c r="AR15" s="4" t="s">
        <v>545</v>
      </c>
      <c r="AS15" s="3"/>
      <c r="AT15" s="4" t="s">
        <v>217</v>
      </c>
      <c r="AV15" s="5" t="s">
        <v>85</v>
      </c>
      <c r="AX15" s="14" t="s">
        <v>545</v>
      </c>
    </row>
    <row r="16" spans="1:50" x14ac:dyDescent="0.2">
      <c r="B16" s="4" t="s">
        <v>903</v>
      </c>
      <c r="C16" s="4">
        <v>21.6935</v>
      </c>
      <c r="D16" s="4">
        <v>21.272500000000001</v>
      </c>
      <c r="E16" s="4">
        <v>21.427</v>
      </c>
      <c r="F16" s="4">
        <f t="shared" si="0"/>
        <v>21.464333333333332</v>
      </c>
      <c r="I16" s="4" t="s">
        <v>650</v>
      </c>
      <c r="J16" s="4">
        <v>21.4251</v>
      </c>
      <c r="K16" s="4">
        <v>21.473800000000001</v>
      </c>
      <c r="L16" s="4">
        <v>21.232700000000001</v>
      </c>
      <c r="M16" s="4">
        <f t="shared" si="1"/>
        <v>21.377199999999998</v>
      </c>
      <c r="Q16" s="43" t="s">
        <v>978</v>
      </c>
      <c r="R16" s="4">
        <v>22.346066127143601</v>
      </c>
      <c r="S16" s="4">
        <v>21.747195129516399</v>
      </c>
      <c r="T16" s="4">
        <v>22.261410478369399</v>
      </c>
      <c r="U16" s="4">
        <f t="shared" si="2"/>
        <v>22.118223911676466</v>
      </c>
      <c r="X16" s="43" t="s">
        <v>1698</v>
      </c>
      <c r="Y16" s="4">
        <v>21.906938914549201</v>
      </c>
      <c r="Z16" s="4">
        <v>21.748559544035398</v>
      </c>
      <c r="AA16" s="4">
        <v>22.1475653810779</v>
      </c>
      <c r="AB16" s="4">
        <f t="shared" si="3"/>
        <v>21.934354613220833</v>
      </c>
      <c r="AK16" s="4" t="s">
        <v>3171</v>
      </c>
      <c r="AL16" s="4" t="s">
        <v>337</v>
      </c>
      <c r="AM16" s="4" t="s">
        <v>1866</v>
      </c>
      <c r="AN16" s="4" t="s">
        <v>733</v>
      </c>
      <c r="AP16" s="4" t="s">
        <v>299</v>
      </c>
      <c r="AQ16" s="4" t="s">
        <v>384</v>
      </c>
      <c r="AR16" s="4" t="s">
        <v>299</v>
      </c>
      <c r="AS16" s="3"/>
      <c r="AT16" s="4" t="s">
        <v>552</v>
      </c>
      <c r="AV16" s="5" t="s">
        <v>24</v>
      </c>
      <c r="AX16" s="6" t="s">
        <v>634</v>
      </c>
    </row>
    <row r="17" spans="2:50" x14ac:dyDescent="0.2">
      <c r="B17" s="4" t="s">
        <v>3446</v>
      </c>
      <c r="C17" s="4">
        <v>21.576799999999999</v>
      </c>
      <c r="D17" s="4">
        <v>21.5288</v>
      </c>
      <c r="E17" s="4">
        <v>21.251100000000001</v>
      </c>
      <c r="F17" s="4">
        <f t="shared" si="0"/>
        <v>21.452233333333329</v>
      </c>
      <c r="I17" s="4" t="s">
        <v>903</v>
      </c>
      <c r="J17" s="4">
        <v>21.598700000000001</v>
      </c>
      <c r="K17" s="4">
        <v>20.800899999999999</v>
      </c>
      <c r="L17" s="4">
        <v>21.690300000000001</v>
      </c>
      <c r="M17" s="4">
        <f t="shared" si="1"/>
        <v>21.363299999999999</v>
      </c>
      <c r="Q17" s="43" t="s">
        <v>2385</v>
      </c>
      <c r="R17" s="4">
        <v>22.455337412334099</v>
      </c>
      <c r="S17" s="4">
        <v>21.738880320869299</v>
      </c>
      <c r="T17" s="4">
        <v>21.760271100229101</v>
      </c>
      <c r="U17" s="4">
        <f t="shared" si="2"/>
        <v>21.984829611144168</v>
      </c>
      <c r="X17" s="43" t="s">
        <v>655</v>
      </c>
      <c r="Y17" s="4">
        <v>21.959158258299102</v>
      </c>
      <c r="Z17" s="4">
        <v>22.016463158504699</v>
      </c>
      <c r="AA17" s="4">
        <v>21.522256693235398</v>
      </c>
      <c r="AB17" s="4">
        <f t="shared" si="3"/>
        <v>21.832626036679738</v>
      </c>
      <c r="AK17" s="4" t="s">
        <v>3647</v>
      </c>
      <c r="AL17" s="4" t="s">
        <v>341</v>
      </c>
      <c r="AM17" s="4" t="s">
        <v>1572</v>
      </c>
      <c r="AN17" s="4" t="s">
        <v>671</v>
      </c>
      <c r="AP17" s="4" t="s">
        <v>552</v>
      </c>
      <c r="AQ17" s="4" t="s">
        <v>78</v>
      </c>
      <c r="AR17" s="4" t="s">
        <v>552</v>
      </c>
      <c r="AS17" s="3"/>
      <c r="AT17" s="4" t="s">
        <v>545</v>
      </c>
      <c r="AV17" s="5" t="s">
        <v>32</v>
      </c>
      <c r="AX17" s="6" t="s">
        <v>633</v>
      </c>
    </row>
    <row r="18" spans="2:50" x14ac:dyDescent="0.2">
      <c r="B18" s="4" t="s">
        <v>648</v>
      </c>
      <c r="C18" s="4">
        <v>21.774799999999999</v>
      </c>
      <c r="D18" s="4">
        <v>21.540299999999998</v>
      </c>
      <c r="E18" s="4">
        <v>20.8947</v>
      </c>
      <c r="F18" s="4">
        <f t="shared" si="0"/>
        <v>21.403266666666667</v>
      </c>
      <c r="I18" s="4" t="s">
        <v>2665</v>
      </c>
      <c r="J18" s="4">
        <v>21.343599999999999</v>
      </c>
      <c r="K18" s="4">
        <v>21.1175</v>
      </c>
      <c r="L18" s="4">
        <v>21.509699999999999</v>
      </c>
      <c r="M18" s="4">
        <f t="shared" si="1"/>
        <v>21.323599999999999</v>
      </c>
      <c r="Q18" s="43" t="s">
        <v>1954</v>
      </c>
      <c r="R18" s="4">
        <v>21.972499303076201</v>
      </c>
      <c r="S18" s="4">
        <v>21.780579598337699</v>
      </c>
      <c r="T18" s="4">
        <v>21.777262137868401</v>
      </c>
      <c r="U18" s="4">
        <f t="shared" si="2"/>
        <v>21.843447013094103</v>
      </c>
      <c r="X18" s="43" t="s">
        <v>2040</v>
      </c>
      <c r="Y18" s="4">
        <v>21.7375954902442</v>
      </c>
      <c r="Z18" s="4">
        <v>22.052607945804201</v>
      </c>
      <c r="AA18" s="4">
        <v>21.664489596538299</v>
      </c>
      <c r="AB18" s="4">
        <f t="shared" si="3"/>
        <v>21.818231010862235</v>
      </c>
      <c r="AK18" s="4" t="s">
        <v>2774</v>
      </c>
      <c r="AL18" s="4" t="s">
        <v>351</v>
      </c>
      <c r="AM18" s="4" t="s">
        <v>1255</v>
      </c>
      <c r="AN18" s="4" t="s">
        <v>877</v>
      </c>
      <c r="AP18" s="4" t="s">
        <v>308</v>
      </c>
      <c r="AQ18" s="4" t="s">
        <v>157</v>
      </c>
      <c r="AR18" s="4" t="s">
        <v>308</v>
      </c>
      <c r="AS18" s="3"/>
      <c r="AT18" s="4" t="s">
        <v>342</v>
      </c>
      <c r="AV18" s="5" t="s">
        <v>18</v>
      </c>
      <c r="AX18" s="6" t="s">
        <v>632</v>
      </c>
    </row>
    <row r="19" spans="2:50" x14ac:dyDescent="0.2">
      <c r="B19" s="4" t="s">
        <v>1954</v>
      </c>
      <c r="C19" s="4">
        <v>21.362500000000001</v>
      </c>
      <c r="D19" s="4">
        <v>21.216899999999999</v>
      </c>
      <c r="E19" s="4">
        <v>21.327500000000001</v>
      </c>
      <c r="F19" s="4">
        <f t="shared" si="0"/>
        <v>21.302299999999999</v>
      </c>
      <c r="I19" s="4" t="s">
        <v>799</v>
      </c>
      <c r="J19" s="4">
        <v>21.3416</v>
      </c>
      <c r="K19" s="4">
        <v>21.028300000000002</v>
      </c>
      <c r="L19" s="4">
        <v>21.4191</v>
      </c>
      <c r="M19" s="4">
        <f t="shared" si="1"/>
        <v>21.263000000000002</v>
      </c>
      <c r="Q19" s="43" t="s">
        <v>2231</v>
      </c>
      <c r="R19" s="4">
        <v>21.6546865360752</v>
      </c>
      <c r="S19" s="4">
        <v>21.797530911985898</v>
      </c>
      <c r="T19" s="4">
        <v>21.882392559825401</v>
      </c>
      <c r="U19" s="4">
        <f t="shared" si="2"/>
        <v>21.778203335962164</v>
      </c>
      <c r="X19" s="43" t="s">
        <v>1918</v>
      </c>
      <c r="Y19" s="4">
        <v>21.5866093170767</v>
      </c>
      <c r="Z19" s="4">
        <v>22.252511104482402</v>
      </c>
      <c r="AA19" s="4">
        <v>21.562653465220599</v>
      </c>
      <c r="AB19" s="4">
        <f t="shared" si="3"/>
        <v>21.800591295593232</v>
      </c>
      <c r="AK19" s="4" t="s">
        <v>2034</v>
      </c>
      <c r="AL19" s="4" t="s">
        <v>242</v>
      </c>
      <c r="AM19" s="4" t="s">
        <v>710</v>
      </c>
      <c r="AN19" s="4" t="s">
        <v>800</v>
      </c>
      <c r="AP19" s="4" t="s">
        <v>9</v>
      </c>
      <c r="AQ19" s="4" t="s">
        <v>18</v>
      </c>
      <c r="AR19" s="1"/>
      <c r="AS19" s="3"/>
      <c r="AT19" s="4" t="s">
        <v>265</v>
      </c>
      <c r="AV19" s="13" t="s">
        <v>40</v>
      </c>
      <c r="AX19" s="14" t="s">
        <v>380</v>
      </c>
    </row>
    <row r="20" spans="2:50" x14ac:dyDescent="0.2">
      <c r="B20" s="4" t="s">
        <v>2665</v>
      </c>
      <c r="C20" s="4">
        <v>21.099699999999999</v>
      </c>
      <c r="D20" s="4">
        <v>21.239799999999999</v>
      </c>
      <c r="E20" s="4">
        <v>21.1798</v>
      </c>
      <c r="F20" s="4">
        <f t="shared" si="0"/>
        <v>21.173100000000002</v>
      </c>
      <c r="I20" s="4" t="s">
        <v>22</v>
      </c>
      <c r="J20" s="4">
        <v>21.509799999999998</v>
      </c>
      <c r="K20" s="4">
        <v>20.687000000000001</v>
      </c>
      <c r="L20" s="4">
        <v>21.519100000000002</v>
      </c>
      <c r="M20" s="4">
        <f t="shared" si="1"/>
        <v>21.238633333333333</v>
      </c>
      <c r="Q20" s="43" t="s">
        <v>1918</v>
      </c>
      <c r="R20" s="4">
        <v>21.997410856691101</v>
      </c>
      <c r="S20" s="4">
        <v>21.4276862379545</v>
      </c>
      <c r="T20" s="4">
        <v>21.4406390057651</v>
      </c>
      <c r="U20" s="4">
        <f t="shared" si="2"/>
        <v>21.621912033470235</v>
      </c>
      <c r="X20" s="43" t="s">
        <v>653</v>
      </c>
      <c r="Y20" s="4">
        <v>21.564168701503501</v>
      </c>
      <c r="Z20" s="4">
        <v>21.6713232919676</v>
      </c>
      <c r="AA20" s="4">
        <v>21.280325657417901</v>
      </c>
      <c r="AB20" s="4">
        <f t="shared" si="3"/>
        <v>21.505272550296336</v>
      </c>
      <c r="AK20" s="4" t="s">
        <v>2328</v>
      </c>
      <c r="AM20" s="4" t="s">
        <v>967</v>
      </c>
      <c r="AN20" s="4" t="s">
        <v>841</v>
      </c>
      <c r="AP20" s="4" t="s">
        <v>3</v>
      </c>
      <c r="AQ20" s="4" t="s">
        <v>543</v>
      </c>
      <c r="AR20" s="1"/>
      <c r="AS20" s="3"/>
      <c r="AT20" s="4" t="s">
        <v>269</v>
      </c>
      <c r="AV20" s="5" t="s">
        <v>44</v>
      </c>
      <c r="AX20" s="14" t="s">
        <v>625</v>
      </c>
    </row>
    <row r="21" spans="2:50" x14ac:dyDescent="0.2">
      <c r="B21" s="4" t="s">
        <v>1173</v>
      </c>
      <c r="C21" s="4">
        <v>21.238900000000001</v>
      </c>
      <c r="D21" s="4">
        <v>21.2515</v>
      </c>
      <c r="E21" s="4">
        <v>20.815799999999999</v>
      </c>
      <c r="F21" s="4">
        <f t="shared" si="0"/>
        <v>21.102066666666669</v>
      </c>
      <c r="I21" s="4" t="s">
        <v>1935</v>
      </c>
      <c r="J21" s="4">
        <v>21.119199999999999</v>
      </c>
      <c r="K21" s="4">
        <v>21.503699999999998</v>
      </c>
      <c r="L21" s="4">
        <v>21.054500000000001</v>
      </c>
      <c r="M21" s="4">
        <f t="shared" si="1"/>
        <v>21.225800000000003</v>
      </c>
      <c r="Q21" s="43" t="s">
        <v>1958</v>
      </c>
      <c r="R21" s="4">
        <v>21.765093096547499</v>
      </c>
      <c r="S21" s="4">
        <v>21.437819315426601</v>
      </c>
      <c r="T21" s="4">
        <v>21.550237347001101</v>
      </c>
      <c r="U21" s="4">
        <f t="shared" si="2"/>
        <v>21.584383252991731</v>
      </c>
      <c r="X21" s="43" t="s">
        <v>2286</v>
      </c>
      <c r="Y21" s="4">
        <v>21.564311027652501</v>
      </c>
      <c r="Z21" s="4">
        <v>21.559391406933202</v>
      </c>
      <c r="AA21" s="4">
        <v>21.381106015181398</v>
      </c>
      <c r="AB21" s="4">
        <f t="shared" si="3"/>
        <v>21.501602816589031</v>
      </c>
      <c r="AK21" s="4" t="s">
        <v>3649</v>
      </c>
      <c r="AM21" s="4" t="s">
        <v>4497</v>
      </c>
      <c r="AN21" s="4" t="s">
        <v>855</v>
      </c>
      <c r="AP21" s="4" t="s">
        <v>45</v>
      </c>
      <c r="AQ21" s="4" t="s">
        <v>531</v>
      </c>
      <c r="AR21" s="1"/>
      <c r="AS21" s="3"/>
      <c r="AT21" s="4" t="s">
        <v>17</v>
      </c>
      <c r="AV21" s="5" t="s">
        <v>52</v>
      </c>
      <c r="AX21" s="14" t="s">
        <v>626</v>
      </c>
    </row>
    <row r="22" spans="2:50" x14ac:dyDescent="0.2">
      <c r="B22" s="4" t="s">
        <v>3527</v>
      </c>
      <c r="C22" s="4">
        <v>21.004300000000001</v>
      </c>
      <c r="D22" s="4">
        <v>21.322600000000001</v>
      </c>
      <c r="E22" s="4">
        <v>20.8765</v>
      </c>
      <c r="F22" s="4">
        <f t="shared" si="0"/>
        <v>21.067800000000002</v>
      </c>
      <c r="I22" s="4" t="s">
        <v>1792</v>
      </c>
      <c r="J22" s="4">
        <v>21.4236</v>
      </c>
      <c r="K22" s="4">
        <v>20.690200000000001</v>
      </c>
      <c r="L22" s="4">
        <v>21.368400000000001</v>
      </c>
      <c r="M22" s="4">
        <f t="shared" si="1"/>
        <v>21.160733333333333</v>
      </c>
      <c r="Q22" s="43" t="s">
        <v>3116</v>
      </c>
      <c r="R22" s="4">
        <v>21.7578486196293</v>
      </c>
      <c r="S22" s="4">
        <v>21.4826950944388</v>
      </c>
      <c r="T22" s="4">
        <v>21.4055654028605</v>
      </c>
      <c r="U22" s="4">
        <f t="shared" si="2"/>
        <v>21.5487030389762</v>
      </c>
      <c r="X22" s="43" t="s">
        <v>799</v>
      </c>
      <c r="Y22" s="4">
        <v>21.378921716214201</v>
      </c>
      <c r="Z22" s="4">
        <v>21.538509536024101</v>
      </c>
      <c r="AA22" s="4">
        <v>21.3436786338935</v>
      </c>
      <c r="AB22" s="4">
        <f t="shared" si="3"/>
        <v>21.420369962043935</v>
      </c>
      <c r="AK22" s="4" t="s">
        <v>918</v>
      </c>
      <c r="AM22" s="4" t="s">
        <v>4269</v>
      </c>
      <c r="AN22" s="4" t="s">
        <v>871</v>
      </c>
      <c r="AP22" s="4" t="s">
        <v>16</v>
      </c>
      <c r="AQ22" s="4" t="s">
        <v>236</v>
      </c>
      <c r="AR22" s="1"/>
      <c r="AS22" s="3"/>
      <c r="AT22" s="4" t="s">
        <v>847</v>
      </c>
      <c r="AV22" s="5" t="s">
        <v>116</v>
      </c>
      <c r="AX22" s="14" t="s">
        <v>531</v>
      </c>
    </row>
    <row r="23" spans="2:50" x14ac:dyDescent="0.2">
      <c r="B23" s="4" t="s">
        <v>1915</v>
      </c>
      <c r="C23" s="4">
        <v>20.960999999999999</v>
      </c>
      <c r="D23" s="4">
        <v>20.898900000000001</v>
      </c>
      <c r="E23" s="4">
        <v>21.186</v>
      </c>
      <c r="F23" s="4">
        <f t="shared" si="0"/>
        <v>21.0153</v>
      </c>
      <c r="I23" s="4" t="s">
        <v>1915</v>
      </c>
      <c r="J23" s="4">
        <v>21.222999999999999</v>
      </c>
      <c r="K23" s="4">
        <v>21.085699999999999</v>
      </c>
      <c r="L23" s="4">
        <v>21.156199999999998</v>
      </c>
      <c r="M23" s="4">
        <f t="shared" si="1"/>
        <v>21.154966666666667</v>
      </c>
      <c r="Q23" s="43" t="s">
        <v>2022</v>
      </c>
      <c r="R23" s="4">
        <v>21.733716799095902</v>
      </c>
      <c r="S23" s="4">
        <v>21.390705308078299</v>
      </c>
      <c r="T23" s="4">
        <v>21.376956094158999</v>
      </c>
      <c r="U23" s="4">
        <f t="shared" si="2"/>
        <v>21.500459400444399</v>
      </c>
      <c r="X23" s="43" t="s">
        <v>1958</v>
      </c>
      <c r="Y23" s="4">
        <v>21.3416981514832</v>
      </c>
      <c r="Z23" s="4">
        <v>21.603023884174899</v>
      </c>
      <c r="AA23" s="4">
        <v>21.170587728607298</v>
      </c>
      <c r="AB23" s="4">
        <f t="shared" si="3"/>
        <v>21.371769921421802</v>
      </c>
      <c r="AK23" s="4" t="s">
        <v>3925</v>
      </c>
      <c r="AM23" s="4" t="s">
        <v>4599</v>
      </c>
      <c r="AP23" s="4" t="s">
        <v>17</v>
      </c>
      <c r="AQ23" s="4" t="s">
        <v>150</v>
      </c>
      <c r="AR23" s="1"/>
      <c r="AS23" s="3"/>
      <c r="AT23" s="4" t="s">
        <v>3228</v>
      </c>
      <c r="AV23" s="5" t="s">
        <v>67</v>
      </c>
      <c r="AX23" s="15" t="s">
        <v>513</v>
      </c>
    </row>
    <row r="24" spans="2:50" x14ac:dyDescent="0.2">
      <c r="B24" s="4" t="s">
        <v>1935</v>
      </c>
      <c r="C24" s="4">
        <v>21.037600000000001</v>
      </c>
      <c r="D24" s="4">
        <v>20.937799999999999</v>
      </c>
      <c r="E24" s="4">
        <v>20.965399999999999</v>
      </c>
      <c r="F24" s="4">
        <f t="shared" si="0"/>
        <v>20.980266666666665</v>
      </c>
      <c r="I24" s="4" t="s">
        <v>3591</v>
      </c>
      <c r="J24" s="4">
        <v>21.072800000000001</v>
      </c>
      <c r="K24" s="4">
        <v>21.5579</v>
      </c>
      <c r="L24" s="4">
        <v>20.827300000000001</v>
      </c>
      <c r="M24" s="4">
        <f t="shared" si="1"/>
        <v>21.152666666666669</v>
      </c>
      <c r="Q24" s="43" t="s">
        <v>2573</v>
      </c>
      <c r="R24" s="4">
        <v>21.693410651955201</v>
      </c>
      <c r="S24" s="4">
        <v>21.255575207029199</v>
      </c>
      <c r="T24" s="4">
        <v>21.303659998892002</v>
      </c>
      <c r="U24" s="4">
        <f t="shared" si="2"/>
        <v>21.417548619292134</v>
      </c>
      <c r="X24" s="43" t="s">
        <v>1954</v>
      </c>
      <c r="Y24" s="4">
        <v>21.271406241937601</v>
      </c>
      <c r="Z24" s="4">
        <v>21.422238495765701</v>
      </c>
      <c r="AA24" s="4">
        <v>21.057807722556198</v>
      </c>
      <c r="AB24" s="4">
        <f t="shared" si="3"/>
        <v>21.250484153419833</v>
      </c>
      <c r="AK24" s="4" t="s">
        <v>36</v>
      </c>
      <c r="AM24" s="4" t="s">
        <v>765</v>
      </c>
      <c r="AP24" s="4" t="s">
        <v>3228</v>
      </c>
      <c r="AQ24" s="4" t="s">
        <v>82</v>
      </c>
      <c r="AR24" s="1"/>
      <c r="AS24" s="3"/>
      <c r="AT24" s="4" t="s">
        <v>1160</v>
      </c>
      <c r="AV24" s="5" t="s">
        <v>75</v>
      </c>
      <c r="AX24" s="6" t="s">
        <v>630</v>
      </c>
    </row>
    <row r="25" spans="2:50" x14ac:dyDescent="0.2">
      <c r="B25" s="4" t="s">
        <v>961</v>
      </c>
      <c r="C25" s="4">
        <v>19.637</v>
      </c>
      <c r="D25" s="4">
        <v>20.607099999999999</v>
      </c>
      <c r="E25" s="4">
        <v>22.639600000000002</v>
      </c>
      <c r="F25" s="4">
        <f t="shared" si="0"/>
        <v>20.961233333333336</v>
      </c>
      <c r="I25" s="4" t="s">
        <v>1444</v>
      </c>
      <c r="J25" s="4">
        <v>20.941099999999999</v>
      </c>
      <c r="K25" s="4">
        <v>21.6982</v>
      </c>
      <c r="L25" s="4">
        <v>20.785299999999999</v>
      </c>
      <c r="M25" s="4">
        <f t="shared" si="1"/>
        <v>21.141533333333332</v>
      </c>
      <c r="Q25" s="43" t="s">
        <v>2101</v>
      </c>
      <c r="R25" s="4">
        <v>21.551517851021</v>
      </c>
      <c r="S25" s="4">
        <v>21.113657714590001</v>
      </c>
      <c r="T25" s="4">
        <v>21.189375905555501</v>
      </c>
      <c r="U25" s="4">
        <f t="shared" si="2"/>
        <v>21.284850490388834</v>
      </c>
      <c r="X25" s="43" t="s">
        <v>1915</v>
      </c>
      <c r="Y25" s="4">
        <v>21.2411802003381</v>
      </c>
      <c r="Z25" s="4">
        <v>21.184389704155201</v>
      </c>
      <c r="AA25" s="4">
        <v>21.097128770576301</v>
      </c>
      <c r="AB25" s="4">
        <f t="shared" si="3"/>
        <v>21.174232891689869</v>
      </c>
      <c r="AK25" s="4" t="s">
        <v>2211</v>
      </c>
      <c r="AM25" s="4" t="s">
        <v>4469</v>
      </c>
      <c r="AP25" s="4" t="s">
        <v>244</v>
      </c>
      <c r="AR25" s="1"/>
      <c r="AT25" s="4" t="s">
        <v>200</v>
      </c>
      <c r="AV25" s="5" t="s">
        <v>82</v>
      </c>
      <c r="AX25" s="15" t="s">
        <v>225</v>
      </c>
    </row>
    <row r="26" spans="2:50" x14ac:dyDescent="0.2">
      <c r="B26" s="4" t="s">
        <v>4043</v>
      </c>
      <c r="C26" s="4">
        <v>21.225000000000001</v>
      </c>
      <c r="D26" s="4">
        <v>20.819099999999999</v>
      </c>
      <c r="E26" s="4">
        <v>20.795400000000001</v>
      </c>
      <c r="F26" s="4">
        <f t="shared" si="0"/>
        <v>20.9465</v>
      </c>
      <c r="I26" s="4" t="s">
        <v>1173</v>
      </c>
      <c r="J26" s="4">
        <v>20.7608</v>
      </c>
      <c r="K26" s="4">
        <v>21.641500000000001</v>
      </c>
      <c r="L26" s="4">
        <v>20.716699999999999</v>
      </c>
      <c r="M26" s="4">
        <f t="shared" si="1"/>
        <v>21.039666666666665</v>
      </c>
      <c r="Q26" s="43" t="s">
        <v>3446</v>
      </c>
      <c r="R26" s="4">
        <v>21.492934414505399</v>
      </c>
      <c r="S26" s="4">
        <v>21.197213067501899</v>
      </c>
      <c r="T26" s="4">
        <v>21.017798316617899</v>
      </c>
      <c r="U26" s="4">
        <f t="shared" si="2"/>
        <v>21.235981932875067</v>
      </c>
      <c r="X26" s="43" t="s">
        <v>903</v>
      </c>
      <c r="Y26" s="4">
        <v>21.262256460465</v>
      </c>
      <c r="Z26" s="4">
        <v>21.081933892562098</v>
      </c>
      <c r="AA26" s="4">
        <v>20.988981281985101</v>
      </c>
      <c r="AB26" s="4">
        <f t="shared" si="3"/>
        <v>21.111057211670737</v>
      </c>
      <c r="AK26" s="4" t="s">
        <v>74</v>
      </c>
      <c r="AM26" s="4" t="s">
        <v>4300</v>
      </c>
      <c r="AP26" s="4" t="s">
        <v>99</v>
      </c>
      <c r="AR26" s="1"/>
      <c r="AT26" s="4" t="s">
        <v>376</v>
      </c>
      <c r="AV26" s="5" t="s">
        <v>48</v>
      </c>
      <c r="AX26" s="6" t="s">
        <v>808</v>
      </c>
    </row>
    <row r="27" spans="2:50" x14ac:dyDescent="0.2">
      <c r="B27" s="4" t="s">
        <v>2211</v>
      </c>
      <c r="C27" s="4">
        <v>21.102799999999998</v>
      </c>
      <c r="D27" s="4">
        <v>20.908300000000001</v>
      </c>
      <c r="E27" s="4">
        <v>20.569099999999999</v>
      </c>
      <c r="F27" s="4">
        <f t="shared" si="0"/>
        <v>20.860066666666665</v>
      </c>
      <c r="I27" s="4" t="s">
        <v>313</v>
      </c>
      <c r="J27" s="4">
        <v>21.0319</v>
      </c>
      <c r="K27" s="4">
        <v>21.176600000000001</v>
      </c>
      <c r="L27" s="4">
        <v>20.8154</v>
      </c>
      <c r="M27" s="4">
        <f t="shared" si="1"/>
        <v>21.007966666666665</v>
      </c>
      <c r="Q27" s="43" t="s">
        <v>3843</v>
      </c>
      <c r="R27" s="4">
        <v>21.683930555407098</v>
      </c>
      <c r="S27" s="4">
        <v>20.845096268555199</v>
      </c>
      <c r="T27" s="4">
        <v>21.1490742875636</v>
      </c>
      <c r="U27" s="4">
        <f t="shared" si="2"/>
        <v>21.226033703841967</v>
      </c>
      <c r="X27" s="43" t="s">
        <v>2022</v>
      </c>
      <c r="Y27" s="4">
        <v>20.774899941100699</v>
      </c>
      <c r="Z27" s="4">
        <v>21.155703565437602</v>
      </c>
      <c r="AA27" s="4">
        <v>20.863519211714301</v>
      </c>
      <c r="AB27" s="4">
        <f t="shared" si="3"/>
        <v>20.931374239417536</v>
      </c>
      <c r="AK27" s="4" t="s">
        <v>3906</v>
      </c>
      <c r="AM27" s="6" t="s">
        <v>872</v>
      </c>
      <c r="AP27" s="4" t="s">
        <v>78</v>
      </c>
      <c r="AR27" s="1"/>
      <c r="AT27" s="4" t="s">
        <v>251</v>
      </c>
      <c r="AV27" s="5" t="s">
        <v>90</v>
      </c>
      <c r="AX27" s="6" t="s">
        <v>809</v>
      </c>
    </row>
    <row r="28" spans="2:50" x14ac:dyDescent="0.2">
      <c r="B28" s="4" t="s">
        <v>377</v>
      </c>
      <c r="C28" s="4">
        <v>20.968399999999999</v>
      </c>
      <c r="D28" s="4">
        <v>20.735800000000001</v>
      </c>
      <c r="E28" s="4">
        <v>20.686800000000002</v>
      </c>
      <c r="F28" s="4">
        <f t="shared" si="0"/>
        <v>20.797000000000001</v>
      </c>
      <c r="I28" s="4" t="s">
        <v>377</v>
      </c>
      <c r="J28" s="4">
        <v>20.8962</v>
      </c>
      <c r="K28" s="4">
        <v>21.098199999999999</v>
      </c>
      <c r="L28" s="4">
        <v>20.895099999999999</v>
      </c>
      <c r="M28" s="4">
        <f t="shared" si="1"/>
        <v>20.963166666666666</v>
      </c>
      <c r="Q28" s="43" t="s">
        <v>1915</v>
      </c>
      <c r="R28" s="4">
        <v>20.949453002004301</v>
      </c>
      <c r="S28" s="4">
        <v>21.3271464244452</v>
      </c>
      <c r="T28" s="4">
        <v>21.2850186685491</v>
      </c>
      <c r="U28" s="4">
        <f t="shared" si="2"/>
        <v>21.1872060316662</v>
      </c>
      <c r="X28" s="43" t="s">
        <v>2573</v>
      </c>
      <c r="Y28" s="4">
        <v>21.03397485076</v>
      </c>
      <c r="Z28" s="4">
        <v>21.182704970914301</v>
      </c>
      <c r="AA28" s="4">
        <v>20.561521307206501</v>
      </c>
      <c r="AB28" s="4">
        <f t="shared" si="3"/>
        <v>20.92606704296027</v>
      </c>
      <c r="AK28" s="4" t="s">
        <v>1788</v>
      </c>
      <c r="AM28" s="4" t="s">
        <v>4216</v>
      </c>
      <c r="AP28" s="4" t="s">
        <v>86</v>
      </c>
      <c r="AR28" s="1"/>
      <c r="AT28" s="4" t="s">
        <v>208</v>
      </c>
      <c r="AV28" s="5" t="s">
        <v>98</v>
      </c>
      <c r="AX28" s="14" t="s">
        <v>621</v>
      </c>
    </row>
    <row r="29" spans="2:50" x14ac:dyDescent="0.2">
      <c r="B29" s="4" t="s">
        <v>2670</v>
      </c>
      <c r="C29" s="4">
        <v>20.827500000000001</v>
      </c>
      <c r="D29" s="4">
        <v>20.6066</v>
      </c>
      <c r="E29" s="4">
        <v>20.866399999999999</v>
      </c>
      <c r="F29" s="4">
        <f t="shared" si="0"/>
        <v>20.766833333333334</v>
      </c>
      <c r="I29" s="4" t="s">
        <v>2670</v>
      </c>
      <c r="J29" s="4">
        <v>20.951499999999999</v>
      </c>
      <c r="K29" s="4">
        <v>21.281300000000002</v>
      </c>
      <c r="L29" s="4">
        <v>20.6173</v>
      </c>
      <c r="M29" s="4">
        <f t="shared" si="1"/>
        <v>20.950033333333334</v>
      </c>
      <c r="Q29" s="43" t="s">
        <v>3321</v>
      </c>
      <c r="R29" s="4">
        <v>21.6519704072021</v>
      </c>
      <c r="S29" s="4">
        <v>20.599050314777799</v>
      </c>
      <c r="T29" s="4">
        <v>20.882237148569601</v>
      </c>
      <c r="U29" s="4">
        <f t="shared" si="2"/>
        <v>21.044419290183168</v>
      </c>
      <c r="X29" s="43" t="s">
        <v>3446</v>
      </c>
      <c r="Y29" s="4">
        <v>20.8676844674197</v>
      </c>
      <c r="Z29" s="4">
        <v>21.213765136024101</v>
      </c>
      <c r="AA29" s="4">
        <v>20.6133439847674</v>
      </c>
      <c r="AB29" s="4">
        <f t="shared" si="3"/>
        <v>20.898264529403733</v>
      </c>
      <c r="AK29" s="4" t="s">
        <v>3800</v>
      </c>
      <c r="AM29" s="4" t="s">
        <v>944</v>
      </c>
      <c r="AP29" s="4" t="s">
        <v>266</v>
      </c>
      <c r="AR29" s="1"/>
      <c r="AT29" s="4" t="s">
        <v>86</v>
      </c>
      <c r="AV29" s="5" t="s">
        <v>106</v>
      </c>
      <c r="AX29" s="6" t="s">
        <v>322</v>
      </c>
    </row>
    <row r="30" spans="2:50" x14ac:dyDescent="0.2">
      <c r="B30" s="4" t="s">
        <v>3695</v>
      </c>
      <c r="C30" s="4">
        <v>20.725000000000001</v>
      </c>
      <c r="D30" s="4">
        <v>20.6431</v>
      </c>
      <c r="E30" s="4">
        <v>20.8691</v>
      </c>
      <c r="F30" s="4">
        <f t="shared" si="0"/>
        <v>20.745733333333334</v>
      </c>
      <c r="I30" s="4" t="s">
        <v>1017</v>
      </c>
      <c r="J30" s="4">
        <v>20.787800000000001</v>
      </c>
      <c r="K30" s="4">
        <v>22.0337</v>
      </c>
      <c r="L30" s="4">
        <v>19.843699999999998</v>
      </c>
      <c r="M30" s="4">
        <f t="shared" si="1"/>
        <v>20.888400000000001</v>
      </c>
      <c r="Q30" s="43" t="s">
        <v>3536</v>
      </c>
      <c r="R30" s="4">
        <v>21.519727639578399</v>
      </c>
      <c r="S30" s="4">
        <v>20.560645557649501</v>
      </c>
      <c r="T30" s="4">
        <v>20.918948184431901</v>
      </c>
      <c r="U30" s="4">
        <f t="shared" si="2"/>
        <v>20.9997737938866</v>
      </c>
      <c r="X30" s="43" t="s">
        <v>2385</v>
      </c>
      <c r="Y30" s="4">
        <v>20.8565672785262</v>
      </c>
      <c r="Z30" s="4">
        <v>20.937498689686599</v>
      </c>
      <c r="AA30" s="4">
        <v>20.869029541739401</v>
      </c>
      <c r="AB30" s="4">
        <f t="shared" si="3"/>
        <v>20.887698503317399</v>
      </c>
      <c r="AK30" s="4" t="s">
        <v>3728</v>
      </c>
      <c r="AM30" s="4" t="s">
        <v>4239</v>
      </c>
      <c r="AP30" s="4" t="s">
        <v>102</v>
      </c>
      <c r="AR30" s="1"/>
      <c r="AT30" s="4" t="s">
        <v>574</v>
      </c>
      <c r="AV30" s="5" t="s">
        <v>56</v>
      </c>
      <c r="AX30" s="6" t="s">
        <v>635</v>
      </c>
    </row>
    <row r="31" spans="2:50" x14ac:dyDescent="0.2">
      <c r="B31" s="4" t="s">
        <v>190</v>
      </c>
      <c r="C31" s="4">
        <v>20.674299999999999</v>
      </c>
      <c r="D31" s="4">
        <v>20.634399999999999</v>
      </c>
      <c r="E31" s="4">
        <v>20.8734</v>
      </c>
      <c r="F31" s="4">
        <f t="shared" si="0"/>
        <v>20.727366666666668</v>
      </c>
      <c r="I31" s="4" t="s">
        <v>3452</v>
      </c>
      <c r="J31" s="4">
        <v>21.0839</v>
      </c>
      <c r="K31" s="4">
        <v>20.283000000000001</v>
      </c>
      <c r="L31" s="4">
        <v>21.2133</v>
      </c>
      <c r="M31" s="4">
        <f t="shared" si="1"/>
        <v>20.860066666666668</v>
      </c>
      <c r="Q31" s="43" t="s">
        <v>2964</v>
      </c>
      <c r="R31" s="4">
        <v>20.8168011393951</v>
      </c>
      <c r="S31" s="4">
        <v>20.782315661551799</v>
      </c>
      <c r="T31" s="4">
        <v>20.9987691095792</v>
      </c>
      <c r="U31" s="4">
        <f t="shared" si="2"/>
        <v>20.865961970175366</v>
      </c>
      <c r="X31" s="43" t="s">
        <v>913</v>
      </c>
      <c r="Y31" s="4">
        <v>21.0862740712132</v>
      </c>
      <c r="Z31" s="4">
        <v>20.467758933667</v>
      </c>
      <c r="AA31" s="4">
        <v>20.966313320664302</v>
      </c>
      <c r="AB31" s="4">
        <f t="shared" si="3"/>
        <v>20.840115441848166</v>
      </c>
      <c r="AK31" s="4" t="s">
        <v>2194</v>
      </c>
      <c r="AM31" s="4" t="s">
        <v>4154</v>
      </c>
      <c r="AP31" s="4" t="s">
        <v>2677</v>
      </c>
      <c r="AR31" s="1"/>
      <c r="AT31" s="4" t="s">
        <v>396</v>
      </c>
      <c r="AV31" s="5" t="s">
        <v>142</v>
      </c>
      <c r="AX31" s="6" t="s">
        <v>810</v>
      </c>
    </row>
    <row r="32" spans="2:50" x14ac:dyDescent="0.2">
      <c r="B32" s="4" t="s">
        <v>824</v>
      </c>
      <c r="C32" s="4">
        <v>20.686699999999998</v>
      </c>
      <c r="D32" s="4">
        <v>20.868400000000001</v>
      </c>
      <c r="E32" s="4">
        <v>20.5322</v>
      </c>
      <c r="F32" s="4">
        <f t="shared" si="0"/>
        <v>20.695766666666668</v>
      </c>
      <c r="I32" s="4" t="s">
        <v>1065</v>
      </c>
      <c r="J32" s="4">
        <v>20.811</v>
      </c>
      <c r="K32" s="4">
        <v>20.854700000000001</v>
      </c>
      <c r="L32" s="4">
        <v>20.789300000000001</v>
      </c>
      <c r="M32" s="4">
        <f t="shared" si="1"/>
        <v>20.818333333333332</v>
      </c>
      <c r="Q32" s="43" t="s">
        <v>2271</v>
      </c>
      <c r="R32" s="4">
        <v>21.107094921870001</v>
      </c>
      <c r="S32" s="4">
        <v>20.655424571040601</v>
      </c>
      <c r="T32" s="4">
        <v>20.827821479173998</v>
      </c>
      <c r="U32" s="4">
        <f t="shared" si="2"/>
        <v>20.863446990694865</v>
      </c>
      <c r="X32" s="43" t="s">
        <v>2101</v>
      </c>
      <c r="Y32" s="4">
        <v>20.577534521184301</v>
      </c>
      <c r="Z32" s="4">
        <v>20.956827337569202</v>
      </c>
      <c r="AA32" s="4">
        <v>20.670006171862699</v>
      </c>
      <c r="AB32" s="4">
        <f t="shared" si="3"/>
        <v>20.734789343538733</v>
      </c>
      <c r="AK32" s="4" t="s">
        <v>932</v>
      </c>
      <c r="AM32" s="4" t="s">
        <v>3286</v>
      </c>
      <c r="AP32" s="4" t="s">
        <v>251</v>
      </c>
      <c r="AR32" s="1"/>
      <c r="AT32" s="4" t="s">
        <v>384</v>
      </c>
      <c r="AV32" s="5" t="s">
        <v>176</v>
      </c>
      <c r="AX32" s="6" t="s">
        <v>811</v>
      </c>
    </row>
    <row r="33" spans="2:50" x14ac:dyDescent="0.2">
      <c r="B33" s="4" t="s">
        <v>2022</v>
      </c>
      <c r="C33" s="4">
        <v>20.523499999999999</v>
      </c>
      <c r="D33" s="4">
        <v>20.631799999999998</v>
      </c>
      <c r="E33" s="4">
        <v>20.846</v>
      </c>
      <c r="F33" s="4">
        <f t="shared" si="0"/>
        <v>20.667100000000001</v>
      </c>
      <c r="I33" s="4" t="s">
        <v>2211</v>
      </c>
      <c r="J33" s="4">
        <v>20.932700000000001</v>
      </c>
      <c r="K33" s="4">
        <v>20.754799999999999</v>
      </c>
      <c r="L33" s="4">
        <v>20.735099999999999</v>
      </c>
      <c r="M33" s="4">
        <f t="shared" si="1"/>
        <v>20.807533333333335</v>
      </c>
      <c r="Q33" s="43" t="s">
        <v>2075</v>
      </c>
      <c r="R33" s="4">
        <v>21.009624534514</v>
      </c>
      <c r="S33" s="4">
        <v>20.76239122242</v>
      </c>
      <c r="T33" s="4">
        <v>20.817883374961902</v>
      </c>
      <c r="U33" s="4">
        <f t="shared" si="2"/>
        <v>20.863299710631967</v>
      </c>
      <c r="X33" s="43" t="s">
        <v>3116</v>
      </c>
      <c r="Y33" s="4">
        <v>20.6299765347777</v>
      </c>
      <c r="Z33" s="4">
        <v>20.8721827781484</v>
      </c>
      <c r="AA33" s="4">
        <v>20.624326280292799</v>
      </c>
      <c r="AB33" s="4">
        <f t="shared" si="3"/>
        <v>20.708828531072964</v>
      </c>
      <c r="AK33" s="4" t="s">
        <v>1404</v>
      </c>
      <c r="AM33" s="4" t="s">
        <v>4178</v>
      </c>
      <c r="AP33" s="4" t="s">
        <v>342</v>
      </c>
      <c r="AR33" s="1"/>
      <c r="AT33" s="4" t="s">
        <v>616</v>
      </c>
      <c r="AV33" s="5" t="s">
        <v>182</v>
      </c>
      <c r="AX33" s="6" t="s">
        <v>812</v>
      </c>
    </row>
    <row r="34" spans="2:50" x14ac:dyDescent="0.2">
      <c r="B34" s="4" t="s">
        <v>1958</v>
      </c>
      <c r="C34" s="4">
        <v>20.784199999999998</v>
      </c>
      <c r="D34" s="4">
        <v>20.511900000000001</v>
      </c>
      <c r="E34" s="4">
        <v>20.683</v>
      </c>
      <c r="F34" s="4">
        <f t="shared" si="0"/>
        <v>20.659699999999997</v>
      </c>
      <c r="I34" s="4" t="s">
        <v>3833</v>
      </c>
      <c r="J34" s="4">
        <v>20.7578</v>
      </c>
      <c r="K34" s="4">
        <v>20.808199999999999</v>
      </c>
      <c r="L34" s="4">
        <v>20.7441</v>
      </c>
      <c r="M34" s="4">
        <f t="shared" si="1"/>
        <v>20.770033333333334</v>
      </c>
      <c r="Q34" s="43" t="s">
        <v>1444</v>
      </c>
      <c r="R34" s="4">
        <v>20.9238363455427</v>
      </c>
      <c r="S34" s="4">
        <v>20.738745750288601</v>
      </c>
      <c r="T34" s="4">
        <v>20.762750571277898</v>
      </c>
      <c r="U34" s="4">
        <f t="shared" si="2"/>
        <v>20.808444222369733</v>
      </c>
      <c r="X34" s="43" t="s">
        <v>922</v>
      </c>
      <c r="Y34" s="4">
        <v>20.577641833468601</v>
      </c>
      <c r="Z34" s="4">
        <v>20.7496851631523</v>
      </c>
      <c r="AA34" s="4">
        <v>20.552519911310998</v>
      </c>
      <c r="AB34" s="4">
        <f t="shared" si="3"/>
        <v>20.626615635977299</v>
      </c>
      <c r="AK34" s="4" t="s">
        <v>1594</v>
      </c>
      <c r="AM34" s="4" t="s">
        <v>1956</v>
      </c>
      <c r="AP34" s="4" t="s">
        <v>376</v>
      </c>
      <c r="AR34" s="1"/>
      <c r="AT34" s="4" t="s">
        <v>99</v>
      </c>
      <c r="AV34" s="5" t="s">
        <v>194</v>
      </c>
      <c r="AX34" s="6" t="s">
        <v>552</v>
      </c>
    </row>
    <row r="35" spans="2:50" x14ac:dyDescent="0.2">
      <c r="B35" s="4" t="s">
        <v>2040</v>
      </c>
      <c r="C35" s="4">
        <v>20.435199999999998</v>
      </c>
      <c r="D35" s="4">
        <v>20.767299999999999</v>
      </c>
      <c r="E35" s="4">
        <v>20.770399999999999</v>
      </c>
      <c r="F35" s="4">
        <f t="shared" si="0"/>
        <v>20.657633333333333</v>
      </c>
      <c r="I35" s="4" t="s">
        <v>1061</v>
      </c>
      <c r="J35" s="4">
        <v>20.4087</v>
      </c>
      <c r="K35" s="4">
        <v>21.461099999999998</v>
      </c>
      <c r="L35" s="4">
        <v>20.4255</v>
      </c>
      <c r="M35" s="4">
        <f t="shared" si="1"/>
        <v>20.7651</v>
      </c>
      <c r="Q35" s="43" t="s">
        <v>4179</v>
      </c>
      <c r="R35" s="4">
        <v>21.5967793315595</v>
      </c>
      <c r="S35" s="4">
        <v>19.958208695947398</v>
      </c>
      <c r="T35" s="4">
        <v>20.498954604219701</v>
      </c>
      <c r="U35" s="4">
        <f t="shared" si="2"/>
        <v>20.684647543908866</v>
      </c>
      <c r="X35" s="43" t="s">
        <v>2964</v>
      </c>
      <c r="Y35" s="4">
        <v>20.559474597929398</v>
      </c>
      <c r="Z35" s="4">
        <v>20.480683102100802</v>
      </c>
      <c r="AA35" s="4">
        <v>20.6878527370644</v>
      </c>
      <c r="AB35" s="4">
        <f t="shared" si="3"/>
        <v>20.576003479031531</v>
      </c>
      <c r="AK35" s="4" t="s">
        <v>89</v>
      </c>
      <c r="AM35" s="4" t="s">
        <v>4257</v>
      </c>
      <c r="AP35" s="4" t="s">
        <v>396</v>
      </c>
      <c r="AT35" s="4" t="s">
        <v>244</v>
      </c>
      <c r="AV35" s="5" t="s">
        <v>113</v>
      </c>
      <c r="AX35" s="14" t="s">
        <v>40</v>
      </c>
    </row>
    <row r="36" spans="2:50" x14ac:dyDescent="0.2">
      <c r="B36" s="4" t="s">
        <v>2075</v>
      </c>
      <c r="C36" s="4">
        <v>20.505600000000001</v>
      </c>
      <c r="D36" s="4">
        <v>20.786899999999999</v>
      </c>
      <c r="E36" s="4">
        <v>20.6295</v>
      </c>
      <c r="F36" s="4">
        <f t="shared" si="0"/>
        <v>20.640666666666668</v>
      </c>
      <c r="I36" s="4" t="s">
        <v>1958</v>
      </c>
      <c r="J36" s="4">
        <v>20.751899999999999</v>
      </c>
      <c r="K36" s="4">
        <v>20.9086</v>
      </c>
      <c r="L36" s="4">
        <v>20.472200000000001</v>
      </c>
      <c r="M36" s="4">
        <f t="shared" si="1"/>
        <v>20.710899999999999</v>
      </c>
      <c r="Q36" s="43" t="s">
        <v>1900</v>
      </c>
      <c r="R36" s="4">
        <v>20.863645788972399</v>
      </c>
      <c r="S36" s="4">
        <v>20.606554140465999</v>
      </c>
      <c r="T36" s="4">
        <v>20.560465036759801</v>
      </c>
      <c r="U36" s="4">
        <f t="shared" si="2"/>
        <v>20.676888322066066</v>
      </c>
      <c r="X36" s="43" t="s">
        <v>3843</v>
      </c>
      <c r="Y36" s="4">
        <v>20.735944153153401</v>
      </c>
      <c r="Z36" s="4">
        <v>20.491520733595198</v>
      </c>
      <c r="AA36" s="4">
        <v>20.238391350333401</v>
      </c>
      <c r="AB36" s="4">
        <f t="shared" si="3"/>
        <v>20.488618745694001</v>
      </c>
      <c r="AK36" s="4" t="s">
        <v>2475</v>
      </c>
      <c r="AM36" s="4" t="s">
        <v>4363</v>
      </c>
      <c r="AP36" s="4" t="s">
        <v>150</v>
      </c>
      <c r="AR36" s="3"/>
      <c r="AT36" s="4" t="s">
        <v>2677</v>
      </c>
      <c r="AV36" s="13" t="s">
        <v>200</v>
      </c>
      <c r="AX36" s="6" t="s">
        <v>813</v>
      </c>
    </row>
    <row r="37" spans="2:50" x14ac:dyDescent="0.2">
      <c r="B37" s="4" t="s">
        <v>922</v>
      </c>
      <c r="C37" s="4">
        <v>20.6035</v>
      </c>
      <c r="D37" s="4">
        <v>20.529900000000001</v>
      </c>
      <c r="E37" s="4">
        <v>20.7072</v>
      </c>
      <c r="F37" s="4">
        <f t="shared" si="0"/>
        <v>20.613533333333333</v>
      </c>
      <c r="I37" s="4" t="s">
        <v>961</v>
      </c>
      <c r="J37" s="4">
        <v>20.0123</v>
      </c>
      <c r="K37" s="4">
        <v>21.270900000000001</v>
      </c>
      <c r="L37" s="4">
        <v>20.809899999999999</v>
      </c>
      <c r="M37" s="4">
        <f t="shared" si="1"/>
        <v>20.697700000000001</v>
      </c>
      <c r="Q37" s="43" t="s">
        <v>2458</v>
      </c>
      <c r="R37" s="4">
        <v>20.750841798331098</v>
      </c>
      <c r="S37" s="4">
        <v>20.572225321858301</v>
      </c>
      <c r="T37" s="4">
        <v>20.624199528157</v>
      </c>
      <c r="U37" s="4">
        <f t="shared" si="2"/>
        <v>20.649088882782134</v>
      </c>
      <c r="X37" s="43" t="s">
        <v>2598</v>
      </c>
      <c r="Y37" s="4">
        <v>20.325164842620801</v>
      </c>
      <c r="Z37" s="4">
        <v>20.539678240437599</v>
      </c>
      <c r="AA37" s="4">
        <v>20.503987904414299</v>
      </c>
      <c r="AB37" s="4">
        <f t="shared" si="3"/>
        <v>20.456276995824236</v>
      </c>
      <c r="AK37" s="4" t="s">
        <v>1607</v>
      </c>
      <c r="AM37" s="4" t="s">
        <v>4382</v>
      </c>
      <c r="AP37" s="4" t="s">
        <v>157</v>
      </c>
      <c r="AR37" s="3"/>
      <c r="AT37" s="4" t="s">
        <v>78</v>
      </c>
      <c r="AV37" s="5" t="s">
        <v>120</v>
      </c>
      <c r="AX37" s="6" t="s">
        <v>208</v>
      </c>
    </row>
    <row r="38" spans="2:50" x14ac:dyDescent="0.2">
      <c r="B38" s="4" t="s">
        <v>3591</v>
      </c>
      <c r="C38" s="4">
        <v>20.568100000000001</v>
      </c>
      <c r="D38" s="4">
        <v>20.691700000000001</v>
      </c>
      <c r="E38" s="4">
        <v>20.5367</v>
      </c>
      <c r="F38" s="4">
        <f t="shared" si="0"/>
        <v>20.598833333333332</v>
      </c>
      <c r="I38" s="4" t="s">
        <v>1258</v>
      </c>
      <c r="J38" s="4">
        <v>20.648199999999999</v>
      </c>
      <c r="K38" s="4">
        <v>20.946200000000001</v>
      </c>
      <c r="L38" s="4">
        <v>20.494399999999999</v>
      </c>
      <c r="M38" s="4">
        <f t="shared" si="1"/>
        <v>20.696266666666666</v>
      </c>
      <c r="Q38" s="43" t="s">
        <v>2598</v>
      </c>
      <c r="R38" s="4">
        <v>20.693002637081101</v>
      </c>
      <c r="S38" s="4">
        <v>20.591522805362999</v>
      </c>
      <c r="T38" s="4">
        <v>20.642861380378701</v>
      </c>
      <c r="U38" s="4">
        <f t="shared" si="2"/>
        <v>20.642462274274266</v>
      </c>
      <c r="X38" s="43" t="s">
        <v>1900</v>
      </c>
      <c r="Y38" s="4">
        <v>20.186911484913001</v>
      </c>
      <c r="Z38" s="4">
        <v>20.650091481358899</v>
      </c>
      <c r="AA38" s="4">
        <v>20.186616431346199</v>
      </c>
      <c r="AB38" s="4">
        <f t="shared" si="3"/>
        <v>20.341206465872698</v>
      </c>
      <c r="AK38" s="4" t="s">
        <v>3168</v>
      </c>
      <c r="AM38" s="4" t="s">
        <v>4383</v>
      </c>
      <c r="AP38" s="4" t="s">
        <v>217</v>
      </c>
      <c r="AR38" s="3"/>
      <c r="AT38" s="4" t="s">
        <v>3</v>
      </c>
      <c r="AV38" s="10" t="s">
        <v>212</v>
      </c>
      <c r="AX38" s="14" t="s">
        <v>624</v>
      </c>
    </row>
    <row r="39" spans="2:50" x14ac:dyDescent="0.2">
      <c r="B39" s="4" t="s">
        <v>1547</v>
      </c>
      <c r="C39" s="4">
        <v>20.3522</v>
      </c>
      <c r="D39" s="4">
        <v>20.706499999999998</v>
      </c>
      <c r="E39" s="4">
        <v>20.711200000000002</v>
      </c>
      <c r="F39" s="4">
        <f t="shared" si="0"/>
        <v>20.589966666666669</v>
      </c>
      <c r="I39" s="4" t="s">
        <v>2022</v>
      </c>
      <c r="J39" s="4">
        <v>20.720800000000001</v>
      </c>
      <c r="K39" s="4">
        <v>20.472300000000001</v>
      </c>
      <c r="L39" s="4">
        <v>20.822600000000001</v>
      </c>
      <c r="M39" s="4">
        <f t="shared" si="1"/>
        <v>20.671900000000001</v>
      </c>
      <c r="Q39" s="43" t="s">
        <v>1547</v>
      </c>
      <c r="R39" s="4">
        <v>21.338515202959599</v>
      </c>
      <c r="S39" s="4">
        <v>20.1166961777651</v>
      </c>
      <c r="T39" s="4">
        <v>20.452316537944299</v>
      </c>
      <c r="U39" s="4">
        <f t="shared" si="2"/>
        <v>20.635842639556333</v>
      </c>
      <c r="X39" s="43" t="s">
        <v>3127</v>
      </c>
      <c r="Y39" s="4">
        <v>20.223164483745101</v>
      </c>
      <c r="Z39" s="4">
        <v>20.516712491316898</v>
      </c>
      <c r="AA39" s="4">
        <v>20.198066507349498</v>
      </c>
      <c r="AB39" s="4">
        <f t="shared" si="3"/>
        <v>20.312647827470499</v>
      </c>
      <c r="AK39" s="4" t="s">
        <v>1209</v>
      </c>
      <c r="AM39" s="4" t="s">
        <v>4193</v>
      </c>
      <c r="AP39" s="4" t="s">
        <v>183</v>
      </c>
      <c r="AR39" s="3"/>
      <c r="AT39" s="4" t="s">
        <v>157</v>
      </c>
      <c r="AV39" s="5" t="s">
        <v>78</v>
      </c>
      <c r="AX39" s="6" t="s">
        <v>814</v>
      </c>
    </row>
    <row r="40" spans="2:50" x14ac:dyDescent="0.2">
      <c r="B40" s="4" t="s">
        <v>1065</v>
      </c>
      <c r="C40" s="4">
        <v>20.717300000000002</v>
      </c>
      <c r="D40" s="4">
        <v>20.538</v>
      </c>
      <c r="E40" s="4">
        <v>20.481100000000001</v>
      </c>
      <c r="F40" s="4">
        <f t="shared" si="0"/>
        <v>20.578800000000001</v>
      </c>
      <c r="I40" s="4" t="s">
        <v>2040</v>
      </c>
      <c r="J40" s="4">
        <v>20.779599999999999</v>
      </c>
      <c r="K40" s="4">
        <v>20.328800000000001</v>
      </c>
      <c r="L40" s="4">
        <v>20.9024</v>
      </c>
      <c r="M40" s="4">
        <f t="shared" si="1"/>
        <v>20.670266666666667</v>
      </c>
      <c r="Q40" s="43" t="s">
        <v>1546</v>
      </c>
      <c r="R40" s="4">
        <v>20.624793291183401</v>
      </c>
      <c r="S40" s="4">
        <v>20.4109481413557</v>
      </c>
      <c r="T40" s="4">
        <v>20.696862227313702</v>
      </c>
      <c r="U40" s="4">
        <f t="shared" si="2"/>
        <v>20.577534553284266</v>
      </c>
      <c r="X40" s="43" t="s">
        <v>2458</v>
      </c>
      <c r="Y40" s="4">
        <v>20.159938035398898</v>
      </c>
      <c r="Z40" s="4">
        <v>20.291069450912399</v>
      </c>
      <c r="AA40" s="4">
        <v>20.3468300927454</v>
      </c>
      <c r="AB40" s="4">
        <f t="shared" si="3"/>
        <v>20.265945859685566</v>
      </c>
      <c r="AK40" s="4" t="s">
        <v>3143</v>
      </c>
      <c r="AM40" s="4" t="s">
        <v>1906</v>
      </c>
      <c r="AP40" s="4" t="s">
        <v>472</v>
      </c>
      <c r="AR40" s="3"/>
      <c r="AT40" s="4" t="s">
        <v>45</v>
      </c>
      <c r="AV40" s="5" t="s">
        <v>126</v>
      </c>
      <c r="AX40" s="6" t="s">
        <v>638</v>
      </c>
    </row>
    <row r="41" spans="2:50" x14ac:dyDescent="0.2">
      <c r="B41" s="4" t="s">
        <v>2728</v>
      </c>
      <c r="C41" s="4">
        <v>20.6389</v>
      </c>
      <c r="D41" s="4">
        <v>20.4391</v>
      </c>
      <c r="E41" s="4">
        <v>20.578600000000002</v>
      </c>
      <c r="F41" s="4">
        <f t="shared" si="0"/>
        <v>20.552200000000003</v>
      </c>
      <c r="I41" s="4" t="s">
        <v>2075</v>
      </c>
      <c r="J41" s="4">
        <v>20.7791</v>
      </c>
      <c r="K41" s="4">
        <v>20.369399999999999</v>
      </c>
      <c r="L41" s="4">
        <v>20.833100000000002</v>
      </c>
      <c r="M41" s="4">
        <f t="shared" si="1"/>
        <v>20.660533333333333</v>
      </c>
      <c r="Q41" s="43" t="s">
        <v>2728</v>
      </c>
      <c r="R41" s="4">
        <v>20.878099756486101</v>
      </c>
      <c r="S41" s="4">
        <v>20.458350724632201</v>
      </c>
      <c r="T41" s="4">
        <v>20.377672732361201</v>
      </c>
      <c r="U41" s="4">
        <f t="shared" si="2"/>
        <v>20.57137440449317</v>
      </c>
      <c r="X41" s="43" t="s">
        <v>1955</v>
      </c>
      <c r="Y41" s="4">
        <v>20.274136952716599</v>
      </c>
      <c r="Z41" s="4">
        <v>20.196052875123598</v>
      </c>
      <c r="AA41" s="4">
        <v>20.291213478827601</v>
      </c>
      <c r="AB41" s="4">
        <f t="shared" si="3"/>
        <v>20.253801102222599</v>
      </c>
      <c r="AK41" s="4" t="s">
        <v>3570</v>
      </c>
      <c r="AM41" s="4" t="s">
        <v>4340</v>
      </c>
      <c r="AP41" s="4" t="s">
        <v>265</v>
      </c>
      <c r="AQ41" s="1"/>
      <c r="AR41" s="3"/>
      <c r="AT41" s="4" t="s">
        <v>18</v>
      </c>
      <c r="AV41" s="5" t="s">
        <v>94</v>
      </c>
      <c r="AX41" s="14" t="s">
        <v>620</v>
      </c>
    </row>
    <row r="42" spans="2:50" x14ac:dyDescent="0.2">
      <c r="B42" s="4" t="s">
        <v>2101</v>
      </c>
      <c r="C42" s="4">
        <v>20.54</v>
      </c>
      <c r="D42" s="4">
        <v>20.3279</v>
      </c>
      <c r="E42" s="4">
        <v>20.582799999999999</v>
      </c>
      <c r="F42" s="4">
        <f t="shared" si="0"/>
        <v>20.483566666666665</v>
      </c>
      <c r="I42" s="4" t="s">
        <v>922</v>
      </c>
      <c r="J42" s="4">
        <v>20.502400000000002</v>
      </c>
      <c r="K42" s="4">
        <v>20.715199999999999</v>
      </c>
      <c r="L42" s="4">
        <v>20.688300000000002</v>
      </c>
      <c r="M42" s="4">
        <f t="shared" si="1"/>
        <v>20.635300000000001</v>
      </c>
      <c r="Q42" s="43" t="s">
        <v>903</v>
      </c>
      <c r="R42" s="4">
        <v>20.4131488489387</v>
      </c>
      <c r="S42" s="4">
        <v>20.348059577767501</v>
      </c>
      <c r="T42" s="4">
        <v>20.933116898800101</v>
      </c>
      <c r="U42" s="4">
        <f t="shared" si="2"/>
        <v>20.564775108502101</v>
      </c>
      <c r="X42" s="43" t="s">
        <v>2728</v>
      </c>
      <c r="Y42" s="4">
        <v>20.163261598242499</v>
      </c>
      <c r="Z42" s="4">
        <v>20.632120717394098</v>
      </c>
      <c r="AA42" s="4">
        <v>19.907601860603101</v>
      </c>
      <c r="AB42" s="4">
        <f t="shared" si="3"/>
        <v>20.234328058746566</v>
      </c>
      <c r="AK42" s="4" t="s">
        <v>97</v>
      </c>
      <c r="AM42" s="4" t="s">
        <v>4384</v>
      </c>
      <c r="AP42" s="4" t="s">
        <v>1160</v>
      </c>
      <c r="AQ42" s="1"/>
      <c r="AR42" s="3"/>
      <c r="AT42" s="4" t="s">
        <v>543</v>
      </c>
      <c r="AV42" s="5" t="s">
        <v>223</v>
      </c>
      <c r="AX42" s="6" t="s">
        <v>636</v>
      </c>
    </row>
    <row r="43" spans="2:50" x14ac:dyDescent="0.2">
      <c r="B43" s="4" t="s">
        <v>2723</v>
      </c>
      <c r="C43" s="4">
        <v>20.494499999999999</v>
      </c>
      <c r="D43" s="4">
        <v>20.364799999999999</v>
      </c>
      <c r="E43" s="4">
        <v>20.4846</v>
      </c>
      <c r="F43" s="4">
        <f t="shared" si="0"/>
        <v>20.447966666666666</v>
      </c>
      <c r="I43" s="4" t="s">
        <v>2723</v>
      </c>
      <c r="J43" s="4">
        <v>20.629899999999999</v>
      </c>
      <c r="K43" s="4">
        <v>20.802099999999999</v>
      </c>
      <c r="L43" s="4">
        <v>20.405899999999999</v>
      </c>
      <c r="M43" s="4">
        <f t="shared" si="1"/>
        <v>20.612633333333335</v>
      </c>
      <c r="Q43" s="43" t="s">
        <v>1536</v>
      </c>
      <c r="R43" s="4">
        <v>20.6526436321892</v>
      </c>
      <c r="S43" s="4">
        <v>20.381055484101601</v>
      </c>
      <c r="T43" s="4">
        <v>20.458255905856198</v>
      </c>
      <c r="U43" s="4">
        <f t="shared" si="2"/>
        <v>20.497318340715669</v>
      </c>
      <c r="X43" s="43" t="s">
        <v>650</v>
      </c>
      <c r="Y43" s="4">
        <v>20.275336137020201</v>
      </c>
      <c r="Z43" s="4">
        <v>20.293949876826801</v>
      </c>
      <c r="AA43" s="4">
        <v>19.980492895647501</v>
      </c>
      <c r="AB43" s="4">
        <f t="shared" si="3"/>
        <v>20.183259636498168</v>
      </c>
      <c r="AK43" s="4" t="s">
        <v>3587</v>
      </c>
      <c r="AM43" s="4" t="s">
        <v>4136</v>
      </c>
      <c r="AP43" s="4" t="s">
        <v>492</v>
      </c>
      <c r="AQ43" s="1"/>
      <c r="AR43" s="3"/>
      <c r="AT43" s="4" t="s">
        <v>472</v>
      </c>
      <c r="AV43" s="10" t="s">
        <v>229</v>
      </c>
      <c r="AX43" s="6" t="s">
        <v>18</v>
      </c>
    </row>
    <row r="44" spans="2:50" x14ac:dyDescent="0.2">
      <c r="B44" s="4" t="s">
        <v>2943</v>
      </c>
      <c r="C44" s="4">
        <v>20.638100000000001</v>
      </c>
      <c r="D44" s="4">
        <v>20.474599999999999</v>
      </c>
      <c r="E44" s="4">
        <v>20.171399999999998</v>
      </c>
      <c r="F44" s="4">
        <f t="shared" si="0"/>
        <v>20.428033333333335</v>
      </c>
      <c r="I44" s="4" t="s">
        <v>3690</v>
      </c>
      <c r="J44" s="4">
        <v>20.644200000000001</v>
      </c>
      <c r="K44" s="4">
        <v>20.411799999999999</v>
      </c>
      <c r="L44" s="4">
        <v>20.744599999999998</v>
      </c>
      <c r="M44" s="4">
        <f t="shared" si="1"/>
        <v>20.600199999999997</v>
      </c>
      <c r="Q44" s="43" t="s">
        <v>799</v>
      </c>
      <c r="R44" s="4">
        <v>20.401293735629501</v>
      </c>
      <c r="S44" s="4">
        <v>20.483860092566001</v>
      </c>
      <c r="T44" s="4">
        <v>20.48997892197</v>
      </c>
      <c r="U44" s="4">
        <f t="shared" si="2"/>
        <v>20.458377583388501</v>
      </c>
      <c r="X44" s="43" t="s">
        <v>2943</v>
      </c>
      <c r="Y44" s="4">
        <v>20.159850480642799</v>
      </c>
      <c r="Z44" s="4">
        <v>20.2084062682701</v>
      </c>
      <c r="AA44" s="4">
        <v>20.164504665130501</v>
      </c>
      <c r="AB44" s="4">
        <f t="shared" si="3"/>
        <v>20.177587138014466</v>
      </c>
      <c r="AK44" s="4" t="s">
        <v>1320</v>
      </c>
      <c r="AM44" s="4" t="s">
        <v>4494</v>
      </c>
      <c r="AP44" s="4" t="s">
        <v>516</v>
      </c>
      <c r="AQ44" s="1"/>
      <c r="AR44" s="3"/>
      <c r="AT44" s="4" t="s">
        <v>531</v>
      </c>
      <c r="AV44" s="5" t="s">
        <v>235</v>
      </c>
      <c r="AX44" s="6" t="s">
        <v>637</v>
      </c>
    </row>
    <row r="45" spans="2:50" x14ac:dyDescent="0.2">
      <c r="B45" s="4" t="s">
        <v>3127</v>
      </c>
      <c r="C45" s="4">
        <v>20.284500000000001</v>
      </c>
      <c r="D45" s="4">
        <v>20.383900000000001</v>
      </c>
      <c r="E45" s="4">
        <v>20.571300000000001</v>
      </c>
      <c r="F45" s="4">
        <f t="shared" si="0"/>
        <v>20.413233333333334</v>
      </c>
      <c r="I45" s="4" t="s">
        <v>1955</v>
      </c>
      <c r="J45" s="4">
        <v>20.613299999999999</v>
      </c>
      <c r="K45" s="4">
        <v>20.487500000000001</v>
      </c>
      <c r="L45" s="4">
        <v>20.568100000000001</v>
      </c>
      <c r="M45" s="4">
        <f t="shared" si="1"/>
        <v>20.5563</v>
      </c>
      <c r="Q45" s="43" t="s">
        <v>2670</v>
      </c>
      <c r="R45" s="4">
        <v>20.3862917732962</v>
      </c>
      <c r="S45" s="4">
        <v>20.330647007719001</v>
      </c>
      <c r="T45" s="4">
        <v>20.368781329139502</v>
      </c>
      <c r="U45" s="4">
        <f t="shared" si="2"/>
        <v>20.3619067033849</v>
      </c>
      <c r="X45" s="43" t="s">
        <v>329</v>
      </c>
      <c r="Y45" s="4">
        <v>20.1418712632079</v>
      </c>
      <c r="Z45" s="4">
        <v>20.215175525836202</v>
      </c>
      <c r="AA45" s="4">
        <v>20.148601758816099</v>
      </c>
      <c r="AB45" s="4">
        <f t="shared" si="3"/>
        <v>20.168549515953401</v>
      </c>
      <c r="AK45" s="4" t="s">
        <v>3645</v>
      </c>
      <c r="AM45" s="4" t="s">
        <v>4487</v>
      </c>
      <c r="AP45" s="4" t="s">
        <v>269</v>
      </c>
      <c r="AQ45" s="1"/>
      <c r="AR45" s="3"/>
      <c r="AT45" s="4" t="s">
        <v>236</v>
      </c>
      <c r="AV45" s="5" t="s">
        <v>241</v>
      </c>
      <c r="AX45" s="6" t="s">
        <v>815</v>
      </c>
    </row>
    <row r="46" spans="2:50" x14ac:dyDescent="0.2">
      <c r="B46" s="4" t="s">
        <v>1756</v>
      </c>
      <c r="C46" s="4">
        <v>20.4786</v>
      </c>
      <c r="D46" s="4">
        <v>20.529299999999999</v>
      </c>
      <c r="E46" s="4">
        <v>20.184999999999999</v>
      </c>
      <c r="F46" s="4">
        <f t="shared" si="0"/>
        <v>20.397633333333332</v>
      </c>
      <c r="I46" s="4" t="s">
        <v>1898</v>
      </c>
      <c r="J46" s="4">
        <v>20.483499999999999</v>
      </c>
      <c r="K46" s="4">
        <v>21.033100000000001</v>
      </c>
      <c r="L46" s="4">
        <v>20.131599999999999</v>
      </c>
      <c r="M46" s="4">
        <f t="shared" si="1"/>
        <v>20.549399999999999</v>
      </c>
      <c r="Q46" s="43" t="s">
        <v>1955</v>
      </c>
      <c r="R46" s="4">
        <v>20.1994619417537</v>
      </c>
      <c r="S46" s="4">
        <v>20.298073809723999</v>
      </c>
      <c r="T46" s="4">
        <v>20.4498437884703</v>
      </c>
      <c r="U46" s="4">
        <f t="shared" si="2"/>
        <v>20.315793179982666</v>
      </c>
      <c r="X46" s="43" t="s">
        <v>313</v>
      </c>
      <c r="Y46" s="4">
        <v>20.330402432194099</v>
      </c>
      <c r="Z46" s="4">
        <v>20.2064734608328</v>
      </c>
      <c r="AA46" s="4">
        <v>19.941278422704301</v>
      </c>
      <c r="AB46" s="4">
        <f t="shared" si="3"/>
        <v>20.1593847719104</v>
      </c>
      <c r="AK46" s="4" t="s">
        <v>75</v>
      </c>
      <c r="AM46" s="4" t="s">
        <v>2410</v>
      </c>
      <c r="AP46" s="4" t="s">
        <v>278</v>
      </c>
      <c r="AQ46" s="1"/>
      <c r="AR46" s="3"/>
      <c r="AT46" s="4" t="s">
        <v>299</v>
      </c>
      <c r="AV46" s="5" t="s">
        <v>133</v>
      </c>
      <c r="AX46" s="6" t="s">
        <v>816</v>
      </c>
    </row>
    <row r="47" spans="2:50" x14ac:dyDescent="0.2">
      <c r="B47" s="4" t="s">
        <v>1900</v>
      </c>
      <c r="C47" s="4">
        <v>20.3782</v>
      </c>
      <c r="D47" s="4">
        <v>20.156300000000002</v>
      </c>
      <c r="E47" s="4">
        <v>20.6495</v>
      </c>
      <c r="F47" s="4">
        <f t="shared" si="0"/>
        <v>20.394666666666666</v>
      </c>
      <c r="I47" s="4" t="s">
        <v>1756</v>
      </c>
      <c r="J47" s="4">
        <v>20.586600000000001</v>
      </c>
      <c r="K47" s="4">
        <v>20.259899999999998</v>
      </c>
      <c r="L47" s="4">
        <v>20.680299999999999</v>
      </c>
      <c r="M47" s="4">
        <f t="shared" si="1"/>
        <v>20.508933333333331</v>
      </c>
      <c r="Q47" s="43" t="s">
        <v>361</v>
      </c>
      <c r="R47" s="4">
        <v>20.520441708362998</v>
      </c>
      <c r="S47" s="4">
        <v>20.200298643969901</v>
      </c>
      <c r="T47" s="4">
        <v>20.218915123117199</v>
      </c>
      <c r="U47" s="4">
        <f t="shared" si="2"/>
        <v>20.313218491816698</v>
      </c>
      <c r="X47" s="43" t="s">
        <v>2075</v>
      </c>
      <c r="Y47" s="4">
        <v>20.062128112115001</v>
      </c>
      <c r="Z47" s="4">
        <v>20.225674650217801</v>
      </c>
      <c r="AA47" s="4">
        <v>20.129729926579898</v>
      </c>
      <c r="AB47" s="4">
        <f t="shared" si="3"/>
        <v>20.1391775629709</v>
      </c>
      <c r="AK47" s="4" t="s">
        <v>934</v>
      </c>
      <c r="AM47" s="4" t="s">
        <v>3680</v>
      </c>
      <c r="AP47" s="4" t="s">
        <v>574</v>
      </c>
      <c r="AQ47" s="1"/>
      <c r="AR47" s="3"/>
      <c r="AT47" s="4" t="s">
        <v>150</v>
      </c>
      <c r="AV47" s="5" t="s">
        <v>258</v>
      </c>
      <c r="AX47" s="6" t="s">
        <v>308</v>
      </c>
    </row>
    <row r="48" spans="2:50" x14ac:dyDescent="0.2">
      <c r="B48" s="4" t="s">
        <v>1955</v>
      </c>
      <c r="C48" s="4">
        <v>20.366599999999998</v>
      </c>
      <c r="D48" s="4">
        <v>20.374500000000001</v>
      </c>
      <c r="E48" s="4">
        <v>20.3688</v>
      </c>
      <c r="F48" s="4">
        <f t="shared" si="0"/>
        <v>20.369966666666667</v>
      </c>
      <c r="I48" s="4" t="s">
        <v>2890</v>
      </c>
      <c r="J48" s="4">
        <v>20.420100000000001</v>
      </c>
      <c r="K48" s="4">
        <v>20.6936</v>
      </c>
      <c r="L48" s="4">
        <v>20.281700000000001</v>
      </c>
      <c r="M48" s="4">
        <f t="shared" si="1"/>
        <v>20.465133333333334</v>
      </c>
      <c r="Q48" s="43" t="s">
        <v>329</v>
      </c>
      <c r="R48" s="4">
        <v>20.380013319370899</v>
      </c>
      <c r="S48" s="4">
        <v>19.978876000376498</v>
      </c>
      <c r="T48" s="4">
        <v>20.548733979164599</v>
      </c>
      <c r="U48" s="4">
        <f t="shared" si="2"/>
        <v>20.302541099637335</v>
      </c>
      <c r="X48" s="43" t="s">
        <v>2670</v>
      </c>
      <c r="Y48" s="4">
        <v>20.026109041062799</v>
      </c>
      <c r="Z48" s="4">
        <v>20.253669467389599</v>
      </c>
      <c r="AA48" s="4">
        <v>20.0378375587023</v>
      </c>
      <c r="AB48" s="4">
        <f t="shared" si="3"/>
        <v>20.105872022384897</v>
      </c>
      <c r="AK48" s="4" t="s">
        <v>2931</v>
      </c>
      <c r="AM48" s="4" t="s">
        <v>4251</v>
      </c>
      <c r="AP48" s="4" t="s">
        <v>543</v>
      </c>
      <c r="AQ48" s="1"/>
      <c r="AR48" s="3"/>
      <c r="AT48" s="4" t="s">
        <v>82</v>
      </c>
      <c r="AV48" s="5" t="s">
        <v>102</v>
      </c>
      <c r="AX48" s="6" t="s">
        <v>221</v>
      </c>
    </row>
    <row r="49" spans="2:50" x14ac:dyDescent="0.2">
      <c r="B49" s="4" t="s">
        <v>1898</v>
      </c>
      <c r="C49" s="4">
        <v>20.4025</v>
      </c>
      <c r="D49" s="4">
        <v>20.415299999999998</v>
      </c>
      <c r="E49" s="4">
        <v>20.218599999999999</v>
      </c>
      <c r="F49" s="4">
        <f t="shared" si="0"/>
        <v>20.345466666666667</v>
      </c>
      <c r="I49" s="4" t="s">
        <v>2101</v>
      </c>
      <c r="J49" s="4">
        <v>20.418500000000002</v>
      </c>
      <c r="K49" s="4">
        <v>20.552600000000002</v>
      </c>
      <c r="L49" s="4">
        <v>20.411100000000001</v>
      </c>
      <c r="M49" s="4">
        <f t="shared" si="1"/>
        <v>20.460733333333337</v>
      </c>
      <c r="Q49" s="43" t="s">
        <v>1931</v>
      </c>
      <c r="R49" s="4">
        <v>20.133230983102202</v>
      </c>
      <c r="S49" s="4">
        <v>20.223151913583401</v>
      </c>
      <c r="T49" s="4">
        <v>20.312792627878501</v>
      </c>
      <c r="U49" s="4">
        <f t="shared" si="2"/>
        <v>20.223058508188036</v>
      </c>
      <c r="X49" s="43" t="s">
        <v>1444</v>
      </c>
      <c r="Y49" s="4">
        <v>19.9726233346512</v>
      </c>
      <c r="Z49" s="4">
        <v>20.2264452617454</v>
      </c>
      <c r="AA49" s="4">
        <v>19.9789584279998</v>
      </c>
      <c r="AB49" s="4">
        <f t="shared" si="3"/>
        <v>20.059342341465467</v>
      </c>
      <c r="AK49" s="4" t="s">
        <v>2732</v>
      </c>
      <c r="AM49" s="4" t="s">
        <v>4499</v>
      </c>
      <c r="AP49" s="4" t="s">
        <v>334</v>
      </c>
      <c r="AQ49" s="1"/>
      <c r="AR49" s="3"/>
      <c r="AT49" s="4" t="s">
        <v>278</v>
      </c>
      <c r="AV49" s="5" t="s">
        <v>268</v>
      </c>
      <c r="AX49" s="14" t="s">
        <v>619</v>
      </c>
    </row>
    <row r="50" spans="2:50" x14ac:dyDescent="0.2">
      <c r="B50" s="4" t="s">
        <v>960</v>
      </c>
      <c r="C50" s="4">
        <v>19.2879</v>
      </c>
      <c r="D50" s="4">
        <v>20.004999999999999</v>
      </c>
      <c r="E50" s="4">
        <v>21.693899999999999</v>
      </c>
      <c r="F50" s="4">
        <f t="shared" si="0"/>
        <v>20.328933333333335</v>
      </c>
      <c r="I50" s="4" t="s">
        <v>113</v>
      </c>
      <c r="J50" s="4">
        <v>20.3705</v>
      </c>
      <c r="K50" s="4">
        <v>20.318300000000001</v>
      </c>
      <c r="L50" s="4">
        <v>20.6462</v>
      </c>
      <c r="M50" s="4">
        <f t="shared" si="1"/>
        <v>20.445</v>
      </c>
      <c r="Q50" s="43" t="s">
        <v>4048</v>
      </c>
      <c r="R50" s="4">
        <v>20.271332879248799</v>
      </c>
      <c r="S50" s="4">
        <v>20.099091349372902</v>
      </c>
      <c r="T50" s="4">
        <v>20.177340869646901</v>
      </c>
      <c r="U50" s="4">
        <f t="shared" si="2"/>
        <v>20.182588366089533</v>
      </c>
      <c r="X50" s="43" t="s">
        <v>1931</v>
      </c>
      <c r="Y50" s="4">
        <v>20.119709217194099</v>
      </c>
      <c r="Z50" s="4">
        <v>20.287384435573301</v>
      </c>
      <c r="AA50" s="4">
        <v>19.626149904576099</v>
      </c>
      <c r="AB50" s="4">
        <f t="shared" si="3"/>
        <v>20.011081185781165</v>
      </c>
      <c r="AK50" s="4" t="s">
        <v>3409</v>
      </c>
      <c r="AM50" s="4" t="s">
        <v>4480</v>
      </c>
      <c r="AP50" s="4" t="s">
        <v>554</v>
      </c>
      <c r="AQ50" s="1"/>
      <c r="AR50" s="3"/>
      <c r="AT50" s="4" t="s">
        <v>334</v>
      </c>
      <c r="AV50" s="5" t="s">
        <v>26</v>
      </c>
      <c r="AX50" s="15" t="s">
        <v>463</v>
      </c>
    </row>
    <row r="51" spans="2:50" x14ac:dyDescent="0.2">
      <c r="B51" s="4" t="s">
        <v>3452</v>
      </c>
      <c r="C51" s="4">
        <v>20.276700000000002</v>
      </c>
      <c r="D51" s="4">
        <v>20.279199999999999</v>
      </c>
      <c r="E51" s="4">
        <v>20.332899999999999</v>
      </c>
      <c r="F51" s="4">
        <f t="shared" si="0"/>
        <v>20.296266666666668</v>
      </c>
      <c r="I51" s="4" t="s">
        <v>1547</v>
      </c>
      <c r="J51" s="4">
        <v>20.822099999999999</v>
      </c>
      <c r="K51" s="4">
        <v>19.4114</v>
      </c>
      <c r="L51" s="4">
        <v>20.965299999999999</v>
      </c>
      <c r="M51" s="4">
        <f t="shared" si="1"/>
        <v>20.3996</v>
      </c>
      <c r="Q51" s="43" t="s">
        <v>3127</v>
      </c>
      <c r="R51" s="4">
        <v>20.266380638704401</v>
      </c>
      <c r="S51" s="4">
        <v>20.176192222608702</v>
      </c>
      <c r="T51" s="4">
        <v>20.069469188852501</v>
      </c>
      <c r="U51" s="4">
        <f t="shared" si="2"/>
        <v>20.170680683388536</v>
      </c>
      <c r="X51" s="43" t="s">
        <v>1707</v>
      </c>
      <c r="Y51" s="4">
        <v>19.919050967574201</v>
      </c>
      <c r="Z51" s="4">
        <v>20.099420686552602</v>
      </c>
      <c r="AA51" s="4">
        <v>19.9528699656281</v>
      </c>
      <c r="AB51" s="4">
        <f t="shared" si="3"/>
        <v>19.990447206584964</v>
      </c>
      <c r="AK51" s="4" t="s">
        <v>4046</v>
      </c>
      <c r="AM51" s="4" t="s">
        <v>4388</v>
      </c>
      <c r="AP51" s="2"/>
      <c r="AQ51" s="1"/>
      <c r="AR51" s="3"/>
      <c r="AS51" s="1"/>
      <c r="AT51" s="6"/>
      <c r="AU51" s="1"/>
      <c r="AV51" s="5" t="s">
        <v>140</v>
      </c>
      <c r="AX51" s="6" t="s">
        <v>817</v>
      </c>
    </row>
    <row r="52" spans="2:50" x14ac:dyDescent="0.2">
      <c r="B52" s="4" t="s">
        <v>2535</v>
      </c>
      <c r="C52" s="4">
        <v>20.250299999999999</v>
      </c>
      <c r="D52" s="4">
        <v>20.325900000000001</v>
      </c>
      <c r="E52" s="4">
        <v>20.305499999999999</v>
      </c>
      <c r="F52" s="4">
        <f t="shared" si="0"/>
        <v>20.293899999999997</v>
      </c>
      <c r="I52" s="4" t="s">
        <v>2728</v>
      </c>
      <c r="J52" s="4">
        <v>20.444700000000001</v>
      </c>
      <c r="K52" s="4">
        <v>20.255099999999999</v>
      </c>
      <c r="L52" s="4">
        <v>20.4849</v>
      </c>
      <c r="M52" s="4">
        <f t="shared" si="1"/>
        <v>20.394899999999996</v>
      </c>
      <c r="Q52" s="43" t="s">
        <v>913</v>
      </c>
      <c r="R52" s="4">
        <v>19.558422747092401</v>
      </c>
      <c r="S52" s="4">
        <v>20.125714483240699</v>
      </c>
      <c r="T52" s="4">
        <v>20.729929765832701</v>
      </c>
      <c r="U52" s="4">
        <f t="shared" si="2"/>
        <v>20.138022332055268</v>
      </c>
      <c r="X52" s="43" t="s">
        <v>1546</v>
      </c>
      <c r="Y52" s="4">
        <v>19.9421824808128</v>
      </c>
      <c r="Z52" s="4">
        <v>20.079892063797899</v>
      </c>
      <c r="AA52" s="4">
        <v>19.705040903055199</v>
      </c>
      <c r="AB52" s="4">
        <f t="shared" si="3"/>
        <v>19.9090384825553</v>
      </c>
      <c r="AK52" s="4" t="s">
        <v>3435</v>
      </c>
      <c r="AM52" s="4" t="s">
        <v>4137</v>
      </c>
      <c r="AP52" s="2"/>
      <c r="AQ52" s="1"/>
      <c r="AS52" s="1"/>
      <c r="AT52" s="6"/>
      <c r="AU52" s="1"/>
      <c r="AV52" s="5" t="s">
        <v>285</v>
      </c>
      <c r="AX52" s="14" t="s">
        <v>616</v>
      </c>
    </row>
    <row r="53" spans="2:50" x14ac:dyDescent="0.2">
      <c r="B53" s="4" t="s">
        <v>2890</v>
      </c>
      <c r="C53" s="4">
        <v>20.276499999999999</v>
      </c>
      <c r="D53" s="4">
        <v>20.311199999999999</v>
      </c>
      <c r="E53" s="4">
        <v>20.172999999999998</v>
      </c>
      <c r="F53" s="4">
        <f t="shared" si="0"/>
        <v>20.253566666666668</v>
      </c>
      <c r="I53" s="4" t="s">
        <v>2598</v>
      </c>
      <c r="J53" s="4">
        <v>20.328900000000001</v>
      </c>
      <c r="K53" s="4">
        <v>20.246700000000001</v>
      </c>
      <c r="L53" s="4">
        <v>20.302099999999999</v>
      </c>
      <c r="M53" s="4">
        <f t="shared" si="1"/>
        <v>20.292566666666669</v>
      </c>
      <c r="Q53" s="43" t="s">
        <v>1889</v>
      </c>
      <c r="R53" s="4">
        <v>20.168972202860999</v>
      </c>
      <c r="S53" s="4">
        <v>19.957678332408399</v>
      </c>
      <c r="T53" s="4">
        <v>20.083746442729801</v>
      </c>
      <c r="U53" s="4">
        <f t="shared" si="2"/>
        <v>20.070132325999733</v>
      </c>
      <c r="X53" s="43" t="s">
        <v>1536</v>
      </c>
      <c r="Y53" s="4">
        <v>19.8036405082069</v>
      </c>
      <c r="Z53" s="4">
        <v>19.908819478279199</v>
      </c>
      <c r="AA53" s="4">
        <v>19.9407460755377</v>
      </c>
      <c r="AB53" s="4">
        <f t="shared" si="3"/>
        <v>19.884402020674599</v>
      </c>
      <c r="AK53" s="4" t="s">
        <v>132</v>
      </c>
      <c r="AM53" s="4" t="s">
        <v>4281</v>
      </c>
      <c r="AP53" s="2"/>
      <c r="AQ53" s="1"/>
      <c r="AS53" s="1"/>
      <c r="AT53" s="6"/>
      <c r="AU53" s="1"/>
      <c r="AV53" s="5" t="s">
        <v>146</v>
      </c>
      <c r="AX53" s="6" t="s">
        <v>818</v>
      </c>
    </row>
    <row r="54" spans="2:50" x14ac:dyDescent="0.2">
      <c r="B54" s="4" t="s">
        <v>1258</v>
      </c>
      <c r="C54" s="4">
        <v>20.211099999999998</v>
      </c>
      <c r="D54" s="4">
        <v>20.392399999999999</v>
      </c>
      <c r="E54" s="4">
        <v>20.117699999999999</v>
      </c>
      <c r="F54" s="4">
        <f t="shared" si="0"/>
        <v>20.240399999999998</v>
      </c>
      <c r="I54" s="4" t="s">
        <v>1900</v>
      </c>
      <c r="J54" s="4">
        <v>20.171199999999999</v>
      </c>
      <c r="K54" s="4">
        <v>20.323899999999998</v>
      </c>
      <c r="L54" s="4">
        <v>20.378900000000002</v>
      </c>
      <c r="M54" s="4">
        <f t="shared" si="1"/>
        <v>20.291333333333331</v>
      </c>
      <c r="Q54" s="43" t="s">
        <v>1678</v>
      </c>
      <c r="R54" s="4">
        <v>20.172902280083601</v>
      </c>
      <c r="S54" s="4">
        <v>20.0030772647203</v>
      </c>
      <c r="T54" s="4">
        <v>19.911275720459699</v>
      </c>
      <c r="U54" s="4">
        <f t="shared" si="2"/>
        <v>20.029085088421201</v>
      </c>
      <c r="X54" s="43" t="s">
        <v>1889</v>
      </c>
      <c r="Y54" s="4">
        <v>19.810963835257599</v>
      </c>
      <c r="Z54" s="4">
        <v>20.0925650674534</v>
      </c>
      <c r="AA54" s="4">
        <v>19.6980692192578</v>
      </c>
      <c r="AB54" s="4">
        <f t="shared" si="3"/>
        <v>19.867199373989603</v>
      </c>
      <c r="AK54" s="4" t="s">
        <v>1307</v>
      </c>
      <c r="AM54" s="4" t="s">
        <v>4341</v>
      </c>
      <c r="AP54" s="2"/>
      <c r="AQ54" s="1"/>
      <c r="AS54" s="1"/>
      <c r="AT54" s="6"/>
      <c r="AU54" s="1"/>
      <c r="AV54" s="5" t="s">
        <v>153</v>
      </c>
      <c r="AX54" s="14" t="s">
        <v>614</v>
      </c>
    </row>
    <row r="55" spans="2:50" x14ac:dyDescent="0.2">
      <c r="B55" s="4" t="s">
        <v>1474</v>
      </c>
      <c r="C55" s="4">
        <v>19.8216</v>
      </c>
      <c r="D55" s="4">
        <v>19.9008</v>
      </c>
      <c r="E55" s="4">
        <v>20.969200000000001</v>
      </c>
      <c r="F55" s="4">
        <f t="shared" si="0"/>
        <v>20.230533333333334</v>
      </c>
      <c r="I55" s="4" t="s">
        <v>3695</v>
      </c>
      <c r="J55" s="4">
        <v>20.314900000000002</v>
      </c>
      <c r="K55" s="4">
        <v>20.22</v>
      </c>
      <c r="L55" s="4">
        <v>20.311800000000002</v>
      </c>
      <c r="M55" s="4">
        <f t="shared" si="1"/>
        <v>20.282233333333334</v>
      </c>
      <c r="Q55" s="43" t="s">
        <v>1944</v>
      </c>
      <c r="R55" s="4">
        <v>20.097930089439899</v>
      </c>
      <c r="S55" s="4">
        <v>20.063883987535199</v>
      </c>
      <c r="T55" s="4">
        <v>19.864946195737801</v>
      </c>
      <c r="U55" s="4">
        <f t="shared" si="2"/>
        <v>20.008920090904301</v>
      </c>
      <c r="X55" s="43" t="s">
        <v>1944</v>
      </c>
      <c r="Y55" s="4">
        <v>19.640196430736101</v>
      </c>
      <c r="Z55" s="4">
        <v>20.0002051639934</v>
      </c>
      <c r="AA55" s="4">
        <v>19.948342584702999</v>
      </c>
      <c r="AB55" s="4">
        <f t="shared" si="3"/>
        <v>19.862914726477499</v>
      </c>
      <c r="AK55" s="4" t="s">
        <v>2285</v>
      </c>
      <c r="AM55" s="4" t="s">
        <v>4486</v>
      </c>
      <c r="AP55" s="2"/>
      <c r="AQ55" s="1"/>
      <c r="AS55" s="1"/>
      <c r="AT55" s="6"/>
      <c r="AU55" s="1"/>
      <c r="AV55" s="5" t="s">
        <v>34</v>
      </c>
      <c r="AX55" s="6" t="s">
        <v>339</v>
      </c>
    </row>
    <row r="56" spans="2:50" x14ac:dyDescent="0.2">
      <c r="B56" s="4" t="s">
        <v>3833</v>
      </c>
      <c r="C56" s="4">
        <v>19.9619</v>
      </c>
      <c r="D56" s="4">
        <v>20.286000000000001</v>
      </c>
      <c r="E56" s="4">
        <v>20.305399999999999</v>
      </c>
      <c r="F56" s="4">
        <f t="shared" si="0"/>
        <v>20.184433333333335</v>
      </c>
      <c r="I56" s="4" t="s">
        <v>2964</v>
      </c>
      <c r="J56" s="4">
        <v>20.423500000000001</v>
      </c>
      <c r="K56" s="4">
        <v>20.2834</v>
      </c>
      <c r="L56" s="4">
        <v>20.0702</v>
      </c>
      <c r="M56" s="4">
        <f t="shared" si="1"/>
        <v>20.259033333333335</v>
      </c>
      <c r="Q56" s="43" t="s">
        <v>3086</v>
      </c>
      <c r="R56" s="4">
        <v>20.2949145841595</v>
      </c>
      <c r="S56" s="4">
        <v>19.6497111913643</v>
      </c>
      <c r="T56" s="4">
        <v>20.024067616819401</v>
      </c>
      <c r="U56" s="4">
        <f t="shared" si="2"/>
        <v>19.989564464114402</v>
      </c>
      <c r="X56" s="43" t="s">
        <v>1678</v>
      </c>
      <c r="Y56" s="4">
        <v>19.793956055602798</v>
      </c>
      <c r="Z56" s="4">
        <v>19.883606340087098</v>
      </c>
      <c r="AA56" s="4">
        <v>19.8600145678238</v>
      </c>
      <c r="AB56" s="4">
        <f t="shared" si="3"/>
        <v>19.8458589878379</v>
      </c>
      <c r="AK56" s="4" t="s">
        <v>2426</v>
      </c>
      <c r="AM56" s="4" t="s">
        <v>4358</v>
      </c>
      <c r="AP56" s="2"/>
      <c r="AQ56" s="1"/>
      <c r="AS56" s="1"/>
      <c r="AT56" s="6"/>
      <c r="AU56" s="1"/>
      <c r="AV56" s="5" t="s">
        <v>160</v>
      </c>
      <c r="AX56" s="6" t="s">
        <v>639</v>
      </c>
    </row>
    <row r="57" spans="2:50" x14ac:dyDescent="0.2">
      <c r="B57" s="4" t="s">
        <v>1845</v>
      </c>
      <c r="C57" s="4">
        <v>20.087700000000002</v>
      </c>
      <c r="D57" s="4">
        <v>20.437100000000001</v>
      </c>
      <c r="E57" s="4">
        <v>20.008700000000001</v>
      </c>
      <c r="F57" s="4">
        <f t="shared" si="0"/>
        <v>20.177833333333336</v>
      </c>
      <c r="I57" s="4" t="s">
        <v>655</v>
      </c>
      <c r="J57" s="4">
        <v>20.146000000000001</v>
      </c>
      <c r="K57" s="4">
        <v>20.8202</v>
      </c>
      <c r="L57" s="4">
        <v>19.805800000000001</v>
      </c>
      <c r="M57" s="4">
        <f t="shared" si="1"/>
        <v>20.257333333333335</v>
      </c>
      <c r="Q57" s="43" t="s">
        <v>1335</v>
      </c>
      <c r="R57" s="4">
        <v>20.2219550933855</v>
      </c>
      <c r="S57" s="4">
        <v>19.8466327476856</v>
      </c>
      <c r="T57" s="4">
        <v>19.766562635834699</v>
      </c>
      <c r="U57" s="4">
        <f t="shared" si="2"/>
        <v>19.945050158968598</v>
      </c>
      <c r="X57" s="43" t="s">
        <v>377</v>
      </c>
      <c r="Y57" s="4">
        <v>19.840828483427501</v>
      </c>
      <c r="Z57" s="4">
        <v>20.0612984665539</v>
      </c>
      <c r="AA57" s="4">
        <v>19.550795940908699</v>
      </c>
      <c r="AB57" s="4">
        <f t="shared" si="3"/>
        <v>19.817640963630033</v>
      </c>
      <c r="AK57" s="4" t="s">
        <v>1051</v>
      </c>
      <c r="AM57" s="4" t="s">
        <v>990</v>
      </c>
      <c r="AP57" s="2"/>
      <c r="AQ57" s="1"/>
      <c r="AS57" s="1"/>
      <c r="AT57" s="6"/>
      <c r="AU57" s="1"/>
      <c r="AV57" s="5" t="s">
        <v>42</v>
      </c>
      <c r="AX57" s="6" t="s">
        <v>819</v>
      </c>
    </row>
    <row r="58" spans="2:50" x14ac:dyDescent="0.2">
      <c r="B58" s="4" t="s">
        <v>2573</v>
      </c>
      <c r="C58" s="4">
        <v>20.2684</v>
      </c>
      <c r="D58" s="4">
        <v>20.029199999999999</v>
      </c>
      <c r="E58" s="4">
        <v>20.235099999999999</v>
      </c>
      <c r="F58" s="4">
        <f t="shared" si="0"/>
        <v>20.177566666666667</v>
      </c>
      <c r="I58" s="4" t="s">
        <v>2866</v>
      </c>
      <c r="J58" s="4">
        <v>20.3947</v>
      </c>
      <c r="K58" s="4">
        <v>19.6539</v>
      </c>
      <c r="L58" s="4">
        <v>20.636399999999998</v>
      </c>
      <c r="M58" s="4">
        <f t="shared" si="1"/>
        <v>20.228333333333335</v>
      </c>
      <c r="Q58" s="43" t="s">
        <v>1065</v>
      </c>
      <c r="R58" s="4">
        <v>20.027359702605001</v>
      </c>
      <c r="S58" s="4">
        <v>19.6914167335662</v>
      </c>
      <c r="T58" s="4">
        <v>20.0939435837481</v>
      </c>
      <c r="U58" s="4">
        <f t="shared" si="2"/>
        <v>19.937573339973099</v>
      </c>
      <c r="X58" s="43" t="s">
        <v>1898</v>
      </c>
      <c r="Y58" s="4">
        <v>19.727903320488199</v>
      </c>
      <c r="Z58" s="4">
        <v>20.1013938077032</v>
      </c>
      <c r="AA58" s="4">
        <v>19.480081735580399</v>
      </c>
      <c r="AB58" s="4">
        <f t="shared" si="3"/>
        <v>19.769792954590599</v>
      </c>
      <c r="AK58" s="4" t="s">
        <v>1535</v>
      </c>
      <c r="AM58" s="4" t="s">
        <v>2681</v>
      </c>
      <c r="AP58" s="2"/>
      <c r="AQ58" s="1"/>
      <c r="AS58" s="1"/>
      <c r="AT58" s="6"/>
      <c r="AU58" s="1"/>
      <c r="AV58" s="5" t="s">
        <v>294</v>
      </c>
      <c r="AX58" s="6" t="s">
        <v>820</v>
      </c>
    </row>
    <row r="59" spans="2:50" x14ac:dyDescent="0.2">
      <c r="B59" s="4" t="s">
        <v>2598</v>
      </c>
      <c r="C59" s="4">
        <v>20.176500000000001</v>
      </c>
      <c r="D59" s="4">
        <v>20.078399999999998</v>
      </c>
      <c r="E59" s="4">
        <v>20.266200000000001</v>
      </c>
      <c r="F59" s="4">
        <f t="shared" si="0"/>
        <v>20.1737</v>
      </c>
      <c r="I59" s="4" t="s">
        <v>3843</v>
      </c>
      <c r="J59" s="4">
        <v>20.2639</v>
      </c>
      <c r="K59" s="4">
        <v>20.1998</v>
      </c>
      <c r="L59" s="4">
        <v>20.155799999999999</v>
      </c>
      <c r="M59" s="4">
        <f t="shared" si="1"/>
        <v>20.206500000000002</v>
      </c>
      <c r="Q59" s="43" t="s">
        <v>3591</v>
      </c>
      <c r="R59" s="4">
        <v>20.022460425022</v>
      </c>
      <c r="S59" s="4">
        <v>19.891099055282101</v>
      </c>
      <c r="T59" s="4">
        <v>19.882222654298701</v>
      </c>
      <c r="U59" s="4">
        <f t="shared" si="2"/>
        <v>19.931927378200935</v>
      </c>
      <c r="X59" s="43" t="s">
        <v>1935</v>
      </c>
      <c r="Y59" s="4">
        <v>19.720450018295999</v>
      </c>
      <c r="Z59" s="4">
        <v>19.734123685647901</v>
      </c>
      <c r="AA59" s="4">
        <v>19.801680486049701</v>
      </c>
      <c r="AB59" s="4">
        <f t="shared" si="3"/>
        <v>19.752084729997865</v>
      </c>
      <c r="AK59" s="4" t="s">
        <v>3708</v>
      </c>
      <c r="AM59" s="4" t="s">
        <v>2680</v>
      </c>
      <c r="AP59" s="2"/>
      <c r="AQ59" s="1"/>
      <c r="AS59" s="1"/>
      <c r="AT59" s="6"/>
      <c r="AU59" s="1"/>
      <c r="AV59" s="5" t="s">
        <v>167</v>
      </c>
      <c r="AX59" s="6" t="s">
        <v>643</v>
      </c>
    </row>
    <row r="60" spans="2:50" x14ac:dyDescent="0.2">
      <c r="B60" s="4" t="s">
        <v>2576</v>
      </c>
      <c r="C60" s="4">
        <v>19.4038</v>
      </c>
      <c r="D60" s="4">
        <v>19.670000000000002</v>
      </c>
      <c r="E60" s="4">
        <v>21.3629</v>
      </c>
      <c r="F60" s="4">
        <f t="shared" si="0"/>
        <v>20.145566666666667</v>
      </c>
      <c r="I60" s="4" t="s">
        <v>1878</v>
      </c>
      <c r="J60" s="4">
        <v>20.204799999999999</v>
      </c>
      <c r="K60" s="4">
        <v>20.2959</v>
      </c>
      <c r="L60" s="4">
        <v>20.084499999999998</v>
      </c>
      <c r="M60" s="4">
        <f t="shared" si="1"/>
        <v>20.195066666666666</v>
      </c>
      <c r="Q60" s="43" t="s">
        <v>3695</v>
      </c>
      <c r="R60" s="4">
        <v>20.011171506344699</v>
      </c>
      <c r="S60" s="4">
        <v>19.836591157700902</v>
      </c>
      <c r="T60" s="4">
        <v>19.895320078362801</v>
      </c>
      <c r="U60" s="4">
        <f t="shared" si="2"/>
        <v>19.914360914136136</v>
      </c>
      <c r="X60" s="43" t="s">
        <v>3695</v>
      </c>
      <c r="Y60" s="4">
        <v>19.6547807754378</v>
      </c>
      <c r="Z60" s="4">
        <v>19.859497829529001</v>
      </c>
      <c r="AA60" s="4">
        <v>19.721590517038301</v>
      </c>
      <c r="AB60" s="4">
        <f t="shared" si="3"/>
        <v>19.745289707335036</v>
      </c>
      <c r="AK60" s="4" t="s">
        <v>2256</v>
      </c>
      <c r="AM60" s="4" t="s">
        <v>2757</v>
      </c>
      <c r="AP60" s="2"/>
      <c r="AQ60" s="1"/>
      <c r="AS60" s="1"/>
      <c r="AT60" s="6"/>
      <c r="AU60" s="1"/>
      <c r="AV60" s="5" t="s">
        <v>50</v>
      </c>
      <c r="AX60" s="6" t="s">
        <v>644</v>
      </c>
    </row>
    <row r="61" spans="2:50" x14ac:dyDescent="0.2">
      <c r="B61" s="4" t="s">
        <v>3176</v>
      </c>
      <c r="C61" s="4">
        <v>19.9666</v>
      </c>
      <c r="D61" s="4">
        <v>20.174399999999999</v>
      </c>
      <c r="E61" s="4">
        <v>20.267299999999999</v>
      </c>
      <c r="F61" s="4">
        <f t="shared" si="0"/>
        <v>20.136099999999999</v>
      </c>
      <c r="I61" s="4" t="s">
        <v>1474</v>
      </c>
      <c r="J61" s="4">
        <v>19.178899999999999</v>
      </c>
      <c r="K61" s="4">
        <v>22.3399</v>
      </c>
      <c r="L61" s="4">
        <v>18.959099999999999</v>
      </c>
      <c r="M61" s="4">
        <f t="shared" si="1"/>
        <v>20.159299999999998</v>
      </c>
      <c r="Q61" s="43" t="s">
        <v>1935</v>
      </c>
      <c r="R61" s="4">
        <v>19.7752182025263</v>
      </c>
      <c r="S61" s="4">
        <v>19.9277551713759</v>
      </c>
      <c r="T61" s="4">
        <v>19.9262333351835</v>
      </c>
      <c r="U61" s="4">
        <f t="shared" si="2"/>
        <v>19.876402236361898</v>
      </c>
      <c r="X61" s="43" t="s">
        <v>361</v>
      </c>
      <c r="Y61" s="4">
        <v>19.7157895946374</v>
      </c>
      <c r="Z61" s="4">
        <v>19.6853101502094</v>
      </c>
      <c r="AA61" s="4">
        <v>19.833798030112298</v>
      </c>
      <c r="AB61" s="4">
        <f t="shared" si="3"/>
        <v>19.744965924986367</v>
      </c>
      <c r="AK61" s="4" t="s">
        <v>3603</v>
      </c>
      <c r="AM61" s="4" t="s">
        <v>145</v>
      </c>
      <c r="AP61" s="2"/>
      <c r="AQ61" s="1"/>
      <c r="AS61" s="1"/>
      <c r="AT61" s="6"/>
      <c r="AU61" s="1"/>
      <c r="AV61" s="10" t="s">
        <v>307</v>
      </c>
      <c r="AX61" s="6" t="s">
        <v>642</v>
      </c>
    </row>
    <row r="62" spans="2:50" x14ac:dyDescent="0.2">
      <c r="B62" s="4" t="s">
        <v>3690</v>
      </c>
      <c r="C62" s="4">
        <v>20.096800000000002</v>
      </c>
      <c r="D62" s="4">
        <v>20.0886</v>
      </c>
      <c r="E62" s="4">
        <v>20.169499999999999</v>
      </c>
      <c r="F62" s="4">
        <f t="shared" si="0"/>
        <v>20.118300000000001</v>
      </c>
      <c r="I62" s="4" t="s">
        <v>2943</v>
      </c>
      <c r="J62" s="4">
        <v>20.369800000000001</v>
      </c>
      <c r="K62" s="4">
        <v>19.839600000000001</v>
      </c>
      <c r="L62" s="4">
        <v>20.247199999999999</v>
      </c>
      <c r="M62" s="4">
        <f t="shared" si="1"/>
        <v>20.152200000000001</v>
      </c>
      <c r="Q62" s="43" t="s">
        <v>922</v>
      </c>
      <c r="R62" s="4">
        <v>19.727797937173801</v>
      </c>
      <c r="S62" s="4">
        <v>19.811598257124398</v>
      </c>
      <c r="T62" s="4">
        <v>19.977829035468101</v>
      </c>
      <c r="U62" s="4">
        <f t="shared" si="2"/>
        <v>19.839075076588767</v>
      </c>
      <c r="X62" s="43" t="s">
        <v>658</v>
      </c>
      <c r="Y62" s="4">
        <v>20.0554438486466</v>
      </c>
      <c r="Z62" s="4">
        <v>19.470238823289598</v>
      </c>
      <c r="AA62" s="4">
        <v>19.677325431593101</v>
      </c>
      <c r="AB62" s="4">
        <f t="shared" si="3"/>
        <v>19.734336034509766</v>
      </c>
      <c r="AK62" s="4" t="s">
        <v>2903</v>
      </c>
      <c r="AM62" s="4" t="s">
        <v>4252</v>
      </c>
      <c r="AP62" s="2"/>
      <c r="AQ62" s="1"/>
      <c r="AS62" s="1"/>
      <c r="AT62" s="6"/>
      <c r="AU62" s="1"/>
      <c r="AV62" s="5" t="s">
        <v>173</v>
      </c>
      <c r="AX62" s="6" t="s">
        <v>82</v>
      </c>
    </row>
    <row r="63" spans="2:50" x14ac:dyDescent="0.2">
      <c r="B63" s="4" t="s">
        <v>1444</v>
      </c>
      <c r="C63" s="4">
        <v>19.9908</v>
      </c>
      <c r="D63" s="4">
        <v>20.096</v>
      </c>
      <c r="E63" s="4">
        <v>20.0989</v>
      </c>
      <c r="F63" s="4">
        <f t="shared" si="0"/>
        <v>20.061899999999998</v>
      </c>
      <c r="I63" s="4" t="s">
        <v>2535</v>
      </c>
      <c r="J63" s="4">
        <v>19.78</v>
      </c>
      <c r="K63" s="4">
        <v>20.670500000000001</v>
      </c>
      <c r="L63" s="4">
        <v>19.929099999999998</v>
      </c>
      <c r="M63" s="4">
        <f t="shared" si="1"/>
        <v>20.126533333333334</v>
      </c>
      <c r="Q63" s="43" t="s">
        <v>587</v>
      </c>
      <c r="R63" s="4">
        <v>19.989042586412999</v>
      </c>
      <c r="S63" s="4">
        <v>19.778381865610701</v>
      </c>
      <c r="T63" s="4">
        <v>19.667227144161401</v>
      </c>
      <c r="U63" s="4">
        <f t="shared" si="2"/>
        <v>19.811550532061702</v>
      </c>
      <c r="X63" s="43" t="s">
        <v>1258</v>
      </c>
      <c r="Y63" s="4">
        <v>19.830164129162799</v>
      </c>
      <c r="Z63" s="4">
        <v>19.6720789694267</v>
      </c>
      <c r="AA63" s="4">
        <v>19.6522976146221</v>
      </c>
      <c r="AB63" s="4">
        <f t="shared" si="3"/>
        <v>19.718180237737201</v>
      </c>
      <c r="AK63" s="4" t="s">
        <v>3214</v>
      </c>
      <c r="AM63" s="4" t="s">
        <v>4392</v>
      </c>
      <c r="AP63" s="2"/>
      <c r="AQ63" s="1"/>
      <c r="AS63" s="1"/>
      <c r="AT63" s="6"/>
      <c r="AU63" s="1"/>
      <c r="AV63" s="5" t="s">
        <v>180</v>
      </c>
      <c r="AX63" s="6" t="s">
        <v>821</v>
      </c>
    </row>
    <row r="64" spans="2:50" x14ac:dyDescent="0.2">
      <c r="B64" s="4" t="s">
        <v>2964</v>
      </c>
      <c r="C64" s="4">
        <v>20.0732</v>
      </c>
      <c r="D64" s="4">
        <v>20.064599999999999</v>
      </c>
      <c r="E64" s="4">
        <v>19.961400000000001</v>
      </c>
      <c r="F64" s="4">
        <f t="shared" si="0"/>
        <v>20.033066666666667</v>
      </c>
      <c r="I64" s="4" t="s">
        <v>824</v>
      </c>
      <c r="J64" s="4">
        <v>20.607900000000001</v>
      </c>
      <c r="K64" s="4">
        <v>19.190300000000001</v>
      </c>
      <c r="L64" s="4">
        <v>20.555199999999999</v>
      </c>
      <c r="M64" s="4">
        <f t="shared" si="1"/>
        <v>20.117799999999999</v>
      </c>
      <c r="Q64" s="43" t="s">
        <v>4334</v>
      </c>
      <c r="R64" s="4">
        <v>19.820294915872498</v>
      </c>
      <c r="S64" s="4">
        <v>19.616120477437601</v>
      </c>
      <c r="T64" s="4">
        <v>19.918841576806201</v>
      </c>
      <c r="U64" s="4">
        <f t="shared" si="2"/>
        <v>19.785085656705434</v>
      </c>
      <c r="X64" s="43" t="s">
        <v>1803</v>
      </c>
      <c r="Y64" s="4">
        <v>19.690240421960599</v>
      </c>
      <c r="Z64" s="4">
        <v>19.695055817516</v>
      </c>
      <c r="AA64" s="4">
        <v>19.760073231218701</v>
      </c>
      <c r="AB64" s="4">
        <f t="shared" si="3"/>
        <v>19.715123156898432</v>
      </c>
      <c r="AK64" s="4" t="s">
        <v>2923</v>
      </c>
      <c r="AM64" s="4" t="s">
        <v>4359</v>
      </c>
      <c r="AP64" s="2"/>
      <c r="AQ64" s="1"/>
      <c r="AS64" s="1"/>
      <c r="AT64" s="6"/>
      <c r="AU64" s="1"/>
      <c r="AV64" s="5" t="s">
        <v>318</v>
      </c>
      <c r="AX64" s="14" t="s">
        <v>187</v>
      </c>
    </row>
    <row r="65" spans="2:50" x14ac:dyDescent="0.2">
      <c r="B65" s="4" t="s">
        <v>1698</v>
      </c>
      <c r="C65" s="4">
        <v>20.128799999999998</v>
      </c>
      <c r="D65" s="4">
        <v>20.159300000000002</v>
      </c>
      <c r="E65" s="4">
        <v>19.7166</v>
      </c>
      <c r="F65" s="4">
        <f t="shared" si="0"/>
        <v>20.001566666666665</v>
      </c>
      <c r="I65" s="4" t="s">
        <v>960</v>
      </c>
      <c r="J65" s="4">
        <v>19.41</v>
      </c>
      <c r="K65" s="4">
        <v>20.737300000000001</v>
      </c>
      <c r="L65" s="4">
        <v>20.1462</v>
      </c>
      <c r="M65" s="4">
        <f t="shared" si="1"/>
        <v>20.097833333333334</v>
      </c>
      <c r="Q65" s="43" t="s">
        <v>2325</v>
      </c>
      <c r="R65" s="4">
        <v>19.992567794212398</v>
      </c>
      <c r="S65" s="4">
        <v>19.636440962727001</v>
      </c>
      <c r="T65" s="4">
        <v>19.642883814359099</v>
      </c>
      <c r="U65" s="4">
        <f t="shared" si="2"/>
        <v>19.757297523766166</v>
      </c>
      <c r="X65" s="43" t="s">
        <v>1382</v>
      </c>
      <c r="Y65" s="4">
        <v>19.590712372126099</v>
      </c>
      <c r="Z65" s="4">
        <v>19.8790991335139</v>
      </c>
      <c r="AA65" s="4">
        <v>19.584765483621702</v>
      </c>
      <c r="AB65" s="4">
        <f t="shared" si="3"/>
        <v>19.684858996420566</v>
      </c>
      <c r="AK65" s="4" t="s">
        <v>172</v>
      </c>
      <c r="AM65" s="4" t="s">
        <v>4475</v>
      </c>
      <c r="AP65" s="2"/>
      <c r="AQ65" s="1"/>
      <c r="AS65" s="1"/>
      <c r="AT65" s="6"/>
      <c r="AU65" s="1"/>
      <c r="AV65" s="5" t="s">
        <v>321</v>
      </c>
      <c r="AX65" s="6" t="s">
        <v>822</v>
      </c>
    </row>
    <row r="66" spans="2:50" x14ac:dyDescent="0.2">
      <c r="B66" s="4" t="s">
        <v>1931</v>
      </c>
      <c r="C66" s="4">
        <v>19.977799999999998</v>
      </c>
      <c r="D66" s="4">
        <v>19.963699999999999</v>
      </c>
      <c r="E66" s="4">
        <v>20.047499999999999</v>
      </c>
      <c r="F66" s="4">
        <f t="shared" ref="F66:F129" si="4">(C66+D66+E66)/3</f>
        <v>19.996333333333332</v>
      </c>
      <c r="I66" s="4" t="s">
        <v>1931</v>
      </c>
      <c r="J66" s="4">
        <v>20.109300000000001</v>
      </c>
      <c r="K66" s="4">
        <v>20.059000000000001</v>
      </c>
      <c r="L66" s="4">
        <v>20.040500000000002</v>
      </c>
      <c r="M66" s="4">
        <f t="shared" ref="M66:M129" si="5">(J66+K66+L66)/3</f>
        <v>20.069600000000001</v>
      </c>
      <c r="Q66" s="43" t="s">
        <v>1488</v>
      </c>
      <c r="R66" s="4">
        <v>19.7447249133584</v>
      </c>
      <c r="S66" s="4">
        <v>19.627879934540601</v>
      </c>
      <c r="T66" s="4">
        <v>19.882865289527501</v>
      </c>
      <c r="U66" s="4">
        <f t="shared" ref="U66:U129" si="6">(R66+S66+T66)/3</f>
        <v>19.751823379142166</v>
      </c>
      <c r="X66" s="43" t="s">
        <v>587</v>
      </c>
      <c r="Y66" s="4">
        <v>19.635735343998</v>
      </c>
      <c r="Z66" s="4">
        <v>19.877981446716401</v>
      </c>
      <c r="AA66" s="4">
        <v>19.5070232325922</v>
      </c>
      <c r="AB66" s="4">
        <f t="shared" ref="AB66:AB129" si="7">(Y66+Z66+AA66)/3</f>
        <v>19.673580007768866</v>
      </c>
      <c r="AK66" s="4" t="s">
        <v>3357</v>
      </c>
      <c r="AM66" s="4" t="s">
        <v>4381</v>
      </c>
      <c r="AP66" s="2"/>
      <c r="AQ66" s="1"/>
      <c r="AS66" s="1"/>
      <c r="AT66" s="6"/>
      <c r="AU66" s="1"/>
      <c r="AV66" s="5" t="s">
        <v>325</v>
      </c>
      <c r="AX66" s="15" t="s">
        <v>214</v>
      </c>
    </row>
    <row r="67" spans="2:50" x14ac:dyDescent="0.2">
      <c r="B67" s="4" t="s">
        <v>2486</v>
      </c>
      <c r="C67" s="4">
        <v>19.929500000000001</v>
      </c>
      <c r="D67" s="4">
        <v>19.969899999999999</v>
      </c>
      <c r="E67" s="4">
        <v>20.053000000000001</v>
      </c>
      <c r="F67" s="4">
        <f t="shared" si="4"/>
        <v>19.984133333333332</v>
      </c>
      <c r="I67" s="4" t="s">
        <v>3127</v>
      </c>
      <c r="J67" s="4">
        <v>20.106200000000001</v>
      </c>
      <c r="K67" s="4">
        <v>19.6845</v>
      </c>
      <c r="L67" s="4">
        <v>20.3933</v>
      </c>
      <c r="M67" s="4">
        <f t="shared" si="5"/>
        <v>20.061333333333334</v>
      </c>
      <c r="Q67" s="43" t="s">
        <v>377</v>
      </c>
      <c r="R67" s="4">
        <v>20.009714420873198</v>
      </c>
      <c r="S67" s="4">
        <v>19.548910613790301</v>
      </c>
      <c r="T67" s="4">
        <v>19.688077435246001</v>
      </c>
      <c r="U67" s="4">
        <f t="shared" si="6"/>
        <v>19.748900823303167</v>
      </c>
      <c r="X67" s="43" t="s">
        <v>2054</v>
      </c>
      <c r="Y67" s="4">
        <v>19.587662875432901</v>
      </c>
      <c r="Z67" s="4">
        <v>19.681328260153901</v>
      </c>
      <c r="AA67" s="4">
        <v>19.5403673149188</v>
      </c>
      <c r="AB67" s="4">
        <f t="shared" si="7"/>
        <v>19.603119483501867</v>
      </c>
      <c r="AK67" s="4" t="s">
        <v>3007</v>
      </c>
      <c r="AM67" s="4" t="s">
        <v>1011</v>
      </c>
      <c r="AP67" s="2"/>
      <c r="AQ67" s="1"/>
      <c r="AS67" s="1"/>
      <c r="AT67" s="6"/>
      <c r="AU67" s="1"/>
      <c r="AV67" s="5" t="s">
        <v>328</v>
      </c>
      <c r="AX67" s="6" t="s">
        <v>645</v>
      </c>
    </row>
    <row r="68" spans="2:50" x14ac:dyDescent="0.2">
      <c r="B68" s="4" t="s">
        <v>3321</v>
      </c>
      <c r="C68" s="4">
        <v>19.928799999999999</v>
      </c>
      <c r="D68" s="4">
        <v>20.162400000000002</v>
      </c>
      <c r="E68" s="4">
        <v>19.7545</v>
      </c>
      <c r="F68" s="4">
        <f t="shared" si="4"/>
        <v>19.948566666666668</v>
      </c>
      <c r="I68" s="4" t="s">
        <v>648</v>
      </c>
      <c r="J68" s="4">
        <v>20.027000000000001</v>
      </c>
      <c r="K68" s="4">
        <v>20.198799999999999</v>
      </c>
      <c r="L68" s="4">
        <v>19.941600000000001</v>
      </c>
      <c r="M68" s="4">
        <f t="shared" si="5"/>
        <v>20.055800000000001</v>
      </c>
      <c r="Q68" s="43" t="s">
        <v>1665</v>
      </c>
      <c r="R68" s="4">
        <v>19.8036084970168</v>
      </c>
      <c r="S68" s="4">
        <v>19.747296980092699</v>
      </c>
      <c r="T68" s="4">
        <v>19.686056414136502</v>
      </c>
      <c r="U68" s="4">
        <f t="shared" si="6"/>
        <v>19.745653963748666</v>
      </c>
      <c r="X68" s="43" t="s">
        <v>3591</v>
      </c>
      <c r="Y68" s="4">
        <v>19.579625013356399</v>
      </c>
      <c r="Z68" s="4">
        <v>19.6559553377569</v>
      </c>
      <c r="AA68" s="4">
        <v>19.487097271206</v>
      </c>
      <c r="AB68" s="4">
        <f t="shared" si="7"/>
        <v>19.574225874106432</v>
      </c>
      <c r="AK68" s="4" t="s">
        <v>3546</v>
      </c>
      <c r="AM68" s="4" t="s">
        <v>4290</v>
      </c>
      <c r="AP68" s="2"/>
      <c r="AQ68" s="1"/>
      <c r="AR68" s="1"/>
      <c r="AS68" s="1"/>
      <c r="AT68" s="6"/>
      <c r="AU68" s="1"/>
      <c r="AV68" s="5" t="s">
        <v>109</v>
      </c>
      <c r="AX68" s="18" t="s">
        <v>171</v>
      </c>
    </row>
    <row r="69" spans="2:50" x14ac:dyDescent="0.2">
      <c r="B69" s="4" t="s">
        <v>2458</v>
      </c>
      <c r="C69" s="4">
        <v>20.016200000000001</v>
      </c>
      <c r="D69" s="4">
        <v>19.859000000000002</v>
      </c>
      <c r="E69" s="4">
        <v>19.954599999999999</v>
      </c>
      <c r="F69" s="4">
        <f t="shared" si="4"/>
        <v>19.94326666666667</v>
      </c>
      <c r="I69" s="4" t="s">
        <v>2573</v>
      </c>
      <c r="J69" s="4">
        <v>20.235800000000001</v>
      </c>
      <c r="K69" s="4">
        <v>19.629300000000001</v>
      </c>
      <c r="L69" s="4">
        <v>20.1982</v>
      </c>
      <c r="M69" s="4">
        <f t="shared" si="5"/>
        <v>20.021100000000001</v>
      </c>
      <c r="Q69" s="43" t="s">
        <v>1898</v>
      </c>
      <c r="R69" s="4">
        <v>19.929621934462901</v>
      </c>
      <c r="S69" s="4">
        <v>19.531253052643802</v>
      </c>
      <c r="T69" s="4">
        <v>19.6421077078355</v>
      </c>
      <c r="U69" s="4">
        <f t="shared" si="6"/>
        <v>19.700994231647403</v>
      </c>
      <c r="X69" s="43" t="s">
        <v>1368</v>
      </c>
      <c r="Y69" s="4">
        <v>19.482370443090598</v>
      </c>
      <c r="Z69" s="4">
        <v>19.725973083916301</v>
      </c>
      <c r="AA69" s="4">
        <v>19.499016044694098</v>
      </c>
      <c r="AB69" s="4">
        <f t="shared" si="7"/>
        <v>19.56911985723367</v>
      </c>
      <c r="AK69" s="4" t="s">
        <v>3506</v>
      </c>
      <c r="AM69" s="4" t="s">
        <v>4519</v>
      </c>
      <c r="AP69" s="2"/>
      <c r="AQ69" s="1"/>
      <c r="AR69" s="1"/>
      <c r="AS69" s="1"/>
      <c r="AT69" s="6"/>
      <c r="AU69" s="1"/>
      <c r="AV69" s="5" t="s">
        <v>186</v>
      </c>
      <c r="AX69" s="6" t="s">
        <v>646</v>
      </c>
    </row>
    <row r="70" spans="2:50" x14ac:dyDescent="0.2">
      <c r="B70" s="4" t="s">
        <v>882</v>
      </c>
      <c r="C70" s="4">
        <v>20.123899999999999</v>
      </c>
      <c r="D70" s="4">
        <v>19.985600000000002</v>
      </c>
      <c r="E70" s="4">
        <v>19.694700000000001</v>
      </c>
      <c r="F70" s="4">
        <f t="shared" si="4"/>
        <v>19.93473333333333</v>
      </c>
      <c r="I70" s="4" t="s">
        <v>3116</v>
      </c>
      <c r="J70" s="4">
        <v>19.874700000000001</v>
      </c>
      <c r="K70" s="4">
        <v>20.3169</v>
      </c>
      <c r="L70" s="4">
        <v>19.8644</v>
      </c>
      <c r="M70" s="4">
        <f t="shared" si="5"/>
        <v>20.018666666666665</v>
      </c>
      <c r="Q70" s="43" t="s">
        <v>1707</v>
      </c>
      <c r="R70" s="4">
        <v>19.891845009168701</v>
      </c>
      <c r="S70" s="4">
        <v>19.630485411331101</v>
      </c>
      <c r="T70" s="4">
        <v>19.557935391768201</v>
      </c>
      <c r="U70" s="4">
        <f t="shared" si="6"/>
        <v>19.693421937422666</v>
      </c>
      <c r="X70" s="43" t="s">
        <v>3690</v>
      </c>
      <c r="Y70" s="4">
        <v>19.359747805528201</v>
      </c>
      <c r="Z70" s="4">
        <v>19.641712642148899</v>
      </c>
      <c r="AA70" s="4">
        <v>19.608466485929402</v>
      </c>
      <c r="AB70" s="4">
        <f t="shared" si="7"/>
        <v>19.536642311202169</v>
      </c>
      <c r="AK70" s="4" t="s">
        <v>2091</v>
      </c>
      <c r="AM70" s="4" t="s">
        <v>4308</v>
      </c>
      <c r="AP70" s="2"/>
      <c r="AQ70" s="1"/>
      <c r="AR70" s="1"/>
      <c r="AS70" s="1"/>
      <c r="AT70" s="6"/>
      <c r="AU70" s="1"/>
      <c r="AV70" s="5" t="s">
        <v>192</v>
      </c>
      <c r="AX70" s="6" t="s">
        <v>823</v>
      </c>
    </row>
    <row r="71" spans="2:50" x14ac:dyDescent="0.2">
      <c r="B71" s="4" t="s">
        <v>2866</v>
      </c>
      <c r="C71" s="4">
        <v>19.829799999999999</v>
      </c>
      <c r="D71" s="4">
        <v>19.944800000000001</v>
      </c>
      <c r="E71" s="4">
        <v>20.006799999999998</v>
      </c>
      <c r="F71" s="4">
        <f t="shared" si="4"/>
        <v>19.927133333333334</v>
      </c>
      <c r="I71" s="4" t="s">
        <v>1845</v>
      </c>
      <c r="J71" s="4">
        <v>20.0534</v>
      </c>
      <c r="K71" s="4">
        <v>20.2761</v>
      </c>
      <c r="L71" s="4">
        <v>19.638400000000001</v>
      </c>
      <c r="M71" s="4">
        <f t="shared" si="5"/>
        <v>19.9893</v>
      </c>
      <c r="Q71" s="43" t="s">
        <v>3712</v>
      </c>
      <c r="R71" s="4">
        <v>19.9448972054753</v>
      </c>
      <c r="S71" s="4">
        <v>19.576144957330101</v>
      </c>
      <c r="T71" s="4">
        <v>19.5496583608771</v>
      </c>
      <c r="U71" s="4">
        <f t="shared" si="6"/>
        <v>19.690233507894167</v>
      </c>
      <c r="X71" s="43" t="s">
        <v>2271</v>
      </c>
      <c r="Y71" s="4">
        <v>19.444670864829799</v>
      </c>
      <c r="Z71" s="4">
        <v>19.559858919769301</v>
      </c>
      <c r="AA71" s="4">
        <v>19.576941828298999</v>
      </c>
      <c r="AB71" s="4">
        <f t="shared" si="7"/>
        <v>19.527157204299368</v>
      </c>
      <c r="AK71" s="4" t="s">
        <v>1507</v>
      </c>
      <c r="AM71" s="4" t="s">
        <v>1749</v>
      </c>
      <c r="AP71" s="2"/>
      <c r="AQ71" s="1"/>
      <c r="AR71" s="1"/>
      <c r="AS71" s="1"/>
      <c r="AT71" s="6"/>
      <c r="AU71" s="1"/>
      <c r="AV71" s="5" t="s">
        <v>339</v>
      </c>
      <c r="AX71" s="23" t="s">
        <v>420</v>
      </c>
    </row>
    <row r="72" spans="2:50" x14ac:dyDescent="0.2">
      <c r="B72" s="4" t="s">
        <v>2963</v>
      </c>
      <c r="C72" s="4">
        <v>19.8797</v>
      </c>
      <c r="D72" s="4">
        <v>19.889299999999999</v>
      </c>
      <c r="E72" s="4">
        <v>19.932700000000001</v>
      </c>
      <c r="F72" s="4">
        <f t="shared" si="4"/>
        <v>19.900566666666666</v>
      </c>
      <c r="I72" s="4" t="s">
        <v>1944</v>
      </c>
      <c r="J72" s="4">
        <v>20.026299999999999</v>
      </c>
      <c r="K72" s="4">
        <v>20.006599999999999</v>
      </c>
      <c r="L72" s="4">
        <v>19.930499999999999</v>
      </c>
      <c r="M72" s="4">
        <f t="shared" si="5"/>
        <v>19.987799999999996</v>
      </c>
      <c r="Q72" s="43" t="s">
        <v>1495</v>
      </c>
      <c r="R72" s="4">
        <v>20.326789436042301</v>
      </c>
      <c r="S72" s="4">
        <v>19.229016159799102</v>
      </c>
      <c r="T72" s="4">
        <v>19.4965694826506</v>
      </c>
      <c r="U72" s="4">
        <f t="shared" si="6"/>
        <v>19.684125026164001</v>
      </c>
      <c r="X72" s="43" t="s">
        <v>2486</v>
      </c>
      <c r="Y72" s="4">
        <v>19.458472220337999</v>
      </c>
      <c r="Z72" s="4">
        <v>19.6913674414313</v>
      </c>
      <c r="AA72" s="4">
        <v>19.309009698373298</v>
      </c>
      <c r="AB72" s="4">
        <f t="shared" si="7"/>
        <v>19.486283120047531</v>
      </c>
      <c r="AK72" s="4" t="s">
        <v>2712</v>
      </c>
      <c r="AM72" s="4" t="s">
        <v>4481</v>
      </c>
      <c r="AP72" s="2"/>
      <c r="AQ72" s="1"/>
      <c r="AR72" s="1"/>
      <c r="AS72" s="1"/>
      <c r="AT72" s="6"/>
      <c r="AU72" s="1"/>
      <c r="AV72" s="5" t="s">
        <v>342</v>
      </c>
      <c r="AX72" s="18" t="s">
        <v>403</v>
      </c>
    </row>
    <row r="73" spans="2:50" x14ac:dyDescent="0.2">
      <c r="B73" s="4" t="s">
        <v>1922</v>
      </c>
      <c r="C73" s="4">
        <v>19.785</v>
      </c>
      <c r="D73" s="4">
        <v>19.7624</v>
      </c>
      <c r="E73" s="4">
        <v>20.114799999999999</v>
      </c>
      <c r="F73" s="4">
        <f t="shared" si="4"/>
        <v>19.8874</v>
      </c>
      <c r="I73" s="4" t="s">
        <v>2286</v>
      </c>
      <c r="J73" s="4">
        <v>19.964500000000001</v>
      </c>
      <c r="K73" s="4">
        <v>19.849699999999999</v>
      </c>
      <c r="L73" s="4">
        <v>19.8614</v>
      </c>
      <c r="M73" s="4">
        <f t="shared" si="5"/>
        <v>19.891866666666669</v>
      </c>
      <c r="Q73" s="43" t="s">
        <v>1377</v>
      </c>
      <c r="R73" s="4">
        <v>20.000721350468002</v>
      </c>
      <c r="S73" s="4">
        <v>19.342465476427499</v>
      </c>
      <c r="T73" s="4">
        <v>19.616875750323601</v>
      </c>
      <c r="U73" s="4">
        <f t="shared" si="6"/>
        <v>19.653354192406368</v>
      </c>
      <c r="X73" s="43" t="s">
        <v>882</v>
      </c>
      <c r="Y73" s="4">
        <v>19.465495617903201</v>
      </c>
      <c r="Z73" s="4">
        <v>19.644675903025799</v>
      </c>
      <c r="AA73" s="4">
        <v>19.323407408325199</v>
      </c>
      <c r="AB73" s="4">
        <f t="shared" si="7"/>
        <v>19.477859643084731</v>
      </c>
      <c r="AK73" s="4" t="s">
        <v>2912</v>
      </c>
      <c r="AM73" s="4" t="s">
        <v>4466</v>
      </c>
      <c r="AP73" s="2"/>
      <c r="AQ73" s="1"/>
      <c r="AR73" s="1"/>
      <c r="AS73" s="1"/>
      <c r="AT73" s="6"/>
      <c r="AU73" s="1"/>
      <c r="AV73" s="5" t="s">
        <v>349</v>
      </c>
      <c r="AX73" s="6" t="s">
        <v>650</v>
      </c>
    </row>
    <row r="74" spans="2:50" x14ac:dyDescent="0.2">
      <c r="B74" s="4" t="s">
        <v>3578</v>
      </c>
      <c r="C74" s="4">
        <v>19.8795</v>
      </c>
      <c r="D74" s="4">
        <v>19.801100000000002</v>
      </c>
      <c r="E74" s="4">
        <v>19.8629</v>
      </c>
      <c r="F74" s="4">
        <f t="shared" si="4"/>
        <v>19.84783333333333</v>
      </c>
      <c r="I74" s="4" t="s">
        <v>4043</v>
      </c>
      <c r="J74" s="4">
        <v>19.901299999999999</v>
      </c>
      <c r="K74" s="4">
        <v>20.119299999999999</v>
      </c>
      <c r="L74" s="4">
        <v>19.647300000000001</v>
      </c>
      <c r="M74" s="4">
        <f t="shared" si="5"/>
        <v>19.889300000000002</v>
      </c>
      <c r="Q74" s="43" t="s">
        <v>2943</v>
      </c>
      <c r="R74" s="4">
        <v>19.5968845088364</v>
      </c>
      <c r="S74" s="4">
        <v>19.640682888928399</v>
      </c>
      <c r="T74" s="4">
        <v>19.681429409498701</v>
      </c>
      <c r="U74" s="4">
        <f t="shared" si="6"/>
        <v>19.639665602421164</v>
      </c>
      <c r="X74" s="43" t="s">
        <v>4048</v>
      </c>
      <c r="Y74" s="4">
        <v>19.402339173823702</v>
      </c>
      <c r="Z74" s="4">
        <v>19.5489735638136</v>
      </c>
      <c r="AA74" s="4">
        <v>19.457779497325099</v>
      </c>
      <c r="AB74" s="4">
        <f t="shared" si="7"/>
        <v>19.469697411654135</v>
      </c>
      <c r="AK74" s="4" t="s">
        <v>1421</v>
      </c>
      <c r="AM74" s="4" t="s">
        <v>3410</v>
      </c>
      <c r="AP74" s="2"/>
      <c r="AQ74" s="1"/>
      <c r="AR74" s="1"/>
      <c r="AS74" s="1"/>
      <c r="AT74" s="6"/>
      <c r="AU74" s="1"/>
      <c r="AV74" s="5" t="s">
        <v>356</v>
      </c>
      <c r="AX74" s="6" t="s">
        <v>651</v>
      </c>
    </row>
    <row r="75" spans="2:50" x14ac:dyDescent="0.2">
      <c r="B75" s="4" t="s">
        <v>2286</v>
      </c>
      <c r="C75" s="4">
        <v>19.970300000000002</v>
      </c>
      <c r="D75" s="4">
        <v>19.9527</v>
      </c>
      <c r="E75" s="4">
        <v>19.560300000000002</v>
      </c>
      <c r="F75" s="4">
        <f t="shared" si="4"/>
        <v>19.827766666666665</v>
      </c>
      <c r="I75" s="4" t="s">
        <v>2486</v>
      </c>
      <c r="J75" s="4">
        <v>19.889099999999999</v>
      </c>
      <c r="K75" s="4">
        <v>20.025500000000001</v>
      </c>
      <c r="L75" s="4">
        <v>19.730799999999999</v>
      </c>
      <c r="M75" s="4">
        <f t="shared" si="5"/>
        <v>19.881799999999998</v>
      </c>
      <c r="Q75" s="43" t="s">
        <v>2751</v>
      </c>
      <c r="R75" s="4">
        <v>19.5227100074212</v>
      </c>
      <c r="S75" s="4">
        <v>19.8487972641685</v>
      </c>
      <c r="T75" s="4">
        <v>19.469461230566601</v>
      </c>
      <c r="U75" s="4">
        <f t="shared" si="6"/>
        <v>19.613656167385432</v>
      </c>
      <c r="X75" s="43" t="s">
        <v>2890</v>
      </c>
      <c r="Y75" s="4">
        <v>19.4348065406584</v>
      </c>
      <c r="Z75" s="4">
        <v>19.638612516021201</v>
      </c>
      <c r="AA75" s="4">
        <v>19.2931093317621</v>
      </c>
      <c r="AB75" s="4">
        <f t="shared" si="7"/>
        <v>19.455509462813897</v>
      </c>
      <c r="AK75" s="4" t="s">
        <v>2437</v>
      </c>
      <c r="AM75" s="4" t="s">
        <v>4195</v>
      </c>
      <c r="AP75" s="2"/>
      <c r="AQ75" s="1"/>
      <c r="AR75" s="1"/>
      <c r="AS75" s="1"/>
      <c r="AT75" s="6"/>
      <c r="AU75" s="1"/>
      <c r="AV75" s="5" t="s">
        <v>198</v>
      </c>
      <c r="AX75" s="6" t="s">
        <v>647</v>
      </c>
    </row>
    <row r="76" spans="2:50" x14ac:dyDescent="0.2">
      <c r="B76" s="4" t="s">
        <v>1878</v>
      </c>
      <c r="C76" s="4">
        <v>19.265999999999998</v>
      </c>
      <c r="D76" s="4">
        <v>20.015999999999998</v>
      </c>
      <c r="E76" s="4">
        <v>20.198599999999999</v>
      </c>
      <c r="F76" s="4">
        <f t="shared" si="4"/>
        <v>19.826866666666664</v>
      </c>
      <c r="I76" s="4" t="s">
        <v>1895</v>
      </c>
      <c r="J76" s="4">
        <v>19.7563</v>
      </c>
      <c r="K76" s="4">
        <v>19.928699999999999</v>
      </c>
      <c r="L76" s="4">
        <v>19.858699999999999</v>
      </c>
      <c r="M76" s="4">
        <f t="shared" si="5"/>
        <v>19.847899999999999</v>
      </c>
      <c r="Q76" s="43" t="s">
        <v>2359</v>
      </c>
      <c r="R76" s="4">
        <v>19.801242938144998</v>
      </c>
      <c r="S76" s="4">
        <v>19.434649245943799</v>
      </c>
      <c r="T76" s="4">
        <v>19.5875603503058</v>
      </c>
      <c r="U76" s="4">
        <f t="shared" si="6"/>
        <v>19.607817511464866</v>
      </c>
      <c r="X76" s="43" t="s">
        <v>2751</v>
      </c>
      <c r="Y76" s="4">
        <v>19.511090117193199</v>
      </c>
      <c r="Z76" s="4">
        <v>19.5514078797592</v>
      </c>
      <c r="AA76" s="4">
        <v>19.210609162488002</v>
      </c>
      <c r="AB76" s="4">
        <f t="shared" si="7"/>
        <v>19.424369053146801</v>
      </c>
      <c r="AK76" s="4" t="s">
        <v>3424</v>
      </c>
      <c r="AM76" s="4" t="s">
        <v>191</v>
      </c>
      <c r="AP76" s="2"/>
      <c r="AQ76" s="1"/>
      <c r="AR76" s="1"/>
      <c r="AS76" s="1"/>
      <c r="AT76" s="6"/>
      <c r="AU76" s="1"/>
      <c r="AV76" s="5" t="s">
        <v>58</v>
      </c>
      <c r="AX76" s="6" t="s">
        <v>766</v>
      </c>
    </row>
    <row r="77" spans="2:50" x14ac:dyDescent="0.2">
      <c r="B77" s="4" t="s">
        <v>1889</v>
      </c>
      <c r="C77" s="4">
        <v>19.7682</v>
      </c>
      <c r="D77" s="4">
        <v>19.7501</v>
      </c>
      <c r="E77" s="4">
        <v>19.942499999999999</v>
      </c>
      <c r="F77" s="4">
        <f t="shared" si="4"/>
        <v>19.820266666666665</v>
      </c>
      <c r="I77" s="4" t="s">
        <v>2458</v>
      </c>
      <c r="J77" s="4">
        <v>19.944500000000001</v>
      </c>
      <c r="K77" s="4">
        <v>19.610399999999998</v>
      </c>
      <c r="L77" s="4">
        <v>19.964700000000001</v>
      </c>
      <c r="M77" s="4">
        <f t="shared" si="5"/>
        <v>19.839866666666669</v>
      </c>
      <c r="Q77" s="43" t="s">
        <v>1803</v>
      </c>
      <c r="R77" s="4">
        <v>19.690378649593502</v>
      </c>
      <c r="S77" s="4">
        <v>19.6066172482154</v>
      </c>
      <c r="T77" s="4">
        <v>19.457014473723198</v>
      </c>
      <c r="U77" s="4">
        <f t="shared" si="6"/>
        <v>19.584670123844031</v>
      </c>
      <c r="X77" s="43" t="s">
        <v>1169</v>
      </c>
      <c r="Y77" s="4">
        <v>19.3792179978166</v>
      </c>
      <c r="Z77" s="4">
        <v>19.482721548281599</v>
      </c>
      <c r="AA77" s="4">
        <v>19.2739451902216</v>
      </c>
      <c r="AB77" s="4">
        <f t="shared" si="7"/>
        <v>19.378628245439931</v>
      </c>
      <c r="AK77" s="4" t="s">
        <v>3350</v>
      </c>
      <c r="AM77" s="4" t="s">
        <v>4311</v>
      </c>
      <c r="AP77" s="2"/>
      <c r="AQ77" s="1"/>
      <c r="AR77" s="1"/>
      <c r="AS77" s="1"/>
      <c r="AT77" s="6"/>
      <c r="AU77" s="1"/>
      <c r="AV77" s="5" t="s">
        <v>204</v>
      </c>
      <c r="AX77" s="6" t="s">
        <v>648</v>
      </c>
    </row>
    <row r="78" spans="2:50" x14ac:dyDescent="0.2">
      <c r="B78" s="4" t="s">
        <v>3355</v>
      </c>
      <c r="C78" s="4">
        <v>20.106999999999999</v>
      </c>
      <c r="D78" s="4">
        <v>19.774999999999999</v>
      </c>
      <c r="E78" s="4">
        <v>19.4312</v>
      </c>
      <c r="F78" s="4">
        <f t="shared" si="4"/>
        <v>19.771066666666666</v>
      </c>
      <c r="I78" s="4" t="s">
        <v>2435</v>
      </c>
      <c r="J78" s="4">
        <v>20.014500000000002</v>
      </c>
      <c r="K78" s="4">
        <v>20.2989</v>
      </c>
      <c r="L78" s="4">
        <v>19.133900000000001</v>
      </c>
      <c r="M78" s="4">
        <f t="shared" si="5"/>
        <v>19.815766666666665</v>
      </c>
      <c r="Q78" s="43" t="s">
        <v>1964</v>
      </c>
      <c r="R78" s="4">
        <v>19.837147700812402</v>
      </c>
      <c r="S78" s="4">
        <v>19.308575165137398</v>
      </c>
      <c r="T78" s="4">
        <v>19.4967027199204</v>
      </c>
      <c r="U78" s="4">
        <f t="shared" si="6"/>
        <v>19.547475195290065</v>
      </c>
      <c r="X78" s="43" t="s">
        <v>1665</v>
      </c>
      <c r="Y78" s="4">
        <v>19.323423000463301</v>
      </c>
      <c r="Z78" s="4">
        <v>19.410456718102399</v>
      </c>
      <c r="AA78" s="4">
        <v>19.221004733481099</v>
      </c>
      <c r="AB78" s="4">
        <f t="shared" si="7"/>
        <v>19.318294817348932</v>
      </c>
      <c r="AK78" s="4" t="s">
        <v>3413</v>
      </c>
      <c r="AM78" s="4" t="s">
        <v>4570</v>
      </c>
      <c r="AP78" s="2"/>
      <c r="AQ78" s="1"/>
      <c r="AR78" s="1"/>
      <c r="AS78" s="1"/>
      <c r="AT78" s="6"/>
      <c r="AU78" s="1"/>
      <c r="AV78" s="5" t="s">
        <v>364</v>
      </c>
      <c r="AX78" s="6" t="s">
        <v>660</v>
      </c>
    </row>
    <row r="79" spans="2:50" x14ac:dyDescent="0.2">
      <c r="B79" s="4" t="s">
        <v>1895</v>
      </c>
      <c r="C79" s="4">
        <v>19.8307</v>
      </c>
      <c r="D79" s="4">
        <v>19.5778</v>
      </c>
      <c r="E79" s="4">
        <v>19.853999999999999</v>
      </c>
      <c r="F79" s="4">
        <f t="shared" si="4"/>
        <v>19.754166666666666</v>
      </c>
      <c r="I79" s="4" t="s">
        <v>1922</v>
      </c>
      <c r="J79" s="4">
        <v>19.63</v>
      </c>
      <c r="K79" s="4">
        <v>19.9756</v>
      </c>
      <c r="L79" s="4">
        <v>19.796399999999998</v>
      </c>
      <c r="M79" s="4">
        <f t="shared" si="5"/>
        <v>19.800666666666665</v>
      </c>
      <c r="Q79" s="43" t="s">
        <v>3690</v>
      </c>
      <c r="R79" s="4">
        <v>19.5932484844162</v>
      </c>
      <c r="S79" s="4">
        <v>19.3964902346532</v>
      </c>
      <c r="T79" s="4">
        <v>19.651757806448401</v>
      </c>
      <c r="U79" s="4">
        <f t="shared" si="6"/>
        <v>19.547165508505934</v>
      </c>
      <c r="X79" s="43" t="s">
        <v>2188</v>
      </c>
      <c r="Y79" s="4">
        <v>19.237530111235898</v>
      </c>
      <c r="Z79" s="4">
        <v>19.3755989133684</v>
      </c>
      <c r="AA79" s="4">
        <v>19.1865707298636</v>
      </c>
      <c r="AB79" s="4">
        <f t="shared" si="7"/>
        <v>19.26656658482263</v>
      </c>
      <c r="AK79" s="4" t="s">
        <v>1579</v>
      </c>
      <c r="AM79" s="4" t="s">
        <v>4326</v>
      </c>
      <c r="AP79" s="2"/>
      <c r="AQ79" s="1"/>
      <c r="AR79" s="1"/>
      <c r="AS79" s="1"/>
      <c r="AT79" s="6"/>
      <c r="AU79" s="1"/>
      <c r="AV79" s="5" t="s">
        <v>210</v>
      </c>
      <c r="AX79" s="6" t="s">
        <v>653</v>
      </c>
    </row>
    <row r="80" spans="2:50" x14ac:dyDescent="0.2">
      <c r="B80" s="4" t="s">
        <v>3116</v>
      </c>
      <c r="C80" s="4">
        <v>19.562999999999999</v>
      </c>
      <c r="D80" s="4">
        <v>19.700099999999999</v>
      </c>
      <c r="E80" s="4">
        <v>19.866</v>
      </c>
      <c r="F80" s="4">
        <f t="shared" si="4"/>
        <v>19.709699999999998</v>
      </c>
      <c r="I80" s="4" t="s">
        <v>46</v>
      </c>
      <c r="J80" s="4">
        <v>19.840399999999999</v>
      </c>
      <c r="K80" s="4">
        <v>19.656099999999999</v>
      </c>
      <c r="L80" s="4">
        <v>19.901800000000001</v>
      </c>
      <c r="M80" s="4">
        <f t="shared" si="5"/>
        <v>19.799433333333333</v>
      </c>
      <c r="Q80" s="43" t="s">
        <v>2950</v>
      </c>
      <c r="R80" s="4">
        <v>19.988148495885099</v>
      </c>
      <c r="S80" s="4">
        <v>19.140916731438899</v>
      </c>
      <c r="T80" s="4">
        <v>19.446543755933501</v>
      </c>
      <c r="U80" s="4">
        <f t="shared" si="6"/>
        <v>19.525202994419164</v>
      </c>
      <c r="X80" s="43" t="s">
        <v>1176</v>
      </c>
      <c r="Y80" s="4">
        <v>19.241392356794901</v>
      </c>
      <c r="Z80" s="4">
        <v>19.250618761085001</v>
      </c>
      <c r="AA80" s="4">
        <v>19.226034591854699</v>
      </c>
      <c r="AB80" s="4">
        <f t="shared" si="7"/>
        <v>19.239348569911531</v>
      </c>
      <c r="AK80" s="4" t="s">
        <v>1402</v>
      </c>
      <c r="AM80" s="4" t="s">
        <v>4559</v>
      </c>
      <c r="AP80" s="2"/>
      <c r="AQ80" s="1"/>
      <c r="AR80" s="1"/>
      <c r="AS80" s="1"/>
      <c r="AT80" s="6"/>
      <c r="AU80" s="1"/>
      <c r="AV80" s="5" t="s">
        <v>222</v>
      </c>
      <c r="AX80" s="6" t="s">
        <v>268</v>
      </c>
    </row>
    <row r="81" spans="2:50" x14ac:dyDescent="0.2">
      <c r="B81" s="4" t="s">
        <v>2435</v>
      </c>
      <c r="C81" s="4">
        <v>19.697399999999998</v>
      </c>
      <c r="D81" s="4">
        <v>19.644300000000001</v>
      </c>
      <c r="E81" s="4">
        <v>19.617100000000001</v>
      </c>
      <c r="F81" s="4">
        <f t="shared" si="4"/>
        <v>19.652933333333333</v>
      </c>
      <c r="I81" s="4" t="s">
        <v>1889</v>
      </c>
      <c r="J81" s="4">
        <v>19.862100000000002</v>
      </c>
      <c r="K81" s="4">
        <v>19.866599999999998</v>
      </c>
      <c r="L81" s="4">
        <v>19.6632</v>
      </c>
      <c r="M81" s="4">
        <f t="shared" si="5"/>
        <v>19.797300000000003</v>
      </c>
      <c r="Q81" s="43" t="s">
        <v>2890</v>
      </c>
      <c r="R81" s="4">
        <v>19.4039772776548</v>
      </c>
      <c r="S81" s="4">
        <v>19.560209436650599</v>
      </c>
      <c r="T81" s="4">
        <v>19.499269845444999</v>
      </c>
      <c r="U81" s="4">
        <f t="shared" si="6"/>
        <v>19.487818853250133</v>
      </c>
      <c r="X81" s="43" t="s">
        <v>4179</v>
      </c>
      <c r="Y81" s="4">
        <v>19.876293664272701</v>
      </c>
      <c r="Z81" s="4">
        <v>18.905830131757501</v>
      </c>
      <c r="AA81" s="4">
        <v>18.908734404231399</v>
      </c>
      <c r="AB81" s="4">
        <f t="shared" si="7"/>
        <v>19.230286066753866</v>
      </c>
      <c r="AK81" s="4" t="s">
        <v>2017</v>
      </c>
      <c r="AM81" s="4" t="s">
        <v>4177</v>
      </c>
      <c r="AP81" s="2"/>
      <c r="AQ81" s="1"/>
      <c r="AR81" s="1"/>
      <c r="AS81" s="1"/>
      <c r="AT81" s="6"/>
      <c r="AU81" s="1"/>
      <c r="AV81" s="5" t="s">
        <v>65</v>
      </c>
      <c r="AX81" s="6" t="s">
        <v>652</v>
      </c>
    </row>
    <row r="82" spans="2:50" x14ac:dyDescent="0.2">
      <c r="B82" s="4" t="s">
        <v>3843</v>
      </c>
      <c r="C82" s="4">
        <v>19.7925</v>
      </c>
      <c r="D82" s="4">
        <v>19.620999999999999</v>
      </c>
      <c r="E82" s="4">
        <v>19.422799999999999</v>
      </c>
      <c r="F82" s="4">
        <f t="shared" si="4"/>
        <v>19.612099999999998</v>
      </c>
      <c r="I82" s="4" t="s">
        <v>2838</v>
      </c>
      <c r="J82" s="4">
        <v>19.752800000000001</v>
      </c>
      <c r="K82" s="4">
        <v>19.825399999999998</v>
      </c>
      <c r="L82" s="4">
        <v>19.723600000000001</v>
      </c>
      <c r="M82" s="4">
        <f t="shared" si="5"/>
        <v>19.767266666666668</v>
      </c>
      <c r="Q82" s="43" t="s">
        <v>3785</v>
      </c>
      <c r="R82" s="4">
        <v>19.796163412764098</v>
      </c>
      <c r="S82" s="4">
        <v>19.254842282807701</v>
      </c>
      <c r="T82" s="4">
        <v>19.412118441995201</v>
      </c>
      <c r="U82" s="4">
        <f t="shared" si="6"/>
        <v>19.487708045855669</v>
      </c>
      <c r="X82" s="43" t="s">
        <v>1065</v>
      </c>
      <c r="Y82" s="4">
        <v>18.999347431221</v>
      </c>
      <c r="Z82" s="4">
        <v>19.358517187298901</v>
      </c>
      <c r="AA82" s="4">
        <v>19.297889601008102</v>
      </c>
      <c r="AB82" s="4">
        <f t="shared" si="7"/>
        <v>19.218584739842665</v>
      </c>
      <c r="AK82" s="4" t="s">
        <v>2478</v>
      </c>
      <c r="AM82" s="4" t="s">
        <v>894</v>
      </c>
      <c r="AP82" s="2"/>
      <c r="AQ82" s="1"/>
      <c r="AR82" s="1"/>
      <c r="AS82" s="1"/>
      <c r="AT82" s="6"/>
      <c r="AU82" s="1"/>
      <c r="AV82" s="5" t="s">
        <v>227</v>
      </c>
      <c r="AX82" s="6" t="s">
        <v>655</v>
      </c>
    </row>
    <row r="83" spans="2:50" x14ac:dyDescent="0.2">
      <c r="B83" s="4" t="s">
        <v>1495</v>
      </c>
      <c r="C83" s="4">
        <v>19.8399</v>
      </c>
      <c r="D83" s="4">
        <v>19.806100000000001</v>
      </c>
      <c r="E83" s="4">
        <v>19.162700000000001</v>
      </c>
      <c r="F83" s="4">
        <f t="shared" si="4"/>
        <v>19.602900000000002</v>
      </c>
      <c r="I83" s="4" t="s">
        <v>1678</v>
      </c>
      <c r="J83" s="4">
        <v>19.996600000000001</v>
      </c>
      <c r="K83" s="4">
        <v>19.052499999999998</v>
      </c>
      <c r="L83" s="4">
        <v>20.191500000000001</v>
      </c>
      <c r="M83" s="4">
        <f t="shared" si="5"/>
        <v>19.746866666666666</v>
      </c>
      <c r="Q83" s="43" t="s">
        <v>655</v>
      </c>
      <c r="R83" s="4">
        <v>19.205369672870201</v>
      </c>
      <c r="S83" s="4">
        <v>19.5627765426411</v>
      </c>
      <c r="T83" s="4">
        <v>19.665419441237201</v>
      </c>
      <c r="U83" s="4">
        <f t="shared" si="6"/>
        <v>19.477855218916165</v>
      </c>
      <c r="X83" s="43" t="s">
        <v>1903</v>
      </c>
      <c r="Y83" s="4">
        <v>19.445301694967199</v>
      </c>
      <c r="Z83" s="4">
        <v>19.119166866991701</v>
      </c>
      <c r="AA83" s="4">
        <v>19.088023307731699</v>
      </c>
      <c r="AB83" s="4">
        <f t="shared" si="7"/>
        <v>19.217497289896869</v>
      </c>
      <c r="AK83" s="4" t="s">
        <v>3919</v>
      </c>
      <c r="AM83" s="4" t="s">
        <v>1894</v>
      </c>
      <c r="AP83" s="2"/>
      <c r="AQ83" s="1"/>
      <c r="AR83" s="1"/>
      <c r="AS83" s="1"/>
      <c r="AT83" s="6"/>
      <c r="AU83" s="1"/>
      <c r="AV83" s="13" t="s">
        <v>380</v>
      </c>
      <c r="AX83" s="6" t="s">
        <v>658</v>
      </c>
    </row>
    <row r="84" spans="2:50" x14ac:dyDescent="0.2">
      <c r="B84" s="4" t="s">
        <v>1944</v>
      </c>
      <c r="C84" s="4">
        <v>19.589700000000001</v>
      </c>
      <c r="D84" s="4">
        <v>19.706900000000001</v>
      </c>
      <c r="E84" s="4">
        <v>19.498899999999999</v>
      </c>
      <c r="F84" s="4">
        <f t="shared" si="4"/>
        <v>19.598499999999998</v>
      </c>
      <c r="I84" s="4" t="s">
        <v>2309</v>
      </c>
      <c r="J84" s="4">
        <v>19.268999999999998</v>
      </c>
      <c r="K84" s="4">
        <v>20.608599999999999</v>
      </c>
      <c r="L84" s="4">
        <v>19.32</v>
      </c>
      <c r="M84" s="4">
        <f t="shared" si="5"/>
        <v>19.732533333333333</v>
      </c>
      <c r="Q84" s="43" t="s">
        <v>3648</v>
      </c>
      <c r="R84" s="4">
        <v>19.899900199600399</v>
      </c>
      <c r="S84" s="4">
        <v>19.151520180102199</v>
      </c>
      <c r="T84" s="4">
        <v>19.3756228246482</v>
      </c>
      <c r="U84" s="4">
        <f t="shared" si="6"/>
        <v>19.475681068116931</v>
      </c>
      <c r="X84" s="43" t="s">
        <v>1725</v>
      </c>
      <c r="Y84" s="4">
        <v>19.198837366121001</v>
      </c>
      <c r="Z84" s="4">
        <v>19.219441498842301</v>
      </c>
      <c r="AA84" s="4">
        <v>19.2207005456576</v>
      </c>
      <c r="AB84" s="4">
        <f t="shared" si="7"/>
        <v>19.212993136873632</v>
      </c>
      <c r="AK84" s="4" t="s">
        <v>3747</v>
      </c>
      <c r="AM84" s="4" t="s">
        <v>4337</v>
      </c>
      <c r="AP84" s="2"/>
      <c r="AQ84" s="1"/>
      <c r="AR84" s="1"/>
      <c r="AS84" s="1"/>
      <c r="AT84" s="6"/>
      <c r="AU84" s="1"/>
      <c r="AV84" s="5" t="s">
        <v>384</v>
      </c>
      <c r="AX84" s="6" t="s">
        <v>85</v>
      </c>
    </row>
    <row r="85" spans="2:50" x14ac:dyDescent="0.2">
      <c r="B85" s="4" t="s">
        <v>2838</v>
      </c>
      <c r="C85" s="4">
        <v>19.628699999999998</v>
      </c>
      <c r="D85" s="4">
        <v>19.587700000000002</v>
      </c>
      <c r="E85" s="4">
        <v>19.5731</v>
      </c>
      <c r="F85" s="4">
        <f t="shared" si="4"/>
        <v>19.596500000000002</v>
      </c>
      <c r="I85" s="4" t="s">
        <v>3176</v>
      </c>
      <c r="J85" s="4">
        <v>19.3202</v>
      </c>
      <c r="K85" s="4">
        <v>20.185500000000001</v>
      </c>
      <c r="L85" s="4">
        <v>19.6861</v>
      </c>
      <c r="M85" s="4">
        <f t="shared" si="5"/>
        <v>19.730599999999999</v>
      </c>
      <c r="Q85" s="43" t="s">
        <v>3275</v>
      </c>
      <c r="R85" s="4">
        <v>19.6950465664289</v>
      </c>
      <c r="S85" s="4">
        <v>19.399762608130299</v>
      </c>
      <c r="T85" s="4">
        <v>19.2994460904394</v>
      </c>
      <c r="U85" s="4">
        <f t="shared" si="6"/>
        <v>19.464751754999536</v>
      </c>
      <c r="X85" s="43" t="s">
        <v>2224</v>
      </c>
      <c r="Y85" s="4">
        <v>19.227369082254899</v>
      </c>
      <c r="Z85" s="4">
        <v>19.2864794090349</v>
      </c>
      <c r="AA85" s="4">
        <v>19.0406696985915</v>
      </c>
      <c r="AB85" s="4">
        <f t="shared" si="7"/>
        <v>19.184839396627101</v>
      </c>
      <c r="AK85" s="4" t="s">
        <v>2403</v>
      </c>
      <c r="AM85" s="4" t="s">
        <v>4094</v>
      </c>
      <c r="AP85" s="2"/>
      <c r="AQ85" s="1"/>
      <c r="AR85" s="1"/>
      <c r="AS85" s="1"/>
      <c r="AT85" s="6"/>
      <c r="AU85" s="1"/>
      <c r="AV85" s="5" t="s">
        <v>123</v>
      </c>
      <c r="AX85" s="6" t="s">
        <v>649</v>
      </c>
    </row>
    <row r="86" spans="2:50" x14ac:dyDescent="0.2">
      <c r="B86" s="4" t="s">
        <v>2309</v>
      </c>
      <c r="C86" s="4">
        <v>19.489999999999998</v>
      </c>
      <c r="D86" s="4">
        <v>19.5246</v>
      </c>
      <c r="E86" s="4">
        <v>19.771699999999999</v>
      </c>
      <c r="F86" s="4">
        <f t="shared" si="4"/>
        <v>19.595433333333332</v>
      </c>
      <c r="I86" s="4" t="s">
        <v>3330</v>
      </c>
      <c r="J86" s="4">
        <v>19.8657</v>
      </c>
      <c r="K86" s="4">
        <v>19.275600000000001</v>
      </c>
      <c r="L86" s="4">
        <v>20.032499999999999</v>
      </c>
      <c r="M86" s="4">
        <f t="shared" si="5"/>
        <v>19.724599999999999</v>
      </c>
      <c r="Q86" s="43" t="s">
        <v>2309</v>
      </c>
      <c r="R86" s="4">
        <v>19.387782353186601</v>
      </c>
      <c r="S86" s="4">
        <v>19.5717335725273</v>
      </c>
      <c r="T86" s="4">
        <v>19.4255279074893</v>
      </c>
      <c r="U86" s="4">
        <f t="shared" si="6"/>
        <v>19.461681277734399</v>
      </c>
      <c r="X86" s="43" t="s">
        <v>2866</v>
      </c>
      <c r="Y86" s="4">
        <v>19.021838805284901</v>
      </c>
      <c r="Z86" s="4">
        <v>19.322500802692801</v>
      </c>
      <c r="AA86" s="4">
        <v>19.122482656963001</v>
      </c>
      <c r="AB86" s="4">
        <f t="shared" si="7"/>
        <v>19.155607421646902</v>
      </c>
      <c r="AK86" s="4" t="s">
        <v>4080</v>
      </c>
      <c r="AM86" s="4" t="s">
        <v>4572</v>
      </c>
      <c r="AP86" s="2"/>
      <c r="AQ86" s="1"/>
      <c r="AR86" s="1"/>
      <c r="AS86" s="1"/>
      <c r="AT86" s="6"/>
      <c r="AU86" s="1"/>
      <c r="AV86" s="5" t="s">
        <v>233</v>
      </c>
      <c r="AX86" s="6" t="s">
        <v>666</v>
      </c>
    </row>
    <row r="87" spans="2:50" x14ac:dyDescent="0.2">
      <c r="B87" s="4" t="s">
        <v>3024</v>
      </c>
      <c r="C87" s="4">
        <v>19.5641</v>
      </c>
      <c r="D87" s="4">
        <v>19.570900000000002</v>
      </c>
      <c r="E87" s="4">
        <v>19.581600000000002</v>
      </c>
      <c r="F87" s="4">
        <f t="shared" si="4"/>
        <v>19.572200000000002</v>
      </c>
      <c r="I87" s="4" t="s">
        <v>2963</v>
      </c>
      <c r="J87" s="4">
        <v>19.419699999999999</v>
      </c>
      <c r="K87" s="4">
        <v>19.986000000000001</v>
      </c>
      <c r="L87" s="4">
        <v>19.512599999999999</v>
      </c>
      <c r="M87" s="4">
        <f t="shared" si="5"/>
        <v>19.639433333333333</v>
      </c>
      <c r="Q87" s="43" t="s">
        <v>2342</v>
      </c>
      <c r="R87" s="4">
        <v>19.615925470010499</v>
      </c>
      <c r="S87" s="4">
        <v>19.329383525248801</v>
      </c>
      <c r="T87" s="4">
        <v>19.370470794975802</v>
      </c>
      <c r="U87" s="4">
        <f t="shared" si="6"/>
        <v>19.4385932634117</v>
      </c>
      <c r="X87" s="43" t="s">
        <v>2723</v>
      </c>
      <c r="Y87" s="4">
        <v>18.975457737459902</v>
      </c>
      <c r="Z87" s="4">
        <v>19.234378247829</v>
      </c>
      <c r="AA87" s="4">
        <v>19.1882580611252</v>
      </c>
      <c r="AB87" s="4">
        <f t="shared" si="7"/>
        <v>19.132698015471366</v>
      </c>
      <c r="AK87" s="4" t="s">
        <v>2561</v>
      </c>
      <c r="AM87" s="4" t="s">
        <v>1240</v>
      </c>
      <c r="AP87" s="2"/>
      <c r="AQ87" s="1"/>
      <c r="AR87" s="1"/>
      <c r="AS87" s="1"/>
      <c r="AT87" s="6"/>
      <c r="AU87" s="1"/>
      <c r="AV87" s="5" t="s">
        <v>73</v>
      </c>
      <c r="AX87" s="6" t="s">
        <v>824</v>
      </c>
    </row>
    <row r="88" spans="2:50" x14ac:dyDescent="0.2">
      <c r="B88" s="4" t="s">
        <v>1925</v>
      </c>
      <c r="C88" s="4">
        <v>19.586099999999998</v>
      </c>
      <c r="D88" s="4">
        <v>19.454599999999999</v>
      </c>
      <c r="E88" s="4">
        <v>19.6114</v>
      </c>
      <c r="F88" s="4">
        <f t="shared" si="4"/>
        <v>19.550700000000003</v>
      </c>
      <c r="I88" s="4" t="s">
        <v>1202</v>
      </c>
      <c r="J88" s="4">
        <v>19.4375</v>
      </c>
      <c r="K88" s="4">
        <v>20.081399999999999</v>
      </c>
      <c r="L88" s="4">
        <v>19.339700000000001</v>
      </c>
      <c r="M88" s="4">
        <f t="shared" si="5"/>
        <v>19.619533333333333</v>
      </c>
      <c r="Q88" s="43" t="s">
        <v>1922</v>
      </c>
      <c r="R88" s="4">
        <v>19.402768756461299</v>
      </c>
      <c r="S88" s="4">
        <v>19.581428047032201</v>
      </c>
      <c r="T88" s="4">
        <v>19.243620574233599</v>
      </c>
      <c r="U88" s="4">
        <f t="shared" si="6"/>
        <v>19.40927245924237</v>
      </c>
      <c r="X88" s="43" t="s">
        <v>1335</v>
      </c>
      <c r="Y88" s="4">
        <v>19.118851371759501</v>
      </c>
      <c r="Z88" s="4">
        <v>19.187420654603901</v>
      </c>
      <c r="AA88" s="4">
        <v>19.0855704431318</v>
      </c>
      <c r="AB88" s="4">
        <f t="shared" si="7"/>
        <v>19.1306141564984</v>
      </c>
      <c r="AK88" s="4" t="s">
        <v>1445</v>
      </c>
      <c r="AM88" s="4" t="s">
        <v>4286</v>
      </c>
      <c r="AP88" s="2"/>
      <c r="AQ88" s="1"/>
      <c r="AR88" s="1"/>
      <c r="AS88" s="1"/>
      <c r="AT88" s="6"/>
      <c r="AU88" s="1"/>
      <c r="AV88" s="5" t="s">
        <v>390</v>
      </c>
      <c r="AX88" s="6" t="s">
        <v>659</v>
      </c>
    </row>
    <row r="89" spans="2:50" x14ac:dyDescent="0.2">
      <c r="B89" s="4" t="s">
        <v>1678</v>
      </c>
      <c r="C89" s="4">
        <v>19.452100000000002</v>
      </c>
      <c r="D89" s="4">
        <v>19.570499999999999</v>
      </c>
      <c r="E89" s="4">
        <v>19.588699999999999</v>
      </c>
      <c r="F89" s="4">
        <f t="shared" si="4"/>
        <v>19.537099999999999</v>
      </c>
      <c r="I89" s="4" t="s">
        <v>2271</v>
      </c>
      <c r="J89" s="4">
        <v>19.295100000000001</v>
      </c>
      <c r="K89" s="4">
        <v>20.444299999999998</v>
      </c>
      <c r="L89" s="4">
        <v>19.113600000000002</v>
      </c>
      <c r="M89" s="4">
        <f t="shared" si="5"/>
        <v>19.617666666666668</v>
      </c>
      <c r="Q89" s="43" t="s">
        <v>2642</v>
      </c>
      <c r="R89" s="4">
        <v>19.946921109462899</v>
      </c>
      <c r="S89" s="4">
        <v>19.136812443724601</v>
      </c>
      <c r="T89" s="4">
        <v>19.0480699806762</v>
      </c>
      <c r="U89" s="4">
        <f t="shared" si="6"/>
        <v>19.377267844621233</v>
      </c>
      <c r="X89" s="43" t="s">
        <v>3536</v>
      </c>
      <c r="Y89" s="4">
        <v>19.362072826482599</v>
      </c>
      <c r="Z89" s="4">
        <v>19.110635847204499</v>
      </c>
      <c r="AA89" s="4">
        <v>18.9157630072771</v>
      </c>
      <c r="AB89" s="4">
        <f t="shared" si="7"/>
        <v>19.129490560321397</v>
      </c>
      <c r="AK89" s="4" t="s">
        <v>2605</v>
      </c>
      <c r="AM89" s="4" t="s">
        <v>4164</v>
      </c>
      <c r="AP89" s="2"/>
      <c r="AQ89" s="1"/>
      <c r="AR89" s="1"/>
      <c r="AS89" s="1"/>
      <c r="AT89" s="6"/>
      <c r="AU89" s="1"/>
      <c r="AV89" s="5" t="s">
        <v>394</v>
      </c>
      <c r="AX89" s="6" t="s">
        <v>656</v>
      </c>
    </row>
    <row r="90" spans="2:50" x14ac:dyDescent="0.2">
      <c r="B90" s="4" t="s">
        <v>1017</v>
      </c>
      <c r="C90" s="4">
        <v>19.887499999999999</v>
      </c>
      <c r="D90" s="4">
        <v>19.386900000000001</v>
      </c>
      <c r="E90" s="4">
        <v>19.245699999999999</v>
      </c>
      <c r="F90" s="4">
        <f t="shared" si="4"/>
        <v>19.506699999999999</v>
      </c>
      <c r="I90" s="4" t="s">
        <v>938</v>
      </c>
      <c r="J90" s="4">
        <v>19.5319</v>
      </c>
      <c r="K90" s="4">
        <v>20.266400000000001</v>
      </c>
      <c r="L90" s="4">
        <v>19.051200000000001</v>
      </c>
      <c r="M90" s="4">
        <f t="shared" si="5"/>
        <v>19.616499999999998</v>
      </c>
      <c r="Q90" s="43" t="s">
        <v>1258</v>
      </c>
      <c r="R90" s="4">
        <v>18.9665611766371</v>
      </c>
      <c r="S90" s="4">
        <v>19.423430897059699</v>
      </c>
      <c r="T90" s="4">
        <v>19.635553952359999</v>
      </c>
      <c r="U90" s="4">
        <f t="shared" si="6"/>
        <v>19.341848675352267</v>
      </c>
      <c r="X90" s="43" t="s">
        <v>420</v>
      </c>
      <c r="Y90" s="4">
        <v>19.1620177095344</v>
      </c>
      <c r="Z90" s="4">
        <v>19.102049720513399</v>
      </c>
      <c r="AA90" s="4">
        <v>19.068193245974999</v>
      </c>
      <c r="AB90" s="4">
        <f t="shared" si="7"/>
        <v>19.110753558674265</v>
      </c>
      <c r="AK90" s="4" t="s">
        <v>1125</v>
      </c>
      <c r="AM90" s="4" t="s">
        <v>4339</v>
      </c>
      <c r="AP90" s="2"/>
      <c r="AQ90" s="1"/>
      <c r="AR90" s="1"/>
      <c r="AS90" s="1"/>
      <c r="AT90" s="6"/>
      <c r="AU90" s="1"/>
      <c r="AV90" s="5" t="s">
        <v>396</v>
      </c>
      <c r="AX90" s="6" t="s">
        <v>825</v>
      </c>
    </row>
    <row r="91" spans="2:50" x14ac:dyDescent="0.2">
      <c r="B91" s="4" t="s">
        <v>2271</v>
      </c>
      <c r="C91" s="4">
        <v>19.5701</v>
      </c>
      <c r="D91" s="4">
        <v>19.194600000000001</v>
      </c>
      <c r="E91" s="4">
        <v>19.725200000000001</v>
      </c>
      <c r="F91" s="4">
        <f t="shared" si="4"/>
        <v>19.496633333333335</v>
      </c>
      <c r="I91" s="4" t="s">
        <v>3321</v>
      </c>
      <c r="J91" s="4">
        <v>19.5398</v>
      </c>
      <c r="K91" s="4">
        <v>19.726900000000001</v>
      </c>
      <c r="L91" s="4">
        <v>19.5411</v>
      </c>
      <c r="M91" s="4">
        <f t="shared" si="5"/>
        <v>19.602599999999999</v>
      </c>
      <c r="Q91" s="43" t="s">
        <v>4002</v>
      </c>
      <c r="R91" s="4">
        <v>19.5365858767798</v>
      </c>
      <c r="S91" s="4">
        <v>19.3141814771692</v>
      </c>
      <c r="T91" s="4">
        <v>19.165843499626501</v>
      </c>
      <c r="U91" s="4">
        <f t="shared" si="6"/>
        <v>19.338870284525168</v>
      </c>
      <c r="X91" s="43" t="s">
        <v>2838</v>
      </c>
      <c r="Y91" s="4">
        <v>19.0114375547025</v>
      </c>
      <c r="Z91" s="4">
        <v>19.0740879286856</v>
      </c>
      <c r="AA91" s="4">
        <v>19.192369038628701</v>
      </c>
      <c r="AB91" s="4">
        <f t="shared" si="7"/>
        <v>19.092631507338933</v>
      </c>
      <c r="AK91" s="4" t="s">
        <v>3992</v>
      </c>
      <c r="AM91" s="4" t="s">
        <v>4301</v>
      </c>
      <c r="AP91" s="2"/>
      <c r="AQ91" s="1"/>
      <c r="AR91" s="1"/>
      <c r="AS91" s="1"/>
      <c r="AT91" s="6"/>
      <c r="AU91" s="1"/>
      <c r="AV91" s="5" t="s">
        <v>137</v>
      </c>
      <c r="AX91" s="6" t="s">
        <v>701</v>
      </c>
    </row>
    <row r="92" spans="2:50" x14ac:dyDescent="0.2">
      <c r="B92" s="4" t="s">
        <v>1826</v>
      </c>
      <c r="C92" s="4">
        <v>19.543600000000001</v>
      </c>
      <c r="D92" s="4">
        <v>19.334900000000001</v>
      </c>
      <c r="E92" s="4">
        <v>19.4573</v>
      </c>
      <c r="F92" s="4">
        <f t="shared" si="4"/>
        <v>19.445266666666669</v>
      </c>
      <c r="I92" s="4" t="s">
        <v>1565</v>
      </c>
      <c r="J92" s="4">
        <v>19.639099999999999</v>
      </c>
      <c r="K92" s="4">
        <v>19.392099999999999</v>
      </c>
      <c r="L92" s="4">
        <v>19.670500000000001</v>
      </c>
      <c r="M92" s="4">
        <f t="shared" si="5"/>
        <v>19.567233333333334</v>
      </c>
      <c r="Q92" s="43" t="s">
        <v>2838</v>
      </c>
      <c r="R92" s="4">
        <v>19.283164954839201</v>
      </c>
      <c r="S92" s="4">
        <v>19.2855110405633</v>
      </c>
      <c r="T92" s="4">
        <v>19.438586104134998</v>
      </c>
      <c r="U92" s="4">
        <f t="shared" si="6"/>
        <v>19.335754033179168</v>
      </c>
      <c r="X92" s="43" t="s">
        <v>3512</v>
      </c>
      <c r="Y92" s="4">
        <v>18.980289888597198</v>
      </c>
      <c r="Z92" s="4">
        <v>19.120971524444901</v>
      </c>
      <c r="AA92" s="4">
        <v>19.152010060518801</v>
      </c>
      <c r="AB92" s="4">
        <f t="shared" si="7"/>
        <v>19.0844238245203</v>
      </c>
      <c r="AK92" s="4" t="s">
        <v>2107</v>
      </c>
      <c r="AM92" s="4" t="s">
        <v>1039</v>
      </c>
      <c r="AP92" s="2"/>
      <c r="AQ92" s="1"/>
      <c r="AR92" s="1"/>
      <c r="AS92" s="1"/>
      <c r="AT92" s="6"/>
      <c r="AU92" s="1"/>
      <c r="AV92" s="5" t="s">
        <v>143</v>
      </c>
      <c r="AX92" s="6" t="s">
        <v>715</v>
      </c>
    </row>
    <row r="93" spans="2:50" x14ac:dyDescent="0.2">
      <c r="B93" s="4" t="s">
        <v>2661</v>
      </c>
      <c r="C93" s="4">
        <v>19.176500000000001</v>
      </c>
      <c r="D93" s="4">
        <v>19.405000000000001</v>
      </c>
      <c r="E93" s="4">
        <v>19.664400000000001</v>
      </c>
      <c r="F93" s="4">
        <f t="shared" si="4"/>
        <v>19.415300000000002</v>
      </c>
      <c r="I93" s="4" t="s">
        <v>1487</v>
      </c>
      <c r="J93" s="4">
        <v>19.076000000000001</v>
      </c>
      <c r="K93" s="4">
        <v>20.285599999999999</v>
      </c>
      <c r="L93" s="4">
        <v>19.310400000000001</v>
      </c>
      <c r="M93" s="4">
        <f t="shared" si="5"/>
        <v>19.557333333333332</v>
      </c>
      <c r="Q93" s="43" t="s">
        <v>3373</v>
      </c>
      <c r="R93" s="4">
        <v>19.4908108709643</v>
      </c>
      <c r="S93" s="4">
        <v>19.267375395297801</v>
      </c>
      <c r="T93" s="4">
        <v>19.120583796460799</v>
      </c>
      <c r="U93" s="4">
        <f t="shared" si="6"/>
        <v>19.292923354240965</v>
      </c>
      <c r="X93" s="43" t="s">
        <v>3275</v>
      </c>
      <c r="Y93" s="4">
        <v>18.982220850534699</v>
      </c>
      <c r="Z93" s="4">
        <v>19.067916236064899</v>
      </c>
      <c r="AA93" s="4">
        <v>19.177724000375601</v>
      </c>
      <c r="AB93" s="4">
        <f t="shared" si="7"/>
        <v>19.075953695658399</v>
      </c>
      <c r="AK93" s="4" t="s">
        <v>3970</v>
      </c>
      <c r="AM93" s="4" t="s">
        <v>1031</v>
      </c>
      <c r="AP93" s="2"/>
      <c r="AQ93" s="1"/>
      <c r="AR93" s="1"/>
      <c r="AS93" s="1"/>
      <c r="AT93" s="6"/>
      <c r="AU93" s="1"/>
      <c r="AV93" s="10" t="s">
        <v>150</v>
      </c>
      <c r="AX93" s="6" t="s">
        <v>826</v>
      </c>
    </row>
    <row r="94" spans="2:50" x14ac:dyDescent="0.2">
      <c r="B94" s="4" t="s">
        <v>647</v>
      </c>
      <c r="C94" s="4">
        <v>20.065200000000001</v>
      </c>
      <c r="D94" s="4">
        <v>19.448599999999999</v>
      </c>
      <c r="E94" s="4">
        <v>18.6676</v>
      </c>
      <c r="F94" s="4">
        <f t="shared" si="4"/>
        <v>19.393800000000002</v>
      </c>
      <c r="I94" s="4" t="s">
        <v>135</v>
      </c>
      <c r="J94" s="4">
        <v>19.653600000000001</v>
      </c>
      <c r="K94" s="4">
        <v>19.3675</v>
      </c>
      <c r="L94" s="4">
        <v>19.4924</v>
      </c>
      <c r="M94" s="4">
        <f t="shared" si="5"/>
        <v>19.504500000000004</v>
      </c>
      <c r="Q94" s="43" t="s">
        <v>1699</v>
      </c>
      <c r="R94" s="4">
        <v>19.389524370022599</v>
      </c>
      <c r="S94" s="4">
        <v>19.235136363629799</v>
      </c>
      <c r="T94" s="4">
        <v>19.175004711783501</v>
      </c>
      <c r="U94" s="4">
        <f t="shared" si="6"/>
        <v>19.266555148478634</v>
      </c>
      <c r="X94" s="43" t="s">
        <v>3373</v>
      </c>
      <c r="Y94" s="4">
        <v>19.046387675112399</v>
      </c>
      <c r="Z94" s="4">
        <v>19.125953759709599</v>
      </c>
      <c r="AA94" s="4">
        <v>19.044209131699901</v>
      </c>
      <c r="AB94" s="4">
        <f t="shared" si="7"/>
        <v>19.072183522173969</v>
      </c>
      <c r="AK94" s="4" t="s">
        <v>3709</v>
      </c>
      <c r="AM94" s="6" t="s">
        <v>693</v>
      </c>
      <c r="AP94" s="2"/>
      <c r="AQ94" s="1"/>
      <c r="AR94" s="1"/>
      <c r="AS94" s="1"/>
      <c r="AT94" s="6"/>
      <c r="AU94" s="1"/>
      <c r="AV94" s="5" t="s">
        <v>250</v>
      </c>
      <c r="AX94" s="6" t="s">
        <v>679</v>
      </c>
    </row>
    <row r="95" spans="2:50" x14ac:dyDescent="0.2">
      <c r="B95" s="4" t="s">
        <v>2214</v>
      </c>
      <c r="C95" s="4">
        <v>19.357399999999998</v>
      </c>
      <c r="D95" s="4">
        <v>19.364100000000001</v>
      </c>
      <c r="E95" s="4">
        <v>19.4117</v>
      </c>
      <c r="F95" s="4">
        <f t="shared" si="4"/>
        <v>19.377733333333335</v>
      </c>
      <c r="I95" s="4" t="s">
        <v>3578</v>
      </c>
      <c r="J95" s="4">
        <v>19.382200000000001</v>
      </c>
      <c r="K95" s="4">
        <v>19.464200000000002</v>
      </c>
      <c r="L95" s="4">
        <v>19.527899999999999</v>
      </c>
      <c r="M95" s="4">
        <f t="shared" si="5"/>
        <v>19.458100000000002</v>
      </c>
      <c r="Q95" s="43" t="s">
        <v>2723</v>
      </c>
      <c r="R95" s="4">
        <v>19.372119751583298</v>
      </c>
      <c r="S95" s="4">
        <v>19.237181840801401</v>
      </c>
      <c r="T95" s="4">
        <v>19.1714080330824</v>
      </c>
      <c r="U95" s="4">
        <f t="shared" si="6"/>
        <v>19.260236541822366</v>
      </c>
      <c r="X95" s="43" t="s">
        <v>729</v>
      </c>
      <c r="Y95" s="4">
        <v>19.132980005506202</v>
      </c>
      <c r="Z95" s="4">
        <v>19.066032010594999</v>
      </c>
      <c r="AA95" s="4">
        <v>19.015089942949601</v>
      </c>
      <c r="AB95" s="4">
        <f t="shared" si="7"/>
        <v>19.071367319683599</v>
      </c>
      <c r="AK95" s="4" t="s">
        <v>3192</v>
      </c>
      <c r="AM95" s="4" t="s">
        <v>4174</v>
      </c>
      <c r="AP95" s="2"/>
      <c r="AQ95" s="1"/>
      <c r="AR95" s="1"/>
      <c r="AS95" s="1"/>
      <c r="AT95" s="6"/>
      <c r="AU95" s="1"/>
      <c r="AV95" s="5" t="s">
        <v>88</v>
      </c>
      <c r="AX95" s="6" t="s">
        <v>481</v>
      </c>
    </row>
    <row r="96" spans="2:50" x14ac:dyDescent="0.2">
      <c r="B96" s="4" t="s">
        <v>1223</v>
      </c>
      <c r="C96" s="4">
        <v>19.430199999999999</v>
      </c>
      <c r="D96" s="4">
        <v>19.396899999999999</v>
      </c>
      <c r="E96" s="4">
        <v>19.2788</v>
      </c>
      <c r="F96" s="4">
        <f t="shared" si="4"/>
        <v>19.368633333333335</v>
      </c>
      <c r="I96" s="4" t="s">
        <v>1908</v>
      </c>
      <c r="J96" s="4">
        <v>19.593699999999998</v>
      </c>
      <c r="K96" s="4">
        <v>19.190000000000001</v>
      </c>
      <c r="L96" s="4">
        <v>19.567699999999999</v>
      </c>
      <c r="M96" s="4">
        <f t="shared" si="5"/>
        <v>19.450466666666667</v>
      </c>
      <c r="Q96" s="43" t="s">
        <v>648</v>
      </c>
      <c r="R96" s="4">
        <v>18.760818358641</v>
      </c>
      <c r="S96" s="4">
        <v>19.444355612753402</v>
      </c>
      <c r="T96" s="4">
        <v>19.573440798732499</v>
      </c>
      <c r="U96" s="4">
        <f t="shared" si="6"/>
        <v>19.259538256708968</v>
      </c>
      <c r="X96" s="43" t="s">
        <v>734</v>
      </c>
      <c r="Y96" s="4">
        <v>19.0092335499419</v>
      </c>
      <c r="Z96" s="4">
        <v>19.096945688874701</v>
      </c>
      <c r="AA96" s="4">
        <v>19.015199988062299</v>
      </c>
      <c r="AB96" s="4">
        <f t="shared" si="7"/>
        <v>19.040459742292967</v>
      </c>
      <c r="AK96" s="4" t="s">
        <v>2552</v>
      </c>
      <c r="AM96" s="4" t="s">
        <v>1132</v>
      </c>
      <c r="AP96" s="2"/>
      <c r="AQ96" s="1"/>
      <c r="AR96" s="1"/>
      <c r="AS96" s="1"/>
      <c r="AT96" s="6"/>
      <c r="AU96" s="1"/>
      <c r="AV96" s="16" t="s">
        <v>401</v>
      </c>
      <c r="AX96" s="6" t="s">
        <v>711</v>
      </c>
    </row>
    <row r="97" spans="2:50" x14ac:dyDescent="0.2">
      <c r="B97" s="4" t="s">
        <v>1803</v>
      </c>
      <c r="C97" s="4">
        <v>19.305700000000002</v>
      </c>
      <c r="D97" s="4">
        <v>19.5077</v>
      </c>
      <c r="E97" s="4">
        <v>19.286999999999999</v>
      </c>
      <c r="F97" s="4">
        <f t="shared" si="4"/>
        <v>19.366800000000001</v>
      </c>
      <c r="I97" s="4" t="s">
        <v>882</v>
      </c>
      <c r="J97" s="4">
        <v>19.579699999999999</v>
      </c>
      <c r="K97" s="4">
        <v>19.200099999999999</v>
      </c>
      <c r="L97" s="4">
        <v>19.545300000000001</v>
      </c>
      <c r="M97" s="4">
        <f t="shared" si="5"/>
        <v>19.441699999999997</v>
      </c>
      <c r="Q97" s="43" t="s">
        <v>3833</v>
      </c>
      <c r="R97" s="4">
        <v>19.327711596819299</v>
      </c>
      <c r="S97" s="4">
        <v>19.3175134777577</v>
      </c>
      <c r="T97" s="4">
        <v>18.992704575089</v>
      </c>
      <c r="U97" s="4">
        <f t="shared" si="6"/>
        <v>19.212643216555332</v>
      </c>
      <c r="X97" s="43" t="s">
        <v>1377</v>
      </c>
      <c r="Y97" s="4">
        <v>18.806095683049399</v>
      </c>
      <c r="Z97" s="4">
        <v>19.2150991223006</v>
      </c>
      <c r="AA97" s="4">
        <v>19.063405888538401</v>
      </c>
      <c r="AB97" s="4">
        <f t="shared" si="7"/>
        <v>19.028200231296136</v>
      </c>
      <c r="AK97" s="4" t="s">
        <v>3799</v>
      </c>
      <c r="AM97" s="4" t="s">
        <v>4496</v>
      </c>
      <c r="AP97" s="2"/>
      <c r="AQ97" s="1"/>
      <c r="AR97" s="1"/>
      <c r="AS97" s="1"/>
      <c r="AT97" s="6"/>
      <c r="AU97" s="1"/>
      <c r="AV97" s="16" t="s">
        <v>403</v>
      </c>
      <c r="AX97" s="6" t="s">
        <v>686</v>
      </c>
    </row>
    <row r="98" spans="2:50" x14ac:dyDescent="0.2">
      <c r="B98" s="4" t="s">
        <v>1880</v>
      </c>
      <c r="C98" s="4">
        <v>19.197900000000001</v>
      </c>
      <c r="D98" s="4">
        <v>19.588999999999999</v>
      </c>
      <c r="E98" s="4">
        <v>19.222899999999999</v>
      </c>
      <c r="F98" s="4">
        <f t="shared" si="4"/>
        <v>19.336600000000001</v>
      </c>
      <c r="I98" s="4" t="s">
        <v>1925</v>
      </c>
      <c r="J98" s="4">
        <v>19.554400000000001</v>
      </c>
      <c r="K98" s="4">
        <v>19.348099999999999</v>
      </c>
      <c r="L98" s="4">
        <v>19.4163</v>
      </c>
      <c r="M98" s="4">
        <f t="shared" si="5"/>
        <v>19.439600000000002</v>
      </c>
      <c r="Q98" s="43" t="s">
        <v>113</v>
      </c>
      <c r="R98" s="4">
        <v>19.622787227443101</v>
      </c>
      <c r="S98" s="4">
        <v>18.902524970369502</v>
      </c>
      <c r="T98" s="4">
        <v>19.082961146621901</v>
      </c>
      <c r="U98" s="4">
        <f t="shared" si="6"/>
        <v>19.202757781478169</v>
      </c>
      <c r="X98" s="43" t="s">
        <v>2309</v>
      </c>
      <c r="Y98" s="4">
        <v>18.917802130226899</v>
      </c>
      <c r="Z98" s="4">
        <v>19.0368361491829</v>
      </c>
      <c r="AA98" s="4">
        <v>19.112531969164401</v>
      </c>
      <c r="AB98" s="4">
        <f t="shared" si="7"/>
        <v>19.022390082858067</v>
      </c>
      <c r="AK98" s="4" t="s">
        <v>2384</v>
      </c>
      <c r="AM98" s="6" t="s">
        <v>833</v>
      </c>
      <c r="AP98" s="2"/>
      <c r="AQ98" s="1"/>
      <c r="AR98" s="1"/>
      <c r="AS98" s="1"/>
      <c r="AT98" s="6"/>
      <c r="AU98" s="1"/>
      <c r="AV98" s="16" t="s">
        <v>406</v>
      </c>
      <c r="AX98" s="6" t="s">
        <v>735</v>
      </c>
    </row>
    <row r="99" spans="2:50" x14ac:dyDescent="0.2">
      <c r="B99" s="4" t="s">
        <v>1487</v>
      </c>
      <c r="C99" s="4">
        <v>18.9086</v>
      </c>
      <c r="D99" s="4">
        <v>19.1981</v>
      </c>
      <c r="E99" s="4">
        <v>19.880500000000001</v>
      </c>
      <c r="F99" s="4">
        <f t="shared" si="4"/>
        <v>19.329066666666666</v>
      </c>
      <c r="I99" s="4" t="s">
        <v>1223</v>
      </c>
      <c r="J99" s="4">
        <v>19.254300000000001</v>
      </c>
      <c r="K99" s="4">
        <v>19.945</v>
      </c>
      <c r="L99" s="4">
        <v>19.0808</v>
      </c>
      <c r="M99" s="4">
        <f t="shared" si="5"/>
        <v>19.4267</v>
      </c>
      <c r="Q99" s="43" t="s">
        <v>2866</v>
      </c>
      <c r="R99" s="4">
        <v>19.180835991171399</v>
      </c>
      <c r="S99" s="4">
        <v>19.065662064133601</v>
      </c>
      <c r="T99" s="4">
        <v>19.3270444321657</v>
      </c>
      <c r="U99" s="4">
        <f t="shared" si="6"/>
        <v>19.191180829156899</v>
      </c>
      <c r="X99" s="43" t="s">
        <v>2342</v>
      </c>
      <c r="Y99" s="4">
        <v>19.1392062910585</v>
      </c>
      <c r="Z99" s="4">
        <v>19.0634711715165</v>
      </c>
      <c r="AA99" s="4">
        <v>18.843962210412901</v>
      </c>
      <c r="AB99" s="4">
        <f t="shared" si="7"/>
        <v>19.015546557662631</v>
      </c>
      <c r="AK99" s="4" t="s">
        <v>3343</v>
      </c>
      <c r="AM99" s="4" t="s">
        <v>4409</v>
      </c>
      <c r="AP99" s="2"/>
      <c r="AQ99" s="1"/>
      <c r="AR99" s="1"/>
      <c r="AS99" s="1"/>
      <c r="AT99" s="6"/>
      <c r="AU99" s="1"/>
      <c r="AV99" s="5" t="s">
        <v>408</v>
      </c>
      <c r="AX99" s="6" t="s">
        <v>827</v>
      </c>
    </row>
    <row r="100" spans="2:50" x14ac:dyDescent="0.2">
      <c r="B100" s="4" t="s">
        <v>329</v>
      </c>
      <c r="C100" s="4">
        <v>19.4468</v>
      </c>
      <c r="D100" s="4">
        <v>19.331299999999999</v>
      </c>
      <c r="E100" s="4">
        <v>19.120999999999999</v>
      </c>
      <c r="F100" s="4">
        <f t="shared" si="4"/>
        <v>19.299699999999998</v>
      </c>
      <c r="I100" s="4" t="s">
        <v>30</v>
      </c>
      <c r="J100" s="4">
        <v>19.5015</v>
      </c>
      <c r="K100" s="4">
        <v>19.1845</v>
      </c>
      <c r="L100" s="4">
        <v>19.572700000000001</v>
      </c>
      <c r="M100" s="4">
        <f t="shared" si="5"/>
        <v>19.419566666666668</v>
      </c>
      <c r="Q100" s="43" t="s">
        <v>2312</v>
      </c>
      <c r="R100" s="4">
        <v>19.6615623412948</v>
      </c>
      <c r="S100" s="4">
        <v>19.021147761682201</v>
      </c>
      <c r="T100" s="4">
        <v>18.857965289907298</v>
      </c>
      <c r="U100" s="4">
        <f t="shared" si="6"/>
        <v>19.180225130961432</v>
      </c>
      <c r="X100" s="43" t="s">
        <v>1547</v>
      </c>
      <c r="Y100" s="4">
        <v>18.927835996328199</v>
      </c>
      <c r="Z100" s="4">
        <v>18.935278650154501</v>
      </c>
      <c r="AA100" s="4">
        <v>19.116958707169498</v>
      </c>
      <c r="AB100" s="4">
        <f t="shared" si="7"/>
        <v>18.993357784550735</v>
      </c>
      <c r="AK100" s="4" t="s">
        <v>270</v>
      </c>
      <c r="AM100" s="4" t="s">
        <v>1185</v>
      </c>
      <c r="AP100" s="2"/>
      <c r="AQ100" s="1"/>
      <c r="AR100" s="1"/>
      <c r="AS100" s="1"/>
      <c r="AT100" s="6"/>
      <c r="AU100" s="1"/>
      <c r="AV100" s="5" t="s">
        <v>157</v>
      </c>
      <c r="AX100" s="6" t="s">
        <v>654</v>
      </c>
    </row>
    <row r="101" spans="2:50" x14ac:dyDescent="0.2">
      <c r="B101" s="4" t="s">
        <v>1752</v>
      </c>
      <c r="C101" s="4">
        <v>19.280799999999999</v>
      </c>
      <c r="D101" s="4">
        <v>19.6572</v>
      </c>
      <c r="E101" s="4">
        <v>18.959700000000002</v>
      </c>
      <c r="F101" s="4">
        <f t="shared" si="4"/>
        <v>19.299233333333333</v>
      </c>
      <c r="I101" s="4" t="s">
        <v>587</v>
      </c>
      <c r="J101" s="4">
        <v>19.393799999999999</v>
      </c>
      <c r="K101" s="4">
        <v>19.337499999999999</v>
      </c>
      <c r="L101" s="4">
        <v>19.482099999999999</v>
      </c>
      <c r="M101" s="4">
        <f t="shared" si="5"/>
        <v>19.404466666666664</v>
      </c>
      <c r="Q101" s="43" t="s">
        <v>4395</v>
      </c>
      <c r="R101" s="4">
        <v>19.3454632798273</v>
      </c>
      <c r="S101" s="4">
        <v>19.067384261505001</v>
      </c>
      <c r="T101" s="4">
        <v>19.074079387372301</v>
      </c>
      <c r="U101" s="4">
        <f t="shared" si="6"/>
        <v>19.162308976234865</v>
      </c>
      <c r="X101" s="43" t="s">
        <v>3785</v>
      </c>
      <c r="Y101" s="4">
        <v>19.143518923351699</v>
      </c>
      <c r="Z101" s="4">
        <v>18.978287420914899</v>
      </c>
      <c r="AA101" s="4">
        <v>18.824316543896401</v>
      </c>
      <c r="AB101" s="4">
        <f t="shared" si="7"/>
        <v>18.982040962721001</v>
      </c>
      <c r="AK101" s="4" t="s">
        <v>4033</v>
      </c>
      <c r="AM101" s="4" t="s">
        <v>4230</v>
      </c>
      <c r="AP101" s="2"/>
      <c r="AQ101" s="1"/>
      <c r="AR101" s="1"/>
      <c r="AS101" s="1"/>
      <c r="AT101" s="6"/>
      <c r="AU101" s="1"/>
      <c r="AV101" s="5" t="s">
        <v>256</v>
      </c>
      <c r="AX101" s="6" t="s">
        <v>469</v>
      </c>
    </row>
    <row r="102" spans="2:50" x14ac:dyDescent="0.2">
      <c r="B102" s="4" t="s">
        <v>3330</v>
      </c>
      <c r="C102" s="4">
        <v>19.0441</v>
      </c>
      <c r="D102" s="4">
        <v>19.2332</v>
      </c>
      <c r="E102" s="4">
        <v>19.4877</v>
      </c>
      <c r="F102" s="4">
        <f t="shared" si="4"/>
        <v>19.254999999999999</v>
      </c>
      <c r="I102" s="4" t="s">
        <v>2751</v>
      </c>
      <c r="J102" s="4">
        <v>19.463799999999999</v>
      </c>
      <c r="K102" s="4">
        <v>19.479900000000001</v>
      </c>
      <c r="L102" s="4">
        <v>19.1386</v>
      </c>
      <c r="M102" s="4">
        <f t="shared" si="5"/>
        <v>19.360766666666667</v>
      </c>
      <c r="Q102" s="43" t="s">
        <v>3222</v>
      </c>
      <c r="R102" s="4">
        <v>19.302597191010499</v>
      </c>
      <c r="S102" s="4">
        <v>19.2319637974906</v>
      </c>
      <c r="T102" s="4">
        <v>18.941572023888099</v>
      </c>
      <c r="U102" s="4">
        <f t="shared" si="6"/>
        <v>19.158711004129731</v>
      </c>
      <c r="X102" s="43" t="s">
        <v>2435</v>
      </c>
      <c r="Y102" s="4">
        <v>18.941935887105402</v>
      </c>
      <c r="Z102" s="4">
        <v>19.2258712937467</v>
      </c>
      <c r="AA102" s="4">
        <v>18.739629691115301</v>
      </c>
      <c r="AB102" s="4">
        <f t="shared" si="7"/>
        <v>18.969145623989135</v>
      </c>
      <c r="AK102" s="4" t="s">
        <v>1518</v>
      </c>
      <c r="AM102" s="6" t="s">
        <v>715</v>
      </c>
      <c r="AP102" s="2"/>
      <c r="AQ102" s="1"/>
      <c r="AR102" s="1"/>
      <c r="AS102" s="1"/>
      <c r="AT102" s="6"/>
      <c r="AU102" s="1"/>
      <c r="AV102" s="5" t="s">
        <v>412</v>
      </c>
      <c r="AX102" s="6" t="s">
        <v>682</v>
      </c>
    </row>
    <row r="103" spans="2:50" x14ac:dyDescent="0.2">
      <c r="B103" s="4" t="s">
        <v>2255</v>
      </c>
      <c r="C103" s="4">
        <v>18.498699999999999</v>
      </c>
      <c r="D103" s="4">
        <v>18.5703</v>
      </c>
      <c r="E103" s="4">
        <v>20.694099999999999</v>
      </c>
      <c r="F103" s="4">
        <f t="shared" si="4"/>
        <v>19.254366666666666</v>
      </c>
      <c r="I103" s="4" t="s">
        <v>3355</v>
      </c>
      <c r="J103" s="4">
        <v>19.426500000000001</v>
      </c>
      <c r="K103" s="4">
        <v>19.1403</v>
      </c>
      <c r="L103" s="4">
        <v>19.446000000000002</v>
      </c>
      <c r="M103" s="4">
        <f t="shared" si="5"/>
        <v>19.337599999999998</v>
      </c>
      <c r="Q103" s="43" t="s">
        <v>2881</v>
      </c>
      <c r="R103" s="4">
        <v>19.176202352271901</v>
      </c>
      <c r="S103" s="4">
        <v>19.0190953479269</v>
      </c>
      <c r="T103" s="4">
        <v>19.215973526617301</v>
      </c>
      <c r="U103" s="4">
        <f t="shared" si="6"/>
        <v>19.1370904089387</v>
      </c>
      <c r="X103" s="43" t="s">
        <v>1699</v>
      </c>
      <c r="Y103" s="4">
        <v>18.887480913634999</v>
      </c>
      <c r="Z103" s="4">
        <v>18.8941533323279</v>
      </c>
      <c r="AA103" s="4">
        <v>19.104340355780199</v>
      </c>
      <c r="AB103" s="4">
        <f t="shared" si="7"/>
        <v>18.961991533914368</v>
      </c>
      <c r="AK103" s="4" t="s">
        <v>3372</v>
      </c>
      <c r="AM103" s="4" t="s">
        <v>4583</v>
      </c>
      <c r="AP103" s="2"/>
      <c r="AQ103" s="1"/>
      <c r="AR103" s="1"/>
      <c r="AS103" s="1"/>
      <c r="AT103" s="6"/>
      <c r="AU103" s="1"/>
      <c r="AV103" s="5" t="s">
        <v>262</v>
      </c>
      <c r="AX103" s="6" t="s">
        <v>699</v>
      </c>
    </row>
    <row r="104" spans="2:50" x14ac:dyDescent="0.2">
      <c r="B104" s="4" t="s">
        <v>587</v>
      </c>
      <c r="C104" s="4">
        <v>18.923100000000002</v>
      </c>
      <c r="D104" s="4">
        <v>19.209900000000001</v>
      </c>
      <c r="E104" s="4">
        <v>19.604299999999999</v>
      </c>
      <c r="F104" s="4">
        <f t="shared" si="4"/>
        <v>19.245766666666668</v>
      </c>
      <c r="I104" s="4" t="s">
        <v>1203</v>
      </c>
      <c r="J104" s="4">
        <v>18.946200000000001</v>
      </c>
      <c r="K104" s="4">
        <v>20.509899999999998</v>
      </c>
      <c r="L104" s="4">
        <v>18.5185</v>
      </c>
      <c r="M104" s="4">
        <f t="shared" si="5"/>
        <v>19.324866666666665</v>
      </c>
      <c r="Q104" s="43" t="s">
        <v>2396</v>
      </c>
      <c r="R104" s="4">
        <v>19.3190053901228</v>
      </c>
      <c r="S104" s="4">
        <v>18.992704342989299</v>
      </c>
      <c r="T104" s="4">
        <v>19.0317410946538</v>
      </c>
      <c r="U104" s="4">
        <f t="shared" si="6"/>
        <v>19.114483609255299</v>
      </c>
      <c r="X104" s="43" t="s">
        <v>2963</v>
      </c>
      <c r="Y104" s="4">
        <v>18.971927317035998</v>
      </c>
      <c r="Z104" s="4">
        <v>19.021432662342399</v>
      </c>
      <c r="AA104" s="4">
        <v>18.825820558365098</v>
      </c>
      <c r="AB104" s="4">
        <f t="shared" si="7"/>
        <v>18.939726845914496</v>
      </c>
      <c r="AK104" s="4" t="s">
        <v>2330</v>
      </c>
      <c r="AM104" s="6" t="s">
        <v>863</v>
      </c>
      <c r="AP104" s="2"/>
      <c r="AQ104" s="1"/>
      <c r="AR104" s="1"/>
      <c r="AS104" s="1"/>
      <c r="AT104" s="6"/>
      <c r="AU104" s="1"/>
      <c r="AV104" s="17" t="s">
        <v>420</v>
      </c>
      <c r="AX104" s="6" t="s">
        <v>667</v>
      </c>
    </row>
    <row r="105" spans="2:50" x14ac:dyDescent="0.2">
      <c r="B105" s="4" t="s">
        <v>1462</v>
      </c>
      <c r="C105" s="4">
        <v>19.3246</v>
      </c>
      <c r="D105" s="4">
        <v>19.065200000000001</v>
      </c>
      <c r="E105" s="4">
        <v>19.315899999999999</v>
      </c>
      <c r="F105" s="4">
        <f t="shared" si="4"/>
        <v>19.235233333333333</v>
      </c>
      <c r="I105" s="4" t="s">
        <v>2214</v>
      </c>
      <c r="J105" s="4">
        <v>19.4895</v>
      </c>
      <c r="K105" s="4">
        <v>18.887599999999999</v>
      </c>
      <c r="L105" s="4">
        <v>19.575900000000001</v>
      </c>
      <c r="M105" s="4">
        <f t="shared" si="5"/>
        <v>19.317666666666668</v>
      </c>
      <c r="Q105" s="43" t="s">
        <v>2188</v>
      </c>
      <c r="R105" s="4">
        <v>19.2625742049138</v>
      </c>
      <c r="S105" s="4">
        <v>19.121786450296401</v>
      </c>
      <c r="T105" s="4">
        <v>18.938713373728699</v>
      </c>
      <c r="U105" s="4">
        <f t="shared" si="6"/>
        <v>19.107691342979635</v>
      </c>
      <c r="X105" s="43" t="s">
        <v>1694</v>
      </c>
      <c r="Y105" s="4">
        <v>19.1292250600365</v>
      </c>
      <c r="Z105" s="4">
        <v>19.128976926265299</v>
      </c>
      <c r="AA105" s="4">
        <v>18.546096753693401</v>
      </c>
      <c r="AB105" s="4">
        <f t="shared" si="7"/>
        <v>18.934766246665067</v>
      </c>
      <c r="AK105" s="4" t="s">
        <v>2528</v>
      </c>
      <c r="AM105" s="4" t="s">
        <v>4098</v>
      </c>
      <c r="AP105" s="2"/>
      <c r="AQ105" s="1"/>
      <c r="AR105" s="1"/>
      <c r="AS105" s="1"/>
      <c r="AT105" s="6"/>
      <c r="AU105" s="1"/>
      <c r="AV105" s="5" t="s">
        <v>267</v>
      </c>
      <c r="AX105" s="6" t="s">
        <v>662</v>
      </c>
    </row>
    <row r="106" spans="2:50" x14ac:dyDescent="0.2">
      <c r="B106" s="4" t="s">
        <v>2054</v>
      </c>
      <c r="C106" s="4">
        <v>19.316700000000001</v>
      </c>
      <c r="D106" s="4">
        <v>19.201499999999999</v>
      </c>
      <c r="E106" s="4">
        <v>19.142900000000001</v>
      </c>
      <c r="F106" s="4">
        <f t="shared" si="4"/>
        <v>19.220366666666667</v>
      </c>
      <c r="I106" s="4" t="s">
        <v>2576</v>
      </c>
      <c r="J106" s="4">
        <v>17.991099999999999</v>
      </c>
      <c r="K106" s="4">
        <v>22.1462</v>
      </c>
      <c r="L106" s="4">
        <v>17.799900000000001</v>
      </c>
      <c r="M106" s="4">
        <f t="shared" si="5"/>
        <v>19.3124</v>
      </c>
      <c r="Q106" s="43" t="s">
        <v>1382</v>
      </c>
      <c r="R106" s="4">
        <v>19.0134634328411</v>
      </c>
      <c r="S106" s="4">
        <v>19.1732011390068</v>
      </c>
      <c r="T106" s="4">
        <v>19.076575286640001</v>
      </c>
      <c r="U106" s="4">
        <f t="shared" si="6"/>
        <v>19.087746619495967</v>
      </c>
      <c r="X106" s="43" t="s">
        <v>1964</v>
      </c>
      <c r="Y106" s="4">
        <v>18.917551559374299</v>
      </c>
      <c r="Z106" s="4">
        <v>18.8577454101125</v>
      </c>
      <c r="AA106" s="4">
        <v>19.018963249151899</v>
      </c>
      <c r="AB106" s="4">
        <f t="shared" si="7"/>
        <v>18.931420072879565</v>
      </c>
      <c r="AK106" s="4" t="s">
        <v>477</v>
      </c>
      <c r="AM106" s="4" t="s">
        <v>4539</v>
      </c>
      <c r="AP106" s="2"/>
      <c r="AQ106" s="1"/>
      <c r="AR106" s="1"/>
      <c r="AS106" s="1"/>
      <c r="AT106" s="6"/>
      <c r="AU106" s="1"/>
      <c r="AV106" s="5" t="s">
        <v>96</v>
      </c>
      <c r="AX106" s="6" t="s">
        <v>384</v>
      </c>
    </row>
    <row r="107" spans="2:50" x14ac:dyDescent="0.2">
      <c r="B107" s="4" t="s">
        <v>2359</v>
      </c>
      <c r="C107" s="4">
        <v>19.3614</v>
      </c>
      <c r="D107" s="4">
        <v>19.2819</v>
      </c>
      <c r="E107" s="4">
        <v>18.998699999999999</v>
      </c>
      <c r="F107" s="4">
        <f t="shared" si="4"/>
        <v>19.213999999999999</v>
      </c>
      <c r="I107" s="4" t="s">
        <v>329</v>
      </c>
      <c r="J107" s="4">
        <v>19.314299999999999</v>
      </c>
      <c r="K107" s="4">
        <v>19.3644</v>
      </c>
      <c r="L107" s="4">
        <v>19.122699999999998</v>
      </c>
      <c r="M107" s="4">
        <f t="shared" si="5"/>
        <v>19.267133333333334</v>
      </c>
      <c r="Q107" s="43" t="s">
        <v>3362</v>
      </c>
      <c r="R107" s="4">
        <v>19.408943005851899</v>
      </c>
      <c r="S107" s="4">
        <v>18.802163439366399</v>
      </c>
      <c r="T107" s="4">
        <v>19.008772677148201</v>
      </c>
      <c r="U107" s="4">
        <f t="shared" si="6"/>
        <v>19.073293040788833</v>
      </c>
      <c r="X107" s="43" t="s">
        <v>3191</v>
      </c>
      <c r="Y107" s="4">
        <v>18.913469002680898</v>
      </c>
      <c r="Z107" s="4">
        <v>18.841921462498</v>
      </c>
      <c r="AA107" s="4">
        <v>18.9893457426042</v>
      </c>
      <c r="AB107" s="4">
        <f t="shared" si="7"/>
        <v>18.914912069261032</v>
      </c>
      <c r="AK107" s="4" t="s">
        <v>2686</v>
      </c>
      <c r="AM107" s="4" t="s">
        <v>4134</v>
      </c>
      <c r="AP107" s="2"/>
      <c r="AQ107" s="1"/>
      <c r="AR107" s="1"/>
      <c r="AS107" s="1"/>
      <c r="AT107" s="6"/>
      <c r="AU107" s="1"/>
      <c r="AV107" s="5" t="s">
        <v>271</v>
      </c>
      <c r="AX107" s="6" t="s">
        <v>736</v>
      </c>
    </row>
    <row r="108" spans="2:50" x14ac:dyDescent="0.2">
      <c r="B108" s="4" t="s">
        <v>589</v>
      </c>
      <c r="C108" s="4">
        <v>18.918800000000001</v>
      </c>
      <c r="D108" s="4">
        <v>19.273700000000002</v>
      </c>
      <c r="E108" s="4">
        <v>19.4346</v>
      </c>
      <c r="F108" s="4">
        <f t="shared" si="4"/>
        <v>19.209033333333334</v>
      </c>
      <c r="I108" s="4" t="s">
        <v>7</v>
      </c>
      <c r="J108" s="4">
        <v>19.266100000000002</v>
      </c>
      <c r="K108" s="4">
        <v>19.1326</v>
      </c>
      <c r="L108" s="4">
        <v>19.392600000000002</v>
      </c>
      <c r="M108" s="4">
        <f t="shared" si="5"/>
        <v>19.263766666666669</v>
      </c>
      <c r="Q108" s="43" t="s">
        <v>1694</v>
      </c>
      <c r="R108" s="4">
        <v>19.033152903040499</v>
      </c>
      <c r="S108" s="4">
        <v>19.1045680983983</v>
      </c>
      <c r="T108" s="4">
        <v>18.977831238743299</v>
      </c>
      <c r="U108" s="4">
        <f t="shared" si="6"/>
        <v>19.038517413394032</v>
      </c>
      <c r="X108" s="43" t="s">
        <v>1323</v>
      </c>
      <c r="Y108" s="4">
        <v>18.868208160120101</v>
      </c>
      <c r="Z108" s="4">
        <v>19.007318844595702</v>
      </c>
      <c r="AA108" s="4">
        <v>18.848375846954301</v>
      </c>
      <c r="AB108" s="4">
        <f t="shared" si="7"/>
        <v>18.907967617223367</v>
      </c>
      <c r="AK108" s="4" t="s">
        <v>1708</v>
      </c>
      <c r="AM108" s="4" t="s">
        <v>4231</v>
      </c>
      <c r="AP108" s="2"/>
      <c r="AQ108" s="1"/>
      <c r="AR108" s="1"/>
      <c r="AS108" s="1"/>
      <c r="AT108" s="6"/>
      <c r="AU108" s="1"/>
      <c r="AV108" s="5" t="s">
        <v>275</v>
      </c>
      <c r="AX108" s="6" t="s">
        <v>83</v>
      </c>
    </row>
    <row r="109" spans="2:50" x14ac:dyDescent="0.2">
      <c r="B109" s="4" t="s">
        <v>1908</v>
      </c>
      <c r="C109" s="4">
        <v>19.335100000000001</v>
      </c>
      <c r="D109" s="4">
        <v>19.2423</v>
      </c>
      <c r="E109" s="4">
        <v>19.046600000000002</v>
      </c>
      <c r="F109" s="4">
        <f t="shared" si="4"/>
        <v>19.207999999999998</v>
      </c>
      <c r="I109" s="4" t="s">
        <v>3024</v>
      </c>
      <c r="J109" s="4">
        <v>19.405999999999999</v>
      </c>
      <c r="K109" s="4">
        <v>18.8367</v>
      </c>
      <c r="L109" s="4">
        <v>19.545999999999999</v>
      </c>
      <c r="M109" s="4">
        <f t="shared" si="5"/>
        <v>19.262899999999998</v>
      </c>
      <c r="Q109" s="43" t="s">
        <v>1725</v>
      </c>
      <c r="R109" s="4">
        <v>19.168852383682498</v>
      </c>
      <c r="S109" s="4">
        <v>18.970562600022301</v>
      </c>
      <c r="T109" s="4">
        <v>18.9727408102681</v>
      </c>
      <c r="U109" s="4">
        <f t="shared" si="6"/>
        <v>19.037385264657633</v>
      </c>
      <c r="X109" s="43" t="s">
        <v>30</v>
      </c>
      <c r="Y109" s="4">
        <v>19.117658935190398</v>
      </c>
      <c r="Z109" s="4">
        <v>18.9587436679953</v>
      </c>
      <c r="AA109" s="4">
        <v>18.636399624027099</v>
      </c>
      <c r="AB109" s="4">
        <f t="shared" si="7"/>
        <v>18.904267409070933</v>
      </c>
      <c r="AK109" s="4" t="s">
        <v>2048</v>
      </c>
      <c r="AM109" s="4" t="s">
        <v>4344</v>
      </c>
      <c r="AP109" s="2"/>
      <c r="AQ109" s="1"/>
      <c r="AR109" s="1"/>
      <c r="AS109" s="1"/>
      <c r="AT109" s="6"/>
      <c r="AU109" s="1"/>
      <c r="AV109" s="5" t="s">
        <v>280</v>
      </c>
      <c r="AX109" s="6" t="s">
        <v>547</v>
      </c>
    </row>
    <row r="110" spans="2:50" x14ac:dyDescent="0.2">
      <c r="B110" s="4" t="s">
        <v>651</v>
      </c>
      <c r="C110" s="4">
        <v>19.6281</v>
      </c>
      <c r="D110" s="4">
        <v>19.311</v>
      </c>
      <c r="E110" s="4">
        <v>18.636500000000002</v>
      </c>
      <c r="F110" s="4">
        <f t="shared" si="4"/>
        <v>19.191866666666666</v>
      </c>
      <c r="I110" s="4" t="s">
        <v>2054</v>
      </c>
      <c r="J110" s="4">
        <v>19.276399999999999</v>
      </c>
      <c r="K110" s="4">
        <v>19.157900000000001</v>
      </c>
      <c r="L110" s="4">
        <v>19.261099999999999</v>
      </c>
      <c r="M110" s="4">
        <f t="shared" si="5"/>
        <v>19.2318</v>
      </c>
      <c r="Q110" s="43" t="s">
        <v>2224</v>
      </c>
      <c r="R110" s="4">
        <v>19.013558094681201</v>
      </c>
      <c r="S110" s="4">
        <v>18.962481058748999</v>
      </c>
      <c r="T110" s="4">
        <v>19.121066327006499</v>
      </c>
      <c r="U110" s="4">
        <f t="shared" si="6"/>
        <v>19.032368493478899</v>
      </c>
      <c r="X110" s="43" t="s">
        <v>3648</v>
      </c>
      <c r="Y110" s="4">
        <v>19.1342849655849</v>
      </c>
      <c r="Z110" s="4">
        <v>18.8138576895619</v>
      </c>
      <c r="AA110" s="4">
        <v>18.740158700080102</v>
      </c>
      <c r="AB110" s="4">
        <f t="shared" si="7"/>
        <v>18.896100451742299</v>
      </c>
      <c r="AK110" s="4" t="s">
        <v>2992</v>
      </c>
      <c r="AM110" s="4" t="s">
        <v>2775</v>
      </c>
      <c r="AP110" s="2"/>
      <c r="AQ110" s="1"/>
      <c r="AR110" s="1"/>
      <c r="AS110" s="1"/>
      <c r="AT110" s="6"/>
      <c r="AU110" s="1"/>
      <c r="AV110" s="5" t="s">
        <v>284</v>
      </c>
      <c r="AX110" s="6" t="s">
        <v>688</v>
      </c>
    </row>
    <row r="111" spans="2:50" x14ac:dyDescent="0.2">
      <c r="B111" s="4" t="s">
        <v>2751</v>
      </c>
      <c r="C111" s="4">
        <v>19.2727</v>
      </c>
      <c r="D111" s="4">
        <v>19.173200000000001</v>
      </c>
      <c r="E111" s="4">
        <v>19.120799999999999</v>
      </c>
      <c r="F111" s="4">
        <f t="shared" si="4"/>
        <v>19.1889</v>
      </c>
      <c r="I111" s="4" t="s">
        <v>374</v>
      </c>
      <c r="J111" s="4">
        <v>19.3065</v>
      </c>
      <c r="K111" s="4">
        <v>18.941800000000001</v>
      </c>
      <c r="L111" s="4">
        <v>19.411000000000001</v>
      </c>
      <c r="M111" s="4">
        <f t="shared" si="5"/>
        <v>19.219766666666668</v>
      </c>
      <c r="Q111" s="43" t="s">
        <v>2128</v>
      </c>
      <c r="R111" s="4">
        <v>19.398483132549</v>
      </c>
      <c r="S111" s="4">
        <v>18.665039259878601</v>
      </c>
      <c r="T111" s="4">
        <v>18.972641905455902</v>
      </c>
      <c r="U111" s="4">
        <f t="shared" si="6"/>
        <v>19.012054765961167</v>
      </c>
      <c r="X111" s="43" t="s">
        <v>1650</v>
      </c>
      <c r="Y111" s="4">
        <v>18.802873187392098</v>
      </c>
      <c r="Z111" s="4">
        <v>19.027453222325502</v>
      </c>
      <c r="AA111" s="4">
        <v>18.781780724191499</v>
      </c>
      <c r="AB111" s="4">
        <f t="shared" si="7"/>
        <v>18.8707023779697</v>
      </c>
      <c r="AK111" s="4" t="s">
        <v>1091</v>
      </c>
      <c r="AM111" s="4" t="s">
        <v>4364</v>
      </c>
      <c r="AP111" s="2"/>
      <c r="AQ111" s="1"/>
      <c r="AR111" s="1"/>
      <c r="AS111" s="1"/>
      <c r="AT111" s="6"/>
      <c r="AU111" s="1"/>
      <c r="AV111" s="5" t="s">
        <v>288</v>
      </c>
      <c r="AX111" s="6" t="s">
        <v>671</v>
      </c>
    </row>
    <row r="112" spans="2:50" x14ac:dyDescent="0.2">
      <c r="B112" s="4" t="s">
        <v>3712</v>
      </c>
      <c r="C112" s="4">
        <v>19.077999999999999</v>
      </c>
      <c r="D112" s="4">
        <v>19.154199999999999</v>
      </c>
      <c r="E112" s="4">
        <v>19.3049</v>
      </c>
      <c r="F112" s="4">
        <f t="shared" si="4"/>
        <v>19.179033333333333</v>
      </c>
      <c r="I112" s="4" t="s">
        <v>263</v>
      </c>
      <c r="J112" s="4">
        <v>19.367699999999999</v>
      </c>
      <c r="K112" s="4">
        <v>18.9087</v>
      </c>
      <c r="L112" s="4">
        <v>19.3568</v>
      </c>
      <c r="M112" s="4">
        <f t="shared" si="5"/>
        <v>19.211066666666664</v>
      </c>
      <c r="Q112" s="43" t="s">
        <v>1425</v>
      </c>
      <c r="R112" s="4">
        <v>19.411031712672401</v>
      </c>
      <c r="S112" s="4">
        <v>18.7633397613852</v>
      </c>
      <c r="T112" s="4">
        <v>18.777600801906601</v>
      </c>
      <c r="U112" s="4">
        <f t="shared" si="6"/>
        <v>18.983990758654734</v>
      </c>
      <c r="X112" s="43" t="s">
        <v>746</v>
      </c>
      <c r="Y112" s="4">
        <v>18.825008727546901</v>
      </c>
      <c r="Z112" s="4">
        <v>19.0881562571819</v>
      </c>
      <c r="AA112" s="4">
        <v>18.6281834186819</v>
      </c>
      <c r="AB112" s="4">
        <f t="shared" si="7"/>
        <v>18.847116134470234</v>
      </c>
      <c r="AK112" s="4" t="s">
        <v>3155</v>
      </c>
      <c r="AM112" s="4" t="s">
        <v>4166</v>
      </c>
      <c r="AP112" s="2"/>
      <c r="AQ112" s="1"/>
      <c r="AR112" s="1"/>
      <c r="AS112" s="1"/>
      <c r="AT112" s="6"/>
      <c r="AU112" s="1"/>
      <c r="AV112" s="5" t="s">
        <v>292</v>
      </c>
      <c r="AX112" s="6" t="s">
        <v>712</v>
      </c>
    </row>
    <row r="113" spans="2:50" x14ac:dyDescent="0.2">
      <c r="B113" s="4" t="s">
        <v>2721</v>
      </c>
      <c r="C113" s="4">
        <v>19.355799999999999</v>
      </c>
      <c r="D113" s="4">
        <v>19.3001</v>
      </c>
      <c r="E113" s="4">
        <v>18.853300000000001</v>
      </c>
      <c r="F113" s="4">
        <f t="shared" si="4"/>
        <v>19.169733333333337</v>
      </c>
      <c r="I113" s="4" t="s">
        <v>100</v>
      </c>
      <c r="J113" s="4">
        <v>19.210899999999999</v>
      </c>
      <c r="K113" s="4">
        <v>19.179400000000001</v>
      </c>
      <c r="L113" s="4">
        <v>19.206299999999999</v>
      </c>
      <c r="M113" s="4">
        <f t="shared" si="5"/>
        <v>19.198866666666664</v>
      </c>
      <c r="Q113" s="43" t="s">
        <v>2574</v>
      </c>
      <c r="R113" s="4">
        <v>19.180817430547702</v>
      </c>
      <c r="S113" s="4">
        <v>18.9001886930062</v>
      </c>
      <c r="T113" s="4">
        <v>18.862855693288498</v>
      </c>
      <c r="U113" s="4">
        <f t="shared" si="6"/>
        <v>18.981287272280799</v>
      </c>
      <c r="X113" s="43" t="s">
        <v>100</v>
      </c>
      <c r="Y113" s="4">
        <v>18.988962668183301</v>
      </c>
      <c r="Z113" s="4">
        <v>18.8814919424489</v>
      </c>
      <c r="AA113" s="4">
        <v>18.661255666989501</v>
      </c>
      <c r="AB113" s="4">
        <f t="shared" si="7"/>
        <v>18.843903425873901</v>
      </c>
      <c r="AK113" s="4" t="s">
        <v>2994</v>
      </c>
      <c r="AM113" s="4" t="s">
        <v>4310</v>
      </c>
      <c r="AP113" s="2"/>
      <c r="AQ113" s="1"/>
      <c r="AR113" s="1"/>
      <c r="AS113" s="1"/>
      <c r="AT113" s="6"/>
      <c r="AU113" s="1"/>
      <c r="AV113" s="10" t="s">
        <v>423</v>
      </c>
      <c r="AX113" s="6" t="s">
        <v>698</v>
      </c>
    </row>
    <row r="114" spans="2:50" x14ac:dyDescent="0.2">
      <c r="B114" s="4" t="s">
        <v>1422</v>
      </c>
      <c r="C114" s="4">
        <v>18.706299999999999</v>
      </c>
      <c r="D114" s="4">
        <v>18.825299999999999</v>
      </c>
      <c r="E114" s="4">
        <v>19.9712</v>
      </c>
      <c r="F114" s="4">
        <f t="shared" si="4"/>
        <v>19.167599999999997</v>
      </c>
      <c r="I114" s="4" t="s">
        <v>2387</v>
      </c>
      <c r="J114" s="4">
        <v>19.410799999999998</v>
      </c>
      <c r="K114" s="4">
        <v>18.680700000000002</v>
      </c>
      <c r="L114" s="4">
        <v>19.4513</v>
      </c>
      <c r="M114" s="4">
        <f t="shared" si="5"/>
        <v>19.180933333333332</v>
      </c>
      <c r="Q114" s="43" t="s">
        <v>1323</v>
      </c>
      <c r="R114" s="4">
        <v>19.156924442293299</v>
      </c>
      <c r="S114" s="4">
        <v>18.919051425614899</v>
      </c>
      <c r="T114" s="4">
        <v>18.829022956684302</v>
      </c>
      <c r="U114" s="4">
        <f t="shared" si="6"/>
        <v>18.968332941530832</v>
      </c>
      <c r="X114" s="43" t="s">
        <v>2881</v>
      </c>
      <c r="Y114" s="4">
        <v>19.024681281562501</v>
      </c>
      <c r="Z114" s="4">
        <v>19.247529635534999</v>
      </c>
      <c r="AA114" s="4">
        <v>18.227976229773599</v>
      </c>
      <c r="AB114" s="4">
        <f t="shared" si="7"/>
        <v>18.833395715623698</v>
      </c>
      <c r="AK114" s="4" t="s">
        <v>2492</v>
      </c>
      <c r="AM114" s="4" t="s">
        <v>1527</v>
      </c>
      <c r="AP114" s="2"/>
      <c r="AQ114" s="1"/>
      <c r="AR114" s="1"/>
      <c r="AS114" s="1"/>
      <c r="AT114" s="6"/>
      <c r="AU114" s="1"/>
      <c r="AV114" s="5" t="s">
        <v>425</v>
      </c>
      <c r="AX114" s="6" t="s">
        <v>828</v>
      </c>
    </row>
    <row r="115" spans="2:50" x14ac:dyDescent="0.2">
      <c r="B115" s="4" t="s">
        <v>1536</v>
      </c>
      <c r="C115" s="4">
        <v>18.844000000000001</v>
      </c>
      <c r="D115" s="4">
        <v>19.092600000000001</v>
      </c>
      <c r="E115" s="4">
        <v>19.4435</v>
      </c>
      <c r="F115" s="4">
        <f t="shared" si="4"/>
        <v>19.1267</v>
      </c>
      <c r="I115" s="4" t="s">
        <v>2224</v>
      </c>
      <c r="J115" s="4">
        <v>18.627400000000002</v>
      </c>
      <c r="K115" s="4">
        <v>20.2332</v>
      </c>
      <c r="L115" s="4">
        <v>18.6158</v>
      </c>
      <c r="M115" s="4">
        <f t="shared" si="5"/>
        <v>19.158800000000003</v>
      </c>
      <c r="Q115" s="43" t="s">
        <v>1771</v>
      </c>
      <c r="R115" s="4">
        <v>19.330198894900999</v>
      </c>
      <c r="S115" s="4">
        <v>18.737403821213199</v>
      </c>
      <c r="T115" s="4">
        <v>18.802340388315201</v>
      </c>
      <c r="U115" s="4">
        <f t="shared" si="6"/>
        <v>18.956647701476466</v>
      </c>
      <c r="X115" s="43" t="s">
        <v>3024</v>
      </c>
      <c r="Y115" s="4">
        <v>18.737818070163001</v>
      </c>
      <c r="Z115" s="4">
        <v>18.895622129318902</v>
      </c>
      <c r="AA115" s="4">
        <v>18.818821060185201</v>
      </c>
      <c r="AB115" s="4">
        <f t="shared" si="7"/>
        <v>18.817420419889036</v>
      </c>
      <c r="AK115" s="4" t="s">
        <v>3476</v>
      </c>
      <c r="AM115" s="4" t="s">
        <v>274</v>
      </c>
      <c r="AP115" s="2"/>
      <c r="AQ115" s="1"/>
      <c r="AR115" s="1"/>
      <c r="AS115" s="1"/>
      <c r="AT115" s="6"/>
      <c r="AU115" s="1"/>
      <c r="AV115" s="5" t="s">
        <v>297</v>
      </c>
      <c r="AX115" s="18" t="s">
        <v>406</v>
      </c>
    </row>
    <row r="116" spans="2:50" x14ac:dyDescent="0.2">
      <c r="B116" s="4" t="s">
        <v>1203</v>
      </c>
      <c r="C116" s="4">
        <v>19.5199</v>
      </c>
      <c r="D116" s="4">
        <v>19.113900000000001</v>
      </c>
      <c r="E116" s="4">
        <v>18.7058</v>
      </c>
      <c r="F116" s="4">
        <f t="shared" si="4"/>
        <v>19.113200000000003</v>
      </c>
      <c r="I116" s="4" t="s">
        <v>2661</v>
      </c>
      <c r="J116" s="4">
        <v>19.305099999999999</v>
      </c>
      <c r="K116" s="4">
        <v>18.522400000000001</v>
      </c>
      <c r="L116" s="4">
        <v>19.648</v>
      </c>
      <c r="M116" s="4">
        <f t="shared" si="5"/>
        <v>19.1585</v>
      </c>
      <c r="Q116" s="43" t="s">
        <v>2054</v>
      </c>
      <c r="R116" s="4">
        <v>18.7635981149398</v>
      </c>
      <c r="S116" s="4">
        <v>18.9692585895734</v>
      </c>
      <c r="T116" s="4">
        <v>19.066047046284901</v>
      </c>
      <c r="U116" s="4">
        <f t="shared" si="6"/>
        <v>18.9329679169327</v>
      </c>
      <c r="X116" s="43" t="s">
        <v>263</v>
      </c>
      <c r="Y116" s="4">
        <v>18.776790695978999</v>
      </c>
      <c r="Z116" s="4">
        <v>18.920603498306399</v>
      </c>
      <c r="AA116" s="4">
        <v>18.742525237538999</v>
      </c>
      <c r="AB116" s="4">
        <f t="shared" si="7"/>
        <v>18.813306477274796</v>
      </c>
      <c r="AK116" s="4" t="s">
        <v>2173</v>
      </c>
      <c r="AM116" s="4" t="s">
        <v>4367</v>
      </c>
      <c r="AP116" s="2"/>
      <c r="AQ116" s="1"/>
      <c r="AR116" s="1"/>
      <c r="AS116" s="1"/>
      <c r="AT116" s="6"/>
      <c r="AU116" s="1"/>
      <c r="AV116" s="10" t="s">
        <v>433</v>
      </c>
      <c r="AX116" s="6" t="s">
        <v>748</v>
      </c>
    </row>
    <row r="117" spans="2:50" x14ac:dyDescent="0.2">
      <c r="B117" s="4" t="s">
        <v>1382</v>
      </c>
      <c r="C117" s="4">
        <v>19.241299999999999</v>
      </c>
      <c r="D117" s="4">
        <v>19.0671</v>
      </c>
      <c r="E117" s="4">
        <v>19.027100000000001</v>
      </c>
      <c r="F117" s="4">
        <f t="shared" si="4"/>
        <v>19.111833333333333</v>
      </c>
      <c r="I117" s="4" t="s">
        <v>2359</v>
      </c>
      <c r="J117" s="4">
        <v>19.125499999999999</v>
      </c>
      <c r="K117" s="4">
        <v>19.293099999999999</v>
      </c>
      <c r="L117" s="4">
        <v>18.9757</v>
      </c>
      <c r="M117" s="4">
        <f t="shared" si="5"/>
        <v>19.131433333333334</v>
      </c>
      <c r="Q117" s="43" t="s">
        <v>3074</v>
      </c>
      <c r="R117" s="4">
        <v>18.8464445453201</v>
      </c>
      <c r="S117" s="4">
        <v>19.089440849781099</v>
      </c>
      <c r="T117" s="4">
        <v>18.806716016749601</v>
      </c>
      <c r="U117" s="4">
        <f t="shared" si="6"/>
        <v>18.914200470616933</v>
      </c>
      <c r="X117" s="43" t="s">
        <v>4395</v>
      </c>
      <c r="Y117" s="4">
        <v>18.763844483648001</v>
      </c>
      <c r="Z117" s="4">
        <v>19.009615670387898</v>
      </c>
      <c r="AA117" s="4">
        <v>18.6619301428596</v>
      </c>
      <c r="AB117" s="4">
        <f t="shared" si="7"/>
        <v>18.811796765631836</v>
      </c>
      <c r="AK117" s="4" t="s">
        <v>3944</v>
      </c>
      <c r="AM117" s="4" t="s">
        <v>4612</v>
      </c>
      <c r="AP117" s="2"/>
      <c r="AQ117" s="1"/>
      <c r="AR117" s="1"/>
      <c r="AS117" s="1"/>
      <c r="AT117" s="6"/>
      <c r="AU117" s="1"/>
      <c r="AV117" s="5" t="s">
        <v>435</v>
      </c>
      <c r="AX117" s="6" t="s">
        <v>829</v>
      </c>
    </row>
    <row r="118" spans="2:50" x14ac:dyDescent="0.2">
      <c r="B118" s="4" t="s">
        <v>3362</v>
      </c>
      <c r="C118" s="4">
        <v>19.201599999999999</v>
      </c>
      <c r="D118" s="4">
        <v>18.883400000000002</v>
      </c>
      <c r="E118" s="4">
        <v>19.205100000000002</v>
      </c>
      <c r="F118" s="4">
        <f t="shared" si="4"/>
        <v>19.096700000000002</v>
      </c>
      <c r="I118" s="4" t="s">
        <v>1776</v>
      </c>
      <c r="J118" s="4">
        <v>19.132000000000001</v>
      </c>
      <c r="K118" s="4">
        <v>19.319299999999998</v>
      </c>
      <c r="L118" s="4">
        <v>18.9209</v>
      </c>
      <c r="M118" s="4">
        <f t="shared" si="5"/>
        <v>19.124066666666668</v>
      </c>
      <c r="Q118" s="43" t="s">
        <v>2082</v>
      </c>
      <c r="R118" s="4">
        <v>19.174776080553102</v>
      </c>
      <c r="S118" s="4">
        <v>18.826893768390502</v>
      </c>
      <c r="T118" s="4">
        <v>18.691702229819501</v>
      </c>
      <c r="U118" s="4">
        <f t="shared" si="6"/>
        <v>18.897790692921035</v>
      </c>
      <c r="X118" s="43" t="s">
        <v>1922</v>
      </c>
      <c r="Y118" s="4">
        <v>18.745278502094401</v>
      </c>
      <c r="Z118" s="4">
        <v>18.892736675068701</v>
      </c>
      <c r="AA118" s="4">
        <v>18.781022467152201</v>
      </c>
      <c r="AB118" s="4">
        <f t="shared" si="7"/>
        <v>18.806345881438432</v>
      </c>
      <c r="AK118" s="4" t="s">
        <v>1458</v>
      </c>
      <c r="AM118" s="4" t="s">
        <v>4447</v>
      </c>
      <c r="AP118" s="2"/>
      <c r="AQ118" s="1"/>
      <c r="AR118" s="1"/>
      <c r="AS118" s="1"/>
      <c r="AT118" s="6"/>
      <c r="AU118" s="1"/>
      <c r="AV118" s="5" t="s">
        <v>301</v>
      </c>
      <c r="AX118" s="6" t="s">
        <v>664</v>
      </c>
    </row>
    <row r="119" spans="2:50" x14ac:dyDescent="0.2">
      <c r="B119" s="4" t="s">
        <v>657</v>
      </c>
      <c r="C119" s="4">
        <v>19.016500000000001</v>
      </c>
      <c r="D119" s="4">
        <v>19.1983</v>
      </c>
      <c r="E119" s="4">
        <v>19.007400000000001</v>
      </c>
      <c r="F119" s="4">
        <f t="shared" si="4"/>
        <v>19.074066666666667</v>
      </c>
      <c r="I119" s="4" t="s">
        <v>589</v>
      </c>
      <c r="J119" s="4">
        <v>19.104700000000001</v>
      </c>
      <c r="K119" s="4">
        <v>19.0931</v>
      </c>
      <c r="L119" s="4">
        <v>19.142700000000001</v>
      </c>
      <c r="M119" s="4">
        <f t="shared" si="5"/>
        <v>19.113500000000002</v>
      </c>
      <c r="Q119" s="43" t="s">
        <v>4417</v>
      </c>
      <c r="R119" s="4">
        <v>19.277948957284501</v>
      </c>
      <c r="S119" s="4">
        <v>18.768159031186698</v>
      </c>
      <c r="T119" s="4">
        <v>18.640431726202699</v>
      </c>
      <c r="U119" s="4">
        <f t="shared" si="6"/>
        <v>18.895513238224634</v>
      </c>
      <c r="X119" s="43" t="s">
        <v>3321</v>
      </c>
      <c r="Y119" s="4">
        <v>18.8104197407607</v>
      </c>
      <c r="Z119" s="4">
        <v>18.6865444535335</v>
      </c>
      <c r="AA119" s="4">
        <v>18.8998430662609</v>
      </c>
      <c r="AB119" s="4">
        <f t="shared" si="7"/>
        <v>18.798935753518368</v>
      </c>
      <c r="AK119" s="4" t="s">
        <v>1522</v>
      </c>
      <c r="AM119" s="4" t="s">
        <v>1348</v>
      </c>
      <c r="AP119" s="2"/>
      <c r="AQ119" s="1"/>
      <c r="AR119" s="1"/>
      <c r="AS119" s="1"/>
      <c r="AT119" s="6"/>
      <c r="AU119" s="1"/>
      <c r="AV119" s="5" t="s">
        <v>305</v>
      </c>
      <c r="AX119" s="6" t="s">
        <v>718</v>
      </c>
    </row>
    <row r="120" spans="2:50" x14ac:dyDescent="0.2">
      <c r="B120" s="4" t="s">
        <v>1833</v>
      </c>
      <c r="C120" s="4">
        <v>19.391200000000001</v>
      </c>
      <c r="D120" s="4">
        <v>19.135100000000001</v>
      </c>
      <c r="E120" s="4">
        <v>18.689699999999998</v>
      </c>
      <c r="F120" s="4">
        <f t="shared" si="4"/>
        <v>19.072000000000003</v>
      </c>
      <c r="I120" s="4" t="s">
        <v>2255</v>
      </c>
      <c r="J120" s="4">
        <v>18.2867</v>
      </c>
      <c r="K120" s="4">
        <v>19.861999999999998</v>
      </c>
      <c r="L120" s="4">
        <v>18.997</v>
      </c>
      <c r="M120" s="4">
        <f t="shared" si="5"/>
        <v>19.048566666666666</v>
      </c>
      <c r="Q120" s="43" t="s">
        <v>2485</v>
      </c>
      <c r="R120" s="4">
        <v>19.2278589489414</v>
      </c>
      <c r="S120" s="4">
        <v>18.651847134135</v>
      </c>
      <c r="T120" s="4">
        <v>18.800269321582199</v>
      </c>
      <c r="U120" s="4">
        <f t="shared" si="6"/>
        <v>18.893325134886201</v>
      </c>
      <c r="X120" s="43" t="s">
        <v>3222</v>
      </c>
      <c r="Y120" s="4">
        <v>18.618253214936001</v>
      </c>
      <c r="Z120" s="4">
        <v>19.0329901217039</v>
      </c>
      <c r="AA120" s="4">
        <v>18.717597084758999</v>
      </c>
      <c r="AB120" s="4">
        <f t="shared" si="7"/>
        <v>18.789613473799633</v>
      </c>
      <c r="AK120" s="4" t="s">
        <v>2821</v>
      </c>
      <c r="AM120" s="4" t="s">
        <v>4554</v>
      </c>
      <c r="AP120" s="2"/>
      <c r="AQ120" s="1"/>
      <c r="AR120" s="1"/>
      <c r="AS120" s="1"/>
      <c r="AT120" s="6"/>
      <c r="AU120" s="1"/>
      <c r="AV120" s="5" t="s">
        <v>183</v>
      </c>
      <c r="AX120" s="6" t="s">
        <v>830</v>
      </c>
    </row>
    <row r="121" spans="2:50" x14ac:dyDescent="0.2">
      <c r="B121" s="4" t="s">
        <v>2387</v>
      </c>
      <c r="C121" s="4">
        <v>19.1495</v>
      </c>
      <c r="D121" s="4">
        <v>19.0184</v>
      </c>
      <c r="E121" s="4">
        <v>19.032800000000002</v>
      </c>
      <c r="F121" s="4">
        <f t="shared" si="4"/>
        <v>19.0669</v>
      </c>
      <c r="I121" s="4" t="s">
        <v>2749</v>
      </c>
      <c r="J121" s="4">
        <v>19.009799999999998</v>
      </c>
      <c r="K121" s="4">
        <v>19.0596</v>
      </c>
      <c r="L121" s="4">
        <v>19.019100000000002</v>
      </c>
      <c r="M121" s="4">
        <f t="shared" si="5"/>
        <v>19.029500000000002</v>
      </c>
      <c r="Q121" s="43" t="s">
        <v>2486</v>
      </c>
      <c r="R121" s="4">
        <v>19.043895781610399</v>
      </c>
      <c r="S121" s="4">
        <v>18.698778595802398</v>
      </c>
      <c r="T121" s="4">
        <v>18.867320793383101</v>
      </c>
      <c r="U121" s="4">
        <f t="shared" si="6"/>
        <v>18.869998390265298</v>
      </c>
      <c r="X121" s="43" t="s">
        <v>3712</v>
      </c>
      <c r="Y121" s="4">
        <v>18.678033102812801</v>
      </c>
      <c r="Z121" s="4">
        <v>18.7232194078764</v>
      </c>
      <c r="AA121" s="4">
        <v>18.9480018577956</v>
      </c>
      <c r="AB121" s="4">
        <f t="shared" si="7"/>
        <v>18.783084789494936</v>
      </c>
      <c r="AK121" s="4" t="s">
        <v>3181</v>
      </c>
      <c r="AM121" s="4" t="s">
        <v>4288</v>
      </c>
      <c r="AP121" s="2"/>
      <c r="AQ121" s="1"/>
      <c r="AR121" s="1"/>
      <c r="AS121" s="1"/>
      <c r="AT121" s="6"/>
      <c r="AU121" s="1"/>
      <c r="AV121" s="10" t="s">
        <v>438</v>
      </c>
      <c r="AX121" s="6" t="s">
        <v>831</v>
      </c>
    </row>
    <row r="122" spans="2:50" x14ac:dyDescent="0.2">
      <c r="B122" s="4" t="s">
        <v>1377</v>
      </c>
      <c r="C122" s="4">
        <v>18.9529</v>
      </c>
      <c r="D122" s="4">
        <v>18.825099999999999</v>
      </c>
      <c r="E122" s="4">
        <v>19.405799999999999</v>
      </c>
      <c r="F122" s="4">
        <f t="shared" si="4"/>
        <v>19.061266666666665</v>
      </c>
      <c r="I122" s="4" t="s">
        <v>1169</v>
      </c>
      <c r="J122" s="4">
        <v>19.144500000000001</v>
      </c>
      <c r="K122" s="4">
        <v>18.8017</v>
      </c>
      <c r="L122" s="4">
        <v>19.068899999999999</v>
      </c>
      <c r="M122" s="4">
        <f t="shared" si="5"/>
        <v>19.005033333333333</v>
      </c>
      <c r="Q122" s="43" t="s">
        <v>1214</v>
      </c>
      <c r="R122" s="4">
        <v>19.382335172535502</v>
      </c>
      <c r="S122" s="4">
        <v>18.270694534323699</v>
      </c>
      <c r="T122" s="4">
        <v>18.894406437545001</v>
      </c>
      <c r="U122" s="4">
        <f t="shared" si="6"/>
        <v>18.849145381468066</v>
      </c>
      <c r="X122" s="43" t="s">
        <v>1908</v>
      </c>
      <c r="Y122" s="4">
        <v>18.745309703004999</v>
      </c>
      <c r="Z122" s="4">
        <v>18.8280842130679</v>
      </c>
      <c r="AA122" s="4">
        <v>18.736041212944802</v>
      </c>
      <c r="AB122" s="4">
        <f t="shared" si="7"/>
        <v>18.769811709672567</v>
      </c>
      <c r="AK122" s="4" t="s">
        <v>3573</v>
      </c>
      <c r="AM122" s="4" t="s">
        <v>4179</v>
      </c>
      <c r="AP122" s="2"/>
      <c r="AQ122" s="1"/>
      <c r="AR122" s="1"/>
      <c r="AS122" s="1"/>
      <c r="AT122" s="6"/>
      <c r="AU122" s="1"/>
      <c r="AV122" s="5" t="s">
        <v>440</v>
      </c>
      <c r="AX122" s="6" t="s">
        <v>702</v>
      </c>
    </row>
    <row r="123" spans="2:50" x14ac:dyDescent="0.2">
      <c r="B123" s="4" t="s">
        <v>2224</v>
      </c>
      <c r="C123" s="4">
        <v>19.089700000000001</v>
      </c>
      <c r="D123" s="4">
        <v>19.077200000000001</v>
      </c>
      <c r="E123" s="4">
        <v>18.943200000000001</v>
      </c>
      <c r="F123" s="4">
        <f t="shared" si="4"/>
        <v>19.0367</v>
      </c>
      <c r="I123" s="4" t="s">
        <v>2950</v>
      </c>
      <c r="J123" s="4">
        <v>19.006799999999998</v>
      </c>
      <c r="K123" s="4">
        <v>18.876000000000001</v>
      </c>
      <c r="L123" s="4">
        <v>19.114799999999999</v>
      </c>
      <c r="M123" s="4">
        <f t="shared" si="5"/>
        <v>18.999200000000002</v>
      </c>
      <c r="Q123" s="43" t="s">
        <v>1650</v>
      </c>
      <c r="R123" s="4">
        <v>18.953296219532</v>
      </c>
      <c r="S123" s="4">
        <v>18.8441361339598</v>
      </c>
      <c r="T123" s="4">
        <v>18.715247014944499</v>
      </c>
      <c r="U123" s="4">
        <f t="shared" si="6"/>
        <v>18.837559789478764</v>
      </c>
      <c r="X123" s="43" t="s">
        <v>1378</v>
      </c>
      <c r="Y123" s="4">
        <v>18.7702967886495</v>
      </c>
      <c r="Z123" s="4">
        <v>18.8219996371798</v>
      </c>
      <c r="AA123" s="4">
        <v>18.705058754117299</v>
      </c>
      <c r="AB123" s="4">
        <f t="shared" si="7"/>
        <v>18.765785059982203</v>
      </c>
      <c r="AK123" s="4" t="s">
        <v>1551</v>
      </c>
      <c r="AM123" s="4" t="s">
        <v>4331</v>
      </c>
      <c r="AP123" s="2"/>
      <c r="AQ123" s="1"/>
      <c r="AR123" s="1"/>
      <c r="AS123" s="1"/>
      <c r="AT123" s="6"/>
      <c r="AU123" s="1"/>
      <c r="AV123" s="5" t="s">
        <v>310</v>
      </c>
      <c r="AX123" s="6" t="s">
        <v>677</v>
      </c>
    </row>
    <row r="124" spans="2:50" x14ac:dyDescent="0.2">
      <c r="B124" s="4" t="s">
        <v>2438</v>
      </c>
      <c r="C124" s="4">
        <v>18.9513</v>
      </c>
      <c r="D124" s="4">
        <v>19.160499999999999</v>
      </c>
      <c r="E124" s="4">
        <v>18.944099999999999</v>
      </c>
      <c r="F124" s="4">
        <f t="shared" si="4"/>
        <v>19.018633333333334</v>
      </c>
      <c r="I124" s="4" t="s">
        <v>2881</v>
      </c>
      <c r="J124" s="4">
        <v>18.9573</v>
      </c>
      <c r="K124" s="4">
        <v>19.302499999999998</v>
      </c>
      <c r="L124" s="4">
        <v>18.7333</v>
      </c>
      <c r="M124" s="4">
        <f t="shared" si="5"/>
        <v>18.997699999999998</v>
      </c>
      <c r="Q124" s="43" t="s">
        <v>653</v>
      </c>
      <c r="R124" s="4">
        <v>18.3507845171941</v>
      </c>
      <c r="S124" s="4">
        <v>18.865423248587401</v>
      </c>
      <c r="T124" s="4">
        <v>19.250158117323501</v>
      </c>
      <c r="U124" s="4">
        <f t="shared" si="6"/>
        <v>18.822121961035002</v>
      </c>
      <c r="X124" s="43" t="s">
        <v>3849</v>
      </c>
      <c r="Y124" s="4">
        <v>18.7005435231112</v>
      </c>
      <c r="Z124" s="4">
        <v>18.774864624127002</v>
      </c>
      <c r="AA124" s="4">
        <v>18.803846170040401</v>
      </c>
      <c r="AB124" s="4">
        <f t="shared" si="7"/>
        <v>18.759751439092867</v>
      </c>
      <c r="AK124" s="4" t="s">
        <v>2049</v>
      </c>
      <c r="AM124" s="4" t="s">
        <v>451</v>
      </c>
      <c r="AP124" s="2"/>
      <c r="AQ124" s="1"/>
      <c r="AR124" s="1"/>
      <c r="AS124" s="1"/>
      <c r="AT124" s="6"/>
      <c r="AU124" s="1"/>
      <c r="AV124" s="13" t="s">
        <v>313</v>
      </c>
      <c r="AX124" s="6" t="s">
        <v>716</v>
      </c>
    </row>
    <row r="125" spans="2:50" x14ac:dyDescent="0.2">
      <c r="B125" s="4" t="s">
        <v>2280</v>
      </c>
      <c r="C125" s="4">
        <v>19.400400000000001</v>
      </c>
      <c r="D125" s="4">
        <v>18.908000000000001</v>
      </c>
      <c r="E125" s="4">
        <v>18.672000000000001</v>
      </c>
      <c r="F125" s="4">
        <f t="shared" si="4"/>
        <v>18.993466666666666</v>
      </c>
      <c r="I125" s="4" t="s">
        <v>1382</v>
      </c>
      <c r="J125" s="4">
        <v>19.241199999999999</v>
      </c>
      <c r="K125" s="4">
        <v>18.444199999999999</v>
      </c>
      <c r="L125" s="4">
        <v>19.3002</v>
      </c>
      <c r="M125" s="4">
        <f t="shared" si="5"/>
        <v>18.995200000000001</v>
      </c>
      <c r="Q125" s="43" t="s">
        <v>1368</v>
      </c>
      <c r="R125" s="4">
        <v>18.8873976849091</v>
      </c>
      <c r="S125" s="4">
        <v>18.833188987183899</v>
      </c>
      <c r="T125" s="4">
        <v>18.6869848209064</v>
      </c>
      <c r="U125" s="4">
        <f t="shared" si="6"/>
        <v>18.8025238309998</v>
      </c>
      <c r="X125" s="43" t="s">
        <v>3086</v>
      </c>
      <c r="Y125" s="4">
        <v>18.866082064015998</v>
      </c>
      <c r="Z125" s="4">
        <v>18.472610165151298</v>
      </c>
      <c r="AA125" s="4">
        <v>18.907784775317602</v>
      </c>
      <c r="AB125" s="4">
        <f t="shared" si="7"/>
        <v>18.748825668161633</v>
      </c>
      <c r="AK125" s="4" t="s">
        <v>2982</v>
      </c>
      <c r="AM125" s="4" t="s">
        <v>291</v>
      </c>
      <c r="AP125" s="2"/>
      <c r="AQ125" s="1"/>
      <c r="AR125" s="1"/>
      <c r="AS125" s="1"/>
      <c r="AT125" s="6"/>
      <c r="AU125" s="1"/>
      <c r="AV125" s="5" t="s">
        <v>189</v>
      </c>
      <c r="AX125" s="6" t="s">
        <v>693</v>
      </c>
    </row>
    <row r="126" spans="2:50" x14ac:dyDescent="0.2">
      <c r="B126" s="4" t="s">
        <v>1776</v>
      </c>
      <c r="C126" s="4">
        <v>18.904599999999999</v>
      </c>
      <c r="D126" s="4">
        <v>19.110099999999999</v>
      </c>
      <c r="E126" s="4">
        <v>18.962599999999998</v>
      </c>
      <c r="F126" s="4">
        <f t="shared" si="4"/>
        <v>18.992433333333334</v>
      </c>
      <c r="I126" s="4" t="s">
        <v>2721</v>
      </c>
      <c r="J126" s="4">
        <v>18.984100000000002</v>
      </c>
      <c r="K126" s="4">
        <v>19.169599999999999</v>
      </c>
      <c r="L126" s="4">
        <v>18.773499999999999</v>
      </c>
      <c r="M126" s="4">
        <f t="shared" si="5"/>
        <v>18.975733333333334</v>
      </c>
      <c r="Q126" s="43" t="s">
        <v>1169</v>
      </c>
      <c r="R126" s="4">
        <v>18.615984585105998</v>
      </c>
      <c r="S126" s="4">
        <v>18.9215593963713</v>
      </c>
      <c r="T126" s="4">
        <v>18.837213437474201</v>
      </c>
      <c r="U126" s="4">
        <f t="shared" si="6"/>
        <v>18.791585806317169</v>
      </c>
      <c r="X126" s="43" t="s">
        <v>3362</v>
      </c>
      <c r="Y126" s="4">
        <v>18.6736139637298</v>
      </c>
      <c r="Z126" s="4">
        <v>19.011934116941799</v>
      </c>
      <c r="AA126" s="4">
        <v>18.541791717315501</v>
      </c>
      <c r="AB126" s="4">
        <f t="shared" si="7"/>
        <v>18.742446599329032</v>
      </c>
      <c r="AK126" s="4" t="s">
        <v>2381</v>
      </c>
      <c r="AM126" s="4" t="s">
        <v>4253</v>
      </c>
      <c r="AP126" s="2"/>
      <c r="AQ126" s="1"/>
      <c r="AR126" s="1"/>
      <c r="AS126" s="1"/>
      <c r="AT126" s="6"/>
      <c r="AU126" s="1"/>
      <c r="AV126" s="5" t="s">
        <v>316</v>
      </c>
      <c r="AX126" s="6" t="s">
        <v>684</v>
      </c>
    </row>
    <row r="127" spans="2:50" x14ac:dyDescent="0.2">
      <c r="B127" s="4" t="s">
        <v>662</v>
      </c>
      <c r="C127" s="4">
        <v>19.177399999999999</v>
      </c>
      <c r="D127" s="4">
        <v>19.2578</v>
      </c>
      <c r="E127" s="4">
        <v>18.4816</v>
      </c>
      <c r="F127" s="4">
        <f t="shared" si="4"/>
        <v>18.972266666666666</v>
      </c>
      <c r="I127" s="4" t="s">
        <v>1698</v>
      </c>
      <c r="J127" s="4">
        <v>18.287500000000001</v>
      </c>
      <c r="K127" s="4">
        <v>20.149999999999999</v>
      </c>
      <c r="L127" s="4">
        <v>18.484200000000001</v>
      </c>
      <c r="M127" s="4">
        <f t="shared" si="5"/>
        <v>18.9739</v>
      </c>
      <c r="Q127" s="43" t="s">
        <v>2435</v>
      </c>
      <c r="R127" s="4">
        <v>19.0017763910861</v>
      </c>
      <c r="S127" s="4">
        <v>18.509878689579701</v>
      </c>
      <c r="T127" s="4">
        <v>18.796906138080601</v>
      </c>
      <c r="U127" s="4">
        <f t="shared" si="6"/>
        <v>18.769520406248802</v>
      </c>
      <c r="X127" s="43" t="s">
        <v>4576</v>
      </c>
      <c r="Y127" s="4">
        <v>18.687043545360201</v>
      </c>
      <c r="Z127" s="4">
        <v>18.844089803932398</v>
      </c>
      <c r="AA127" s="4">
        <v>18.685283782263401</v>
      </c>
      <c r="AB127" s="4">
        <f t="shared" si="7"/>
        <v>18.738805710518665</v>
      </c>
      <c r="AK127" s="4" t="s">
        <v>2219</v>
      </c>
      <c r="AM127" s="4" t="s">
        <v>1233</v>
      </c>
      <c r="AP127" s="2"/>
      <c r="AQ127" s="1"/>
      <c r="AR127" s="1"/>
      <c r="AS127" s="1"/>
      <c r="AT127" s="6"/>
      <c r="AU127" s="1"/>
      <c r="AV127" s="5" t="s">
        <v>320</v>
      </c>
      <c r="AX127" s="6" t="s">
        <v>691</v>
      </c>
    </row>
    <row r="128" spans="2:50" x14ac:dyDescent="0.2">
      <c r="B128" s="4" t="s">
        <v>2281</v>
      </c>
      <c r="C128" s="4">
        <v>18.923500000000001</v>
      </c>
      <c r="D128" s="4">
        <v>18.768999999999998</v>
      </c>
      <c r="E128" s="4">
        <v>19.033899999999999</v>
      </c>
      <c r="F128" s="4">
        <f t="shared" si="4"/>
        <v>18.908799999999999</v>
      </c>
      <c r="I128" s="12" t="s">
        <v>420</v>
      </c>
      <c r="J128" s="12">
        <v>19.210899999999999</v>
      </c>
      <c r="K128" s="12">
        <v>18.703700000000001</v>
      </c>
      <c r="L128" s="12">
        <v>19.007000000000001</v>
      </c>
      <c r="M128" s="4">
        <f t="shared" si="5"/>
        <v>18.973866666666666</v>
      </c>
      <c r="Q128" s="43" t="s">
        <v>2914</v>
      </c>
      <c r="R128" s="4">
        <v>18.8434698692813</v>
      </c>
      <c r="S128" s="4">
        <v>18.641360857629401</v>
      </c>
      <c r="T128" s="4">
        <v>18.752861886687899</v>
      </c>
      <c r="U128" s="4">
        <f t="shared" si="6"/>
        <v>18.745897537866199</v>
      </c>
      <c r="X128" s="43" t="s">
        <v>7</v>
      </c>
      <c r="Y128" s="4">
        <v>18.739956201114001</v>
      </c>
      <c r="Z128" s="4">
        <v>18.791207710698998</v>
      </c>
      <c r="AA128" s="4">
        <v>18.6172435992851</v>
      </c>
      <c r="AB128" s="4">
        <f t="shared" si="7"/>
        <v>18.716135837032699</v>
      </c>
      <c r="AK128" s="4" t="s">
        <v>3295</v>
      </c>
      <c r="AM128" s="4" t="s">
        <v>4518</v>
      </c>
      <c r="AP128" s="2"/>
      <c r="AQ128" s="1"/>
      <c r="AR128" s="1"/>
      <c r="AS128" s="1"/>
      <c r="AT128" s="6"/>
      <c r="AU128" s="1"/>
      <c r="AV128" s="5" t="s">
        <v>445</v>
      </c>
      <c r="AX128" s="6" t="s">
        <v>832</v>
      </c>
    </row>
    <row r="129" spans="2:50" x14ac:dyDescent="0.2">
      <c r="B129" s="4" t="s">
        <v>768</v>
      </c>
      <c r="C129" s="4">
        <v>18.463200000000001</v>
      </c>
      <c r="D129" s="4">
        <v>18.940300000000001</v>
      </c>
      <c r="E129" s="4">
        <v>19.256900000000002</v>
      </c>
      <c r="F129" s="4">
        <f t="shared" si="4"/>
        <v>18.886800000000001</v>
      </c>
      <c r="I129" s="4" t="s">
        <v>2281</v>
      </c>
      <c r="J129" s="4">
        <v>19.013999999999999</v>
      </c>
      <c r="K129" s="4">
        <v>19.0608</v>
      </c>
      <c r="L129" s="4">
        <v>18.828099999999999</v>
      </c>
      <c r="M129" s="4">
        <f t="shared" si="5"/>
        <v>18.967633333333332</v>
      </c>
      <c r="Q129" s="43" t="s">
        <v>1911</v>
      </c>
      <c r="R129" s="4">
        <v>18.713750641330801</v>
      </c>
      <c r="S129" s="4">
        <v>18.670916991911302</v>
      </c>
      <c r="T129" s="4">
        <v>18.793443567588</v>
      </c>
      <c r="U129" s="4">
        <f t="shared" si="6"/>
        <v>18.726037066943366</v>
      </c>
      <c r="X129" s="43" t="s">
        <v>46</v>
      </c>
      <c r="Y129" s="4">
        <v>18.767893885419099</v>
      </c>
      <c r="Z129" s="4">
        <v>18.930582715168001</v>
      </c>
      <c r="AA129" s="4">
        <v>18.405428359667901</v>
      </c>
      <c r="AB129" s="4">
        <f t="shared" si="7"/>
        <v>18.701301653418334</v>
      </c>
      <c r="AK129" s="4" t="s">
        <v>2743</v>
      </c>
      <c r="AM129" s="4" t="s">
        <v>4541</v>
      </c>
      <c r="AP129" s="2"/>
      <c r="AQ129" s="1"/>
      <c r="AR129" s="1"/>
      <c r="AS129" s="1"/>
      <c r="AT129" s="6"/>
      <c r="AU129" s="1"/>
      <c r="AV129" s="5" t="s">
        <v>448</v>
      </c>
      <c r="AX129" s="6" t="s">
        <v>201</v>
      </c>
    </row>
    <row r="130" spans="2:50" x14ac:dyDescent="0.2">
      <c r="B130" s="4" t="s">
        <v>1884</v>
      </c>
      <c r="C130" s="4">
        <v>18.659600000000001</v>
      </c>
      <c r="D130" s="4">
        <v>18.785900000000002</v>
      </c>
      <c r="E130" s="4">
        <v>19.205300000000001</v>
      </c>
      <c r="F130" s="4">
        <f t="shared" ref="F130:F193" si="8">(C130+D130+E130)/3</f>
        <v>18.883600000000001</v>
      </c>
      <c r="I130" s="4" t="s">
        <v>2914</v>
      </c>
      <c r="J130" s="4">
        <v>19.0535</v>
      </c>
      <c r="K130" s="4">
        <v>18.559100000000001</v>
      </c>
      <c r="L130" s="4">
        <v>19.224799999999998</v>
      </c>
      <c r="M130" s="4">
        <f t="shared" ref="M130:M193" si="9">(J130+K130+L130)/3</f>
        <v>18.945800000000002</v>
      </c>
      <c r="Q130" s="43" t="s">
        <v>2721</v>
      </c>
      <c r="R130" s="4">
        <v>18.9152306103305</v>
      </c>
      <c r="S130" s="4">
        <v>18.5259655863841</v>
      </c>
      <c r="T130" s="4">
        <v>18.628230502614699</v>
      </c>
      <c r="U130" s="4">
        <f t="shared" ref="U130:U193" si="10">(R130+S130+T130)/3</f>
        <v>18.689808899776434</v>
      </c>
      <c r="X130" s="43" t="s">
        <v>1911</v>
      </c>
      <c r="Y130" s="4">
        <v>18.638889350526</v>
      </c>
      <c r="Z130" s="4">
        <v>18.589933594682702</v>
      </c>
      <c r="AA130" s="4">
        <v>18.828367842072101</v>
      </c>
      <c r="AB130" s="4">
        <f t="shared" ref="AB130:AB193" si="11">(Y130+Z130+AA130)/3</f>
        <v>18.685730262426933</v>
      </c>
      <c r="AK130" s="4" t="s">
        <v>2089</v>
      </c>
      <c r="AM130" s="4" t="s">
        <v>4100</v>
      </c>
      <c r="AP130" s="2"/>
      <c r="AQ130" s="1"/>
      <c r="AR130" s="1"/>
      <c r="AS130" s="1"/>
      <c r="AT130" s="6"/>
      <c r="AU130" s="1"/>
      <c r="AV130" s="5" t="s">
        <v>452</v>
      </c>
      <c r="AX130" s="6" t="s">
        <v>764</v>
      </c>
    </row>
    <row r="131" spans="2:50" x14ac:dyDescent="0.2">
      <c r="B131" s="4" t="s">
        <v>705</v>
      </c>
      <c r="C131" s="4">
        <v>18.985099999999999</v>
      </c>
      <c r="D131" s="4">
        <v>19.130800000000001</v>
      </c>
      <c r="E131" s="4">
        <v>18.515699999999999</v>
      </c>
      <c r="F131" s="4">
        <f t="shared" si="8"/>
        <v>18.877199999999998</v>
      </c>
      <c r="I131" s="4" t="s">
        <v>2438</v>
      </c>
      <c r="J131" s="4">
        <v>18.908799999999999</v>
      </c>
      <c r="K131" s="4">
        <v>18.7591</v>
      </c>
      <c r="L131" s="4">
        <v>19.0929</v>
      </c>
      <c r="M131" s="4">
        <f t="shared" si="9"/>
        <v>18.920266666666667</v>
      </c>
      <c r="Q131" s="43" t="s">
        <v>1722</v>
      </c>
      <c r="R131" s="4">
        <v>18.9085187396518</v>
      </c>
      <c r="S131" s="4">
        <v>18.640079541645601</v>
      </c>
      <c r="T131" s="4">
        <v>18.4994259044154</v>
      </c>
      <c r="U131" s="4">
        <f t="shared" si="10"/>
        <v>18.682674728570934</v>
      </c>
      <c r="X131" s="43" t="s">
        <v>2914</v>
      </c>
      <c r="Y131" s="4">
        <v>18.602436967909501</v>
      </c>
      <c r="Z131" s="4">
        <v>18.798835296231299</v>
      </c>
      <c r="AA131" s="4">
        <v>18.6434795362191</v>
      </c>
      <c r="AB131" s="4">
        <f t="shared" si="11"/>
        <v>18.6815839334533</v>
      </c>
      <c r="AK131" s="4" t="s">
        <v>140</v>
      </c>
      <c r="AM131" s="4" t="s">
        <v>4277</v>
      </c>
      <c r="AP131" s="2"/>
      <c r="AQ131" s="1"/>
      <c r="AR131" s="1"/>
      <c r="AS131" s="1"/>
      <c r="AT131" s="6"/>
      <c r="AU131" s="1"/>
      <c r="AV131" s="5" t="s">
        <v>323</v>
      </c>
      <c r="AX131" s="6" t="s">
        <v>833</v>
      </c>
    </row>
    <row r="132" spans="2:50" x14ac:dyDescent="0.2">
      <c r="B132" s="4" t="s">
        <v>1702</v>
      </c>
      <c r="C132" s="4">
        <v>18.752600000000001</v>
      </c>
      <c r="D132" s="4">
        <v>18.556000000000001</v>
      </c>
      <c r="E132" s="4">
        <v>19.3125</v>
      </c>
      <c r="F132" s="4">
        <f t="shared" si="8"/>
        <v>18.873699999999999</v>
      </c>
      <c r="I132" s="4" t="s">
        <v>1752</v>
      </c>
      <c r="J132" s="4">
        <v>18.914400000000001</v>
      </c>
      <c r="K132" s="4">
        <v>19.130600000000001</v>
      </c>
      <c r="L132" s="4">
        <v>18.706900000000001</v>
      </c>
      <c r="M132" s="4">
        <f t="shared" si="9"/>
        <v>18.917300000000001</v>
      </c>
      <c r="Q132" s="43" t="s">
        <v>3615</v>
      </c>
      <c r="R132" s="4">
        <v>18.772133091521798</v>
      </c>
      <c r="S132" s="4">
        <v>18.590702377232901</v>
      </c>
      <c r="T132" s="4">
        <v>18.625359644976701</v>
      </c>
      <c r="U132" s="4">
        <f t="shared" si="10"/>
        <v>18.66273170457713</v>
      </c>
      <c r="X132" s="43" t="s">
        <v>1241</v>
      </c>
      <c r="Y132" s="4">
        <v>18.6512186067683</v>
      </c>
      <c r="Z132" s="4">
        <v>18.628077934935401</v>
      </c>
      <c r="AA132" s="4">
        <v>18.735527831172799</v>
      </c>
      <c r="AB132" s="4">
        <f t="shared" si="11"/>
        <v>18.671608124292167</v>
      </c>
      <c r="AK132" s="4" t="s">
        <v>2405</v>
      </c>
      <c r="AM132" s="4" t="s">
        <v>3234</v>
      </c>
      <c r="AP132" s="2"/>
      <c r="AQ132" s="1"/>
      <c r="AR132" s="1"/>
      <c r="AS132" s="1"/>
      <c r="AT132" s="6"/>
      <c r="AU132" s="1"/>
      <c r="AV132" s="5" t="s">
        <v>327</v>
      </c>
      <c r="AX132" s="6" t="s">
        <v>834</v>
      </c>
    </row>
    <row r="133" spans="2:50" x14ac:dyDescent="0.2">
      <c r="B133" s="4" t="s">
        <v>2749</v>
      </c>
      <c r="C133" s="4">
        <v>19.037400000000002</v>
      </c>
      <c r="D133" s="4">
        <v>18.671299999999999</v>
      </c>
      <c r="E133" s="4">
        <v>18.876799999999999</v>
      </c>
      <c r="F133" s="4">
        <f t="shared" si="8"/>
        <v>18.861833333333333</v>
      </c>
      <c r="I133" s="4" t="s">
        <v>2280</v>
      </c>
      <c r="J133" s="4">
        <v>18.8794</v>
      </c>
      <c r="K133" s="4">
        <v>19.201599999999999</v>
      </c>
      <c r="L133" s="4">
        <v>18.644500000000001</v>
      </c>
      <c r="M133" s="4">
        <f t="shared" si="9"/>
        <v>18.9085</v>
      </c>
      <c r="Q133" s="43" t="s">
        <v>3307</v>
      </c>
      <c r="R133" s="4">
        <v>18.630671903959598</v>
      </c>
      <c r="S133" s="4">
        <v>18.674170645091301</v>
      </c>
      <c r="T133" s="4">
        <v>18.632268133533302</v>
      </c>
      <c r="U133" s="4">
        <f t="shared" si="10"/>
        <v>18.645703560861403</v>
      </c>
      <c r="X133" s="43" t="s">
        <v>3833</v>
      </c>
      <c r="Y133" s="4">
        <v>18.5733932727038</v>
      </c>
      <c r="Z133" s="4">
        <v>18.933337982575299</v>
      </c>
      <c r="AA133" s="4">
        <v>18.382307065298999</v>
      </c>
      <c r="AB133" s="4">
        <f t="shared" si="11"/>
        <v>18.6296794401927</v>
      </c>
      <c r="AK133" s="4" t="s">
        <v>146</v>
      </c>
      <c r="AM133" s="4" t="s">
        <v>3381</v>
      </c>
      <c r="AP133" s="2"/>
      <c r="AQ133" s="1"/>
      <c r="AR133" s="1"/>
      <c r="AS133" s="1"/>
      <c r="AT133" s="6"/>
      <c r="AU133" s="1"/>
      <c r="AV133" s="5" t="s">
        <v>456</v>
      </c>
      <c r="AX133" s="6" t="s">
        <v>732</v>
      </c>
    </row>
    <row r="134" spans="2:50" x14ac:dyDescent="0.2">
      <c r="B134" s="4" t="s">
        <v>1473</v>
      </c>
      <c r="C134" s="4">
        <v>18.969899999999999</v>
      </c>
      <c r="D134" s="4">
        <v>18.716100000000001</v>
      </c>
      <c r="E134" s="4">
        <v>18.878</v>
      </c>
      <c r="F134" s="4">
        <f t="shared" si="8"/>
        <v>18.854666666666667</v>
      </c>
      <c r="I134" s="4" t="s">
        <v>1880</v>
      </c>
      <c r="J134" s="4">
        <v>19.038900000000002</v>
      </c>
      <c r="K134" s="4">
        <v>18.561499999999999</v>
      </c>
      <c r="L134" s="4">
        <v>19.087599999999998</v>
      </c>
      <c r="M134" s="4">
        <f t="shared" si="9"/>
        <v>18.896000000000001</v>
      </c>
      <c r="Q134" s="43" t="s">
        <v>2425</v>
      </c>
      <c r="R134" s="4">
        <v>18.841518924734601</v>
      </c>
      <c r="S134" s="4">
        <v>18.535153848719801</v>
      </c>
      <c r="T134" s="4">
        <v>18.5411667262115</v>
      </c>
      <c r="U134" s="4">
        <f t="shared" si="10"/>
        <v>18.639279833221966</v>
      </c>
      <c r="X134" s="43" t="s">
        <v>1771</v>
      </c>
      <c r="Y134" s="4">
        <v>18.801008967305101</v>
      </c>
      <c r="Z134" s="4">
        <v>18.557902334606499</v>
      </c>
      <c r="AA134" s="4">
        <v>18.517528114612698</v>
      </c>
      <c r="AB134" s="4">
        <f t="shared" si="11"/>
        <v>18.625479805508103</v>
      </c>
      <c r="AK134" s="4" t="s">
        <v>2812</v>
      </c>
      <c r="AM134" s="4" t="s">
        <v>4619</v>
      </c>
      <c r="AP134" s="2"/>
      <c r="AQ134" s="1"/>
      <c r="AR134" s="1"/>
      <c r="AS134" s="1"/>
      <c r="AT134" s="6"/>
      <c r="AU134" s="1"/>
      <c r="AV134" s="10" t="s">
        <v>458</v>
      </c>
      <c r="AX134" s="6" t="s">
        <v>79</v>
      </c>
    </row>
    <row r="135" spans="2:50" x14ac:dyDescent="0.2">
      <c r="B135" s="4" t="s">
        <v>3222</v>
      </c>
      <c r="C135" s="4">
        <v>18.712900000000001</v>
      </c>
      <c r="D135" s="4">
        <v>18.614699999999999</v>
      </c>
      <c r="E135" s="4">
        <v>19.215</v>
      </c>
      <c r="F135" s="4">
        <f t="shared" si="8"/>
        <v>18.847533333333335</v>
      </c>
      <c r="I135" s="4" t="s">
        <v>293</v>
      </c>
      <c r="J135" s="4">
        <v>18.886099999999999</v>
      </c>
      <c r="K135" s="4">
        <v>18.930099999999999</v>
      </c>
      <c r="L135" s="4">
        <v>18.822800000000001</v>
      </c>
      <c r="M135" s="4">
        <f t="shared" si="9"/>
        <v>18.879666666666665</v>
      </c>
      <c r="Q135" s="43" t="s">
        <v>3971</v>
      </c>
      <c r="R135" s="4">
        <v>19.025279967404899</v>
      </c>
      <c r="S135" s="4">
        <v>18.357351453204501</v>
      </c>
      <c r="T135" s="4">
        <v>18.496925122110198</v>
      </c>
      <c r="U135" s="4">
        <f t="shared" si="10"/>
        <v>18.626518847573198</v>
      </c>
      <c r="X135" s="43" t="s">
        <v>1488</v>
      </c>
      <c r="Y135" s="4">
        <v>18.562351313087799</v>
      </c>
      <c r="Z135" s="4">
        <v>18.5531292194058</v>
      </c>
      <c r="AA135" s="4">
        <v>18.755929506267002</v>
      </c>
      <c r="AB135" s="4">
        <f t="shared" si="11"/>
        <v>18.623803346253535</v>
      </c>
      <c r="AK135" s="4" t="s">
        <v>3751</v>
      </c>
      <c r="AM135" s="4" t="s">
        <v>4547</v>
      </c>
      <c r="AP135" s="2"/>
      <c r="AQ135" s="1"/>
      <c r="AR135" s="1"/>
      <c r="AS135" s="1"/>
      <c r="AT135" s="6"/>
      <c r="AU135" s="1"/>
      <c r="AV135" s="5" t="s">
        <v>330</v>
      </c>
      <c r="AX135" s="6" t="s">
        <v>369</v>
      </c>
    </row>
    <row r="136" spans="2:50" x14ac:dyDescent="0.2">
      <c r="B136" s="4" t="s">
        <v>3086</v>
      </c>
      <c r="C136" s="4">
        <v>18.7881</v>
      </c>
      <c r="D136" s="4">
        <v>18.903500000000001</v>
      </c>
      <c r="E136" s="4">
        <v>18.8141</v>
      </c>
      <c r="F136" s="4">
        <f t="shared" si="8"/>
        <v>18.835233333333335</v>
      </c>
      <c r="I136" s="4" t="s">
        <v>3208</v>
      </c>
      <c r="J136" s="4">
        <v>18.868400000000001</v>
      </c>
      <c r="K136" s="4">
        <v>18.670000000000002</v>
      </c>
      <c r="L136" s="4">
        <v>18.947500000000002</v>
      </c>
      <c r="M136" s="4">
        <f t="shared" si="9"/>
        <v>18.828633333333332</v>
      </c>
      <c r="Q136" s="43" t="s">
        <v>1676</v>
      </c>
      <c r="R136" s="4">
        <v>18.630783125124601</v>
      </c>
      <c r="S136" s="4">
        <v>18.633939425781399</v>
      </c>
      <c r="T136" s="4">
        <v>18.613771003360899</v>
      </c>
      <c r="U136" s="4">
        <f t="shared" si="10"/>
        <v>18.626164518088967</v>
      </c>
      <c r="X136" s="43" t="s">
        <v>3789</v>
      </c>
      <c r="Y136" s="4">
        <v>18.5126315977868</v>
      </c>
      <c r="Z136" s="4">
        <v>18.581389125155901</v>
      </c>
      <c r="AA136" s="4">
        <v>18.7541012021832</v>
      </c>
      <c r="AB136" s="4">
        <f t="shared" si="11"/>
        <v>18.616040641708633</v>
      </c>
      <c r="AK136" s="4" t="s">
        <v>160</v>
      </c>
      <c r="AM136" s="4" t="s">
        <v>4171</v>
      </c>
      <c r="AP136" s="2"/>
      <c r="AQ136" s="1"/>
      <c r="AR136" s="1"/>
      <c r="AS136" s="1"/>
      <c r="AT136" s="6"/>
      <c r="AU136" s="1"/>
      <c r="AV136" s="5" t="s">
        <v>201</v>
      </c>
      <c r="AX136" s="6" t="s">
        <v>689</v>
      </c>
    </row>
    <row r="137" spans="2:50" x14ac:dyDescent="0.2">
      <c r="B137" s="4" t="s">
        <v>1169</v>
      </c>
      <c r="C137" s="4">
        <v>19.0212</v>
      </c>
      <c r="D137" s="4">
        <v>18.8889</v>
      </c>
      <c r="E137" s="4">
        <v>18.593399999999999</v>
      </c>
      <c r="F137" s="4">
        <f t="shared" si="8"/>
        <v>18.834500000000002</v>
      </c>
      <c r="I137" s="4" t="s">
        <v>3762</v>
      </c>
      <c r="J137" s="4">
        <v>18.5487</v>
      </c>
      <c r="K137" s="4">
        <v>19.595800000000001</v>
      </c>
      <c r="L137" s="4">
        <v>18.318000000000001</v>
      </c>
      <c r="M137" s="4">
        <f t="shared" si="9"/>
        <v>18.820833333333336</v>
      </c>
      <c r="Q137" s="43" t="s">
        <v>1903</v>
      </c>
      <c r="R137" s="4">
        <v>18.561351153307001</v>
      </c>
      <c r="S137" s="4">
        <v>18.579733895358199</v>
      </c>
      <c r="T137" s="4">
        <v>18.682015803080901</v>
      </c>
      <c r="U137" s="4">
        <f t="shared" si="10"/>
        <v>18.607700283915367</v>
      </c>
      <c r="X137" s="43" t="s">
        <v>2281</v>
      </c>
      <c r="Y137" s="4">
        <v>18.5783246872898</v>
      </c>
      <c r="Z137" s="4">
        <v>18.6201713166245</v>
      </c>
      <c r="AA137" s="4">
        <v>18.624294335899101</v>
      </c>
      <c r="AB137" s="4">
        <f t="shared" si="11"/>
        <v>18.607596779937801</v>
      </c>
      <c r="AK137" s="4" t="s">
        <v>2020</v>
      </c>
      <c r="AM137" s="4" t="s">
        <v>4393</v>
      </c>
      <c r="AP137" s="2"/>
      <c r="AQ137" s="1"/>
      <c r="AR137" s="1"/>
      <c r="AS137" s="1"/>
      <c r="AT137" s="6"/>
      <c r="AU137" s="1"/>
      <c r="AV137" s="5" t="s">
        <v>333</v>
      </c>
      <c r="AX137" s="6" t="s">
        <v>672</v>
      </c>
    </row>
    <row r="138" spans="2:50" x14ac:dyDescent="0.2">
      <c r="B138" s="4" t="s">
        <v>1063</v>
      </c>
      <c r="C138" s="4">
        <v>18.1464</v>
      </c>
      <c r="D138" s="4">
        <v>18.418399999999998</v>
      </c>
      <c r="E138" s="4">
        <v>19.872699999999998</v>
      </c>
      <c r="F138" s="4">
        <f t="shared" si="8"/>
        <v>18.8125</v>
      </c>
      <c r="I138" s="4" t="s">
        <v>1425</v>
      </c>
      <c r="J138" s="4">
        <v>18.622399999999999</v>
      </c>
      <c r="K138" s="4">
        <v>19.254300000000001</v>
      </c>
      <c r="L138" s="4">
        <v>18.4757</v>
      </c>
      <c r="M138" s="4">
        <f t="shared" si="9"/>
        <v>18.784133333333333</v>
      </c>
      <c r="Q138" s="43" t="s">
        <v>1241</v>
      </c>
      <c r="R138" s="4">
        <v>18.412144337451601</v>
      </c>
      <c r="S138" s="4">
        <v>18.749071674647301</v>
      </c>
      <c r="T138" s="4">
        <v>18.5716865642522</v>
      </c>
      <c r="U138" s="4">
        <f t="shared" si="10"/>
        <v>18.577634192117035</v>
      </c>
      <c r="X138" s="43" t="s">
        <v>1057</v>
      </c>
      <c r="Y138" s="4">
        <v>18.591054325372799</v>
      </c>
      <c r="Z138" s="4">
        <v>18.6828740697092</v>
      </c>
      <c r="AA138" s="4">
        <v>18.513996207967299</v>
      </c>
      <c r="AB138" s="4">
        <f t="shared" si="11"/>
        <v>18.595974867683097</v>
      </c>
      <c r="AK138" s="4" t="s">
        <v>2962</v>
      </c>
      <c r="AM138" s="4" t="s">
        <v>4328</v>
      </c>
      <c r="AP138" s="2"/>
      <c r="AQ138" s="1"/>
      <c r="AR138" s="1"/>
      <c r="AS138" s="1"/>
      <c r="AT138" s="6"/>
      <c r="AU138" s="1"/>
      <c r="AV138" s="5" t="s">
        <v>464</v>
      </c>
      <c r="AX138" s="6" t="s">
        <v>786</v>
      </c>
    </row>
    <row r="139" spans="2:50" x14ac:dyDescent="0.2">
      <c r="B139" s="4" t="s">
        <v>2881</v>
      </c>
      <c r="C139" s="4">
        <v>18.927399999999999</v>
      </c>
      <c r="D139" s="4">
        <v>18.834099999999999</v>
      </c>
      <c r="E139" s="4">
        <v>18.470800000000001</v>
      </c>
      <c r="F139" s="4">
        <f t="shared" si="8"/>
        <v>18.7441</v>
      </c>
      <c r="I139" s="4" t="s">
        <v>1536</v>
      </c>
      <c r="J139" s="4">
        <v>18.553799999999999</v>
      </c>
      <c r="K139" s="4">
        <v>18.617100000000001</v>
      </c>
      <c r="L139" s="4">
        <v>19.115400000000001</v>
      </c>
      <c r="M139" s="4">
        <f t="shared" si="9"/>
        <v>18.7621</v>
      </c>
      <c r="Q139" s="43" t="s">
        <v>275</v>
      </c>
      <c r="R139" s="4">
        <v>18.8730831959768</v>
      </c>
      <c r="S139" s="4">
        <v>18.256328068503102</v>
      </c>
      <c r="T139" s="4">
        <v>18.5320410205155</v>
      </c>
      <c r="U139" s="4">
        <f t="shared" si="10"/>
        <v>18.553817428331801</v>
      </c>
      <c r="X139" s="43" t="s">
        <v>1256</v>
      </c>
      <c r="Y139" s="4">
        <v>18.466131508510198</v>
      </c>
      <c r="Z139" s="4">
        <v>18.679814651531601</v>
      </c>
      <c r="AA139" s="4">
        <v>18.601926568593999</v>
      </c>
      <c r="AB139" s="4">
        <f t="shared" si="11"/>
        <v>18.582624242878598</v>
      </c>
      <c r="AK139" s="4" t="s">
        <v>3480</v>
      </c>
      <c r="AM139" s="4" t="s">
        <v>4309</v>
      </c>
      <c r="AP139" s="2"/>
      <c r="AQ139" s="1"/>
      <c r="AR139" s="1"/>
      <c r="AS139" s="1"/>
      <c r="AT139" s="6"/>
      <c r="AU139" s="1"/>
      <c r="AV139" s="10" t="s">
        <v>207</v>
      </c>
      <c r="AX139" s="6" t="s">
        <v>835</v>
      </c>
    </row>
    <row r="140" spans="2:50" x14ac:dyDescent="0.2">
      <c r="B140" s="4" t="s">
        <v>2844</v>
      </c>
      <c r="C140" s="4">
        <v>18.962900000000001</v>
      </c>
      <c r="D140" s="4">
        <v>18.783799999999999</v>
      </c>
      <c r="E140" s="4">
        <v>18.4574</v>
      </c>
      <c r="F140" s="4">
        <f t="shared" si="8"/>
        <v>18.7347</v>
      </c>
      <c r="I140" s="4" t="s">
        <v>1803</v>
      </c>
      <c r="J140" s="4">
        <v>18.913900000000002</v>
      </c>
      <c r="K140" s="4">
        <v>18.3308</v>
      </c>
      <c r="L140" s="4">
        <v>18.9985</v>
      </c>
      <c r="M140" s="4">
        <f t="shared" si="9"/>
        <v>18.747733333333333</v>
      </c>
      <c r="Q140" s="43" t="s">
        <v>2281</v>
      </c>
      <c r="R140" s="4">
        <v>18.195355290983699</v>
      </c>
      <c r="S140" s="4">
        <v>18.6443692621833</v>
      </c>
      <c r="T140" s="4">
        <v>18.7600318030679</v>
      </c>
      <c r="U140" s="4">
        <f t="shared" si="10"/>
        <v>18.533252118744969</v>
      </c>
      <c r="X140" s="43" t="s">
        <v>2144</v>
      </c>
      <c r="Y140" s="4">
        <v>18.5640246561594</v>
      </c>
      <c r="Z140" s="4">
        <v>18.538840925252799</v>
      </c>
      <c r="AA140" s="4">
        <v>18.616351397388598</v>
      </c>
      <c r="AB140" s="4">
        <f t="shared" si="11"/>
        <v>18.573072326266935</v>
      </c>
      <c r="AK140" s="4" t="s">
        <v>3552</v>
      </c>
      <c r="AM140" s="4" t="s">
        <v>4398</v>
      </c>
      <c r="AP140" s="2"/>
      <c r="AQ140" s="1"/>
      <c r="AR140" s="1"/>
      <c r="AS140" s="1"/>
      <c r="AT140" s="6"/>
      <c r="AU140" s="1"/>
      <c r="AV140" s="5" t="s">
        <v>337</v>
      </c>
      <c r="AX140" s="6" t="s">
        <v>103</v>
      </c>
    </row>
    <row r="141" spans="2:50" x14ac:dyDescent="0.2">
      <c r="B141" s="4" t="s">
        <v>1565</v>
      </c>
      <c r="C141" s="4">
        <v>18.603899999999999</v>
      </c>
      <c r="D141" s="4">
        <v>18.7547</v>
      </c>
      <c r="E141" s="4">
        <v>18.757300000000001</v>
      </c>
      <c r="F141" s="4">
        <f t="shared" si="8"/>
        <v>18.705299999999998</v>
      </c>
      <c r="I141" s="4" t="s">
        <v>370</v>
      </c>
      <c r="J141" s="4">
        <v>18.3735</v>
      </c>
      <c r="K141" s="4">
        <v>18.933199999999999</v>
      </c>
      <c r="L141" s="4">
        <v>18.9129</v>
      </c>
      <c r="M141" s="4">
        <f t="shared" si="9"/>
        <v>18.739866666666668</v>
      </c>
      <c r="Q141" s="43" t="s">
        <v>3512</v>
      </c>
      <c r="R141" s="4">
        <v>18.390920551435901</v>
      </c>
      <c r="S141" s="4">
        <v>18.814068933640101</v>
      </c>
      <c r="T141" s="4">
        <v>18.387206623372499</v>
      </c>
      <c r="U141" s="4">
        <f t="shared" si="10"/>
        <v>18.530732036149498</v>
      </c>
      <c r="X141" s="43" t="s">
        <v>4026</v>
      </c>
      <c r="Y141" s="4">
        <v>18.496345430090699</v>
      </c>
      <c r="Z141" s="4">
        <v>18.433060757428901</v>
      </c>
      <c r="AA141" s="4">
        <v>18.7874128832851</v>
      </c>
      <c r="AB141" s="4">
        <f t="shared" si="11"/>
        <v>18.572273023601568</v>
      </c>
      <c r="AK141" s="4" t="s">
        <v>2611</v>
      </c>
      <c r="AM141" s="4" t="s">
        <v>4579</v>
      </c>
      <c r="AP141" s="2"/>
      <c r="AQ141" s="1"/>
      <c r="AR141" s="1"/>
      <c r="AS141" s="1"/>
      <c r="AT141" s="6"/>
      <c r="AU141" s="1"/>
      <c r="AV141" s="5" t="s">
        <v>341</v>
      </c>
      <c r="AX141" s="6" t="s">
        <v>836</v>
      </c>
    </row>
    <row r="142" spans="2:50" x14ac:dyDescent="0.2">
      <c r="B142" s="4" t="s">
        <v>3311</v>
      </c>
      <c r="C142" s="4">
        <v>18.902699999999999</v>
      </c>
      <c r="D142" s="4">
        <v>18.8934</v>
      </c>
      <c r="E142" s="4">
        <v>18.264299999999999</v>
      </c>
      <c r="F142" s="4">
        <f t="shared" si="8"/>
        <v>18.686799999999998</v>
      </c>
      <c r="I142" s="4" t="s">
        <v>537</v>
      </c>
      <c r="J142" s="4">
        <v>18.927399999999999</v>
      </c>
      <c r="K142" s="4">
        <v>18.421800000000001</v>
      </c>
      <c r="L142" s="4">
        <v>18.8034</v>
      </c>
      <c r="M142" s="4">
        <f t="shared" si="9"/>
        <v>18.717533333333332</v>
      </c>
      <c r="Q142" s="43" t="s">
        <v>1213</v>
      </c>
      <c r="R142" s="4">
        <v>18.886830373536501</v>
      </c>
      <c r="S142" s="4">
        <v>18.205739202980102</v>
      </c>
      <c r="T142" s="4">
        <v>18.471062479651401</v>
      </c>
      <c r="U142" s="4">
        <f t="shared" si="10"/>
        <v>18.521210685389335</v>
      </c>
      <c r="X142" s="43" t="s">
        <v>1676</v>
      </c>
      <c r="Y142" s="4">
        <v>18.555231338486301</v>
      </c>
      <c r="Z142" s="4">
        <v>18.524242570940299</v>
      </c>
      <c r="AA142" s="4">
        <v>18.636295242439001</v>
      </c>
      <c r="AB142" s="4">
        <f t="shared" si="11"/>
        <v>18.571923050621866</v>
      </c>
      <c r="AK142" s="4" t="s">
        <v>3030</v>
      </c>
      <c r="AM142" s="4" t="s">
        <v>3781</v>
      </c>
      <c r="AP142" s="2"/>
      <c r="AQ142" s="1"/>
      <c r="AR142" s="1"/>
      <c r="AS142" s="1"/>
      <c r="AT142" s="6"/>
      <c r="AU142" s="1"/>
      <c r="AV142" s="5" t="s">
        <v>213</v>
      </c>
      <c r="AX142" s="6" t="s">
        <v>717</v>
      </c>
    </row>
    <row r="143" spans="2:50" x14ac:dyDescent="0.2">
      <c r="B143" s="4" t="s">
        <v>113</v>
      </c>
      <c r="C143" s="4">
        <v>17.7317</v>
      </c>
      <c r="D143" s="4">
        <v>19.056000000000001</v>
      </c>
      <c r="E143" s="4">
        <v>19.255400000000002</v>
      </c>
      <c r="F143" s="4">
        <f t="shared" si="8"/>
        <v>18.681033333333335</v>
      </c>
      <c r="I143" s="4" t="s">
        <v>284</v>
      </c>
      <c r="J143" s="4">
        <v>18.802600000000002</v>
      </c>
      <c r="K143" s="4">
        <v>18.533300000000001</v>
      </c>
      <c r="L143" s="4">
        <v>18.759899999999998</v>
      </c>
      <c r="M143" s="4">
        <f t="shared" si="9"/>
        <v>18.698599999999999</v>
      </c>
      <c r="Q143" s="43" t="s">
        <v>3611</v>
      </c>
      <c r="R143" s="4">
        <v>18.6938925112897</v>
      </c>
      <c r="S143" s="4">
        <v>18.421598182418698</v>
      </c>
      <c r="T143" s="4">
        <v>18.420710565466798</v>
      </c>
      <c r="U143" s="4">
        <f t="shared" si="10"/>
        <v>18.512067086391731</v>
      </c>
      <c r="X143" s="43" t="s">
        <v>3527</v>
      </c>
      <c r="Y143" s="4">
        <v>19.367181467798002</v>
      </c>
      <c r="Z143" s="4">
        <v>19.203269589121899</v>
      </c>
      <c r="AA143" s="4">
        <v>17.109112047949498</v>
      </c>
      <c r="AB143" s="4">
        <f t="shared" si="11"/>
        <v>18.559854368289802</v>
      </c>
      <c r="AK143" s="4" t="s">
        <v>3025</v>
      </c>
      <c r="AM143" s="4" t="s">
        <v>4410</v>
      </c>
      <c r="AP143" s="2"/>
      <c r="AQ143" s="1"/>
      <c r="AR143" s="1"/>
      <c r="AS143" s="1"/>
      <c r="AT143" s="6"/>
      <c r="AU143" s="1"/>
      <c r="AV143" s="5" t="s">
        <v>469</v>
      </c>
      <c r="AX143" s="6" t="s">
        <v>837</v>
      </c>
    </row>
    <row r="144" spans="2:50" x14ac:dyDescent="0.2">
      <c r="B144" s="4" t="s">
        <v>2914</v>
      </c>
      <c r="C144" s="4">
        <v>18.3413</v>
      </c>
      <c r="D144" s="4">
        <v>18.709</v>
      </c>
      <c r="E144" s="4">
        <v>18.903099999999998</v>
      </c>
      <c r="F144" s="4">
        <f t="shared" si="8"/>
        <v>18.651133333333334</v>
      </c>
      <c r="I144" s="4" t="s">
        <v>913</v>
      </c>
      <c r="J144" s="4">
        <v>18.438800000000001</v>
      </c>
      <c r="K144" s="4">
        <v>19.831900000000001</v>
      </c>
      <c r="L144" s="4">
        <v>17.804600000000001</v>
      </c>
      <c r="M144" s="4">
        <f t="shared" si="9"/>
        <v>18.69176666666667</v>
      </c>
      <c r="Q144" s="43" t="s">
        <v>2144</v>
      </c>
      <c r="R144" s="4">
        <v>18.5380437766668</v>
      </c>
      <c r="S144" s="4">
        <v>18.435797670557299</v>
      </c>
      <c r="T144" s="4">
        <v>18.547452847593998</v>
      </c>
      <c r="U144" s="4">
        <f t="shared" si="10"/>
        <v>18.507098098272703</v>
      </c>
      <c r="X144" s="43" t="s">
        <v>1880</v>
      </c>
      <c r="Y144" s="4">
        <v>18.590589249056901</v>
      </c>
      <c r="Z144" s="4">
        <v>18.668147362909501</v>
      </c>
      <c r="AA144" s="4">
        <v>18.404245740779601</v>
      </c>
      <c r="AB144" s="4">
        <f t="shared" si="11"/>
        <v>18.554327450915334</v>
      </c>
      <c r="AK144" s="4" t="s">
        <v>4035</v>
      </c>
      <c r="AM144" s="4" t="s">
        <v>4263</v>
      </c>
      <c r="AP144" s="2"/>
      <c r="AQ144" s="1"/>
      <c r="AR144" s="1"/>
      <c r="AS144" s="1"/>
      <c r="AT144" s="6"/>
      <c r="AU144" s="1"/>
      <c r="AV144" s="10" t="s">
        <v>344</v>
      </c>
      <c r="AX144" s="6" t="s">
        <v>798</v>
      </c>
    </row>
    <row r="145" spans="2:50" x14ac:dyDescent="0.2">
      <c r="B145" s="4" t="s">
        <v>674</v>
      </c>
      <c r="C145" s="4">
        <v>18.640899999999998</v>
      </c>
      <c r="D145" s="4">
        <v>18.943899999999999</v>
      </c>
      <c r="E145" s="4">
        <v>18.353899999999999</v>
      </c>
      <c r="F145" s="4">
        <f t="shared" si="8"/>
        <v>18.646233333333331</v>
      </c>
      <c r="I145" s="4" t="s">
        <v>3712</v>
      </c>
      <c r="J145" s="4">
        <v>18.624300000000002</v>
      </c>
      <c r="K145" s="4">
        <v>18.555399999999999</v>
      </c>
      <c r="L145" s="4">
        <v>18.8538</v>
      </c>
      <c r="M145" s="4">
        <f t="shared" si="9"/>
        <v>18.677833333333332</v>
      </c>
      <c r="Q145" s="43" t="s">
        <v>2344</v>
      </c>
      <c r="R145" s="4">
        <v>18.859024305811602</v>
      </c>
      <c r="S145" s="4">
        <v>18.257122715627499</v>
      </c>
      <c r="T145" s="4">
        <v>18.392430684027801</v>
      </c>
      <c r="U145" s="4">
        <f t="shared" si="10"/>
        <v>18.502859235155636</v>
      </c>
      <c r="X145" s="43" t="s">
        <v>22</v>
      </c>
      <c r="Y145" s="4">
        <v>18.453922380705201</v>
      </c>
      <c r="Z145" s="4">
        <v>18.585170221363601</v>
      </c>
      <c r="AA145" s="4">
        <v>18.499908698519899</v>
      </c>
      <c r="AB145" s="4">
        <f t="shared" si="11"/>
        <v>18.513000433529569</v>
      </c>
      <c r="AK145" s="4" t="s">
        <v>3758</v>
      </c>
      <c r="AM145" s="4" t="s">
        <v>4620</v>
      </c>
      <c r="AP145" s="2"/>
      <c r="AQ145" s="1"/>
      <c r="AR145" s="1"/>
      <c r="AS145" s="1"/>
      <c r="AT145" s="6"/>
      <c r="AU145" s="1"/>
      <c r="AV145" s="5" t="s">
        <v>472</v>
      </c>
      <c r="AX145" s="6" t="s">
        <v>657</v>
      </c>
    </row>
    <row r="146" spans="2:50" x14ac:dyDescent="0.2">
      <c r="B146" s="4" t="s">
        <v>2367</v>
      </c>
      <c r="C146" s="4">
        <v>18.4636</v>
      </c>
      <c r="D146" s="4">
        <v>18.566700000000001</v>
      </c>
      <c r="E146" s="4">
        <v>18.8794</v>
      </c>
      <c r="F146" s="4">
        <f t="shared" si="8"/>
        <v>18.636566666666667</v>
      </c>
      <c r="I146" s="4" t="s">
        <v>3362</v>
      </c>
      <c r="J146" s="4">
        <v>18.5731</v>
      </c>
      <c r="K146" s="4">
        <v>19.016200000000001</v>
      </c>
      <c r="L146" s="4">
        <v>18.4194</v>
      </c>
      <c r="M146" s="4">
        <f t="shared" si="9"/>
        <v>18.669566666666668</v>
      </c>
      <c r="Q146" s="43" t="s">
        <v>1378</v>
      </c>
      <c r="R146" s="4">
        <v>18.497277551544801</v>
      </c>
      <c r="S146" s="4">
        <v>18.494986327590301</v>
      </c>
      <c r="T146" s="4">
        <v>18.503470493803199</v>
      </c>
      <c r="U146" s="4">
        <f t="shared" si="10"/>
        <v>18.498578124312768</v>
      </c>
      <c r="X146" s="43" t="s">
        <v>113</v>
      </c>
      <c r="Y146" s="4">
        <v>18.635960164379899</v>
      </c>
      <c r="Z146" s="4">
        <v>18.4162554152235</v>
      </c>
      <c r="AA146" s="4">
        <v>18.447069986732298</v>
      </c>
      <c r="AB146" s="4">
        <f t="shared" si="11"/>
        <v>18.499761855445232</v>
      </c>
      <c r="AK146" s="4" t="s">
        <v>1455</v>
      </c>
      <c r="AM146" s="4" t="s">
        <v>4503</v>
      </c>
      <c r="AP146" s="2"/>
      <c r="AQ146" s="1"/>
      <c r="AR146" s="1"/>
      <c r="AS146" s="1"/>
      <c r="AT146" s="6"/>
      <c r="AU146" s="1"/>
      <c r="AV146" s="5" t="s">
        <v>348</v>
      </c>
      <c r="AX146" s="6" t="s">
        <v>541</v>
      </c>
    </row>
    <row r="147" spans="2:50" x14ac:dyDescent="0.2">
      <c r="B147" s="4" t="s">
        <v>537</v>
      </c>
      <c r="C147" s="4">
        <v>18.667999999999999</v>
      </c>
      <c r="D147" s="4">
        <v>18.61</v>
      </c>
      <c r="E147" s="4">
        <v>18.579699999999999</v>
      </c>
      <c r="F147" s="4">
        <f t="shared" si="8"/>
        <v>18.61923333333333</v>
      </c>
      <c r="I147" s="4" t="s">
        <v>1654</v>
      </c>
      <c r="J147" s="4">
        <v>18.706700000000001</v>
      </c>
      <c r="K147" s="4">
        <v>18.516500000000001</v>
      </c>
      <c r="L147" s="4">
        <v>18.782</v>
      </c>
      <c r="M147" s="4">
        <f t="shared" si="9"/>
        <v>18.668400000000002</v>
      </c>
      <c r="Q147" s="43" t="s">
        <v>3013</v>
      </c>
      <c r="R147" s="4">
        <v>19.119804342174898</v>
      </c>
      <c r="S147" s="4">
        <v>18.1136546549989</v>
      </c>
      <c r="T147" s="4">
        <v>18.254243443003102</v>
      </c>
      <c r="U147" s="4">
        <f t="shared" si="10"/>
        <v>18.4959008133923</v>
      </c>
      <c r="X147" s="43" t="s">
        <v>2400</v>
      </c>
      <c r="Y147" s="4">
        <v>18.391839731590199</v>
      </c>
      <c r="Z147" s="4">
        <v>18.552215770487098</v>
      </c>
      <c r="AA147" s="4">
        <v>18.5503681898705</v>
      </c>
      <c r="AB147" s="4">
        <f t="shared" si="11"/>
        <v>18.498141230649267</v>
      </c>
      <c r="AK147" s="4" t="s">
        <v>1965</v>
      </c>
      <c r="AM147" s="4" t="s">
        <v>4402</v>
      </c>
      <c r="AP147" s="2"/>
      <c r="AQ147" s="1"/>
      <c r="AR147" s="1"/>
      <c r="AS147" s="1"/>
      <c r="AT147" s="6"/>
      <c r="AU147" s="1"/>
      <c r="AV147" s="5" t="s">
        <v>351</v>
      </c>
      <c r="AX147" s="6" t="s">
        <v>838</v>
      </c>
    </row>
    <row r="148" spans="2:50" x14ac:dyDescent="0.2">
      <c r="B148" s="4" t="s">
        <v>690</v>
      </c>
      <c r="C148" s="4">
        <v>18.904299999999999</v>
      </c>
      <c r="D148" s="4">
        <v>18.337499999999999</v>
      </c>
      <c r="E148" s="4">
        <v>18.610099999999999</v>
      </c>
      <c r="F148" s="4">
        <f t="shared" si="8"/>
        <v>18.6173</v>
      </c>
      <c r="I148" s="4" t="s">
        <v>115</v>
      </c>
      <c r="J148" s="4">
        <v>18.933399999999999</v>
      </c>
      <c r="K148" s="4">
        <v>18.232900000000001</v>
      </c>
      <c r="L148" s="4">
        <v>18.838699999999999</v>
      </c>
      <c r="M148" s="4">
        <f t="shared" si="9"/>
        <v>18.668333333333333</v>
      </c>
      <c r="Q148" s="43" t="s">
        <v>2817</v>
      </c>
      <c r="R148" s="4">
        <v>18.612974323239701</v>
      </c>
      <c r="S148" s="4">
        <v>18.4407662435143</v>
      </c>
      <c r="T148" s="4">
        <v>18.431616930142301</v>
      </c>
      <c r="U148" s="4">
        <f t="shared" si="10"/>
        <v>18.495119165632101</v>
      </c>
      <c r="X148" s="43" t="s">
        <v>1198</v>
      </c>
      <c r="Y148" s="4">
        <v>18.558960149232</v>
      </c>
      <c r="Z148" s="4">
        <v>18.6119979422648</v>
      </c>
      <c r="AA148" s="4">
        <v>18.3229703588067</v>
      </c>
      <c r="AB148" s="4">
        <f t="shared" si="11"/>
        <v>18.497976150101167</v>
      </c>
      <c r="AK148" s="4" t="s">
        <v>2988</v>
      </c>
      <c r="AM148" s="4" t="s">
        <v>4165</v>
      </c>
      <c r="AP148" s="2"/>
      <c r="AQ148" s="1"/>
      <c r="AR148" s="1"/>
      <c r="AS148" s="1"/>
      <c r="AT148" s="6"/>
      <c r="AU148" s="1"/>
      <c r="AV148" s="5" t="s">
        <v>354</v>
      </c>
      <c r="AX148" s="6" t="s">
        <v>839</v>
      </c>
    </row>
    <row r="149" spans="2:50" x14ac:dyDescent="0.2">
      <c r="B149" s="4" t="s">
        <v>1681</v>
      </c>
      <c r="C149" s="4">
        <v>18.587199999999999</v>
      </c>
      <c r="D149" s="4">
        <v>18.636600000000001</v>
      </c>
      <c r="E149" s="4">
        <v>18.6082</v>
      </c>
      <c r="F149" s="4">
        <f t="shared" si="8"/>
        <v>18.610666666666663</v>
      </c>
      <c r="I149" s="4" t="s">
        <v>1566</v>
      </c>
      <c r="J149" s="4">
        <v>18.8887</v>
      </c>
      <c r="K149" s="4">
        <v>18.149000000000001</v>
      </c>
      <c r="L149" s="4">
        <v>18.950700000000001</v>
      </c>
      <c r="M149" s="4">
        <f t="shared" si="9"/>
        <v>18.662800000000001</v>
      </c>
      <c r="Q149" s="43" t="s">
        <v>1176</v>
      </c>
      <c r="R149" s="4">
        <v>18.5159322802009</v>
      </c>
      <c r="S149" s="4">
        <v>18.473395985897099</v>
      </c>
      <c r="T149" s="4">
        <v>18.469629045857999</v>
      </c>
      <c r="U149" s="4">
        <f t="shared" si="10"/>
        <v>18.486319103985334</v>
      </c>
      <c r="X149" s="43" t="s">
        <v>4002</v>
      </c>
      <c r="Y149" s="4">
        <v>18.363148378837298</v>
      </c>
      <c r="Z149" s="4">
        <v>18.607657853900299</v>
      </c>
      <c r="AA149" s="4">
        <v>18.482736346660701</v>
      </c>
      <c r="AB149" s="4">
        <f t="shared" si="11"/>
        <v>18.484514193132767</v>
      </c>
      <c r="AK149" s="4" t="s">
        <v>3518</v>
      </c>
      <c r="AM149" s="4" t="s">
        <v>4219</v>
      </c>
      <c r="AP149" s="2"/>
      <c r="AQ149" s="1"/>
      <c r="AR149" s="1"/>
      <c r="AS149" s="1"/>
      <c r="AT149" s="6"/>
      <c r="AU149" s="1"/>
      <c r="AV149" s="5" t="s">
        <v>475</v>
      </c>
      <c r="AX149" s="6" t="s">
        <v>779</v>
      </c>
    </row>
    <row r="150" spans="2:50" x14ac:dyDescent="0.2">
      <c r="B150" s="4" t="s">
        <v>3342</v>
      </c>
      <c r="C150" s="4">
        <v>18.772200000000002</v>
      </c>
      <c r="D150" s="4">
        <v>18.644100000000002</v>
      </c>
      <c r="E150" s="4">
        <v>18.377800000000001</v>
      </c>
      <c r="F150" s="4">
        <f t="shared" si="8"/>
        <v>18.598033333333337</v>
      </c>
      <c r="I150" s="4" t="s">
        <v>2322</v>
      </c>
      <c r="J150" s="4">
        <v>18.678799999999999</v>
      </c>
      <c r="K150" s="4">
        <v>18.517499999999998</v>
      </c>
      <c r="L150" s="4">
        <v>18.768899999999999</v>
      </c>
      <c r="M150" s="4">
        <f t="shared" si="9"/>
        <v>18.655066666666666</v>
      </c>
      <c r="Q150" s="43" t="s">
        <v>882</v>
      </c>
      <c r="R150" s="4">
        <v>18.320490041013102</v>
      </c>
      <c r="S150" s="4">
        <v>18.4137279210575</v>
      </c>
      <c r="T150" s="4">
        <v>18.6229928459585</v>
      </c>
      <c r="U150" s="4">
        <f t="shared" si="10"/>
        <v>18.452403602676366</v>
      </c>
      <c r="X150" s="43" t="s">
        <v>1833</v>
      </c>
      <c r="Y150" s="4">
        <v>18.4566379676758</v>
      </c>
      <c r="Z150" s="4">
        <v>18.590517357265099</v>
      </c>
      <c r="AA150" s="4">
        <v>18.352348224091099</v>
      </c>
      <c r="AB150" s="4">
        <f t="shared" si="11"/>
        <v>18.466501183010667</v>
      </c>
      <c r="AK150" s="4" t="s">
        <v>318</v>
      </c>
      <c r="AM150" s="4" t="s">
        <v>4405</v>
      </c>
      <c r="AP150" s="2"/>
      <c r="AQ150" s="1"/>
      <c r="AR150" s="1"/>
      <c r="AS150" s="1"/>
      <c r="AT150" s="6"/>
      <c r="AU150" s="1"/>
      <c r="AV150" s="10" t="s">
        <v>478</v>
      </c>
      <c r="AX150" s="6" t="s">
        <v>726</v>
      </c>
    </row>
    <row r="151" spans="2:50" x14ac:dyDescent="0.2">
      <c r="B151" s="4" t="s">
        <v>734</v>
      </c>
      <c r="C151" s="4">
        <v>18.747</v>
      </c>
      <c r="D151" s="4">
        <v>18.521799999999999</v>
      </c>
      <c r="E151" s="4">
        <v>18.5059</v>
      </c>
      <c r="F151" s="4">
        <f t="shared" si="8"/>
        <v>18.591566666666665</v>
      </c>
      <c r="I151" s="4" t="s">
        <v>1548</v>
      </c>
      <c r="J151" s="4">
        <v>18.794599999999999</v>
      </c>
      <c r="K151" s="4">
        <v>18.4377</v>
      </c>
      <c r="L151" s="4">
        <v>18.685600000000001</v>
      </c>
      <c r="M151" s="4">
        <f t="shared" si="9"/>
        <v>18.639299999999999</v>
      </c>
      <c r="Q151" s="43" t="s">
        <v>2438</v>
      </c>
      <c r="R151" s="4">
        <v>18.715527680600701</v>
      </c>
      <c r="S151" s="4">
        <v>18.249015809979898</v>
      </c>
      <c r="T151" s="4">
        <v>18.374392267448201</v>
      </c>
      <c r="U151" s="4">
        <f t="shared" si="10"/>
        <v>18.446311919342932</v>
      </c>
      <c r="X151" s="43" t="s">
        <v>3205</v>
      </c>
      <c r="Y151" s="4">
        <v>18.482683966243101</v>
      </c>
      <c r="Z151" s="4">
        <v>18.447483898957</v>
      </c>
      <c r="AA151" s="4">
        <v>18.4523401741525</v>
      </c>
      <c r="AB151" s="4">
        <f t="shared" si="11"/>
        <v>18.460836013117532</v>
      </c>
      <c r="AK151" s="4" t="s">
        <v>3508</v>
      </c>
      <c r="AM151" s="4" t="s">
        <v>4348</v>
      </c>
      <c r="AP151" s="2"/>
      <c r="AQ151" s="1"/>
      <c r="AR151" s="1"/>
      <c r="AS151" s="1"/>
      <c r="AT151" s="6"/>
      <c r="AU151" s="1"/>
      <c r="AV151" s="5" t="s">
        <v>481</v>
      </c>
      <c r="AX151" s="6" t="s">
        <v>767</v>
      </c>
    </row>
    <row r="152" spans="2:50" x14ac:dyDescent="0.2">
      <c r="B152" s="4" t="s">
        <v>2322</v>
      </c>
      <c r="C152" s="4">
        <v>18.6069</v>
      </c>
      <c r="D152" s="4">
        <v>18.521599999999999</v>
      </c>
      <c r="E152" s="4">
        <v>18.637699999999999</v>
      </c>
      <c r="F152" s="4">
        <f t="shared" si="8"/>
        <v>18.588733333333334</v>
      </c>
      <c r="I152" s="4" t="s">
        <v>4002</v>
      </c>
      <c r="J152" s="4">
        <v>18.677399999999999</v>
      </c>
      <c r="K152" s="4">
        <v>18.622199999999999</v>
      </c>
      <c r="L152" s="4">
        <v>18.518699999999999</v>
      </c>
      <c r="M152" s="4">
        <f t="shared" si="9"/>
        <v>18.606099999999998</v>
      </c>
      <c r="Q152" s="43" t="s">
        <v>3179</v>
      </c>
      <c r="R152" s="4">
        <v>18.604728839446501</v>
      </c>
      <c r="S152" s="4">
        <v>18.319070711150498</v>
      </c>
      <c r="T152" s="4">
        <v>18.404331008289699</v>
      </c>
      <c r="U152" s="4">
        <f t="shared" si="10"/>
        <v>18.442710186295567</v>
      </c>
      <c r="X152" s="43" t="s">
        <v>3856</v>
      </c>
      <c r="Y152" s="4">
        <v>18.3632682051927</v>
      </c>
      <c r="Z152" s="4">
        <v>18.514127332321799</v>
      </c>
      <c r="AA152" s="4">
        <v>18.479862765676199</v>
      </c>
      <c r="AB152" s="4">
        <f t="shared" si="11"/>
        <v>18.452419434396901</v>
      </c>
      <c r="AK152" s="4" t="s">
        <v>328</v>
      </c>
      <c r="AM152" s="4" t="s">
        <v>4120</v>
      </c>
      <c r="AP152" s="2"/>
      <c r="AQ152" s="1"/>
      <c r="AR152" s="1"/>
      <c r="AS152" s="1"/>
      <c r="AT152" s="6"/>
      <c r="AU152" s="1"/>
      <c r="AV152" s="5" t="s">
        <v>219</v>
      </c>
      <c r="AX152" s="6" t="s">
        <v>680</v>
      </c>
    </row>
    <row r="153" spans="2:50" x14ac:dyDescent="0.2">
      <c r="B153" s="4" t="s">
        <v>661</v>
      </c>
      <c r="C153" s="4">
        <v>18.882899999999999</v>
      </c>
      <c r="D153" s="4">
        <v>18.783000000000001</v>
      </c>
      <c r="E153" s="4">
        <v>18.066500000000001</v>
      </c>
      <c r="F153" s="4">
        <f t="shared" si="8"/>
        <v>18.577466666666666</v>
      </c>
      <c r="I153" s="4" t="s">
        <v>1063</v>
      </c>
      <c r="J153" s="4">
        <v>18.057700000000001</v>
      </c>
      <c r="K153" s="4">
        <v>18.649100000000001</v>
      </c>
      <c r="L153" s="4">
        <v>19.0456</v>
      </c>
      <c r="M153" s="4">
        <f t="shared" si="9"/>
        <v>18.584133333333334</v>
      </c>
      <c r="Q153" s="43" t="s">
        <v>1366</v>
      </c>
      <c r="R153" s="4">
        <v>18.5660568934086</v>
      </c>
      <c r="S153" s="4">
        <v>18.284916847104501</v>
      </c>
      <c r="T153" s="4">
        <v>18.4134354271043</v>
      </c>
      <c r="U153" s="4">
        <f t="shared" si="10"/>
        <v>18.421469722539133</v>
      </c>
      <c r="X153" s="43" t="s">
        <v>1663</v>
      </c>
      <c r="Y153" s="4">
        <v>18.417648711803601</v>
      </c>
      <c r="Z153" s="4">
        <v>18.561188829166099</v>
      </c>
      <c r="AA153" s="4">
        <v>18.356409312617</v>
      </c>
      <c r="AB153" s="4">
        <f t="shared" si="11"/>
        <v>18.445082284528898</v>
      </c>
      <c r="AK153" s="4" t="s">
        <v>3352</v>
      </c>
      <c r="AM153" s="4" t="s">
        <v>4232</v>
      </c>
      <c r="AP153" s="2"/>
      <c r="AQ153" s="1"/>
      <c r="AR153" s="1"/>
      <c r="AS153" s="1"/>
      <c r="AT153" s="6"/>
      <c r="AU153" s="1"/>
      <c r="AV153" s="5" t="s">
        <v>224</v>
      </c>
      <c r="AX153" s="6" t="s">
        <v>840</v>
      </c>
    </row>
    <row r="154" spans="2:50" x14ac:dyDescent="0.2">
      <c r="B154" s="4" t="s">
        <v>730</v>
      </c>
      <c r="C154" s="4">
        <v>18.699300000000001</v>
      </c>
      <c r="D154" s="4">
        <v>19.075399999999998</v>
      </c>
      <c r="E154" s="4">
        <v>17.956499999999998</v>
      </c>
      <c r="F154" s="4">
        <f t="shared" si="8"/>
        <v>18.577066666666664</v>
      </c>
      <c r="I154" s="4" t="s">
        <v>1466</v>
      </c>
      <c r="J154" s="4">
        <v>18.590900000000001</v>
      </c>
      <c r="K154" s="4">
        <v>18.6815</v>
      </c>
      <c r="L154" s="4">
        <v>18.418099999999999</v>
      </c>
      <c r="M154" s="4">
        <f t="shared" si="9"/>
        <v>18.563500000000001</v>
      </c>
      <c r="Q154" s="43" t="s">
        <v>263</v>
      </c>
      <c r="R154" s="4">
        <v>18.680198258072799</v>
      </c>
      <c r="S154" s="4">
        <v>18.279464650459602</v>
      </c>
      <c r="T154" s="4">
        <v>18.252047486283701</v>
      </c>
      <c r="U154" s="4">
        <f t="shared" si="10"/>
        <v>18.403903464938701</v>
      </c>
      <c r="X154" s="43" t="s">
        <v>1722</v>
      </c>
      <c r="Y154" s="4">
        <v>18.320878709079899</v>
      </c>
      <c r="Z154" s="4">
        <v>18.555498688122199</v>
      </c>
      <c r="AA154" s="4">
        <v>18.430956673788</v>
      </c>
      <c r="AB154" s="4">
        <f t="shared" si="11"/>
        <v>18.435778023663364</v>
      </c>
      <c r="AK154" s="4" t="s">
        <v>1410</v>
      </c>
      <c r="AM154" s="4" t="s">
        <v>4379</v>
      </c>
      <c r="AP154" s="2"/>
      <c r="AQ154" s="1"/>
      <c r="AR154" s="1"/>
      <c r="AS154" s="1"/>
      <c r="AT154" s="6"/>
      <c r="AU154" s="1"/>
      <c r="AV154" s="5" t="s">
        <v>485</v>
      </c>
      <c r="AX154" s="6" t="s">
        <v>685</v>
      </c>
    </row>
    <row r="155" spans="2:50" x14ac:dyDescent="0.2">
      <c r="B155" s="4" t="s">
        <v>1654</v>
      </c>
      <c r="C155" s="4">
        <v>17.9864</v>
      </c>
      <c r="D155" s="4">
        <v>18.657800000000002</v>
      </c>
      <c r="E155" s="4">
        <v>19.063600000000001</v>
      </c>
      <c r="F155" s="4">
        <f t="shared" si="8"/>
        <v>18.569266666666667</v>
      </c>
      <c r="I155" s="4" t="s">
        <v>2367</v>
      </c>
      <c r="J155" s="4">
        <v>18.304099999999998</v>
      </c>
      <c r="K155" s="4">
        <v>18.381799999999998</v>
      </c>
      <c r="L155" s="4">
        <v>18.916</v>
      </c>
      <c r="M155" s="4">
        <f t="shared" si="9"/>
        <v>18.533966666666668</v>
      </c>
      <c r="Q155" s="43" t="s">
        <v>2010</v>
      </c>
      <c r="R155" s="4">
        <v>18.581173265109701</v>
      </c>
      <c r="S155" s="4">
        <v>18.234602503395699</v>
      </c>
      <c r="T155" s="4">
        <v>18.382819265599402</v>
      </c>
      <c r="U155" s="4">
        <f t="shared" si="10"/>
        <v>18.399531678034936</v>
      </c>
      <c r="X155" s="43" t="s">
        <v>2721</v>
      </c>
      <c r="Y155" s="4">
        <v>18.429223632660001</v>
      </c>
      <c r="Z155" s="4">
        <v>18.506773023022099</v>
      </c>
      <c r="AA155" s="4">
        <v>18.331168121285199</v>
      </c>
      <c r="AB155" s="4">
        <f t="shared" si="11"/>
        <v>18.422388258989102</v>
      </c>
      <c r="AK155" s="4" t="s">
        <v>1558</v>
      </c>
      <c r="AM155" s="4" t="s">
        <v>4618</v>
      </c>
      <c r="AP155" s="2"/>
      <c r="AQ155" s="1"/>
      <c r="AR155" s="1"/>
      <c r="AS155" s="1"/>
      <c r="AT155" s="6"/>
      <c r="AU155" s="1"/>
      <c r="AV155" s="5" t="s">
        <v>358</v>
      </c>
      <c r="AX155" s="6" t="s">
        <v>713</v>
      </c>
    </row>
    <row r="156" spans="2:50" x14ac:dyDescent="0.2">
      <c r="B156" s="4" t="s">
        <v>2560</v>
      </c>
      <c r="C156" s="4">
        <v>18.523399999999999</v>
      </c>
      <c r="D156" s="4">
        <v>18.417999999999999</v>
      </c>
      <c r="E156" s="4">
        <v>18.763999999999999</v>
      </c>
      <c r="F156" s="4">
        <f t="shared" si="8"/>
        <v>18.568466666666666</v>
      </c>
      <c r="I156" s="4" t="s">
        <v>2117</v>
      </c>
      <c r="J156" s="4">
        <v>18.747900000000001</v>
      </c>
      <c r="K156" s="4">
        <v>18.0747</v>
      </c>
      <c r="L156" s="4">
        <v>18.756499999999999</v>
      </c>
      <c r="M156" s="4">
        <f t="shared" si="9"/>
        <v>18.526366666666664</v>
      </c>
      <c r="Q156" s="43" t="s">
        <v>1752</v>
      </c>
      <c r="R156" s="4">
        <v>18.557862697243699</v>
      </c>
      <c r="S156" s="4">
        <v>18.2624917687282</v>
      </c>
      <c r="T156" s="4">
        <v>18.360602354832199</v>
      </c>
      <c r="U156" s="4">
        <f t="shared" si="10"/>
        <v>18.393652273601365</v>
      </c>
      <c r="X156" s="43" t="s">
        <v>2312</v>
      </c>
      <c r="Y156" s="4">
        <v>18.283463178725</v>
      </c>
      <c r="Z156" s="4">
        <v>18.724177800440799</v>
      </c>
      <c r="AA156" s="4">
        <v>18.2051463225412</v>
      </c>
      <c r="AB156" s="4">
        <f t="shared" si="11"/>
        <v>18.404262433902332</v>
      </c>
      <c r="AK156" s="4" t="s">
        <v>3945</v>
      </c>
      <c r="AM156" s="4" t="s">
        <v>1921</v>
      </c>
      <c r="AP156" s="2"/>
      <c r="AQ156" s="1"/>
      <c r="AR156" s="1"/>
      <c r="AS156" s="1"/>
      <c r="AT156" s="6"/>
      <c r="AU156" s="1"/>
      <c r="AV156" s="10" t="s">
        <v>488</v>
      </c>
      <c r="AX156" s="6" t="s">
        <v>841</v>
      </c>
    </row>
    <row r="157" spans="2:50" x14ac:dyDescent="0.2">
      <c r="B157" s="4" t="s">
        <v>1202</v>
      </c>
      <c r="C157" s="4">
        <v>18.811199999999999</v>
      </c>
      <c r="D157" s="4">
        <v>18.668600000000001</v>
      </c>
      <c r="E157" s="4">
        <v>18.168199999999999</v>
      </c>
      <c r="F157" s="4">
        <f t="shared" si="8"/>
        <v>18.549333333333333</v>
      </c>
      <c r="I157" s="4" t="s">
        <v>298</v>
      </c>
      <c r="J157" s="4">
        <v>18.639500000000002</v>
      </c>
      <c r="K157" s="4">
        <v>18.160799999999998</v>
      </c>
      <c r="L157" s="4">
        <v>18.774899999999999</v>
      </c>
      <c r="M157" s="4">
        <f t="shared" si="9"/>
        <v>18.525066666666664</v>
      </c>
      <c r="Q157" s="43" t="s">
        <v>3849</v>
      </c>
      <c r="R157" s="4">
        <v>18.576441928727899</v>
      </c>
      <c r="S157" s="4">
        <v>18.2905468033047</v>
      </c>
      <c r="T157" s="4">
        <v>18.3136664223609</v>
      </c>
      <c r="U157" s="4">
        <f t="shared" si="10"/>
        <v>18.393551718131164</v>
      </c>
      <c r="X157" s="43" t="s">
        <v>2574</v>
      </c>
      <c r="Y157" s="4">
        <v>18.250643383966999</v>
      </c>
      <c r="Z157" s="4">
        <v>18.5268190145765</v>
      </c>
      <c r="AA157" s="4">
        <v>18.4349894196713</v>
      </c>
      <c r="AB157" s="4">
        <f t="shared" si="11"/>
        <v>18.4041506060716</v>
      </c>
      <c r="AK157" s="4" t="s">
        <v>2370</v>
      </c>
      <c r="AM157" s="4" t="s">
        <v>4413</v>
      </c>
      <c r="AP157" s="2"/>
      <c r="AQ157" s="1"/>
      <c r="AR157" s="1"/>
      <c r="AS157" s="1"/>
      <c r="AT157" s="6"/>
      <c r="AU157" s="1"/>
      <c r="AV157" s="5" t="s">
        <v>361</v>
      </c>
      <c r="AX157" s="6" t="s">
        <v>792</v>
      </c>
    </row>
    <row r="158" spans="2:50" x14ac:dyDescent="0.2">
      <c r="B158" s="4" t="s">
        <v>3208</v>
      </c>
      <c r="C158" s="4">
        <v>18.548200000000001</v>
      </c>
      <c r="D158" s="4">
        <v>18.521100000000001</v>
      </c>
      <c r="E158" s="4">
        <v>18.5749</v>
      </c>
      <c r="F158" s="4">
        <f t="shared" si="8"/>
        <v>18.548066666666667</v>
      </c>
      <c r="I158" s="4" t="s">
        <v>1826</v>
      </c>
      <c r="J158" s="4">
        <v>18.4114</v>
      </c>
      <c r="K158" s="4">
        <v>18.5915</v>
      </c>
      <c r="L158" s="4">
        <v>18.558499999999999</v>
      </c>
      <c r="M158" s="4">
        <f t="shared" si="9"/>
        <v>18.520466666666664</v>
      </c>
      <c r="Q158" s="43" t="s">
        <v>3208</v>
      </c>
      <c r="R158" s="4">
        <v>18.432909769660199</v>
      </c>
      <c r="S158" s="4">
        <v>18.2456653741963</v>
      </c>
      <c r="T158" s="4">
        <v>18.4769822100921</v>
      </c>
      <c r="U158" s="4">
        <f t="shared" si="10"/>
        <v>18.385185784649533</v>
      </c>
      <c r="X158" s="43" t="s">
        <v>1702</v>
      </c>
      <c r="Y158" s="4">
        <v>18.400574231053699</v>
      </c>
      <c r="Z158" s="4">
        <v>18.488947430767301</v>
      </c>
      <c r="AA158" s="4">
        <v>18.3216748347822</v>
      </c>
      <c r="AB158" s="4">
        <f t="shared" si="11"/>
        <v>18.4037321655344</v>
      </c>
      <c r="AK158" s="4" t="s">
        <v>4045</v>
      </c>
      <c r="AM158" s="4" t="s">
        <v>4412</v>
      </c>
      <c r="AP158" s="2"/>
      <c r="AQ158" s="1"/>
      <c r="AR158" s="1"/>
      <c r="AS158" s="1"/>
      <c r="AT158" s="6"/>
      <c r="AU158" s="1"/>
      <c r="AV158" s="5" t="s">
        <v>491</v>
      </c>
      <c r="AX158" s="6" t="s">
        <v>800</v>
      </c>
    </row>
    <row r="159" spans="2:50" x14ac:dyDescent="0.2">
      <c r="B159" s="4" t="s">
        <v>1176</v>
      </c>
      <c r="C159" s="4">
        <v>18.7056</v>
      </c>
      <c r="D159" s="4">
        <v>18.5715</v>
      </c>
      <c r="E159" s="4">
        <v>18.358499999999999</v>
      </c>
      <c r="F159" s="4">
        <f t="shared" si="8"/>
        <v>18.545200000000001</v>
      </c>
      <c r="I159" s="4" t="s">
        <v>2844</v>
      </c>
      <c r="J159" s="4">
        <v>18.667999999999999</v>
      </c>
      <c r="K159" s="4">
        <v>18.232600000000001</v>
      </c>
      <c r="L159" s="4">
        <v>18.6023</v>
      </c>
      <c r="M159" s="4">
        <f t="shared" si="9"/>
        <v>18.500966666666667</v>
      </c>
      <c r="Q159" s="43" t="s">
        <v>3191</v>
      </c>
      <c r="R159" s="4">
        <v>18.134932059937299</v>
      </c>
      <c r="S159" s="4">
        <v>18.620571264164798</v>
      </c>
      <c r="T159" s="4">
        <v>18.387371385155198</v>
      </c>
      <c r="U159" s="4">
        <f t="shared" si="10"/>
        <v>18.380958236419097</v>
      </c>
      <c r="X159" s="43" t="s">
        <v>3578</v>
      </c>
      <c r="Y159" s="4">
        <v>18.449108609190599</v>
      </c>
      <c r="Z159" s="4">
        <v>18.4005781516666</v>
      </c>
      <c r="AA159" s="4">
        <v>18.354744837773801</v>
      </c>
      <c r="AB159" s="4">
        <f t="shared" si="11"/>
        <v>18.401477199543667</v>
      </c>
      <c r="AK159" s="4" t="s">
        <v>2036</v>
      </c>
      <c r="AM159" s="4" t="s">
        <v>4585</v>
      </c>
      <c r="AP159" s="2"/>
      <c r="AQ159" s="1"/>
      <c r="AR159" s="1"/>
      <c r="AS159" s="1"/>
      <c r="AT159" s="6"/>
      <c r="AU159" s="1"/>
      <c r="AV159" s="5" t="s">
        <v>494</v>
      </c>
      <c r="AX159" s="6" t="s">
        <v>747</v>
      </c>
    </row>
    <row r="160" spans="2:50" x14ac:dyDescent="0.2">
      <c r="B160" s="4" t="s">
        <v>2950</v>
      </c>
      <c r="C160" s="4">
        <v>18.655999999999999</v>
      </c>
      <c r="D160" s="4">
        <v>18.376100000000001</v>
      </c>
      <c r="E160" s="4">
        <v>18.547699999999999</v>
      </c>
      <c r="F160" s="4">
        <f t="shared" si="8"/>
        <v>18.526599999999998</v>
      </c>
      <c r="I160" s="4" t="s">
        <v>164</v>
      </c>
      <c r="J160" s="4">
        <v>18.516300000000001</v>
      </c>
      <c r="K160" s="4">
        <v>18.037400000000002</v>
      </c>
      <c r="L160" s="4">
        <v>18.930900000000001</v>
      </c>
      <c r="M160" s="4">
        <f t="shared" si="9"/>
        <v>18.49486666666667</v>
      </c>
      <c r="Q160" s="43" t="s">
        <v>3527</v>
      </c>
      <c r="R160" s="4">
        <v>18.4297342883143</v>
      </c>
      <c r="S160" s="4">
        <v>18.4087154021069</v>
      </c>
      <c r="T160" s="4">
        <v>18.298933026059601</v>
      </c>
      <c r="U160" s="4">
        <f t="shared" si="10"/>
        <v>18.379127572160268</v>
      </c>
      <c r="X160" s="43" t="s">
        <v>1689</v>
      </c>
      <c r="Y160" s="4">
        <v>18.390531780630202</v>
      </c>
      <c r="Z160" s="4">
        <v>18.568212571183</v>
      </c>
      <c r="AA160" s="4">
        <v>18.221693000271099</v>
      </c>
      <c r="AB160" s="4">
        <f t="shared" si="11"/>
        <v>18.393479117361434</v>
      </c>
      <c r="AK160" s="4" t="s">
        <v>3345</v>
      </c>
      <c r="AM160" s="4" t="s">
        <v>4201</v>
      </c>
      <c r="AP160" s="2"/>
      <c r="AQ160" s="1"/>
      <c r="AR160" s="1"/>
      <c r="AS160" s="1"/>
      <c r="AT160" s="6"/>
      <c r="AU160" s="1"/>
      <c r="AV160" s="5" t="s">
        <v>230</v>
      </c>
      <c r="AX160" s="6" t="s">
        <v>749</v>
      </c>
    </row>
    <row r="161" spans="2:50" x14ac:dyDescent="0.2">
      <c r="B161" s="4" t="s">
        <v>448</v>
      </c>
      <c r="C161" s="4">
        <v>18.682500000000001</v>
      </c>
      <c r="D161" s="4">
        <v>18.8292</v>
      </c>
      <c r="E161" s="4">
        <v>18.0608</v>
      </c>
      <c r="F161" s="4">
        <f t="shared" si="8"/>
        <v>18.52416666666667</v>
      </c>
      <c r="I161" s="4" t="s">
        <v>1650</v>
      </c>
      <c r="J161" s="4">
        <v>18.726299999999998</v>
      </c>
      <c r="K161" s="4">
        <v>18.002600000000001</v>
      </c>
      <c r="L161" s="4">
        <v>18.751799999999999</v>
      </c>
      <c r="M161" s="4">
        <f t="shared" si="9"/>
        <v>18.493566666666666</v>
      </c>
      <c r="Q161" s="43" t="s">
        <v>4025</v>
      </c>
      <c r="R161" s="4">
        <v>18.527178079303201</v>
      </c>
      <c r="S161" s="4">
        <v>18.384455964091998</v>
      </c>
      <c r="T161" s="4">
        <v>18.2004376000131</v>
      </c>
      <c r="U161" s="4">
        <f t="shared" si="10"/>
        <v>18.370690547802766</v>
      </c>
      <c r="X161" s="43" t="s">
        <v>3307</v>
      </c>
      <c r="Y161" s="4">
        <v>18.30137657093</v>
      </c>
      <c r="Z161" s="4">
        <v>18.524519158212001</v>
      </c>
      <c r="AA161" s="4">
        <v>18.327264600558198</v>
      </c>
      <c r="AB161" s="4">
        <f t="shared" si="11"/>
        <v>18.384386776566732</v>
      </c>
      <c r="AK161" s="4" t="s">
        <v>356</v>
      </c>
      <c r="AM161" s="4" t="s">
        <v>4273</v>
      </c>
      <c r="AP161" s="2"/>
      <c r="AQ161" s="1"/>
      <c r="AR161" s="1"/>
      <c r="AS161" s="1"/>
      <c r="AT161" s="6"/>
      <c r="AU161" s="1"/>
      <c r="AV161" s="5" t="s">
        <v>497</v>
      </c>
      <c r="AX161" s="6" t="s">
        <v>842</v>
      </c>
    </row>
    <row r="162" spans="2:50" x14ac:dyDescent="0.2">
      <c r="B162" s="4" t="s">
        <v>2404</v>
      </c>
      <c r="C162" s="4">
        <v>18.3706</v>
      </c>
      <c r="D162" s="4">
        <v>18.383900000000001</v>
      </c>
      <c r="E162" s="4">
        <v>18.776700000000002</v>
      </c>
      <c r="F162" s="4">
        <f t="shared" si="8"/>
        <v>18.510400000000001</v>
      </c>
      <c r="I162" s="4" t="s">
        <v>1884</v>
      </c>
      <c r="J162" s="4">
        <v>18.044</v>
      </c>
      <c r="K162" s="4">
        <v>18.804200000000002</v>
      </c>
      <c r="L162" s="4">
        <v>18.6065</v>
      </c>
      <c r="M162" s="4">
        <f t="shared" si="9"/>
        <v>18.4849</v>
      </c>
      <c r="Q162" s="43" t="s">
        <v>1623</v>
      </c>
      <c r="R162" s="4">
        <v>18.5167950774118</v>
      </c>
      <c r="S162" s="4">
        <v>18.137324925692699</v>
      </c>
      <c r="T162" s="4">
        <v>18.419020106763298</v>
      </c>
      <c r="U162" s="4">
        <f t="shared" si="10"/>
        <v>18.357713369955931</v>
      </c>
      <c r="X162" s="43" t="s">
        <v>2817</v>
      </c>
      <c r="Y162" s="4">
        <v>18.500294823732201</v>
      </c>
      <c r="Z162" s="4">
        <v>18.421555686492599</v>
      </c>
      <c r="AA162" s="4">
        <v>18.199421404806898</v>
      </c>
      <c r="AB162" s="4">
        <f t="shared" si="11"/>
        <v>18.373757305010567</v>
      </c>
      <c r="AK162" s="4" t="s">
        <v>1474</v>
      </c>
      <c r="AM162" s="4" t="s">
        <v>4419</v>
      </c>
      <c r="AP162" s="2"/>
      <c r="AQ162" s="1"/>
      <c r="AR162" s="1"/>
      <c r="AS162" s="1"/>
      <c r="AT162" s="6"/>
      <c r="AU162" s="1"/>
      <c r="AV162" s="10" t="s">
        <v>466</v>
      </c>
      <c r="AX162" s="6" t="s">
        <v>733</v>
      </c>
    </row>
    <row r="163" spans="2:50" x14ac:dyDescent="0.2">
      <c r="B163" s="4" t="s">
        <v>2117</v>
      </c>
      <c r="C163" s="4">
        <v>18.6236</v>
      </c>
      <c r="D163" s="4">
        <v>18.497599999999998</v>
      </c>
      <c r="E163" s="4">
        <v>18.3522</v>
      </c>
      <c r="F163" s="4">
        <f t="shared" si="8"/>
        <v>18.491133333333334</v>
      </c>
      <c r="I163" s="4" t="s">
        <v>1335</v>
      </c>
      <c r="J163" s="4">
        <v>18.717500000000001</v>
      </c>
      <c r="K163" s="4">
        <v>18.077999999999999</v>
      </c>
      <c r="L163" s="4">
        <v>18.635000000000002</v>
      </c>
      <c r="M163" s="4">
        <f t="shared" si="9"/>
        <v>18.476833333333335</v>
      </c>
      <c r="Q163" s="43" t="s">
        <v>2852</v>
      </c>
      <c r="R163" s="4">
        <v>18.578794406986798</v>
      </c>
      <c r="S163" s="4">
        <v>18.118321171114601</v>
      </c>
      <c r="T163" s="4">
        <v>18.3743273022076</v>
      </c>
      <c r="U163" s="4">
        <f t="shared" si="10"/>
        <v>18.35714762676967</v>
      </c>
      <c r="X163" s="43" t="s">
        <v>3355</v>
      </c>
      <c r="Y163" s="4">
        <v>18.3506000795593</v>
      </c>
      <c r="Z163" s="4">
        <v>18.465461045488599</v>
      </c>
      <c r="AA163" s="4">
        <v>18.277499419895399</v>
      </c>
      <c r="AB163" s="4">
        <f t="shared" si="11"/>
        <v>18.364520181647766</v>
      </c>
      <c r="AK163" s="4" t="s">
        <v>1487</v>
      </c>
      <c r="AM163" s="4" t="s">
        <v>1831</v>
      </c>
      <c r="AP163" s="2"/>
      <c r="AQ163" s="1"/>
      <c r="AR163" s="1"/>
      <c r="AS163" s="1"/>
      <c r="AT163" s="6"/>
      <c r="AU163" s="1"/>
      <c r="AV163" s="5" t="s">
        <v>363</v>
      </c>
      <c r="AX163" s="6" t="s">
        <v>729</v>
      </c>
    </row>
    <row r="164" spans="2:50" x14ac:dyDescent="0.2">
      <c r="B164" s="4" t="s">
        <v>1666</v>
      </c>
      <c r="C164" s="4">
        <v>18.29</v>
      </c>
      <c r="D164" s="4">
        <v>18.468800000000002</v>
      </c>
      <c r="E164" s="4">
        <v>18.7105</v>
      </c>
      <c r="F164" s="4">
        <f t="shared" si="8"/>
        <v>18.489766666666668</v>
      </c>
      <c r="I164" s="4" t="s">
        <v>3222</v>
      </c>
      <c r="J164" s="4">
        <v>18.312200000000001</v>
      </c>
      <c r="K164" s="4">
        <v>18.4438</v>
      </c>
      <c r="L164" s="4">
        <v>18.666499999999999</v>
      </c>
      <c r="M164" s="4">
        <f t="shared" si="9"/>
        <v>18.474166666666665</v>
      </c>
      <c r="Q164" s="43" t="s">
        <v>3223</v>
      </c>
      <c r="R164" s="4">
        <v>18.515870972684201</v>
      </c>
      <c r="S164" s="4">
        <v>18.281674100913001</v>
      </c>
      <c r="T164" s="4">
        <v>18.246267081813901</v>
      </c>
      <c r="U164" s="4">
        <f t="shared" si="10"/>
        <v>18.347937385137033</v>
      </c>
      <c r="X164" s="43" t="s">
        <v>3059</v>
      </c>
      <c r="Y164" s="4">
        <v>18.351799408464402</v>
      </c>
      <c r="Z164" s="4">
        <v>18.375172429159502</v>
      </c>
      <c r="AA164" s="4">
        <v>18.365868588496198</v>
      </c>
      <c r="AB164" s="4">
        <f t="shared" si="11"/>
        <v>18.364280142040034</v>
      </c>
      <c r="AK164" s="4" t="s">
        <v>2576</v>
      </c>
      <c r="AM164" s="4" t="s">
        <v>4312</v>
      </c>
      <c r="AP164" s="2"/>
      <c r="AQ164" s="1"/>
      <c r="AR164" s="1"/>
      <c r="AS164" s="1"/>
      <c r="AT164" s="6"/>
      <c r="AU164" s="1"/>
      <c r="AV164" s="5" t="s">
        <v>504</v>
      </c>
      <c r="AX164" s="6" t="s">
        <v>661</v>
      </c>
    </row>
    <row r="165" spans="2:50" x14ac:dyDescent="0.2">
      <c r="B165" s="4" t="s">
        <v>2312</v>
      </c>
      <c r="C165" s="4">
        <v>18.552600000000002</v>
      </c>
      <c r="D165" s="4">
        <v>18.460999999999999</v>
      </c>
      <c r="E165" s="4">
        <v>18.4008</v>
      </c>
      <c r="F165" s="4">
        <f t="shared" si="8"/>
        <v>18.471466666666668</v>
      </c>
      <c r="I165" s="4" t="s">
        <v>1702</v>
      </c>
      <c r="J165" s="4">
        <v>18.410499999999999</v>
      </c>
      <c r="K165" s="4">
        <v>18.372</v>
      </c>
      <c r="L165" s="4">
        <v>18.594200000000001</v>
      </c>
      <c r="M165" s="4">
        <f t="shared" si="9"/>
        <v>18.4589</v>
      </c>
      <c r="Q165" s="43" t="s">
        <v>3681</v>
      </c>
      <c r="R165" s="4">
        <v>18.310639376669599</v>
      </c>
      <c r="S165" s="4">
        <v>18.316330852465398</v>
      </c>
      <c r="T165" s="4">
        <v>18.3841431865463</v>
      </c>
      <c r="U165" s="4">
        <f t="shared" si="10"/>
        <v>18.337037805227098</v>
      </c>
      <c r="X165" s="43" t="s">
        <v>781</v>
      </c>
      <c r="Y165" s="4">
        <v>18.324557437415201</v>
      </c>
      <c r="Z165" s="4">
        <v>18.2506059323666</v>
      </c>
      <c r="AA165" s="4">
        <v>18.390766230745701</v>
      </c>
      <c r="AB165" s="4">
        <f t="shared" si="11"/>
        <v>18.321976533509169</v>
      </c>
      <c r="AK165" s="4" t="s">
        <v>641</v>
      </c>
      <c r="AM165" s="4" t="s">
        <v>1101</v>
      </c>
      <c r="AP165" s="2"/>
      <c r="AQ165" s="1"/>
      <c r="AR165" s="1"/>
      <c r="AS165" s="1"/>
      <c r="AT165" s="6"/>
      <c r="AU165" s="1"/>
      <c r="AV165" s="10" t="s">
        <v>366</v>
      </c>
      <c r="AX165" s="6" t="s">
        <v>843</v>
      </c>
    </row>
    <row r="166" spans="2:50" x14ac:dyDescent="0.2">
      <c r="B166" s="4" t="s">
        <v>3061</v>
      </c>
      <c r="C166" s="4">
        <v>18.487300000000001</v>
      </c>
      <c r="D166" s="4">
        <v>18.591999999999999</v>
      </c>
      <c r="E166" s="4">
        <v>18.271699999999999</v>
      </c>
      <c r="F166" s="4">
        <f t="shared" si="8"/>
        <v>18.450333333333333</v>
      </c>
      <c r="I166" s="4" t="s">
        <v>2817</v>
      </c>
      <c r="J166" s="4">
        <v>18.6266</v>
      </c>
      <c r="K166" s="4">
        <v>18.096</v>
      </c>
      <c r="L166" s="4">
        <v>18.650300000000001</v>
      </c>
      <c r="M166" s="4">
        <f t="shared" si="9"/>
        <v>18.457633333333334</v>
      </c>
      <c r="Q166" s="43" t="s">
        <v>3830</v>
      </c>
      <c r="R166" s="4">
        <v>18.4993967795928</v>
      </c>
      <c r="S166" s="4">
        <v>18.063049834777601</v>
      </c>
      <c r="T166" s="4">
        <v>18.431210406416099</v>
      </c>
      <c r="U166" s="4">
        <f t="shared" si="10"/>
        <v>18.331219006928833</v>
      </c>
      <c r="X166" s="43" t="s">
        <v>567</v>
      </c>
      <c r="Y166" s="4">
        <v>18.247420356174</v>
      </c>
      <c r="Z166" s="4">
        <v>18.326536086908501</v>
      </c>
      <c r="AA166" s="4">
        <v>18.332218916379201</v>
      </c>
      <c r="AB166" s="4">
        <f t="shared" si="11"/>
        <v>18.302058453153901</v>
      </c>
      <c r="AK166" s="4" t="s">
        <v>2628</v>
      </c>
      <c r="AM166" s="4" t="s">
        <v>4218</v>
      </c>
      <c r="AP166" s="2"/>
      <c r="AQ166" s="1"/>
      <c r="AR166" s="1"/>
      <c r="AS166" s="1"/>
      <c r="AT166" s="6"/>
      <c r="AU166" s="1"/>
      <c r="AV166" s="13" t="s">
        <v>236</v>
      </c>
      <c r="AX166" s="6" t="s">
        <v>676</v>
      </c>
    </row>
    <row r="167" spans="2:50" x14ac:dyDescent="0.2">
      <c r="B167" s="4" t="s">
        <v>2144</v>
      </c>
      <c r="C167" s="4">
        <v>18.595199999999998</v>
      </c>
      <c r="D167" s="4">
        <v>18.477</v>
      </c>
      <c r="E167" s="4">
        <v>18.254000000000001</v>
      </c>
      <c r="F167" s="4">
        <f t="shared" si="8"/>
        <v>18.442066666666665</v>
      </c>
      <c r="I167" s="4" t="s">
        <v>906</v>
      </c>
      <c r="J167" s="4">
        <v>18.1037</v>
      </c>
      <c r="K167" s="4">
        <v>18.790900000000001</v>
      </c>
      <c r="L167" s="4">
        <v>18.446100000000001</v>
      </c>
      <c r="M167" s="4">
        <f t="shared" si="9"/>
        <v>18.446899999999999</v>
      </c>
      <c r="Q167" s="43" t="s">
        <v>1663</v>
      </c>
      <c r="R167" s="4">
        <v>18.4680091757442</v>
      </c>
      <c r="S167" s="4">
        <v>18.273764643706599</v>
      </c>
      <c r="T167" s="4">
        <v>18.115249815766798</v>
      </c>
      <c r="U167" s="4">
        <f t="shared" si="10"/>
        <v>18.285674545072535</v>
      </c>
      <c r="X167" s="43" t="s">
        <v>2642</v>
      </c>
      <c r="Y167" s="4">
        <v>17.916832149033102</v>
      </c>
      <c r="Z167" s="4">
        <v>18.577287234930001</v>
      </c>
      <c r="AA167" s="4">
        <v>18.2507914888964</v>
      </c>
      <c r="AB167" s="4">
        <f t="shared" si="11"/>
        <v>18.248303624286503</v>
      </c>
      <c r="AK167" s="4" t="s">
        <v>1330</v>
      </c>
      <c r="AM167" s="4" t="s">
        <v>4146</v>
      </c>
      <c r="AP167" s="2"/>
      <c r="AQ167" s="1"/>
      <c r="AR167" s="1"/>
      <c r="AS167" s="1"/>
      <c r="AT167" s="6"/>
      <c r="AU167" s="1"/>
      <c r="AV167" s="5" t="s">
        <v>516</v>
      </c>
      <c r="AX167" s="6" t="s">
        <v>771</v>
      </c>
    </row>
    <row r="168" spans="2:50" x14ac:dyDescent="0.2">
      <c r="B168" s="4" t="s">
        <v>370</v>
      </c>
      <c r="C168" s="4">
        <v>17.685099999999998</v>
      </c>
      <c r="D168" s="4">
        <v>18.2163</v>
      </c>
      <c r="E168" s="4">
        <v>19.4207</v>
      </c>
      <c r="F168" s="4">
        <f t="shared" si="8"/>
        <v>18.440699999999996</v>
      </c>
      <c r="I168" s="4" t="s">
        <v>2560</v>
      </c>
      <c r="J168" s="4">
        <v>18.519200000000001</v>
      </c>
      <c r="K168" s="4">
        <v>18.469899999999999</v>
      </c>
      <c r="L168" s="4">
        <v>18.3504</v>
      </c>
      <c r="M168" s="4">
        <f t="shared" si="9"/>
        <v>18.4465</v>
      </c>
      <c r="Q168" s="43" t="s">
        <v>3578</v>
      </c>
      <c r="R168" s="4">
        <v>18.463161582849299</v>
      </c>
      <c r="S168" s="4">
        <v>18.0772993797823</v>
      </c>
      <c r="T168" s="4">
        <v>18.308127430425099</v>
      </c>
      <c r="U168" s="4">
        <f t="shared" si="10"/>
        <v>18.282862797685567</v>
      </c>
      <c r="X168" s="43" t="s">
        <v>3342</v>
      </c>
      <c r="Y168" s="4">
        <v>18.180422432014101</v>
      </c>
      <c r="Z168" s="4">
        <v>18.330489853489599</v>
      </c>
      <c r="AA168" s="4">
        <v>18.202745050415</v>
      </c>
      <c r="AB168" s="4">
        <f t="shared" si="11"/>
        <v>18.237885778639566</v>
      </c>
      <c r="AK168" s="4" t="s">
        <v>381</v>
      </c>
      <c r="AM168" s="4" t="s">
        <v>4248</v>
      </c>
      <c r="AP168" s="2"/>
      <c r="AQ168" s="1"/>
      <c r="AR168" s="1"/>
      <c r="AS168" s="1"/>
      <c r="AT168" s="6"/>
      <c r="AU168" s="1"/>
      <c r="AV168" s="5" t="s">
        <v>368</v>
      </c>
      <c r="AX168" s="6" t="s">
        <v>844</v>
      </c>
    </row>
    <row r="169" spans="2:50" x14ac:dyDescent="0.2">
      <c r="B169" s="4" t="s">
        <v>938</v>
      </c>
      <c r="C169" s="4">
        <v>18.569199999999999</v>
      </c>
      <c r="D169" s="4">
        <v>18.650500000000001</v>
      </c>
      <c r="E169" s="4">
        <v>18.034500000000001</v>
      </c>
      <c r="F169" s="4">
        <f t="shared" si="8"/>
        <v>18.418066666666668</v>
      </c>
      <c r="I169" s="4" t="s">
        <v>163</v>
      </c>
      <c r="J169" s="4">
        <v>18.456099999999999</v>
      </c>
      <c r="K169" s="4">
        <v>18.392299999999999</v>
      </c>
      <c r="L169" s="4">
        <v>18.424299999999999</v>
      </c>
      <c r="M169" s="4">
        <f t="shared" si="9"/>
        <v>18.424233333333333</v>
      </c>
      <c r="Q169" s="43" t="s">
        <v>1895</v>
      </c>
      <c r="R169" s="4">
        <v>18.039421841127101</v>
      </c>
      <c r="S169" s="4">
        <v>18.427563749931501</v>
      </c>
      <c r="T169" s="4">
        <v>18.378696205524001</v>
      </c>
      <c r="U169" s="4">
        <f t="shared" si="10"/>
        <v>18.281893932194201</v>
      </c>
      <c r="X169" s="43" t="s">
        <v>3947</v>
      </c>
      <c r="Y169" s="4">
        <v>18.3218819418171</v>
      </c>
      <c r="Z169" s="4">
        <v>18.288621881120701</v>
      </c>
      <c r="AA169" s="4">
        <v>18.0963295456014</v>
      </c>
      <c r="AB169" s="4">
        <f t="shared" si="11"/>
        <v>18.2356111228464</v>
      </c>
      <c r="AK169" s="4" t="s">
        <v>1276</v>
      </c>
      <c r="AM169" s="4" t="s">
        <v>2463</v>
      </c>
      <c r="AP169" s="2"/>
      <c r="AQ169" s="1"/>
      <c r="AR169" s="1"/>
      <c r="AS169" s="1"/>
      <c r="AT169" s="6"/>
      <c r="AU169" s="1"/>
      <c r="AV169" s="10" t="s">
        <v>519</v>
      </c>
      <c r="AX169" s="6" t="s">
        <v>673</v>
      </c>
    </row>
    <row r="170" spans="2:50" x14ac:dyDescent="0.2">
      <c r="B170" s="4" t="s">
        <v>2045</v>
      </c>
      <c r="C170" s="4">
        <v>18.510400000000001</v>
      </c>
      <c r="D170" s="4">
        <v>18.430099999999999</v>
      </c>
      <c r="E170" s="4">
        <v>18.160799999999998</v>
      </c>
      <c r="F170" s="4">
        <f t="shared" si="8"/>
        <v>18.367099999999997</v>
      </c>
      <c r="I170" s="4" t="s">
        <v>3086</v>
      </c>
      <c r="J170" s="4">
        <v>18.698</v>
      </c>
      <c r="K170" s="4">
        <v>17.7896</v>
      </c>
      <c r="L170" s="4">
        <v>18.772300000000001</v>
      </c>
      <c r="M170" s="4">
        <f t="shared" si="9"/>
        <v>18.419966666666667</v>
      </c>
      <c r="Q170" s="43" t="s">
        <v>20</v>
      </c>
      <c r="R170" s="4">
        <v>18.5882174607016</v>
      </c>
      <c r="S170" s="4">
        <v>18.161601444477</v>
      </c>
      <c r="T170" s="4">
        <v>18.057546753646101</v>
      </c>
      <c r="U170" s="4">
        <f t="shared" si="10"/>
        <v>18.269121886274899</v>
      </c>
      <c r="X170" s="43" t="s">
        <v>2950</v>
      </c>
      <c r="Y170" s="4">
        <v>18.391059903564699</v>
      </c>
      <c r="Z170" s="4">
        <v>18.308363947839499</v>
      </c>
      <c r="AA170" s="4">
        <v>17.9974345565061</v>
      </c>
      <c r="AB170" s="4">
        <f t="shared" si="11"/>
        <v>18.232286135970099</v>
      </c>
      <c r="AK170" s="4" t="s">
        <v>2274</v>
      </c>
      <c r="AM170" s="4" t="s">
        <v>4427</v>
      </c>
      <c r="AP170" s="2"/>
      <c r="AQ170" s="1"/>
      <c r="AR170" s="1"/>
      <c r="AS170" s="1"/>
      <c r="AT170" s="6"/>
      <c r="AU170" s="1"/>
      <c r="AV170" s="5" t="s">
        <v>370</v>
      </c>
      <c r="AX170" s="6" t="s">
        <v>700</v>
      </c>
    </row>
    <row r="171" spans="2:50" x14ac:dyDescent="0.2">
      <c r="B171" s="4" t="s">
        <v>2047</v>
      </c>
      <c r="C171" s="4">
        <v>18.387699999999999</v>
      </c>
      <c r="D171" s="4">
        <v>18.461300000000001</v>
      </c>
      <c r="E171" s="4">
        <v>18.249600000000001</v>
      </c>
      <c r="F171" s="4">
        <f t="shared" si="8"/>
        <v>18.366200000000003</v>
      </c>
      <c r="I171" s="4" t="s">
        <v>657</v>
      </c>
      <c r="J171" s="4">
        <v>18.267900000000001</v>
      </c>
      <c r="K171" s="4">
        <v>18.8932</v>
      </c>
      <c r="L171" s="4">
        <v>18.092500000000001</v>
      </c>
      <c r="M171" s="4">
        <f t="shared" si="9"/>
        <v>18.417866666666669</v>
      </c>
      <c r="Q171" s="43" t="s">
        <v>1936</v>
      </c>
      <c r="R171" s="4">
        <v>18.440603238708601</v>
      </c>
      <c r="S171" s="4">
        <v>18.225435676700101</v>
      </c>
      <c r="T171" s="4">
        <v>18.118438693376302</v>
      </c>
      <c r="U171" s="4">
        <f t="shared" si="10"/>
        <v>18.26149253626167</v>
      </c>
      <c r="X171" s="43" t="s">
        <v>1835</v>
      </c>
      <c r="Y171" s="4">
        <v>18.5648310311371</v>
      </c>
      <c r="Z171" s="4">
        <v>18.181387111581699</v>
      </c>
      <c r="AA171" s="4">
        <v>17.949389496603601</v>
      </c>
      <c r="AB171" s="4">
        <f t="shared" si="11"/>
        <v>18.231869213107469</v>
      </c>
      <c r="AK171" s="4" t="s">
        <v>1239</v>
      </c>
      <c r="AM171" s="4" t="s">
        <v>4428</v>
      </c>
      <c r="AP171" s="2"/>
      <c r="AQ171" s="1"/>
      <c r="AR171" s="1"/>
      <c r="AS171" s="1"/>
      <c r="AT171" s="6"/>
      <c r="AU171" s="1"/>
      <c r="AV171" s="5" t="s">
        <v>372</v>
      </c>
      <c r="AX171" s="6" t="s">
        <v>845</v>
      </c>
    </row>
    <row r="172" spans="2:50" x14ac:dyDescent="0.2">
      <c r="B172" s="4" t="s">
        <v>1719</v>
      </c>
      <c r="C172" s="4">
        <v>18.286200000000001</v>
      </c>
      <c r="D172" s="4">
        <v>18.206399999999999</v>
      </c>
      <c r="E172" s="4">
        <v>18.446000000000002</v>
      </c>
      <c r="F172" s="4">
        <f t="shared" si="8"/>
        <v>18.312866666666665</v>
      </c>
      <c r="I172" s="4" t="s">
        <v>768</v>
      </c>
      <c r="J172" s="4">
        <v>18.434999999999999</v>
      </c>
      <c r="K172" s="4">
        <v>18.186299999999999</v>
      </c>
      <c r="L172" s="4">
        <v>18.594200000000001</v>
      </c>
      <c r="M172" s="4">
        <f t="shared" si="9"/>
        <v>18.405166666666666</v>
      </c>
      <c r="Q172" s="43" t="s">
        <v>3205</v>
      </c>
      <c r="R172" s="4">
        <v>18.450382595098201</v>
      </c>
      <c r="S172" s="4">
        <v>18.0836321801605</v>
      </c>
      <c r="T172" s="4">
        <v>18.1979665479661</v>
      </c>
      <c r="U172" s="4">
        <f t="shared" si="10"/>
        <v>18.243993774408267</v>
      </c>
      <c r="X172" s="43" t="s">
        <v>1495</v>
      </c>
      <c r="Y172" s="4">
        <v>18.3795892666678</v>
      </c>
      <c r="Z172" s="4">
        <v>18.261959838152499</v>
      </c>
      <c r="AA172" s="4">
        <v>18.0503017532074</v>
      </c>
      <c r="AB172" s="4">
        <f t="shared" si="11"/>
        <v>18.230616952675899</v>
      </c>
      <c r="AK172" s="4" t="s">
        <v>3443</v>
      </c>
      <c r="AM172" s="4" t="s">
        <v>118</v>
      </c>
      <c r="AP172" s="2"/>
      <c r="AQ172" s="1"/>
      <c r="AR172" s="1"/>
      <c r="AS172" s="1"/>
      <c r="AT172" s="6"/>
      <c r="AU172" s="1"/>
      <c r="AV172" s="5" t="s">
        <v>522</v>
      </c>
      <c r="AX172" s="6" t="s">
        <v>846</v>
      </c>
    </row>
    <row r="173" spans="2:50" x14ac:dyDescent="0.2">
      <c r="B173" s="4" t="s">
        <v>1213</v>
      </c>
      <c r="C173" s="4">
        <v>18.3142</v>
      </c>
      <c r="D173" s="4">
        <v>18.595800000000001</v>
      </c>
      <c r="E173" s="4">
        <v>17.961600000000001</v>
      </c>
      <c r="F173" s="4">
        <f t="shared" si="8"/>
        <v>18.290533333333332</v>
      </c>
      <c r="I173" s="4" t="s">
        <v>1247</v>
      </c>
      <c r="J173" s="4">
        <v>18.584700000000002</v>
      </c>
      <c r="K173" s="4">
        <v>18.035499999999999</v>
      </c>
      <c r="L173" s="4">
        <v>18.594999999999999</v>
      </c>
      <c r="M173" s="4">
        <f t="shared" si="9"/>
        <v>18.405066666666666</v>
      </c>
      <c r="Q173" s="43" t="s">
        <v>4576</v>
      </c>
      <c r="R173" s="4">
        <v>18.156011557680898</v>
      </c>
      <c r="S173" s="4">
        <v>18.2136920569103</v>
      </c>
      <c r="T173" s="4">
        <v>18.360834452367399</v>
      </c>
      <c r="U173" s="4">
        <f t="shared" si="10"/>
        <v>18.2435126889862</v>
      </c>
      <c r="X173" s="43" t="s">
        <v>370</v>
      </c>
      <c r="Y173" s="4">
        <v>17.980006331220999</v>
      </c>
      <c r="Z173" s="4">
        <v>19.305419968028701</v>
      </c>
      <c r="AA173" s="4">
        <v>17.379993896535201</v>
      </c>
      <c r="AB173" s="4">
        <f t="shared" si="11"/>
        <v>18.2218067319283</v>
      </c>
      <c r="AK173" s="4" t="s">
        <v>2302</v>
      </c>
      <c r="AM173" s="4" t="s">
        <v>4582</v>
      </c>
      <c r="AP173" s="2"/>
      <c r="AQ173" s="1"/>
      <c r="AR173" s="1"/>
      <c r="AS173" s="1"/>
      <c r="AT173" s="6"/>
      <c r="AU173" s="1"/>
      <c r="AV173" s="10" t="s">
        <v>524</v>
      </c>
      <c r="AX173" s="6" t="s">
        <v>532</v>
      </c>
    </row>
    <row r="174" spans="2:50" x14ac:dyDescent="0.2">
      <c r="B174" s="4" t="s">
        <v>3038</v>
      </c>
      <c r="C174" s="4">
        <v>18.151499999999999</v>
      </c>
      <c r="D174" s="4">
        <v>18.0992</v>
      </c>
      <c r="E174" s="4">
        <v>18.598800000000001</v>
      </c>
      <c r="F174" s="4">
        <f t="shared" si="8"/>
        <v>18.283166666666663</v>
      </c>
      <c r="I174" s="4" t="s">
        <v>3681</v>
      </c>
      <c r="J174" s="4">
        <v>18.512499999999999</v>
      </c>
      <c r="K174" s="4">
        <v>18.2791</v>
      </c>
      <c r="L174" s="4">
        <v>18.411000000000001</v>
      </c>
      <c r="M174" s="4">
        <f t="shared" si="9"/>
        <v>18.400866666666669</v>
      </c>
      <c r="Q174" s="43" t="s">
        <v>3938</v>
      </c>
      <c r="R174" s="4">
        <v>18.3883685776132</v>
      </c>
      <c r="S174" s="4">
        <v>18.0887381041683</v>
      </c>
      <c r="T174" s="4">
        <v>18.166850275016401</v>
      </c>
      <c r="U174" s="4">
        <f t="shared" si="10"/>
        <v>18.214652318932632</v>
      </c>
      <c r="X174" s="43" t="s">
        <v>155</v>
      </c>
      <c r="Y174" s="4">
        <v>18.208023195858701</v>
      </c>
      <c r="Z174" s="4">
        <v>18.334907134461801</v>
      </c>
      <c r="AA174" s="4">
        <v>18.1208556177391</v>
      </c>
      <c r="AB174" s="4">
        <f t="shared" si="11"/>
        <v>18.221261982686531</v>
      </c>
      <c r="AK174" s="4" t="s">
        <v>3535</v>
      </c>
      <c r="AM174" s="4" t="s">
        <v>4282</v>
      </c>
      <c r="AP174" s="2"/>
      <c r="AQ174" s="1"/>
      <c r="AR174" s="1"/>
      <c r="AS174" s="1"/>
      <c r="AT174" s="6"/>
      <c r="AU174" s="1"/>
      <c r="AV174" s="5" t="s">
        <v>242</v>
      </c>
      <c r="AX174" s="6" t="s">
        <v>669</v>
      </c>
    </row>
    <row r="175" spans="2:50" x14ac:dyDescent="0.2">
      <c r="B175" s="4" t="s">
        <v>375</v>
      </c>
      <c r="C175" s="4">
        <v>18.264299999999999</v>
      </c>
      <c r="D175" s="4">
        <v>18.082899999999999</v>
      </c>
      <c r="E175" s="4">
        <v>18.471</v>
      </c>
      <c r="F175" s="4">
        <f t="shared" si="8"/>
        <v>18.272733333333335</v>
      </c>
      <c r="I175" s="4" t="s">
        <v>2144</v>
      </c>
      <c r="J175" s="4">
        <v>18.6556</v>
      </c>
      <c r="K175" s="4">
        <v>17.9284</v>
      </c>
      <c r="L175" s="4">
        <v>18.6053</v>
      </c>
      <c r="M175" s="4">
        <f t="shared" si="9"/>
        <v>18.396433333333334</v>
      </c>
      <c r="Q175" s="43" t="s">
        <v>3355</v>
      </c>
      <c r="R175" s="4">
        <v>18.311977457586998</v>
      </c>
      <c r="S175" s="4">
        <v>18.120882752346699</v>
      </c>
      <c r="T175" s="4">
        <v>18.203102791118599</v>
      </c>
      <c r="U175" s="4">
        <f t="shared" si="10"/>
        <v>18.211987667017429</v>
      </c>
      <c r="X175" s="43" t="s">
        <v>2082</v>
      </c>
      <c r="Y175" s="4">
        <v>18.171794178185099</v>
      </c>
      <c r="Z175" s="4">
        <v>18.2913380783585</v>
      </c>
      <c r="AA175" s="4">
        <v>18.189648713332598</v>
      </c>
      <c r="AB175" s="4">
        <f t="shared" si="11"/>
        <v>18.2175936566254</v>
      </c>
      <c r="AK175" s="4" t="s">
        <v>2419</v>
      </c>
      <c r="AM175" s="4" t="s">
        <v>4176</v>
      </c>
      <c r="AP175" s="2"/>
      <c r="AQ175" s="1"/>
      <c r="AR175" s="1"/>
      <c r="AS175" s="1"/>
      <c r="AT175" s="6"/>
      <c r="AU175" s="1"/>
      <c r="AV175" s="5" t="s">
        <v>528</v>
      </c>
      <c r="AX175" s="6" t="s">
        <v>708</v>
      </c>
    </row>
    <row r="176" spans="2:50" x14ac:dyDescent="0.2">
      <c r="B176" s="4" t="s">
        <v>2010</v>
      </c>
      <c r="C176" s="4">
        <v>18.177499999999998</v>
      </c>
      <c r="D176" s="4">
        <v>18.291899999999998</v>
      </c>
      <c r="E176" s="4">
        <v>18.325900000000001</v>
      </c>
      <c r="F176" s="4">
        <f t="shared" si="8"/>
        <v>18.2651</v>
      </c>
      <c r="I176" s="4" t="s">
        <v>2045</v>
      </c>
      <c r="J176" s="4">
        <v>18.729399999999998</v>
      </c>
      <c r="K176" s="4">
        <v>17.8035</v>
      </c>
      <c r="L176" s="4">
        <v>18.624300000000002</v>
      </c>
      <c r="M176" s="4">
        <f t="shared" si="9"/>
        <v>18.385733333333334</v>
      </c>
      <c r="Q176" s="43" t="s">
        <v>3705</v>
      </c>
      <c r="R176" s="4">
        <v>18.540031387076201</v>
      </c>
      <c r="S176" s="4">
        <v>18.190960156979902</v>
      </c>
      <c r="T176" s="4">
        <v>17.879035191900702</v>
      </c>
      <c r="U176" s="4">
        <f t="shared" si="10"/>
        <v>18.203342245318936</v>
      </c>
      <c r="X176" s="43" t="s">
        <v>2438</v>
      </c>
      <c r="Y176" s="4">
        <v>18.1441892423945</v>
      </c>
      <c r="Z176" s="4">
        <v>18.280527778699401</v>
      </c>
      <c r="AA176" s="4">
        <v>18.215145340606199</v>
      </c>
      <c r="AB176" s="4">
        <f t="shared" si="11"/>
        <v>18.213287453900033</v>
      </c>
      <c r="AK176" s="4" t="s">
        <v>3202</v>
      </c>
      <c r="AM176" s="4" t="s">
        <v>4430</v>
      </c>
      <c r="AP176" s="2"/>
      <c r="AQ176" s="1"/>
      <c r="AR176" s="1"/>
      <c r="AS176" s="1"/>
      <c r="AT176" s="6"/>
      <c r="AU176" s="1"/>
      <c r="AV176" s="13" t="s">
        <v>531</v>
      </c>
      <c r="AX176" s="6" t="s">
        <v>721</v>
      </c>
    </row>
    <row r="177" spans="2:50" x14ac:dyDescent="0.2">
      <c r="B177" s="4" t="s">
        <v>3400</v>
      </c>
      <c r="C177" s="4">
        <v>18.4834</v>
      </c>
      <c r="D177" s="4">
        <v>18.342700000000001</v>
      </c>
      <c r="E177" s="4">
        <v>17.929200000000002</v>
      </c>
      <c r="F177" s="4">
        <f t="shared" si="8"/>
        <v>18.251766666666665</v>
      </c>
      <c r="I177" s="4" t="s">
        <v>2047</v>
      </c>
      <c r="J177" s="4">
        <v>17.994199999999999</v>
      </c>
      <c r="K177" s="4">
        <v>19.003599999999999</v>
      </c>
      <c r="L177" s="4">
        <v>18.159099999999999</v>
      </c>
      <c r="M177" s="4">
        <f t="shared" si="9"/>
        <v>18.385633333333331</v>
      </c>
      <c r="Q177" s="43" t="s">
        <v>3874</v>
      </c>
      <c r="R177" s="4">
        <v>18.300262431713399</v>
      </c>
      <c r="S177" s="4">
        <v>18.218049047539299</v>
      </c>
      <c r="T177" s="4">
        <v>18.0800792225142</v>
      </c>
      <c r="U177" s="4">
        <f t="shared" si="10"/>
        <v>18.199463567255634</v>
      </c>
      <c r="X177" s="43" t="s">
        <v>4334</v>
      </c>
      <c r="Y177" s="4">
        <v>18.104883200421298</v>
      </c>
      <c r="Z177" s="4">
        <v>18.746384375408802</v>
      </c>
      <c r="AA177" s="4">
        <v>17.774031581808799</v>
      </c>
      <c r="AB177" s="4">
        <f t="shared" si="11"/>
        <v>18.208433052546301</v>
      </c>
      <c r="AK177" s="4" t="s">
        <v>3245</v>
      </c>
      <c r="AM177" s="4" t="s">
        <v>949</v>
      </c>
      <c r="AP177" s="2"/>
      <c r="AQ177" s="1"/>
      <c r="AR177" s="1"/>
      <c r="AS177" s="1"/>
      <c r="AT177" s="6"/>
      <c r="AU177" s="1"/>
      <c r="AV177" s="5" t="s">
        <v>247</v>
      </c>
      <c r="AX177" s="6" t="s">
        <v>133</v>
      </c>
    </row>
    <row r="178" spans="2:50" x14ac:dyDescent="0.2">
      <c r="B178" s="4" t="s">
        <v>2817</v>
      </c>
      <c r="C178" s="4">
        <v>18.189900000000002</v>
      </c>
      <c r="D178" s="4">
        <v>18.221599999999999</v>
      </c>
      <c r="E178" s="4">
        <v>18.311499999999999</v>
      </c>
      <c r="F178" s="4">
        <f t="shared" si="8"/>
        <v>18.241</v>
      </c>
      <c r="I178" s="4" t="s">
        <v>2404</v>
      </c>
      <c r="J178" s="4">
        <v>18.164999999999999</v>
      </c>
      <c r="K178" s="4">
        <v>18.896100000000001</v>
      </c>
      <c r="L178" s="4">
        <v>18.0762</v>
      </c>
      <c r="M178" s="4">
        <f t="shared" si="9"/>
        <v>18.379099999999998</v>
      </c>
      <c r="Q178" s="43" t="s">
        <v>2311</v>
      </c>
      <c r="R178" s="4">
        <v>18.370338504973201</v>
      </c>
      <c r="S178" s="4">
        <v>18.072020343355</v>
      </c>
      <c r="T178" s="4">
        <v>18.1511879199508</v>
      </c>
      <c r="U178" s="4">
        <f t="shared" si="10"/>
        <v>18.197848922759665</v>
      </c>
      <c r="X178" s="43" t="s">
        <v>1473</v>
      </c>
      <c r="Y178" s="4">
        <v>18.092323575911799</v>
      </c>
      <c r="Z178" s="4">
        <v>18.323869317107501</v>
      </c>
      <c r="AA178" s="4">
        <v>18.193137622254099</v>
      </c>
      <c r="AB178" s="4">
        <f t="shared" si="11"/>
        <v>18.2031101717578</v>
      </c>
      <c r="AK178" s="4" t="s">
        <v>2158</v>
      </c>
      <c r="AM178" s="4" t="s">
        <v>4313</v>
      </c>
      <c r="AP178" s="2"/>
      <c r="AQ178" s="1"/>
      <c r="AR178" s="1"/>
      <c r="AS178" s="1"/>
      <c r="AT178" s="6"/>
      <c r="AU178" s="1"/>
      <c r="AV178" s="5" t="s">
        <v>538</v>
      </c>
      <c r="AX178" s="6" t="s">
        <v>847</v>
      </c>
    </row>
    <row r="179" spans="2:50" x14ac:dyDescent="0.2">
      <c r="B179" s="4" t="s">
        <v>1425</v>
      </c>
      <c r="C179" s="4">
        <v>18.1462</v>
      </c>
      <c r="D179" s="4">
        <v>18.245699999999999</v>
      </c>
      <c r="E179" s="4">
        <v>18.2591</v>
      </c>
      <c r="F179" s="4">
        <f t="shared" si="8"/>
        <v>18.216999999999999</v>
      </c>
      <c r="I179" s="4" t="s">
        <v>2312</v>
      </c>
      <c r="J179" s="4">
        <v>18.537700000000001</v>
      </c>
      <c r="K179" s="4">
        <v>17.8657</v>
      </c>
      <c r="L179" s="4">
        <v>18.7257</v>
      </c>
      <c r="M179" s="4">
        <f t="shared" si="9"/>
        <v>18.376366666666669</v>
      </c>
      <c r="Q179" s="43" t="s">
        <v>42</v>
      </c>
      <c r="R179" s="4">
        <v>18.151162293202699</v>
      </c>
      <c r="S179" s="4">
        <v>18.1346140849008</v>
      </c>
      <c r="T179" s="4">
        <v>18.302171607704199</v>
      </c>
      <c r="U179" s="4">
        <f t="shared" si="10"/>
        <v>18.195982661935901</v>
      </c>
      <c r="X179" s="43" t="s">
        <v>2010</v>
      </c>
      <c r="Y179" s="4">
        <v>18.1429523214731</v>
      </c>
      <c r="Z179" s="4">
        <v>18.245319643660299</v>
      </c>
      <c r="AA179" s="4">
        <v>18.2153978701188</v>
      </c>
      <c r="AB179" s="4">
        <f t="shared" si="11"/>
        <v>18.201223278417398</v>
      </c>
      <c r="AK179" s="4" t="s">
        <v>400</v>
      </c>
      <c r="AM179" s="4" t="s">
        <v>4241</v>
      </c>
      <c r="AP179" s="2"/>
      <c r="AQ179" s="1"/>
      <c r="AR179" s="1"/>
      <c r="AS179" s="1"/>
      <c r="AT179" s="6"/>
      <c r="AU179" s="1"/>
      <c r="AV179" s="5" t="s">
        <v>543</v>
      </c>
      <c r="AX179" s="6" t="s">
        <v>848</v>
      </c>
    </row>
    <row r="180" spans="2:50" x14ac:dyDescent="0.2">
      <c r="B180" s="4" t="s">
        <v>3059</v>
      </c>
      <c r="C180" s="4">
        <v>18.0608</v>
      </c>
      <c r="D180" s="4">
        <v>18.259599999999999</v>
      </c>
      <c r="E180" s="4">
        <v>18.328499999999998</v>
      </c>
      <c r="F180" s="4">
        <f t="shared" si="8"/>
        <v>18.2163</v>
      </c>
      <c r="I180" s="4" t="s">
        <v>1911</v>
      </c>
      <c r="J180" s="4">
        <v>18.6282</v>
      </c>
      <c r="K180" s="4">
        <v>18.090299999999999</v>
      </c>
      <c r="L180" s="4">
        <v>18.392399999999999</v>
      </c>
      <c r="M180" s="4">
        <f t="shared" si="9"/>
        <v>18.3703</v>
      </c>
      <c r="Q180" s="43" t="s">
        <v>3131</v>
      </c>
      <c r="R180" s="4">
        <v>18.445412222028299</v>
      </c>
      <c r="S180" s="4">
        <v>17.956793593992</v>
      </c>
      <c r="T180" s="4">
        <v>18.165365958967701</v>
      </c>
      <c r="U180" s="4">
        <f t="shared" si="10"/>
        <v>18.189190591662665</v>
      </c>
      <c r="X180" s="43" t="s">
        <v>2609</v>
      </c>
      <c r="Y180" s="4">
        <v>18.2508844385444</v>
      </c>
      <c r="Z180" s="4">
        <v>18.2256543487884</v>
      </c>
      <c r="AA180" s="4">
        <v>18.103072680243901</v>
      </c>
      <c r="AB180" s="4">
        <f t="shared" si="11"/>
        <v>18.193203822525565</v>
      </c>
      <c r="AK180" s="4" t="s">
        <v>3448</v>
      </c>
      <c r="AM180" s="4" t="s">
        <v>4378</v>
      </c>
      <c r="AP180" s="2"/>
      <c r="AQ180" s="1"/>
      <c r="AR180" s="1"/>
      <c r="AS180" s="1"/>
      <c r="AT180" s="6"/>
      <c r="AU180" s="1"/>
      <c r="AV180" s="5" t="s">
        <v>378</v>
      </c>
      <c r="AX180" s="6" t="s">
        <v>849</v>
      </c>
    </row>
    <row r="181" spans="2:50" x14ac:dyDescent="0.2">
      <c r="B181" s="4" t="s">
        <v>1566</v>
      </c>
      <c r="C181" s="4">
        <v>18.110600000000002</v>
      </c>
      <c r="D181" s="4">
        <v>18.382400000000001</v>
      </c>
      <c r="E181" s="4">
        <v>18.108599999999999</v>
      </c>
      <c r="F181" s="4">
        <f t="shared" si="8"/>
        <v>18.200533333333336</v>
      </c>
      <c r="I181" s="4" t="s">
        <v>766</v>
      </c>
      <c r="J181" s="4">
        <v>18.6557</v>
      </c>
      <c r="K181" s="4">
        <v>18.019400000000001</v>
      </c>
      <c r="L181" s="4">
        <v>18.398199999999999</v>
      </c>
      <c r="M181" s="4">
        <f t="shared" si="9"/>
        <v>18.357766666666667</v>
      </c>
      <c r="Q181" s="43" t="s">
        <v>3024</v>
      </c>
      <c r="R181" s="4">
        <v>18.076649395645301</v>
      </c>
      <c r="S181" s="4">
        <v>18.204162781612599</v>
      </c>
      <c r="T181" s="4">
        <v>18.2542096133852</v>
      </c>
      <c r="U181" s="4">
        <f t="shared" si="10"/>
        <v>18.178340596881032</v>
      </c>
      <c r="X181" s="43" t="s">
        <v>3208</v>
      </c>
      <c r="Y181" s="4">
        <v>18.194703139001899</v>
      </c>
      <c r="Z181" s="4">
        <v>18.227431506545599</v>
      </c>
      <c r="AA181" s="4">
        <v>18.1407757897795</v>
      </c>
      <c r="AB181" s="4">
        <f t="shared" si="11"/>
        <v>18.187636811775665</v>
      </c>
      <c r="AK181" s="4" t="s">
        <v>1391</v>
      </c>
      <c r="AM181" s="4" t="s">
        <v>4285</v>
      </c>
      <c r="AP181" s="2"/>
      <c r="AQ181" s="1"/>
      <c r="AR181" s="1"/>
      <c r="AS181" s="1"/>
      <c r="AT181" s="6"/>
      <c r="AU181" s="1"/>
      <c r="AV181" s="13" t="s">
        <v>545</v>
      </c>
      <c r="AX181" s="6" t="s">
        <v>850</v>
      </c>
    </row>
    <row r="182" spans="2:50" x14ac:dyDescent="0.2">
      <c r="B182" s="4" t="s">
        <v>654</v>
      </c>
      <c r="C182" s="4">
        <v>18.020499999999998</v>
      </c>
      <c r="D182" s="4">
        <v>18.3066</v>
      </c>
      <c r="E182" s="4">
        <v>18.235499999999998</v>
      </c>
      <c r="F182" s="4">
        <f t="shared" si="8"/>
        <v>18.187533333333334</v>
      </c>
      <c r="I182" s="4" t="s">
        <v>55</v>
      </c>
      <c r="J182" s="4">
        <v>18.248000000000001</v>
      </c>
      <c r="K182" s="4">
        <v>18.5229</v>
      </c>
      <c r="L182" s="4">
        <v>18.277899999999999</v>
      </c>
      <c r="M182" s="4">
        <f t="shared" si="9"/>
        <v>18.349599999999999</v>
      </c>
      <c r="Q182" s="43" t="s">
        <v>1908</v>
      </c>
      <c r="R182" s="4">
        <v>18.068289992742098</v>
      </c>
      <c r="S182" s="4">
        <v>18.225379259579299</v>
      </c>
      <c r="T182" s="4">
        <v>18.236931291226799</v>
      </c>
      <c r="U182" s="4">
        <f t="shared" si="10"/>
        <v>18.176866847849396</v>
      </c>
      <c r="X182" s="43" t="s">
        <v>651</v>
      </c>
      <c r="Y182" s="4">
        <v>18.208996577705001</v>
      </c>
      <c r="Z182" s="4">
        <v>18.220936731125001</v>
      </c>
      <c r="AA182" s="4">
        <v>18.1283948081566</v>
      </c>
      <c r="AB182" s="4">
        <f t="shared" si="11"/>
        <v>18.186109372328868</v>
      </c>
      <c r="AK182" s="4" t="s">
        <v>629</v>
      </c>
      <c r="AM182" s="4" t="s">
        <v>4250</v>
      </c>
      <c r="AP182" s="2"/>
      <c r="AQ182" s="1"/>
      <c r="AR182" s="1"/>
      <c r="AS182" s="1"/>
      <c r="AT182" s="6"/>
      <c r="AU182" s="1"/>
      <c r="AV182" s="5" t="s">
        <v>382</v>
      </c>
      <c r="AX182" s="6" t="s">
        <v>851</v>
      </c>
    </row>
    <row r="183" spans="2:50" x14ac:dyDescent="0.2">
      <c r="B183" s="4" t="s">
        <v>664</v>
      </c>
      <c r="C183" s="4">
        <v>18.343699999999998</v>
      </c>
      <c r="D183" s="4">
        <v>18.1386</v>
      </c>
      <c r="E183" s="4">
        <v>18.042999999999999</v>
      </c>
      <c r="F183" s="4">
        <f t="shared" si="8"/>
        <v>18.175099999999997</v>
      </c>
      <c r="I183" s="4" t="s">
        <v>361</v>
      </c>
      <c r="J183" s="4">
        <v>18.3521</v>
      </c>
      <c r="K183" s="4">
        <v>18.523299999999999</v>
      </c>
      <c r="L183" s="4">
        <v>18.1584</v>
      </c>
      <c r="M183" s="4">
        <f t="shared" si="9"/>
        <v>18.3446</v>
      </c>
      <c r="Q183" s="43" t="s">
        <v>3814</v>
      </c>
      <c r="R183" s="4">
        <v>18.242558612662201</v>
      </c>
      <c r="S183" s="4">
        <v>18.095173566528299</v>
      </c>
      <c r="T183" s="4">
        <v>18.0542171522907</v>
      </c>
      <c r="U183" s="4">
        <f t="shared" si="10"/>
        <v>18.1306497771604</v>
      </c>
      <c r="X183" s="43" t="s">
        <v>3615</v>
      </c>
      <c r="Y183" s="4">
        <v>18.2623903249983</v>
      </c>
      <c r="Z183" s="4">
        <v>17.841488767193301</v>
      </c>
      <c r="AA183" s="4">
        <v>18.447464743485199</v>
      </c>
      <c r="AB183" s="4">
        <f t="shared" si="11"/>
        <v>18.183781278558936</v>
      </c>
      <c r="AK183" s="4" t="s">
        <v>1460</v>
      </c>
      <c r="AM183" s="4" t="s">
        <v>4524</v>
      </c>
      <c r="AP183" s="2"/>
      <c r="AQ183" s="1"/>
      <c r="AR183" s="1"/>
      <c r="AS183" s="1"/>
      <c r="AT183" s="6"/>
      <c r="AU183" s="1"/>
      <c r="AV183" s="10" t="s">
        <v>253</v>
      </c>
      <c r="AX183" s="6" t="s">
        <v>759</v>
      </c>
    </row>
    <row r="184" spans="2:50" x14ac:dyDescent="0.2">
      <c r="B184" s="4" t="s">
        <v>1058</v>
      </c>
      <c r="C184" s="4">
        <v>17.7867</v>
      </c>
      <c r="D184" s="4">
        <v>18.5778</v>
      </c>
      <c r="E184" s="4">
        <v>18.154499999999999</v>
      </c>
      <c r="F184" s="4">
        <f t="shared" si="8"/>
        <v>18.172999999999998</v>
      </c>
      <c r="I184" s="4" t="s">
        <v>1377</v>
      </c>
      <c r="J184" s="4">
        <v>18.465399999999999</v>
      </c>
      <c r="K184" s="4">
        <v>18.051200000000001</v>
      </c>
      <c r="L184" s="4">
        <v>18.505500000000001</v>
      </c>
      <c r="M184" s="4">
        <f t="shared" si="9"/>
        <v>18.340699999999998</v>
      </c>
      <c r="Q184" s="43" t="s">
        <v>1880</v>
      </c>
      <c r="R184" s="4">
        <v>18.286458879182199</v>
      </c>
      <c r="S184" s="4">
        <v>17.961488181843201</v>
      </c>
      <c r="T184" s="4">
        <v>18.140421708964499</v>
      </c>
      <c r="U184" s="4">
        <f t="shared" si="10"/>
        <v>18.1294562566633</v>
      </c>
      <c r="X184" s="43" t="s">
        <v>3579</v>
      </c>
      <c r="Y184" s="4">
        <v>18.1648233992914</v>
      </c>
      <c r="Z184" s="4">
        <v>18.192646211637001</v>
      </c>
      <c r="AA184" s="4">
        <v>18.183902633176</v>
      </c>
      <c r="AB184" s="4">
        <f t="shared" si="11"/>
        <v>18.180457414701468</v>
      </c>
      <c r="AK184" s="4" t="s">
        <v>1395</v>
      </c>
      <c r="AM184" s="4" t="s">
        <v>593</v>
      </c>
      <c r="AP184" s="2"/>
      <c r="AQ184" s="1"/>
      <c r="AR184" s="1"/>
      <c r="AS184" s="1"/>
      <c r="AT184" s="6"/>
      <c r="AU184" s="1"/>
      <c r="AV184" s="5" t="s">
        <v>548</v>
      </c>
      <c r="AX184" s="6" t="s">
        <v>740</v>
      </c>
    </row>
    <row r="185" spans="2:50" x14ac:dyDescent="0.2">
      <c r="B185" s="4" t="s">
        <v>3789</v>
      </c>
      <c r="C185" s="4">
        <v>18.2075</v>
      </c>
      <c r="D185" s="4">
        <v>18.151800000000001</v>
      </c>
      <c r="E185" s="4">
        <v>18.152200000000001</v>
      </c>
      <c r="F185" s="4">
        <f t="shared" si="8"/>
        <v>18.170500000000001</v>
      </c>
      <c r="I185" s="4" t="s">
        <v>1462</v>
      </c>
      <c r="J185" s="4">
        <v>17.671900000000001</v>
      </c>
      <c r="K185" s="4">
        <v>19.6327</v>
      </c>
      <c r="L185" s="4">
        <v>17.654499999999999</v>
      </c>
      <c r="M185" s="4">
        <f t="shared" si="9"/>
        <v>18.319700000000001</v>
      </c>
      <c r="Q185" s="43" t="s">
        <v>4026</v>
      </c>
      <c r="R185" s="4">
        <v>18.0174316916846</v>
      </c>
      <c r="S185" s="4">
        <v>18.104486093282802</v>
      </c>
      <c r="T185" s="4">
        <v>18.2255293221972</v>
      </c>
      <c r="U185" s="4">
        <f t="shared" si="10"/>
        <v>18.1158157023882</v>
      </c>
      <c r="X185" s="43" t="s">
        <v>1752</v>
      </c>
      <c r="Y185" s="4">
        <v>18.2653981156604</v>
      </c>
      <c r="Z185" s="4">
        <v>18.147297381787698</v>
      </c>
      <c r="AA185" s="4">
        <v>18.123911013593499</v>
      </c>
      <c r="AB185" s="4">
        <f t="shared" si="11"/>
        <v>18.178868837013866</v>
      </c>
      <c r="AK185" s="4" t="s">
        <v>2928</v>
      </c>
      <c r="AM185" s="4" t="s">
        <v>3436</v>
      </c>
      <c r="AP185" s="2"/>
      <c r="AQ185" s="1"/>
      <c r="AR185" s="1"/>
      <c r="AS185" s="1"/>
      <c r="AT185" s="6"/>
      <c r="AU185" s="1"/>
      <c r="AV185" s="5" t="s">
        <v>259</v>
      </c>
      <c r="AX185" s="6" t="s">
        <v>770</v>
      </c>
    </row>
    <row r="186" spans="2:50" x14ac:dyDescent="0.2">
      <c r="B186" s="4" t="s">
        <v>1662</v>
      </c>
      <c r="C186" s="4">
        <v>18.294599999999999</v>
      </c>
      <c r="D186" s="4">
        <v>18.2453</v>
      </c>
      <c r="E186" s="4">
        <v>17.967099999999999</v>
      </c>
      <c r="F186" s="4">
        <f t="shared" si="8"/>
        <v>18.169</v>
      </c>
      <c r="I186" s="4" t="s">
        <v>1495</v>
      </c>
      <c r="J186" s="4">
        <v>18.187200000000001</v>
      </c>
      <c r="K186" s="4">
        <v>18.611499999999999</v>
      </c>
      <c r="L186" s="4">
        <v>18.1541</v>
      </c>
      <c r="M186" s="4">
        <f t="shared" si="9"/>
        <v>18.317599999999999</v>
      </c>
      <c r="Q186" s="43" t="s">
        <v>1256</v>
      </c>
      <c r="R186" s="4">
        <v>17.9058172318597</v>
      </c>
      <c r="S186" s="4">
        <v>18.4313628309588</v>
      </c>
      <c r="T186" s="4">
        <v>17.863942637948899</v>
      </c>
      <c r="U186" s="4">
        <f t="shared" si="10"/>
        <v>18.067040900255801</v>
      </c>
      <c r="X186" s="43" t="s">
        <v>647</v>
      </c>
      <c r="Y186" s="4">
        <v>18.3141915476766</v>
      </c>
      <c r="Z186" s="4">
        <v>18.335401082336301</v>
      </c>
      <c r="AA186" s="4">
        <v>17.872121639464101</v>
      </c>
      <c r="AB186" s="4">
        <f t="shared" si="11"/>
        <v>18.173904756492334</v>
      </c>
      <c r="AK186" s="4" t="s">
        <v>3582</v>
      </c>
      <c r="AM186" s="4" t="s">
        <v>1499</v>
      </c>
      <c r="AP186" s="2"/>
      <c r="AQ186" s="1"/>
      <c r="AR186" s="1"/>
      <c r="AS186" s="1"/>
      <c r="AT186" s="6"/>
      <c r="AU186" s="1"/>
      <c r="AV186" s="5" t="s">
        <v>386</v>
      </c>
      <c r="AX186" s="6" t="s">
        <v>852</v>
      </c>
    </row>
    <row r="187" spans="2:50" x14ac:dyDescent="0.2">
      <c r="B187" s="4" t="s">
        <v>2720</v>
      </c>
      <c r="C187" s="4">
        <v>17.8568</v>
      </c>
      <c r="D187" s="4">
        <v>17.531400000000001</v>
      </c>
      <c r="E187" s="4">
        <v>19.1188</v>
      </c>
      <c r="F187" s="4">
        <f t="shared" si="8"/>
        <v>18.169</v>
      </c>
      <c r="I187" s="4" t="s">
        <v>2866</v>
      </c>
      <c r="J187" s="4">
        <v>18.571000000000002</v>
      </c>
      <c r="K187" s="4">
        <v>17.640599999999999</v>
      </c>
      <c r="L187" s="4">
        <v>18.728200000000001</v>
      </c>
      <c r="M187" s="4">
        <f t="shared" si="9"/>
        <v>18.313266666666667</v>
      </c>
      <c r="Q187" s="43" t="s">
        <v>1464</v>
      </c>
      <c r="R187" s="4">
        <v>18.323905992471399</v>
      </c>
      <c r="S187" s="4">
        <v>17.665275146463902</v>
      </c>
      <c r="T187" s="4">
        <v>18.1929635786238</v>
      </c>
      <c r="U187" s="4">
        <f t="shared" si="10"/>
        <v>18.060714905853033</v>
      </c>
      <c r="X187" s="43" t="s">
        <v>3938</v>
      </c>
      <c r="Y187" s="4">
        <v>18.253348042289101</v>
      </c>
      <c r="Z187" s="4">
        <v>18.1489262787454</v>
      </c>
      <c r="AA187" s="4">
        <v>18.118221518035401</v>
      </c>
      <c r="AB187" s="4">
        <f t="shared" si="11"/>
        <v>18.173498613023298</v>
      </c>
      <c r="AK187" s="4" t="s">
        <v>3765</v>
      </c>
      <c r="AM187" s="4" t="s">
        <v>1246</v>
      </c>
      <c r="AP187" s="2"/>
      <c r="AQ187" s="1"/>
      <c r="AR187" s="1"/>
      <c r="AS187" s="1"/>
      <c r="AT187" s="6"/>
      <c r="AU187" s="1"/>
      <c r="AV187" s="5" t="s">
        <v>388</v>
      </c>
      <c r="AX187" s="6" t="s">
        <v>734</v>
      </c>
    </row>
    <row r="188" spans="2:50" x14ac:dyDescent="0.2">
      <c r="B188" s="4" t="s">
        <v>1904</v>
      </c>
      <c r="C188" s="4">
        <v>18.1431</v>
      </c>
      <c r="D188" s="4">
        <v>18.225000000000001</v>
      </c>
      <c r="E188" s="4">
        <v>18.111000000000001</v>
      </c>
      <c r="F188" s="4">
        <f t="shared" si="8"/>
        <v>18.159700000000001</v>
      </c>
      <c r="I188" s="4" t="s">
        <v>1833</v>
      </c>
      <c r="J188" s="4">
        <v>18.420400000000001</v>
      </c>
      <c r="K188" s="4">
        <v>18.369700000000002</v>
      </c>
      <c r="L188" s="4">
        <v>18.0701</v>
      </c>
      <c r="M188" s="4">
        <f t="shared" si="9"/>
        <v>18.286733333333334</v>
      </c>
      <c r="Q188" s="43" t="s">
        <v>1702</v>
      </c>
      <c r="R188" s="4">
        <v>18.207742109671099</v>
      </c>
      <c r="S188" s="4">
        <v>17.9050324594402</v>
      </c>
      <c r="T188" s="4">
        <v>18.066693282964899</v>
      </c>
      <c r="U188" s="4">
        <f t="shared" si="10"/>
        <v>18.05982261735873</v>
      </c>
      <c r="X188" s="43" t="s">
        <v>824</v>
      </c>
      <c r="Y188" s="4">
        <v>18.0346441779133</v>
      </c>
      <c r="Z188" s="4">
        <v>18.770338458209999</v>
      </c>
      <c r="AA188" s="4">
        <v>17.710705702861301</v>
      </c>
      <c r="AB188" s="4">
        <f t="shared" si="11"/>
        <v>18.171896112994869</v>
      </c>
      <c r="AK188" s="4" t="s">
        <v>2292</v>
      </c>
      <c r="AM188" s="4" t="s">
        <v>4138</v>
      </c>
      <c r="AP188" s="2"/>
      <c r="AQ188" s="1"/>
      <c r="AR188" s="1"/>
      <c r="AS188" s="1"/>
      <c r="AT188" s="6"/>
      <c r="AU188" s="1"/>
      <c r="AV188" s="5" t="s">
        <v>552</v>
      </c>
      <c r="AX188" s="6" t="s">
        <v>853</v>
      </c>
    </row>
    <row r="189" spans="2:50" x14ac:dyDescent="0.2">
      <c r="B189" s="4" t="s">
        <v>666</v>
      </c>
      <c r="C189" s="4">
        <v>18.746400000000001</v>
      </c>
      <c r="D189" s="4">
        <v>17.898199999999999</v>
      </c>
      <c r="E189" s="4">
        <v>17.828299999999999</v>
      </c>
      <c r="F189" s="4">
        <f t="shared" si="8"/>
        <v>18.157633333333333</v>
      </c>
      <c r="I189" s="4" t="s">
        <v>84</v>
      </c>
      <c r="J189" s="4">
        <v>18.5307</v>
      </c>
      <c r="K189" s="4">
        <v>17.787099999999999</v>
      </c>
      <c r="L189" s="4">
        <v>18.479500000000002</v>
      </c>
      <c r="M189" s="4">
        <f t="shared" si="9"/>
        <v>18.265766666666668</v>
      </c>
      <c r="Q189" s="43" t="s">
        <v>2963</v>
      </c>
      <c r="R189" s="4">
        <v>17.919106622434899</v>
      </c>
      <c r="S189" s="4">
        <v>17.9405162042098</v>
      </c>
      <c r="T189" s="4">
        <v>18.279588375320099</v>
      </c>
      <c r="U189" s="4">
        <f t="shared" si="10"/>
        <v>18.046403733988267</v>
      </c>
      <c r="X189" s="43" t="s">
        <v>1936</v>
      </c>
      <c r="Y189" s="4">
        <v>18.198274063351199</v>
      </c>
      <c r="Z189" s="4">
        <v>18.374098794878901</v>
      </c>
      <c r="AA189" s="4">
        <v>17.938069450510401</v>
      </c>
      <c r="AB189" s="4">
        <f t="shared" si="11"/>
        <v>18.170147436246832</v>
      </c>
      <c r="AK189" s="4" t="s">
        <v>2206</v>
      </c>
      <c r="AM189" s="4" t="s">
        <v>4351</v>
      </c>
      <c r="AP189" s="2"/>
      <c r="AQ189" s="1"/>
      <c r="AR189" s="1"/>
      <c r="AS189" s="1"/>
      <c r="AT189" s="6"/>
      <c r="AU189" s="1"/>
      <c r="AV189" s="5" t="s">
        <v>104</v>
      </c>
      <c r="AX189" s="6" t="s">
        <v>706</v>
      </c>
    </row>
    <row r="190" spans="2:50" x14ac:dyDescent="0.2">
      <c r="B190" s="4" t="s">
        <v>2129</v>
      </c>
      <c r="C190" s="4">
        <v>17.971800000000002</v>
      </c>
      <c r="D190" s="4">
        <v>18.271699999999999</v>
      </c>
      <c r="E190" s="4">
        <v>18.2273</v>
      </c>
      <c r="F190" s="4">
        <f t="shared" si="8"/>
        <v>18.156933333333331</v>
      </c>
      <c r="I190" s="4" t="s">
        <v>2010</v>
      </c>
      <c r="J190" s="4">
        <v>18.2486</v>
      </c>
      <c r="K190" s="4">
        <v>18.123000000000001</v>
      </c>
      <c r="L190" s="4">
        <v>18.420300000000001</v>
      </c>
      <c r="M190" s="4">
        <f t="shared" si="9"/>
        <v>18.263966666666665</v>
      </c>
      <c r="Q190" s="43" t="s">
        <v>3039</v>
      </c>
      <c r="R190" s="4">
        <v>18.095613661282901</v>
      </c>
      <c r="S190" s="4">
        <v>17.9852073677447</v>
      </c>
      <c r="T190" s="4">
        <v>18.0462164339087</v>
      </c>
      <c r="U190" s="4">
        <f t="shared" si="10"/>
        <v>18.042345820978767</v>
      </c>
      <c r="X190" s="43" t="s">
        <v>2128</v>
      </c>
      <c r="Y190" s="4">
        <v>18.224567331901099</v>
      </c>
      <c r="Z190" s="4">
        <v>17.968129646225002</v>
      </c>
      <c r="AA190" s="4">
        <v>18.3175544204103</v>
      </c>
      <c r="AB190" s="4">
        <f t="shared" si="11"/>
        <v>18.170083799512131</v>
      </c>
      <c r="AK190" s="4" t="s">
        <v>416</v>
      </c>
      <c r="AM190" s="4" t="s">
        <v>4360</v>
      </c>
      <c r="AP190" s="2"/>
      <c r="AQ190" s="1"/>
      <c r="AR190" s="1"/>
      <c r="AS190" s="1"/>
      <c r="AT190" s="6"/>
      <c r="AU190" s="1"/>
      <c r="AV190" s="5" t="s">
        <v>111</v>
      </c>
      <c r="AX190" s="6" t="s">
        <v>745</v>
      </c>
    </row>
    <row r="191" spans="2:50" x14ac:dyDescent="0.2">
      <c r="B191" s="4" t="s">
        <v>2088</v>
      </c>
      <c r="C191" s="4">
        <v>18.262</v>
      </c>
      <c r="D191" s="4">
        <v>18.162099999999999</v>
      </c>
      <c r="E191" s="4">
        <v>17.991399999999999</v>
      </c>
      <c r="F191" s="4">
        <f t="shared" si="8"/>
        <v>18.138499999999997</v>
      </c>
      <c r="I191" s="4" t="s">
        <v>1666</v>
      </c>
      <c r="J191" s="4">
        <v>18.074200000000001</v>
      </c>
      <c r="K191" s="4">
        <v>18.4251</v>
      </c>
      <c r="L191" s="4">
        <v>18.254000000000001</v>
      </c>
      <c r="M191" s="4">
        <f t="shared" si="9"/>
        <v>18.251100000000005</v>
      </c>
      <c r="Q191" s="43" t="s">
        <v>3631</v>
      </c>
      <c r="R191" s="4">
        <v>18.341847077345999</v>
      </c>
      <c r="S191" s="4">
        <v>17.802210257502299</v>
      </c>
      <c r="T191" s="4">
        <v>17.943137926570301</v>
      </c>
      <c r="U191" s="4">
        <f t="shared" si="10"/>
        <v>18.029065087139532</v>
      </c>
      <c r="X191" s="43" t="s">
        <v>1662</v>
      </c>
      <c r="Y191" s="4">
        <v>18.060698775585699</v>
      </c>
      <c r="Z191" s="4">
        <v>18.201431034854298</v>
      </c>
      <c r="AA191" s="4">
        <v>18.180754711579599</v>
      </c>
      <c r="AB191" s="4">
        <f t="shared" si="11"/>
        <v>18.147628174006531</v>
      </c>
      <c r="AK191" s="4" t="s">
        <v>143</v>
      </c>
      <c r="AM191" s="4" t="s">
        <v>4521</v>
      </c>
      <c r="AP191" s="2"/>
      <c r="AQ191" s="1"/>
      <c r="AR191" s="1"/>
      <c r="AS191" s="1"/>
      <c r="AT191" s="6"/>
      <c r="AU191" s="1"/>
      <c r="AV191" s="10" t="s">
        <v>554</v>
      </c>
      <c r="AX191" s="6" t="s">
        <v>727</v>
      </c>
    </row>
    <row r="192" spans="2:50" x14ac:dyDescent="0.2">
      <c r="B192" s="4" t="s">
        <v>1502</v>
      </c>
      <c r="C192" s="4">
        <v>17.978999999999999</v>
      </c>
      <c r="D192" s="4">
        <v>18.0411</v>
      </c>
      <c r="E192" s="4">
        <v>18.357600000000001</v>
      </c>
      <c r="F192" s="4">
        <f t="shared" si="8"/>
        <v>18.125900000000001</v>
      </c>
      <c r="I192" s="4" t="s">
        <v>3311</v>
      </c>
      <c r="J192" s="4">
        <v>18.480699999999999</v>
      </c>
      <c r="K192" s="4">
        <v>17.988199999999999</v>
      </c>
      <c r="L192" s="4">
        <v>18.235800000000001</v>
      </c>
      <c r="M192" s="4">
        <f t="shared" si="9"/>
        <v>18.2349</v>
      </c>
      <c r="Q192" s="43" t="s">
        <v>3947</v>
      </c>
      <c r="R192" s="4">
        <v>18.082248753067699</v>
      </c>
      <c r="S192" s="4">
        <v>17.981454459789699</v>
      </c>
      <c r="T192" s="4">
        <v>18.022836771021101</v>
      </c>
      <c r="U192" s="4">
        <f t="shared" si="10"/>
        <v>18.028846661292832</v>
      </c>
      <c r="X192" s="43" t="s">
        <v>2325</v>
      </c>
      <c r="Y192" s="4">
        <v>17.954490057557798</v>
      </c>
      <c r="Z192" s="4">
        <v>18.606676018835302</v>
      </c>
      <c r="AA192" s="4">
        <v>17.874184770511</v>
      </c>
      <c r="AB192" s="4">
        <f t="shared" si="11"/>
        <v>18.145116948968035</v>
      </c>
      <c r="AK192" s="28" t="s">
        <v>4870</v>
      </c>
      <c r="AL192" s="28"/>
      <c r="AM192" s="4" t="s">
        <v>948</v>
      </c>
      <c r="AP192" s="2"/>
      <c r="AQ192" s="1"/>
      <c r="AR192" s="1"/>
      <c r="AS192" s="1"/>
      <c r="AT192" s="6"/>
      <c r="AU192" s="1"/>
      <c r="AV192" s="5" t="s">
        <v>392</v>
      </c>
      <c r="AX192" s="6" t="s">
        <v>854</v>
      </c>
    </row>
    <row r="193" spans="2:50" x14ac:dyDescent="0.2">
      <c r="B193" s="4" t="s">
        <v>729</v>
      </c>
      <c r="C193" s="4">
        <v>18.345600000000001</v>
      </c>
      <c r="D193" s="4">
        <v>18.147400000000001</v>
      </c>
      <c r="E193" s="4">
        <v>17.855399999999999</v>
      </c>
      <c r="F193" s="4">
        <f t="shared" si="8"/>
        <v>18.116133333333334</v>
      </c>
      <c r="I193" s="4" t="s">
        <v>3342</v>
      </c>
      <c r="J193" s="4">
        <v>18.275099999999998</v>
      </c>
      <c r="K193" s="4">
        <v>18.026299999999999</v>
      </c>
      <c r="L193" s="4">
        <v>18.3795</v>
      </c>
      <c r="M193" s="4">
        <f t="shared" si="9"/>
        <v>18.226966666666666</v>
      </c>
      <c r="Q193" s="43" t="s">
        <v>2400</v>
      </c>
      <c r="R193" s="4">
        <v>18.0539975538642</v>
      </c>
      <c r="S193" s="4">
        <v>18.0408218200538</v>
      </c>
      <c r="T193" s="4">
        <v>17.974054805149699</v>
      </c>
      <c r="U193" s="4">
        <f t="shared" si="10"/>
        <v>18.022958059689234</v>
      </c>
      <c r="X193" s="43" t="s">
        <v>3223</v>
      </c>
      <c r="Y193" s="4">
        <v>18.000755729746999</v>
      </c>
      <c r="Z193" s="4">
        <v>18.496046101722101</v>
      </c>
      <c r="AA193" s="4">
        <v>17.804736673488101</v>
      </c>
      <c r="AB193" s="4">
        <f t="shared" si="11"/>
        <v>18.100512834985732</v>
      </c>
      <c r="AK193" s="4" t="s">
        <v>3101</v>
      </c>
      <c r="AM193" s="4" t="s">
        <v>4422</v>
      </c>
      <c r="AP193" s="2"/>
      <c r="AR193" s="1"/>
      <c r="AS193" s="1"/>
      <c r="AT193" s="6"/>
      <c r="AU193" s="1"/>
      <c r="AV193" s="1"/>
      <c r="AX193" s="6" t="s">
        <v>483</v>
      </c>
    </row>
    <row r="194" spans="2:50" x14ac:dyDescent="0.2">
      <c r="B194" s="4" t="s">
        <v>3947</v>
      </c>
      <c r="C194" s="4">
        <v>18.1021</v>
      </c>
      <c r="D194" s="4">
        <v>18.227</v>
      </c>
      <c r="E194" s="4">
        <v>17.995699999999999</v>
      </c>
      <c r="F194" s="4">
        <f t="shared" ref="F194:F257" si="12">(C194+D194+E194)/3</f>
        <v>18.108266666666665</v>
      </c>
      <c r="I194" s="4" t="s">
        <v>3971</v>
      </c>
      <c r="J194" s="4">
        <v>18.372199999999999</v>
      </c>
      <c r="K194" s="4">
        <v>17.927600000000002</v>
      </c>
      <c r="L194" s="4">
        <v>18.359300000000001</v>
      </c>
      <c r="M194" s="4">
        <f t="shared" ref="M194:M257" si="13">(J194+K194+L194)/3</f>
        <v>18.219700000000003</v>
      </c>
      <c r="Q194" s="43" t="s">
        <v>3579</v>
      </c>
      <c r="R194" s="4">
        <v>18.138196304533299</v>
      </c>
      <c r="S194" s="4">
        <v>17.929604446437899</v>
      </c>
      <c r="T194" s="4">
        <v>17.978810910445599</v>
      </c>
      <c r="U194" s="4">
        <f t="shared" ref="U194:U257" si="14">(R194+S194+T194)/3</f>
        <v>18.015537220472268</v>
      </c>
      <c r="X194" s="43" t="s">
        <v>2214</v>
      </c>
      <c r="Y194" s="4">
        <v>17.9863188519613</v>
      </c>
      <c r="Z194" s="4">
        <v>18.3311977966341</v>
      </c>
      <c r="AA194" s="4">
        <v>17.9545839633745</v>
      </c>
      <c r="AB194" s="4">
        <f t="shared" ref="AB194:AB257" si="15">(Y194+Z194+AA194)/3</f>
        <v>18.090700203989968</v>
      </c>
      <c r="AK194" s="4" t="s">
        <v>3737</v>
      </c>
      <c r="AM194" s="4" t="s">
        <v>1403</v>
      </c>
      <c r="AP194" s="2"/>
      <c r="AR194" s="1"/>
      <c r="AS194" s="1"/>
      <c r="AT194" s="6"/>
      <c r="AU194" s="1"/>
      <c r="AV194" s="2"/>
      <c r="AX194" s="6" t="s">
        <v>714</v>
      </c>
    </row>
    <row r="195" spans="2:50" x14ac:dyDescent="0.2">
      <c r="B195" s="4" t="s">
        <v>3999</v>
      </c>
      <c r="C195" s="4">
        <v>17.967500000000001</v>
      </c>
      <c r="D195" s="4">
        <v>18.087700000000002</v>
      </c>
      <c r="E195" s="4">
        <v>18.2041</v>
      </c>
      <c r="F195" s="4">
        <f t="shared" si="12"/>
        <v>18.086433333333332</v>
      </c>
      <c r="I195" s="4" t="s">
        <v>38</v>
      </c>
      <c r="J195" s="4">
        <v>18.366499999999998</v>
      </c>
      <c r="K195" s="4">
        <v>17.957100000000001</v>
      </c>
      <c r="L195" s="4">
        <v>18.2639</v>
      </c>
      <c r="M195" s="4">
        <f t="shared" si="13"/>
        <v>18.195833333333333</v>
      </c>
      <c r="Q195" s="43" t="s">
        <v>3789</v>
      </c>
      <c r="R195" s="4">
        <v>17.975216826778599</v>
      </c>
      <c r="S195" s="4">
        <v>18.095141650809701</v>
      </c>
      <c r="T195" s="4">
        <v>17.941693354958701</v>
      </c>
      <c r="U195" s="4">
        <f t="shared" si="14"/>
        <v>18.004017277515668</v>
      </c>
      <c r="X195" s="43" t="s">
        <v>570</v>
      </c>
      <c r="Y195" s="4">
        <v>17.972154029230499</v>
      </c>
      <c r="Z195" s="4">
        <v>18.1005888541562</v>
      </c>
      <c r="AA195" s="4">
        <v>18.1863097203663</v>
      </c>
      <c r="AB195" s="4">
        <f t="shared" si="15"/>
        <v>18.086350867917663</v>
      </c>
      <c r="AK195" s="4" t="s">
        <v>88</v>
      </c>
      <c r="AM195" s="4" t="s">
        <v>4591</v>
      </c>
      <c r="AP195" s="2"/>
      <c r="AR195" s="1"/>
      <c r="AS195" s="1"/>
      <c r="AT195" s="6"/>
      <c r="AU195" s="1"/>
      <c r="AV195" s="2"/>
      <c r="AX195" s="6" t="s">
        <v>855</v>
      </c>
    </row>
    <row r="196" spans="2:50" x14ac:dyDescent="0.2">
      <c r="B196" s="4" t="s">
        <v>4062</v>
      </c>
      <c r="C196" s="4">
        <v>18.126100000000001</v>
      </c>
      <c r="D196" s="4">
        <v>18.134499999999999</v>
      </c>
      <c r="E196" s="4">
        <v>17.995200000000001</v>
      </c>
      <c r="F196" s="4">
        <f t="shared" si="12"/>
        <v>18.085266666666666</v>
      </c>
      <c r="I196" s="4" t="s">
        <v>375</v>
      </c>
      <c r="J196" s="4">
        <v>17.778400000000001</v>
      </c>
      <c r="K196" s="4">
        <v>18.831299999999999</v>
      </c>
      <c r="L196" s="4">
        <v>17.9465</v>
      </c>
      <c r="M196" s="4">
        <f t="shared" si="13"/>
        <v>18.185400000000001</v>
      </c>
      <c r="Q196" s="43" t="s">
        <v>3170</v>
      </c>
      <c r="R196" s="4">
        <v>18.174047880180801</v>
      </c>
      <c r="S196" s="4">
        <v>17.9021762774859</v>
      </c>
      <c r="T196" s="4">
        <v>17.885717313239802</v>
      </c>
      <c r="U196" s="4">
        <f t="shared" si="14"/>
        <v>17.9873138236355</v>
      </c>
      <c r="X196" s="43" t="s">
        <v>1203</v>
      </c>
      <c r="Y196" s="4">
        <v>18.047259362854</v>
      </c>
      <c r="Z196" s="4">
        <v>17.9925874697913</v>
      </c>
      <c r="AA196" s="4">
        <v>18.2037827759269</v>
      </c>
      <c r="AB196" s="4">
        <f t="shared" si="15"/>
        <v>18.081209869524063</v>
      </c>
      <c r="AK196" s="4" t="s">
        <v>2886</v>
      </c>
      <c r="AM196" s="4" t="s">
        <v>4506</v>
      </c>
      <c r="AP196" s="2"/>
      <c r="AR196" s="1"/>
      <c r="AS196" s="1"/>
      <c r="AT196" s="6"/>
      <c r="AU196" s="1"/>
      <c r="AV196" s="2"/>
      <c r="AX196" s="6" t="s">
        <v>856</v>
      </c>
    </row>
    <row r="197" spans="2:50" x14ac:dyDescent="0.2">
      <c r="B197" s="4" t="s">
        <v>916</v>
      </c>
      <c r="C197" s="4">
        <v>17.987400000000001</v>
      </c>
      <c r="D197" s="4">
        <v>18.097300000000001</v>
      </c>
      <c r="E197" s="4">
        <v>18.168700000000001</v>
      </c>
      <c r="F197" s="4">
        <f t="shared" si="12"/>
        <v>18.084466666666668</v>
      </c>
      <c r="I197" s="4" t="s">
        <v>3796</v>
      </c>
      <c r="J197" s="4">
        <v>17.829699999999999</v>
      </c>
      <c r="K197" s="4">
        <v>18.636800000000001</v>
      </c>
      <c r="L197" s="4">
        <v>18.041499999999999</v>
      </c>
      <c r="M197" s="4">
        <f t="shared" si="13"/>
        <v>18.169333333333331</v>
      </c>
      <c r="Q197" s="43" t="s">
        <v>4538</v>
      </c>
      <c r="R197" s="4">
        <v>18.0463366171799</v>
      </c>
      <c r="S197" s="4">
        <v>17.821246012437101</v>
      </c>
      <c r="T197" s="4">
        <v>17.979008799793501</v>
      </c>
      <c r="U197" s="4">
        <f t="shared" si="14"/>
        <v>17.948863809803502</v>
      </c>
      <c r="X197" s="43" t="s">
        <v>1220</v>
      </c>
      <c r="Y197" s="4">
        <v>17.993238776784199</v>
      </c>
      <c r="Z197" s="4">
        <v>18.1241104278288</v>
      </c>
      <c r="AA197" s="4">
        <v>18.117606645039601</v>
      </c>
      <c r="AB197" s="4">
        <f t="shared" si="15"/>
        <v>18.078318616550867</v>
      </c>
      <c r="AK197" s="4" t="s">
        <v>2264</v>
      </c>
      <c r="AM197" s="4" t="s">
        <v>4564</v>
      </c>
      <c r="AP197" s="2"/>
      <c r="AR197" s="1"/>
      <c r="AS197" s="1"/>
      <c r="AT197" s="6"/>
      <c r="AU197" s="1"/>
      <c r="AV197" s="1"/>
      <c r="AX197" s="6" t="s">
        <v>857</v>
      </c>
    </row>
    <row r="198" spans="2:50" x14ac:dyDescent="0.2">
      <c r="B198" s="4" t="s">
        <v>728</v>
      </c>
      <c r="C198" s="4">
        <v>18.230599999999999</v>
      </c>
      <c r="D198" s="4">
        <v>17.803000000000001</v>
      </c>
      <c r="E198" s="4">
        <v>18.2059</v>
      </c>
      <c r="F198" s="4">
        <f t="shared" si="12"/>
        <v>18.079833333333333</v>
      </c>
      <c r="I198" s="4" t="s">
        <v>1323</v>
      </c>
      <c r="J198" s="4">
        <v>18.402000000000001</v>
      </c>
      <c r="K198" s="4">
        <v>17.5609</v>
      </c>
      <c r="L198" s="4">
        <v>18.531700000000001</v>
      </c>
      <c r="M198" s="4">
        <f t="shared" si="13"/>
        <v>18.164866666666668</v>
      </c>
      <c r="Q198" s="43" t="s">
        <v>1476</v>
      </c>
      <c r="R198" s="4">
        <v>18.184088585002801</v>
      </c>
      <c r="S198" s="4">
        <v>17.801118906695098</v>
      </c>
      <c r="T198" s="4">
        <v>17.860517936207401</v>
      </c>
      <c r="U198" s="4">
        <f t="shared" si="14"/>
        <v>17.9485751426351</v>
      </c>
      <c r="X198" s="43" t="s">
        <v>298</v>
      </c>
      <c r="Y198" s="4">
        <v>18.0234686779743</v>
      </c>
      <c r="Z198" s="4">
        <v>18.166665777204301</v>
      </c>
      <c r="AA198" s="4">
        <v>17.9998832254789</v>
      </c>
      <c r="AB198" s="4">
        <f t="shared" si="15"/>
        <v>18.063339226885834</v>
      </c>
      <c r="AK198" s="4" t="s">
        <v>3774</v>
      </c>
      <c r="AM198" s="4" t="s">
        <v>4484</v>
      </c>
      <c r="AP198" s="2"/>
      <c r="AR198" s="1"/>
      <c r="AS198" s="1"/>
      <c r="AT198" s="6"/>
      <c r="AU198" s="1"/>
      <c r="AV198" s="2"/>
      <c r="AX198" s="6" t="s">
        <v>858</v>
      </c>
    </row>
    <row r="199" spans="2:50" x14ac:dyDescent="0.2">
      <c r="B199" s="4" t="s">
        <v>1911</v>
      </c>
      <c r="C199" s="4">
        <v>18.375299999999999</v>
      </c>
      <c r="D199" s="4">
        <v>17.9754</v>
      </c>
      <c r="E199" s="4">
        <v>17.854800000000001</v>
      </c>
      <c r="F199" s="4">
        <f t="shared" si="12"/>
        <v>18.0685</v>
      </c>
      <c r="I199" s="4" t="s">
        <v>1473</v>
      </c>
      <c r="J199" s="4">
        <v>17.905200000000001</v>
      </c>
      <c r="K199" s="4">
        <v>18.3825</v>
      </c>
      <c r="L199" s="4">
        <v>18.195799999999998</v>
      </c>
      <c r="M199" s="4">
        <f t="shared" si="13"/>
        <v>18.161166666666666</v>
      </c>
      <c r="Q199" s="43" t="s">
        <v>1198</v>
      </c>
      <c r="R199" s="4">
        <v>17.980192407709701</v>
      </c>
      <c r="S199" s="4">
        <v>18.001508799920199</v>
      </c>
      <c r="T199" s="4">
        <v>17.854036260121202</v>
      </c>
      <c r="U199" s="4">
        <f t="shared" si="14"/>
        <v>17.945245822583701</v>
      </c>
      <c r="X199" s="43" t="s">
        <v>2404</v>
      </c>
      <c r="Y199" s="4">
        <v>18.021343343491399</v>
      </c>
      <c r="Z199" s="4">
        <v>18.344030555671502</v>
      </c>
      <c r="AA199" s="4">
        <v>17.8142504863456</v>
      </c>
      <c r="AB199" s="4">
        <f t="shared" si="15"/>
        <v>18.059874795169502</v>
      </c>
      <c r="AK199" s="4" t="s">
        <v>2376</v>
      </c>
      <c r="AM199" s="4" t="s">
        <v>4184</v>
      </c>
      <c r="AP199" s="2"/>
      <c r="AR199" s="1"/>
      <c r="AS199" s="1"/>
      <c r="AT199" s="6"/>
      <c r="AU199" s="1"/>
      <c r="AV199" s="1"/>
      <c r="AX199" s="6" t="s">
        <v>752</v>
      </c>
    </row>
    <row r="200" spans="2:50" x14ac:dyDescent="0.2">
      <c r="B200" s="4" t="s">
        <v>798</v>
      </c>
      <c r="C200" s="4">
        <v>18.097200000000001</v>
      </c>
      <c r="D200" s="4">
        <v>17.934000000000001</v>
      </c>
      <c r="E200" s="4">
        <v>18.1631</v>
      </c>
      <c r="F200" s="4">
        <f t="shared" si="12"/>
        <v>18.064766666666667</v>
      </c>
      <c r="I200" s="4" t="s">
        <v>1681</v>
      </c>
      <c r="J200" s="4">
        <v>18.170200000000001</v>
      </c>
      <c r="K200" s="4">
        <v>18.159800000000001</v>
      </c>
      <c r="L200" s="4">
        <v>18.1341</v>
      </c>
      <c r="M200" s="4">
        <f t="shared" si="13"/>
        <v>18.154700000000002</v>
      </c>
      <c r="Q200" s="43" t="s">
        <v>2068</v>
      </c>
      <c r="R200" s="4">
        <v>17.9637369823593</v>
      </c>
      <c r="S200" s="4">
        <v>17.857144752473602</v>
      </c>
      <c r="T200" s="4">
        <v>18.001769951734399</v>
      </c>
      <c r="U200" s="4">
        <f t="shared" si="14"/>
        <v>17.940883895522433</v>
      </c>
      <c r="X200" s="43" t="s">
        <v>2359</v>
      </c>
      <c r="Y200" s="4">
        <v>18.191722853490099</v>
      </c>
      <c r="Z200" s="4">
        <v>17.971401113058199</v>
      </c>
      <c r="AA200" s="4">
        <v>18.0136069846059</v>
      </c>
      <c r="AB200" s="4">
        <f t="shared" si="15"/>
        <v>18.058910317051399</v>
      </c>
      <c r="AK200" s="4" t="s">
        <v>2967</v>
      </c>
      <c r="AM200" s="4" t="s">
        <v>2439</v>
      </c>
      <c r="AP200" s="2"/>
      <c r="AR200" s="1"/>
      <c r="AS200" s="1"/>
      <c r="AT200" s="6"/>
      <c r="AU200" s="1"/>
      <c r="AV200" s="2"/>
      <c r="AX200" s="6" t="s">
        <v>859</v>
      </c>
    </row>
    <row r="201" spans="2:50" x14ac:dyDescent="0.2">
      <c r="B201" s="4" t="s">
        <v>913</v>
      </c>
      <c r="C201" s="4">
        <v>18.409600000000001</v>
      </c>
      <c r="D201" s="4">
        <v>18.242599999999999</v>
      </c>
      <c r="E201" s="4">
        <v>17.5183</v>
      </c>
      <c r="F201" s="4">
        <f t="shared" si="12"/>
        <v>18.056833333333334</v>
      </c>
      <c r="I201" s="4" t="s">
        <v>1705</v>
      </c>
      <c r="J201" s="4">
        <v>18.408899999999999</v>
      </c>
      <c r="K201" s="4">
        <v>17.630600000000001</v>
      </c>
      <c r="L201" s="4">
        <v>18.424299999999999</v>
      </c>
      <c r="M201" s="4">
        <f t="shared" si="13"/>
        <v>18.154600000000002</v>
      </c>
      <c r="Q201" s="43" t="s">
        <v>1721</v>
      </c>
      <c r="R201" s="4">
        <v>17.994679183068602</v>
      </c>
      <c r="S201" s="4">
        <v>17.9936993727597</v>
      </c>
      <c r="T201" s="4">
        <v>17.828177594028201</v>
      </c>
      <c r="U201" s="4">
        <f t="shared" si="14"/>
        <v>17.938852049952171</v>
      </c>
      <c r="X201" s="43" t="s">
        <v>2396</v>
      </c>
      <c r="Y201" s="4">
        <v>18.020814523777901</v>
      </c>
      <c r="Z201" s="4">
        <v>17.896913725630501</v>
      </c>
      <c r="AA201" s="4">
        <v>18.2189987931717</v>
      </c>
      <c r="AB201" s="4">
        <f t="shared" si="15"/>
        <v>18.045575680860033</v>
      </c>
      <c r="AK201" s="4" t="s">
        <v>3389</v>
      </c>
      <c r="AM201" s="4" t="s">
        <v>357</v>
      </c>
      <c r="AP201" s="2"/>
      <c r="AR201" s="1"/>
      <c r="AS201" s="1"/>
      <c r="AT201" s="6"/>
      <c r="AU201" s="1"/>
      <c r="AV201" s="2"/>
      <c r="AX201" s="6" t="s">
        <v>860</v>
      </c>
    </row>
    <row r="202" spans="2:50" x14ac:dyDescent="0.2">
      <c r="B202" s="4" t="s">
        <v>1378</v>
      </c>
      <c r="C202" s="4">
        <v>18.135100000000001</v>
      </c>
      <c r="D202" s="4">
        <v>18.130099999999999</v>
      </c>
      <c r="E202" s="4">
        <v>17.9038</v>
      </c>
      <c r="F202" s="4">
        <f t="shared" si="12"/>
        <v>18.056333333333331</v>
      </c>
      <c r="I202" s="4" t="s">
        <v>1662</v>
      </c>
      <c r="J202" s="4">
        <v>18.3231</v>
      </c>
      <c r="K202" s="4">
        <v>17.823699999999999</v>
      </c>
      <c r="L202" s="4">
        <v>18.279499999999999</v>
      </c>
      <c r="M202" s="4">
        <f t="shared" si="13"/>
        <v>18.142099999999999</v>
      </c>
      <c r="Q202" s="43" t="s">
        <v>3739</v>
      </c>
      <c r="R202" s="4">
        <v>18.475389865765401</v>
      </c>
      <c r="S202" s="4">
        <v>17.610930252461699</v>
      </c>
      <c r="T202" s="4">
        <v>17.711637590578199</v>
      </c>
      <c r="U202" s="4">
        <f t="shared" si="14"/>
        <v>17.932652569601768</v>
      </c>
      <c r="X202" s="43" t="s">
        <v>2088</v>
      </c>
      <c r="Y202" s="4">
        <v>17.8953756229578</v>
      </c>
      <c r="Z202" s="4">
        <v>18.113613219016798</v>
      </c>
      <c r="AA202" s="4">
        <v>17.984553641428001</v>
      </c>
      <c r="AB202" s="4">
        <f t="shared" si="15"/>
        <v>17.997847494467532</v>
      </c>
      <c r="AK202" s="4" t="s">
        <v>2028</v>
      </c>
      <c r="AM202" s="4" t="s">
        <v>3652</v>
      </c>
      <c r="AP202" s="2"/>
      <c r="AR202" s="1"/>
      <c r="AS202" s="1"/>
      <c r="AT202" s="6"/>
      <c r="AU202" s="1"/>
      <c r="AV202" s="2"/>
      <c r="AX202" s="6" t="s">
        <v>763</v>
      </c>
    </row>
    <row r="203" spans="2:50" x14ac:dyDescent="0.2">
      <c r="B203" s="4" t="s">
        <v>964</v>
      </c>
      <c r="C203" s="4">
        <v>17.549099999999999</v>
      </c>
      <c r="D203" s="4">
        <v>17.3627</v>
      </c>
      <c r="E203" s="4">
        <v>19.158799999999999</v>
      </c>
      <c r="F203" s="4">
        <f t="shared" si="12"/>
        <v>18.023533333333333</v>
      </c>
      <c r="I203" s="4" t="s">
        <v>3750</v>
      </c>
      <c r="J203" s="4">
        <v>18.0566</v>
      </c>
      <c r="K203" s="4">
        <v>18.589099999999998</v>
      </c>
      <c r="L203" s="4">
        <v>17.768799999999999</v>
      </c>
      <c r="M203" s="4">
        <f t="shared" si="13"/>
        <v>18.138166666666667</v>
      </c>
      <c r="Q203" s="43" t="s">
        <v>3856</v>
      </c>
      <c r="R203" s="4">
        <v>18.1081266132372</v>
      </c>
      <c r="S203" s="4">
        <v>17.8569044033556</v>
      </c>
      <c r="T203" s="4">
        <v>17.826411039568601</v>
      </c>
      <c r="U203" s="4">
        <f t="shared" si="14"/>
        <v>17.930480685387135</v>
      </c>
      <c r="X203" s="43" t="s">
        <v>1895</v>
      </c>
      <c r="Y203" s="4">
        <v>18.073563230608698</v>
      </c>
      <c r="Z203" s="4">
        <v>17.9795196477769</v>
      </c>
      <c r="AA203" s="4">
        <v>17.9059423361592</v>
      </c>
      <c r="AB203" s="4">
        <f t="shared" si="15"/>
        <v>17.986341738181597</v>
      </c>
      <c r="AK203" s="4" t="s">
        <v>2782</v>
      </c>
      <c r="AM203" s="4" t="s">
        <v>144</v>
      </c>
      <c r="AP203" s="2"/>
      <c r="AR203" s="1"/>
      <c r="AS203" s="1"/>
      <c r="AT203" s="6"/>
      <c r="AU203" s="1"/>
      <c r="AV203" s="2"/>
      <c r="AX203" s="6" t="s">
        <v>861</v>
      </c>
    </row>
    <row r="204" spans="2:50" x14ac:dyDescent="0.2">
      <c r="B204" s="4" t="s">
        <v>2405</v>
      </c>
      <c r="C204" s="4">
        <v>17.786899999999999</v>
      </c>
      <c r="D204" s="4">
        <v>18.061499999999999</v>
      </c>
      <c r="E204" s="4">
        <v>18.175899999999999</v>
      </c>
      <c r="F204" s="4">
        <f t="shared" si="12"/>
        <v>18.008099999999999</v>
      </c>
      <c r="I204" s="4" t="s">
        <v>662</v>
      </c>
      <c r="J204" s="4">
        <v>18.122599999999998</v>
      </c>
      <c r="K204" s="4">
        <v>18.356300000000001</v>
      </c>
      <c r="L204" s="4">
        <v>17.8857</v>
      </c>
      <c r="M204" s="4">
        <f t="shared" si="13"/>
        <v>18.121533333333332</v>
      </c>
      <c r="Q204" s="43" t="s">
        <v>1057</v>
      </c>
      <c r="R204" s="4">
        <v>17.980070051650198</v>
      </c>
      <c r="S204" s="4">
        <v>17.7911657252582</v>
      </c>
      <c r="T204" s="4">
        <v>18.013267082174401</v>
      </c>
      <c r="U204" s="4">
        <f t="shared" si="14"/>
        <v>17.928167619694268</v>
      </c>
      <c r="X204" s="43" t="s">
        <v>3681</v>
      </c>
      <c r="Y204" s="4">
        <v>17.945721290189301</v>
      </c>
      <c r="Z204" s="4">
        <v>18.0025285704731</v>
      </c>
      <c r="AA204" s="4">
        <v>17.995840122098802</v>
      </c>
      <c r="AB204" s="4">
        <f t="shared" si="15"/>
        <v>17.981363327587065</v>
      </c>
      <c r="AK204" s="4" t="s">
        <v>3187</v>
      </c>
      <c r="AM204" s="4" t="s">
        <v>4325</v>
      </c>
      <c r="AP204" s="2"/>
      <c r="AR204" s="1"/>
      <c r="AS204" s="1"/>
      <c r="AT204" s="6"/>
      <c r="AU204" s="1"/>
      <c r="AV204" s="2"/>
      <c r="AX204" s="6" t="s">
        <v>697</v>
      </c>
    </row>
    <row r="205" spans="2:50" x14ac:dyDescent="0.2">
      <c r="B205" s="4" t="s">
        <v>4026</v>
      </c>
      <c r="C205" s="4">
        <v>18.087800000000001</v>
      </c>
      <c r="D205" s="4">
        <v>17.989100000000001</v>
      </c>
      <c r="E205" s="4">
        <v>17.935400000000001</v>
      </c>
      <c r="F205" s="4">
        <f t="shared" si="12"/>
        <v>18.004100000000001</v>
      </c>
      <c r="I205" s="4" t="s">
        <v>2088</v>
      </c>
      <c r="J205" s="4">
        <v>18.236499999999999</v>
      </c>
      <c r="K205" s="4">
        <v>18.022099999999998</v>
      </c>
      <c r="L205" s="4">
        <v>18.094799999999999</v>
      </c>
      <c r="M205" s="4">
        <f t="shared" si="13"/>
        <v>18.117799999999999</v>
      </c>
      <c r="Q205" s="43" t="s">
        <v>1463</v>
      </c>
      <c r="R205" s="4">
        <v>18.247882578321899</v>
      </c>
      <c r="S205" s="4">
        <v>17.497162728865099</v>
      </c>
      <c r="T205" s="4">
        <v>18.037802066274899</v>
      </c>
      <c r="U205" s="4">
        <f t="shared" si="14"/>
        <v>17.927615791153965</v>
      </c>
      <c r="X205" s="43" t="s">
        <v>2749</v>
      </c>
      <c r="Y205" s="4">
        <v>18.0296483735486</v>
      </c>
      <c r="Z205" s="4">
        <v>18.0017930559886</v>
      </c>
      <c r="AA205" s="4">
        <v>17.853302724242099</v>
      </c>
      <c r="AB205" s="4">
        <f t="shared" si="15"/>
        <v>17.961581384593099</v>
      </c>
      <c r="AK205" s="4" t="s">
        <v>2825</v>
      </c>
      <c r="AM205" s="4" t="s">
        <v>4538</v>
      </c>
      <c r="AP205" s="2"/>
      <c r="AR205" s="1"/>
      <c r="AS205" s="1"/>
      <c r="AT205" s="6"/>
      <c r="AU205" s="1"/>
      <c r="AV205" s="2"/>
      <c r="AX205" s="6" t="s">
        <v>862</v>
      </c>
    </row>
    <row r="206" spans="2:50" x14ac:dyDescent="0.2">
      <c r="B206" s="4" t="s">
        <v>1247</v>
      </c>
      <c r="C206" s="4">
        <v>18.139199999999999</v>
      </c>
      <c r="D206" s="4">
        <v>17.952300000000001</v>
      </c>
      <c r="E206" s="4">
        <v>17.865200000000002</v>
      </c>
      <c r="F206" s="4">
        <f t="shared" si="12"/>
        <v>17.985566666666667</v>
      </c>
      <c r="I206" s="4" t="s">
        <v>3061</v>
      </c>
      <c r="J206" s="4">
        <v>18.3203</v>
      </c>
      <c r="K206" s="4">
        <v>17.693300000000001</v>
      </c>
      <c r="L206" s="4">
        <v>18.338000000000001</v>
      </c>
      <c r="M206" s="4">
        <f t="shared" si="13"/>
        <v>18.1172</v>
      </c>
      <c r="Q206" s="43" t="s">
        <v>2066</v>
      </c>
      <c r="R206" s="4">
        <v>17.846781898398699</v>
      </c>
      <c r="S206" s="4">
        <v>18.072780560380298</v>
      </c>
      <c r="T206" s="4">
        <v>17.842942381658801</v>
      </c>
      <c r="U206" s="4">
        <f t="shared" si="14"/>
        <v>17.920834946812601</v>
      </c>
      <c r="X206" s="43" t="s">
        <v>2068</v>
      </c>
      <c r="Y206" s="4">
        <v>17.873398103788599</v>
      </c>
      <c r="Z206" s="4">
        <v>18.0205427559718</v>
      </c>
      <c r="AA206" s="4">
        <v>17.927409543083701</v>
      </c>
      <c r="AB206" s="4">
        <f t="shared" si="15"/>
        <v>17.940450134281367</v>
      </c>
      <c r="AK206" s="4" t="s">
        <v>2280</v>
      </c>
      <c r="AM206" s="4" t="s">
        <v>2897</v>
      </c>
      <c r="AP206" s="2"/>
      <c r="AR206" s="1"/>
      <c r="AS206" s="1"/>
      <c r="AT206" s="6"/>
      <c r="AU206" s="1"/>
      <c r="AV206" s="1"/>
      <c r="AX206" s="6" t="s">
        <v>863</v>
      </c>
    </row>
    <row r="207" spans="2:50" x14ac:dyDescent="0.2">
      <c r="B207" s="4" t="s">
        <v>1650</v>
      </c>
      <c r="C207" s="4">
        <v>18.0396</v>
      </c>
      <c r="D207" s="4">
        <v>17.9986</v>
      </c>
      <c r="E207" s="4">
        <v>17.895399999999999</v>
      </c>
      <c r="F207" s="4">
        <f t="shared" si="12"/>
        <v>17.977866666666667</v>
      </c>
      <c r="I207" s="4" t="s">
        <v>2129</v>
      </c>
      <c r="J207" s="4">
        <v>18.257899999999999</v>
      </c>
      <c r="K207" s="4">
        <v>17.661200000000001</v>
      </c>
      <c r="L207" s="4">
        <v>18.4297</v>
      </c>
      <c r="M207" s="4">
        <f t="shared" si="13"/>
        <v>18.116266666666665</v>
      </c>
      <c r="Q207" s="43" t="s">
        <v>1466</v>
      </c>
      <c r="R207" s="4">
        <v>18.1700726205043</v>
      </c>
      <c r="S207" s="4">
        <v>17.532539247521601</v>
      </c>
      <c r="T207" s="4">
        <v>18.042463628650001</v>
      </c>
      <c r="U207" s="4">
        <f t="shared" si="14"/>
        <v>17.915025165558632</v>
      </c>
      <c r="X207" s="43" t="s">
        <v>2844</v>
      </c>
      <c r="Y207" s="4">
        <v>17.831770892938302</v>
      </c>
      <c r="Z207" s="4">
        <v>18.037455924390201</v>
      </c>
      <c r="AA207" s="4">
        <v>17.928367679054599</v>
      </c>
      <c r="AB207" s="4">
        <f t="shared" si="15"/>
        <v>17.932531498794365</v>
      </c>
      <c r="AK207" s="4" t="s">
        <v>2829</v>
      </c>
      <c r="AM207" s="4" t="s">
        <v>4373</v>
      </c>
      <c r="AP207" s="2"/>
      <c r="AR207" s="1"/>
      <c r="AS207" s="1"/>
      <c r="AT207" s="6"/>
      <c r="AU207" s="1"/>
      <c r="AV207" s="2"/>
      <c r="AX207" s="6" t="s">
        <v>762</v>
      </c>
    </row>
    <row r="208" spans="2:50" x14ac:dyDescent="0.2">
      <c r="B208" s="4" t="s">
        <v>3910</v>
      </c>
      <c r="C208" s="4">
        <v>18.021100000000001</v>
      </c>
      <c r="D208" s="4">
        <v>17.9847</v>
      </c>
      <c r="E208" s="4">
        <v>17.907699999999998</v>
      </c>
      <c r="F208" s="4">
        <f t="shared" si="12"/>
        <v>17.971166666666665</v>
      </c>
      <c r="I208" s="4" t="s">
        <v>54</v>
      </c>
      <c r="J208" s="4">
        <v>18.2956</v>
      </c>
      <c r="K208" s="4">
        <v>17.904900000000001</v>
      </c>
      <c r="L208" s="4">
        <v>18.1447</v>
      </c>
      <c r="M208" s="4">
        <f t="shared" si="13"/>
        <v>18.115066666666667</v>
      </c>
      <c r="Q208" s="43" t="s">
        <v>1203</v>
      </c>
      <c r="R208" s="4">
        <v>17.705194687807499</v>
      </c>
      <c r="S208" s="4">
        <v>17.839757396592098</v>
      </c>
      <c r="T208" s="4">
        <v>18.198504996712401</v>
      </c>
      <c r="U208" s="4">
        <f t="shared" si="14"/>
        <v>17.914485693703998</v>
      </c>
      <c r="X208" s="43" t="s">
        <v>909</v>
      </c>
      <c r="Y208" s="4">
        <v>18.425067857012401</v>
      </c>
      <c r="Z208" s="4">
        <v>17.965195590970598</v>
      </c>
      <c r="AA208" s="4">
        <v>17.403541382689699</v>
      </c>
      <c r="AB208" s="4">
        <f t="shared" si="15"/>
        <v>17.931268276890901</v>
      </c>
      <c r="AK208" s="4" t="s">
        <v>3454</v>
      </c>
      <c r="AM208" s="4" t="s">
        <v>4485</v>
      </c>
      <c r="AP208" s="2"/>
      <c r="AR208" s="1"/>
      <c r="AS208" s="1"/>
      <c r="AT208" s="6"/>
      <c r="AU208" s="1"/>
      <c r="AV208" s="2"/>
      <c r="AX208" s="6" t="s">
        <v>707</v>
      </c>
    </row>
    <row r="209" spans="2:50" x14ac:dyDescent="0.2">
      <c r="B209" s="4" t="s">
        <v>2852</v>
      </c>
      <c r="C209" s="4">
        <v>18.036799999999999</v>
      </c>
      <c r="D209" s="4">
        <v>18.3065</v>
      </c>
      <c r="E209" s="4">
        <v>17.567399999999999</v>
      </c>
      <c r="F209" s="4">
        <f t="shared" si="12"/>
        <v>17.970233333333333</v>
      </c>
      <c r="I209" s="4" t="s">
        <v>916</v>
      </c>
      <c r="J209" s="4">
        <v>18.323399999999999</v>
      </c>
      <c r="K209" s="4">
        <v>17.840499999999999</v>
      </c>
      <c r="L209" s="4">
        <v>18.098600000000001</v>
      </c>
      <c r="M209" s="4">
        <f t="shared" si="13"/>
        <v>18.087500000000002</v>
      </c>
      <c r="Q209" s="43" t="s">
        <v>368</v>
      </c>
      <c r="R209" s="4">
        <v>17.896416216031401</v>
      </c>
      <c r="S209" s="4">
        <v>17.949450034473799</v>
      </c>
      <c r="T209" s="4">
        <v>17.887422428891099</v>
      </c>
      <c r="U209" s="4">
        <f t="shared" si="14"/>
        <v>17.911096226465432</v>
      </c>
      <c r="X209" s="43" t="s">
        <v>128</v>
      </c>
      <c r="Y209" s="4">
        <v>17.847332393871</v>
      </c>
      <c r="Z209" s="4">
        <v>18.031990085474099</v>
      </c>
      <c r="AA209" s="4">
        <v>17.905919569796001</v>
      </c>
      <c r="AB209" s="4">
        <f t="shared" si="15"/>
        <v>17.928414016380369</v>
      </c>
      <c r="AK209" s="4" t="s">
        <v>1441</v>
      </c>
      <c r="AM209" s="4" t="s">
        <v>1886</v>
      </c>
      <c r="AP209" s="2"/>
      <c r="AR209" s="1"/>
      <c r="AS209" s="1"/>
      <c r="AT209" s="6"/>
      <c r="AU209" s="1"/>
      <c r="AV209" s="2"/>
      <c r="AX209" s="6" t="s">
        <v>864</v>
      </c>
    </row>
    <row r="210" spans="2:50" x14ac:dyDescent="0.2">
      <c r="B210" s="4" t="s">
        <v>2291</v>
      </c>
      <c r="C210" s="4">
        <v>17.858699999999999</v>
      </c>
      <c r="D210" s="4">
        <v>17.9939</v>
      </c>
      <c r="E210" s="4">
        <v>18.0501</v>
      </c>
      <c r="F210" s="4">
        <f t="shared" si="12"/>
        <v>17.967566666666666</v>
      </c>
      <c r="I210" s="4" t="s">
        <v>155</v>
      </c>
      <c r="J210" s="4">
        <v>18.3005</v>
      </c>
      <c r="K210" s="4">
        <v>17.709499999999998</v>
      </c>
      <c r="L210" s="4">
        <v>18.235199999999999</v>
      </c>
      <c r="M210" s="4">
        <f t="shared" si="13"/>
        <v>18.081733333333332</v>
      </c>
      <c r="Q210" s="43" t="s">
        <v>1719</v>
      </c>
      <c r="R210" s="4">
        <v>18.004489612228699</v>
      </c>
      <c r="S210" s="4">
        <v>17.674106537476099</v>
      </c>
      <c r="T210" s="4">
        <v>18.002289470838299</v>
      </c>
      <c r="U210" s="4">
        <f t="shared" si="14"/>
        <v>17.893628540181034</v>
      </c>
      <c r="X210" s="43" t="s">
        <v>3874</v>
      </c>
      <c r="Y210" s="4">
        <v>17.698117864458499</v>
      </c>
      <c r="Z210" s="4">
        <v>17.975215481640099</v>
      </c>
      <c r="AA210" s="4">
        <v>18.087403155961098</v>
      </c>
      <c r="AB210" s="4">
        <f t="shared" si="15"/>
        <v>17.920245500686566</v>
      </c>
      <c r="AK210" s="4" t="s">
        <v>3610</v>
      </c>
      <c r="AM210" s="4" t="s">
        <v>4210</v>
      </c>
      <c r="AP210" s="2"/>
      <c r="AR210" s="1"/>
      <c r="AS210" s="1"/>
      <c r="AT210" s="6"/>
      <c r="AU210" s="1"/>
      <c r="AV210" s="2"/>
      <c r="AX210" s="6" t="s">
        <v>865</v>
      </c>
    </row>
    <row r="211" spans="2:50" x14ac:dyDescent="0.2">
      <c r="B211" s="4" t="s">
        <v>2596</v>
      </c>
      <c r="C211" s="4">
        <v>18.3992</v>
      </c>
      <c r="D211" s="4">
        <v>17.911300000000001</v>
      </c>
      <c r="E211" s="4">
        <v>17.588000000000001</v>
      </c>
      <c r="F211" s="4">
        <f t="shared" si="12"/>
        <v>17.96616666666667</v>
      </c>
      <c r="I211" s="4" t="s">
        <v>42</v>
      </c>
      <c r="J211" s="4">
        <v>18.079599999999999</v>
      </c>
      <c r="K211" s="4">
        <v>17.953299999999999</v>
      </c>
      <c r="L211" s="4">
        <v>18.176400000000001</v>
      </c>
      <c r="M211" s="4">
        <f t="shared" si="13"/>
        <v>18.069766666666666</v>
      </c>
      <c r="Q211" s="43" t="s">
        <v>1666</v>
      </c>
      <c r="R211" s="4">
        <v>17.985724804253</v>
      </c>
      <c r="S211" s="4">
        <v>17.838498214922399</v>
      </c>
      <c r="T211" s="4">
        <v>17.844553245596899</v>
      </c>
      <c r="U211" s="4">
        <f t="shared" si="14"/>
        <v>17.889592088257434</v>
      </c>
      <c r="X211" s="43" t="s">
        <v>2118</v>
      </c>
      <c r="Y211" s="4">
        <v>17.891264673384502</v>
      </c>
      <c r="Z211" s="4">
        <v>18.005932673914401</v>
      </c>
      <c r="AA211" s="4">
        <v>17.835254148905001</v>
      </c>
      <c r="AB211" s="4">
        <f t="shared" si="15"/>
        <v>17.910817165401301</v>
      </c>
      <c r="AK211" s="4" t="s">
        <v>3388</v>
      </c>
      <c r="AM211" s="4" t="s">
        <v>4141</v>
      </c>
      <c r="AP211" s="2"/>
      <c r="AR211" s="1"/>
      <c r="AS211" s="1"/>
      <c r="AT211" s="6"/>
      <c r="AU211" s="1"/>
      <c r="AV211" s="1"/>
      <c r="AX211" s="6" t="s">
        <v>391</v>
      </c>
    </row>
    <row r="212" spans="2:50" x14ac:dyDescent="0.2">
      <c r="B212" s="4" t="s">
        <v>2118</v>
      </c>
      <c r="C212" s="4">
        <v>17.826899999999998</v>
      </c>
      <c r="D212" s="4">
        <v>18.0898</v>
      </c>
      <c r="E212" s="4">
        <v>17.943300000000001</v>
      </c>
      <c r="F212" s="4">
        <f t="shared" si="12"/>
        <v>17.953333333333333</v>
      </c>
      <c r="I212" s="4" t="s">
        <v>1665</v>
      </c>
      <c r="J212" s="4">
        <v>18.037700000000001</v>
      </c>
      <c r="K212" s="4">
        <v>18.1008</v>
      </c>
      <c r="L212" s="4">
        <v>18.017499999999998</v>
      </c>
      <c r="M212" s="4">
        <f t="shared" si="13"/>
        <v>18.052</v>
      </c>
      <c r="Q212" s="43" t="s">
        <v>2622</v>
      </c>
      <c r="R212" s="4">
        <v>17.931859884688802</v>
      </c>
      <c r="S212" s="4">
        <v>17.653807057896302</v>
      </c>
      <c r="T212" s="4">
        <v>18.0010775284305</v>
      </c>
      <c r="U212" s="4">
        <f t="shared" si="14"/>
        <v>17.862248157005201</v>
      </c>
      <c r="X212" s="43" t="s">
        <v>3844</v>
      </c>
      <c r="Y212" s="4">
        <v>17.816037604106999</v>
      </c>
      <c r="Z212" s="4">
        <v>17.929637678263099</v>
      </c>
      <c r="AA212" s="4">
        <v>17.963057253377301</v>
      </c>
      <c r="AB212" s="4">
        <f t="shared" si="15"/>
        <v>17.902910845249135</v>
      </c>
      <c r="AK212" s="4" t="s">
        <v>2484</v>
      </c>
      <c r="AM212" s="4" t="s">
        <v>4478</v>
      </c>
      <c r="AP212" s="2"/>
      <c r="AR212" s="1"/>
      <c r="AS212" s="1"/>
      <c r="AT212" s="6"/>
      <c r="AU212" s="1"/>
      <c r="AV212" s="1"/>
      <c r="AX212" s="6" t="s">
        <v>520</v>
      </c>
    </row>
    <row r="213" spans="2:50" x14ac:dyDescent="0.2">
      <c r="B213" s="4" t="s">
        <v>785</v>
      </c>
      <c r="C213" s="4">
        <v>18.172499999999999</v>
      </c>
      <c r="D213" s="4">
        <v>17.648</v>
      </c>
      <c r="E213" s="4">
        <v>18.031500000000001</v>
      </c>
      <c r="F213" s="4">
        <f t="shared" si="12"/>
        <v>17.950666666666667</v>
      </c>
      <c r="I213" s="4" t="s">
        <v>2291</v>
      </c>
      <c r="J213" s="4">
        <v>18.213999999999999</v>
      </c>
      <c r="K213" s="4">
        <v>17.604800000000001</v>
      </c>
      <c r="L213" s="4">
        <v>18.325600000000001</v>
      </c>
      <c r="M213" s="4">
        <f t="shared" si="13"/>
        <v>18.048133333333332</v>
      </c>
      <c r="Q213" s="43" t="s">
        <v>734</v>
      </c>
      <c r="R213" s="4">
        <v>17.6706075389021</v>
      </c>
      <c r="S213" s="4">
        <v>17.990973992465701</v>
      </c>
      <c r="T213" s="4">
        <v>17.9042230375066</v>
      </c>
      <c r="U213" s="4">
        <f t="shared" si="14"/>
        <v>17.855268189624798</v>
      </c>
      <c r="X213" s="43" t="s">
        <v>1856</v>
      </c>
      <c r="Y213" s="4">
        <v>18.094562262503299</v>
      </c>
      <c r="Z213" s="4">
        <v>17.838962603987301</v>
      </c>
      <c r="AA213" s="4">
        <v>17.745225679246399</v>
      </c>
      <c r="AB213" s="4">
        <f t="shared" si="15"/>
        <v>17.892916848579002</v>
      </c>
      <c r="AK213" s="4" t="s">
        <v>2441</v>
      </c>
      <c r="AM213" s="4" t="s">
        <v>4370</v>
      </c>
      <c r="AP213" s="2"/>
      <c r="AR213" s="1"/>
      <c r="AS213" s="1"/>
      <c r="AT213" s="6"/>
      <c r="AU213" s="1"/>
      <c r="AV213" s="2"/>
      <c r="AX213" s="6" t="s">
        <v>866</v>
      </c>
    </row>
    <row r="214" spans="2:50" x14ac:dyDescent="0.2">
      <c r="B214" s="4" t="s">
        <v>298</v>
      </c>
      <c r="C214" s="4">
        <v>17.9849</v>
      </c>
      <c r="D214" s="4">
        <v>17.913699999999999</v>
      </c>
      <c r="E214" s="4">
        <v>17.932300000000001</v>
      </c>
      <c r="F214" s="4">
        <f t="shared" si="12"/>
        <v>17.943633333333334</v>
      </c>
      <c r="I214" s="4" t="s">
        <v>1176</v>
      </c>
      <c r="J214" s="4">
        <v>18.310300000000002</v>
      </c>
      <c r="K214" s="4">
        <v>17.571999999999999</v>
      </c>
      <c r="L214" s="4">
        <v>18.214600000000001</v>
      </c>
      <c r="M214" s="4">
        <f t="shared" si="13"/>
        <v>18.032300000000003</v>
      </c>
      <c r="Q214" s="43" t="s">
        <v>1473</v>
      </c>
      <c r="R214" s="4">
        <v>18.061456460190499</v>
      </c>
      <c r="S214" s="4">
        <v>17.6858189868986</v>
      </c>
      <c r="T214" s="4">
        <v>17.805973660772999</v>
      </c>
      <c r="U214" s="4">
        <f t="shared" si="14"/>
        <v>17.85108303595403</v>
      </c>
      <c r="X214" s="43" t="s">
        <v>1705</v>
      </c>
      <c r="Y214" s="4">
        <v>17.867395043814401</v>
      </c>
      <c r="Z214" s="4">
        <v>17.988221380792901</v>
      </c>
      <c r="AA214" s="4">
        <v>17.802806661645501</v>
      </c>
      <c r="AB214" s="4">
        <f t="shared" si="15"/>
        <v>17.886141028750938</v>
      </c>
      <c r="AK214" s="4" t="s">
        <v>3847</v>
      </c>
      <c r="AM214" s="4" t="s">
        <v>4294</v>
      </c>
      <c r="AP214" s="2"/>
      <c r="AR214" s="1"/>
      <c r="AS214" s="1"/>
      <c r="AT214" s="6"/>
      <c r="AU214" s="1"/>
      <c r="AV214" s="2"/>
      <c r="AX214" s="6" t="s">
        <v>867</v>
      </c>
    </row>
    <row r="215" spans="2:50" x14ac:dyDescent="0.2">
      <c r="B215" s="4" t="s">
        <v>2396</v>
      </c>
      <c r="C215" s="4">
        <v>17.8032</v>
      </c>
      <c r="D215" s="4">
        <v>18.092099999999999</v>
      </c>
      <c r="E215" s="4">
        <v>17.915900000000001</v>
      </c>
      <c r="F215" s="4">
        <f t="shared" si="12"/>
        <v>17.937066666666666</v>
      </c>
      <c r="I215" s="4" t="s">
        <v>3350</v>
      </c>
      <c r="J215" s="4">
        <v>17.7959</v>
      </c>
      <c r="K215" s="4">
        <v>18.509799999999998</v>
      </c>
      <c r="L215" s="4">
        <v>17.7849</v>
      </c>
      <c r="M215" s="4">
        <f t="shared" si="13"/>
        <v>18.030200000000001</v>
      </c>
      <c r="Q215" s="43" t="s">
        <v>3844</v>
      </c>
      <c r="R215" s="4">
        <v>17.863260246446799</v>
      </c>
      <c r="S215" s="4">
        <v>17.866268011590801</v>
      </c>
      <c r="T215" s="4">
        <v>17.7875251825768</v>
      </c>
      <c r="U215" s="4">
        <f t="shared" si="14"/>
        <v>17.839017813538135</v>
      </c>
      <c r="X215" s="43" t="s">
        <v>951</v>
      </c>
      <c r="Y215" s="4">
        <v>17.783139626449898</v>
      </c>
      <c r="Z215" s="4">
        <v>17.896346832010799</v>
      </c>
      <c r="AA215" s="4">
        <v>17.953444993266402</v>
      </c>
      <c r="AB215" s="4">
        <f t="shared" si="15"/>
        <v>17.877643817242369</v>
      </c>
      <c r="AK215" s="4" t="s">
        <v>1409</v>
      </c>
      <c r="AM215" s="4" t="s">
        <v>4334</v>
      </c>
      <c r="AP215" s="2"/>
      <c r="AR215" s="1"/>
      <c r="AS215" s="1"/>
      <c r="AT215" s="6"/>
      <c r="AU215" s="1"/>
      <c r="AV215" s="2"/>
      <c r="AX215" s="6" t="s">
        <v>868</v>
      </c>
    </row>
    <row r="216" spans="2:50" x14ac:dyDescent="0.2">
      <c r="B216" s="4" t="s">
        <v>2282</v>
      </c>
      <c r="C216" s="4">
        <v>17.924600000000002</v>
      </c>
      <c r="D216" s="4">
        <v>17.998899999999999</v>
      </c>
      <c r="E216" s="4">
        <v>17.853000000000002</v>
      </c>
      <c r="F216" s="4">
        <f t="shared" si="12"/>
        <v>17.925500000000003</v>
      </c>
      <c r="I216" s="4" t="s">
        <v>267</v>
      </c>
      <c r="J216" s="4">
        <v>18.017199999999999</v>
      </c>
      <c r="K216" s="4">
        <v>18.3568</v>
      </c>
      <c r="L216" s="4">
        <v>17.686199999999999</v>
      </c>
      <c r="M216" s="4">
        <f t="shared" si="13"/>
        <v>18.020066666666665</v>
      </c>
      <c r="Q216" s="43" t="s">
        <v>3342</v>
      </c>
      <c r="R216" s="4">
        <v>17.919183267785002</v>
      </c>
      <c r="S216" s="4">
        <v>17.642240622347899</v>
      </c>
      <c r="T216" s="4">
        <v>17.949854240784301</v>
      </c>
      <c r="U216" s="4">
        <f t="shared" si="14"/>
        <v>17.837092710305736</v>
      </c>
      <c r="X216" s="43" t="s">
        <v>2427</v>
      </c>
      <c r="Y216" s="4">
        <v>17.867574657326099</v>
      </c>
      <c r="Z216" s="4">
        <v>17.992684036278099</v>
      </c>
      <c r="AA216" s="4">
        <v>17.772505547739001</v>
      </c>
      <c r="AB216" s="4">
        <f t="shared" si="15"/>
        <v>17.877588080447733</v>
      </c>
      <c r="AK216" s="4" t="s">
        <v>2202</v>
      </c>
      <c r="AM216" s="4" t="s">
        <v>4295</v>
      </c>
      <c r="AP216" s="2"/>
      <c r="AR216" s="1"/>
      <c r="AS216" s="1"/>
      <c r="AT216" s="6"/>
      <c r="AU216" s="1"/>
      <c r="AV216" s="1"/>
      <c r="AX216" s="6" t="s">
        <v>746</v>
      </c>
    </row>
    <row r="217" spans="2:50" x14ac:dyDescent="0.2">
      <c r="B217" s="4" t="s">
        <v>3681</v>
      </c>
      <c r="C217" s="4">
        <v>18.085899999999999</v>
      </c>
      <c r="D217" s="4">
        <v>17.896699999999999</v>
      </c>
      <c r="E217" s="4">
        <v>17.745699999999999</v>
      </c>
      <c r="F217" s="4">
        <f t="shared" si="12"/>
        <v>17.909433333333332</v>
      </c>
      <c r="I217" s="4" t="s">
        <v>1064</v>
      </c>
      <c r="J217" s="4">
        <v>17.440000000000001</v>
      </c>
      <c r="K217" s="4">
        <v>18.3032</v>
      </c>
      <c r="L217" s="4">
        <v>18.303599999999999</v>
      </c>
      <c r="M217" s="4">
        <f t="shared" si="13"/>
        <v>18.015600000000003</v>
      </c>
      <c r="Q217" s="43" t="s">
        <v>2609</v>
      </c>
      <c r="R217" s="4">
        <v>17.914876269298599</v>
      </c>
      <c r="S217" s="4">
        <v>17.861914080356001</v>
      </c>
      <c r="T217" s="4">
        <v>17.7301692765665</v>
      </c>
      <c r="U217" s="4">
        <f t="shared" si="14"/>
        <v>17.835653208740368</v>
      </c>
      <c r="X217" s="43" t="s">
        <v>1247</v>
      </c>
      <c r="Y217" s="4">
        <v>17.844582495383399</v>
      </c>
      <c r="Z217" s="4">
        <v>17.903307290935501</v>
      </c>
      <c r="AA217" s="4">
        <v>17.8653889493904</v>
      </c>
      <c r="AB217" s="4">
        <f t="shared" si="15"/>
        <v>17.871092911903101</v>
      </c>
      <c r="AK217" s="4" t="s">
        <v>1735</v>
      </c>
      <c r="AM217" s="4" t="s">
        <v>4333</v>
      </c>
      <c r="AP217" s="2"/>
      <c r="AR217" s="1"/>
      <c r="AS217" s="1"/>
      <c r="AT217" s="6"/>
      <c r="AU217" s="1"/>
      <c r="AV217" s="2"/>
      <c r="AX217" s="6" t="s">
        <v>731</v>
      </c>
    </row>
    <row r="218" spans="2:50" x14ac:dyDescent="0.2">
      <c r="B218" s="4" t="s">
        <v>906</v>
      </c>
      <c r="C218" s="4">
        <v>17.673400000000001</v>
      </c>
      <c r="D218" s="4">
        <v>17.877099999999999</v>
      </c>
      <c r="E218" s="4">
        <v>18.175000000000001</v>
      </c>
      <c r="F218" s="4">
        <f t="shared" si="12"/>
        <v>17.9085</v>
      </c>
      <c r="I218" s="4" t="s">
        <v>1378</v>
      </c>
      <c r="J218" s="4">
        <v>18.3385</v>
      </c>
      <c r="K218" s="4">
        <v>17.377600000000001</v>
      </c>
      <c r="L218" s="4">
        <v>18.3307</v>
      </c>
      <c r="M218" s="4">
        <f t="shared" si="13"/>
        <v>18.015599999999999</v>
      </c>
      <c r="Q218" s="43" t="s">
        <v>2118</v>
      </c>
      <c r="R218" s="4">
        <v>17.866256098937001</v>
      </c>
      <c r="S218" s="4">
        <v>17.761090947158898</v>
      </c>
      <c r="T218" s="4">
        <v>17.858319303628299</v>
      </c>
      <c r="U218" s="4">
        <f t="shared" si="14"/>
        <v>17.828555449908066</v>
      </c>
      <c r="X218" s="43" t="s">
        <v>690</v>
      </c>
      <c r="Y218" s="4">
        <v>17.799905767382899</v>
      </c>
      <c r="Z218" s="4">
        <v>18.015989443045299</v>
      </c>
      <c r="AA218" s="4">
        <v>17.793912202465599</v>
      </c>
      <c r="AB218" s="4">
        <f t="shared" si="15"/>
        <v>17.869935804297931</v>
      </c>
      <c r="AK218" s="4" t="s">
        <v>1000</v>
      </c>
      <c r="AM218" s="6" t="s">
        <v>779</v>
      </c>
      <c r="AP218" s="2"/>
      <c r="AR218" s="1"/>
      <c r="AS218" s="1"/>
      <c r="AT218" s="6"/>
      <c r="AU218" s="1"/>
      <c r="AV218" s="1"/>
      <c r="AX218" s="6" t="s">
        <v>772</v>
      </c>
    </row>
    <row r="219" spans="2:50" x14ac:dyDescent="0.2">
      <c r="B219" s="4" t="s">
        <v>2866</v>
      </c>
      <c r="C219" s="4">
        <v>17.874300000000002</v>
      </c>
      <c r="D219" s="4">
        <v>17.737500000000001</v>
      </c>
      <c r="E219" s="4">
        <v>18.113399999999999</v>
      </c>
      <c r="F219" s="4">
        <f t="shared" si="12"/>
        <v>17.9084</v>
      </c>
      <c r="I219" s="4" t="s">
        <v>1904</v>
      </c>
      <c r="J219" s="4">
        <v>18.082100000000001</v>
      </c>
      <c r="K219" s="4">
        <v>17.8032</v>
      </c>
      <c r="L219" s="4">
        <v>18.0352</v>
      </c>
      <c r="M219" s="4">
        <f t="shared" si="13"/>
        <v>17.973500000000001</v>
      </c>
      <c r="Q219" s="43" t="s">
        <v>729</v>
      </c>
      <c r="R219" s="4">
        <v>17.7649843978744</v>
      </c>
      <c r="S219" s="4">
        <v>17.8117621337387</v>
      </c>
      <c r="T219" s="4">
        <v>17.856361471340399</v>
      </c>
      <c r="U219" s="4">
        <f t="shared" si="14"/>
        <v>17.811036000984497</v>
      </c>
      <c r="X219" s="43" t="s">
        <v>1826</v>
      </c>
      <c r="Y219" s="4">
        <v>17.718467368734999</v>
      </c>
      <c r="Z219" s="4">
        <v>17.935833933186601</v>
      </c>
      <c r="AA219" s="4">
        <v>17.9253553558307</v>
      </c>
      <c r="AB219" s="4">
        <f t="shared" si="15"/>
        <v>17.8598855525841</v>
      </c>
      <c r="AK219" s="4" t="s">
        <v>271</v>
      </c>
      <c r="AM219" s="4" t="s">
        <v>3752</v>
      </c>
      <c r="AP219" s="2"/>
      <c r="AR219" s="1"/>
      <c r="AT219" s="6"/>
      <c r="AU219" s="1"/>
      <c r="AV219" s="2"/>
      <c r="AX219" s="6" t="s">
        <v>869</v>
      </c>
    </row>
    <row r="220" spans="2:50" x14ac:dyDescent="0.2">
      <c r="B220" s="4" t="s">
        <v>1705</v>
      </c>
      <c r="C220" s="4">
        <v>17.961400000000001</v>
      </c>
      <c r="D220" s="4">
        <v>17.9724</v>
      </c>
      <c r="E220" s="4">
        <v>17.777999999999999</v>
      </c>
      <c r="F220" s="4">
        <f t="shared" si="12"/>
        <v>17.903933333333335</v>
      </c>
      <c r="I220" s="4" t="s">
        <v>3006</v>
      </c>
      <c r="J220" s="4">
        <v>18.0947</v>
      </c>
      <c r="K220" s="4">
        <v>17.720099999999999</v>
      </c>
      <c r="L220" s="4">
        <v>18.100999999999999</v>
      </c>
      <c r="M220" s="4">
        <f t="shared" si="13"/>
        <v>17.971933333333332</v>
      </c>
      <c r="Q220" s="43" t="s">
        <v>1642</v>
      </c>
      <c r="R220" s="4">
        <v>18.078559219460999</v>
      </c>
      <c r="S220" s="4">
        <v>17.672932617611099</v>
      </c>
      <c r="T220" s="4">
        <v>17.667869822830401</v>
      </c>
      <c r="U220" s="4">
        <f t="shared" si="14"/>
        <v>17.806453886634163</v>
      </c>
      <c r="X220" s="43" t="s">
        <v>1657</v>
      </c>
      <c r="Y220" s="4">
        <v>17.842765841286202</v>
      </c>
      <c r="Z220" s="4">
        <v>17.951016007922998</v>
      </c>
      <c r="AA220" s="4">
        <v>17.773735555331299</v>
      </c>
      <c r="AB220" s="4">
        <f t="shared" si="15"/>
        <v>17.855839134846832</v>
      </c>
      <c r="AK220" s="4" t="s">
        <v>896</v>
      </c>
      <c r="AM220" s="4" t="s">
        <v>4167</v>
      </c>
      <c r="AP220" s="2"/>
      <c r="AT220" s="6"/>
      <c r="AU220" s="1"/>
      <c r="AV220" s="2"/>
      <c r="AX220" s="6" t="s">
        <v>783</v>
      </c>
    </row>
    <row r="221" spans="2:50" x14ac:dyDescent="0.2">
      <c r="B221" s="4" t="s">
        <v>1323</v>
      </c>
      <c r="C221" s="4">
        <v>17.863299999999999</v>
      </c>
      <c r="D221" s="4">
        <v>17.903300000000002</v>
      </c>
      <c r="E221" s="4">
        <v>17.941400000000002</v>
      </c>
      <c r="F221" s="4">
        <f t="shared" si="12"/>
        <v>17.902666666666665</v>
      </c>
      <c r="I221" s="4" t="s">
        <v>2344</v>
      </c>
      <c r="J221" s="4">
        <v>18.254200000000001</v>
      </c>
      <c r="K221" s="4">
        <v>17.444800000000001</v>
      </c>
      <c r="L221" s="4">
        <v>18.214400000000001</v>
      </c>
      <c r="M221" s="4">
        <f t="shared" si="13"/>
        <v>17.971133333333331</v>
      </c>
      <c r="Q221" s="43" t="s">
        <v>1223</v>
      </c>
      <c r="R221" s="4">
        <v>17.745722889347</v>
      </c>
      <c r="S221" s="4">
        <v>17.816110552314001</v>
      </c>
      <c r="T221" s="4">
        <v>17.817912798157</v>
      </c>
      <c r="U221" s="4">
        <f t="shared" si="14"/>
        <v>17.793248746606</v>
      </c>
      <c r="X221" s="43" t="s">
        <v>880</v>
      </c>
      <c r="Y221" s="4">
        <v>17.735729806232101</v>
      </c>
      <c r="Z221" s="4">
        <v>17.954469639782101</v>
      </c>
      <c r="AA221" s="4">
        <v>17.874443156639799</v>
      </c>
      <c r="AB221" s="4">
        <f t="shared" si="15"/>
        <v>17.854880867551334</v>
      </c>
      <c r="AK221" s="4" t="s">
        <v>3877</v>
      </c>
      <c r="AM221" s="4" t="s">
        <v>1452</v>
      </c>
      <c r="AP221" s="2"/>
      <c r="AT221" s="6"/>
      <c r="AU221" s="1"/>
      <c r="AV221" s="2"/>
      <c r="AX221" s="6" t="s">
        <v>692</v>
      </c>
    </row>
    <row r="222" spans="2:50" x14ac:dyDescent="0.2">
      <c r="B222" s="4" t="s">
        <v>1901</v>
      </c>
      <c r="C222" s="4">
        <v>17.770900000000001</v>
      </c>
      <c r="D222" s="4">
        <v>17.872599999999998</v>
      </c>
      <c r="E222" s="4">
        <v>18.0395</v>
      </c>
      <c r="F222" s="4">
        <f t="shared" si="12"/>
        <v>17.894333333333336</v>
      </c>
      <c r="I222" s="4" t="s">
        <v>2698</v>
      </c>
      <c r="J222" s="4">
        <v>17.9282</v>
      </c>
      <c r="K222" s="4">
        <v>18.0123</v>
      </c>
      <c r="L222" s="4">
        <v>17.919599999999999</v>
      </c>
      <c r="M222" s="4">
        <f t="shared" si="13"/>
        <v>17.953366666666668</v>
      </c>
      <c r="Q222" s="43" t="s">
        <v>2476</v>
      </c>
      <c r="R222" s="4">
        <v>18.113552687275298</v>
      </c>
      <c r="S222" s="4">
        <v>17.7114452355206</v>
      </c>
      <c r="T222" s="4">
        <v>17.5532502407161</v>
      </c>
      <c r="U222" s="4">
        <f t="shared" si="14"/>
        <v>17.792749387837333</v>
      </c>
      <c r="X222" s="43" t="s">
        <v>3039</v>
      </c>
      <c r="Y222" s="4">
        <v>17.8883312135248</v>
      </c>
      <c r="Z222" s="4">
        <v>17.905369406826502</v>
      </c>
      <c r="AA222" s="4">
        <v>17.756857820848701</v>
      </c>
      <c r="AB222" s="4">
        <f t="shared" si="15"/>
        <v>17.850186147066669</v>
      </c>
      <c r="AK222" s="4" t="s">
        <v>2356</v>
      </c>
      <c r="AM222" s="4" t="s">
        <v>678</v>
      </c>
      <c r="AP222" s="2"/>
      <c r="AT222" s="6"/>
      <c r="AU222" s="1"/>
      <c r="AV222" s="1"/>
      <c r="AX222" s="6" t="s">
        <v>497</v>
      </c>
    </row>
    <row r="223" spans="2:50" x14ac:dyDescent="0.2">
      <c r="B223" s="4" t="s">
        <v>2642</v>
      </c>
      <c r="C223" s="4">
        <v>17.398800000000001</v>
      </c>
      <c r="D223" s="4">
        <v>17.932300000000001</v>
      </c>
      <c r="E223" s="4">
        <v>18.326699999999999</v>
      </c>
      <c r="F223" s="4">
        <f t="shared" si="12"/>
        <v>17.885933333333337</v>
      </c>
      <c r="I223" s="4" t="s">
        <v>15</v>
      </c>
      <c r="J223" s="4">
        <v>17.973600000000001</v>
      </c>
      <c r="K223" s="4">
        <v>17.8734</v>
      </c>
      <c r="L223" s="4">
        <v>18.004300000000001</v>
      </c>
      <c r="M223" s="4">
        <f t="shared" si="13"/>
        <v>17.950433333333333</v>
      </c>
      <c r="Q223" s="43" t="s">
        <v>1689</v>
      </c>
      <c r="R223" s="4">
        <v>17.777788843235999</v>
      </c>
      <c r="S223" s="4">
        <v>17.839657241906298</v>
      </c>
      <c r="T223" s="4">
        <v>17.749102423663899</v>
      </c>
      <c r="U223" s="4">
        <f t="shared" si="14"/>
        <v>17.788849502935399</v>
      </c>
      <c r="X223" s="43" t="s">
        <v>1364</v>
      </c>
      <c r="Y223" s="4">
        <v>17.983735056893401</v>
      </c>
      <c r="Z223" s="4">
        <v>17.8606348487431</v>
      </c>
      <c r="AA223" s="4">
        <v>17.675553327519101</v>
      </c>
      <c r="AB223" s="4">
        <f t="shared" si="15"/>
        <v>17.839974411051866</v>
      </c>
      <c r="AK223" s="4" t="s">
        <v>2167</v>
      </c>
      <c r="AM223" s="4" t="s">
        <v>3918</v>
      </c>
      <c r="AP223" s="2"/>
      <c r="AT223" s="6"/>
      <c r="AU223" s="1"/>
      <c r="AV223" s="1"/>
      <c r="AX223" s="6" t="s">
        <v>775</v>
      </c>
    </row>
    <row r="224" spans="2:50" x14ac:dyDescent="0.2">
      <c r="B224" s="4" t="s">
        <v>1665</v>
      </c>
      <c r="C224" s="4">
        <v>17.994800000000001</v>
      </c>
      <c r="D224" s="4">
        <v>17.8645</v>
      </c>
      <c r="E224" s="4">
        <v>17.789200000000001</v>
      </c>
      <c r="F224" s="4">
        <f t="shared" si="12"/>
        <v>17.882833333333334</v>
      </c>
      <c r="I224" s="4" t="s">
        <v>3874</v>
      </c>
      <c r="J224" s="4">
        <v>17.7728</v>
      </c>
      <c r="K224" s="4">
        <v>17.931999999999999</v>
      </c>
      <c r="L224" s="4">
        <v>18.085599999999999</v>
      </c>
      <c r="M224" s="4">
        <f t="shared" si="13"/>
        <v>17.930133333333334</v>
      </c>
      <c r="Q224" s="43" t="s">
        <v>2298</v>
      </c>
      <c r="R224" s="4">
        <v>18.186549986447002</v>
      </c>
      <c r="S224" s="4">
        <v>17.482695814951398</v>
      </c>
      <c r="T224" s="4">
        <v>17.690596013156298</v>
      </c>
      <c r="U224" s="4">
        <f t="shared" si="14"/>
        <v>17.7866139381849</v>
      </c>
      <c r="X224" s="43" t="s">
        <v>2322</v>
      </c>
      <c r="Y224" s="4">
        <v>17.822511725615001</v>
      </c>
      <c r="Z224" s="4">
        <v>18.009696331085198</v>
      </c>
      <c r="AA224" s="4">
        <v>17.684743655402698</v>
      </c>
      <c r="AB224" s="4">
        <f t="shared" si="15"/>
        <v>17.838983904034297</v>
      </c>
      <c r="AK224" s="4" t="s">
        <v>3277</v>
      </c>
      <c r="AM224" s="4" t="s">
        <v>4584</v>
      </c>
      <c r="AP224" s="2"/>
      <c r="AT224" s="6"/>
      <c r="AU224" s="1"/>
      <c r="AV224" s="2"/>
      <c r="AX224" s="6" t="s">
        <v>870</v>
      </c>
    </row>
    <row r="225" spans="2:50" x14ac:dyDescent="0.2">
      <c r="B225" s="4" t="s">
        <v>4002</v>
      </c>
      <c r="C225" s="4">
        <v>17.721399999999999</v>
      </c>
      <c r="D225" s="4">
        <v>17.956</v>
      </c>
      <c r="E225" s="4">
        <v>17.933499999999999</v>
      </c>
      <c r="F225" s="4">
        <f t="shared" si="12"/>
        <v>17.8703</v>
      </c>
      <c r="I225" s="4" t="s">
        <v>2118</v>
      </c>
      <c r="J225" s="4">
        <v>18.181699999999999</v>
      </c>
      <c r="K225" s="4">
        <v>17.4559</v>
      </c>
      <c r="L225" s="4">
        <v>18.1142</v>
      </c>
      <c r="M225" s="4">
        <f t="shared" si="13"/>
        <v>17.917266666666666</v>
      </c>
      <c r="Q225" s="43" t="s">
        <v>2667</v>
      </c>
      <c r="R225" s="4">
        <v>17.925236908793899</v>
      </c>
      <c r="S225" s="4">
        <v>17.7665707066888</v>
      </c>
      <c r="T225" s="4">
        <v>17.663886563882802</v>
      </c>
      <c r="U225" s="4">
        <f t="shared" si="14"/>
        <v>17.785231393121833</v>
      </c>
      <c r="X225" s="43" t="s">
        <v>1709</v>
      </c>
      <c r="Y225" s="4">
        <v>17.794521598836798</v>
      </c>
      <c r="Z225" s="4">
        <v>17.849948483163601</v>
      </c>
      <c r="AA225" s="4">
        <v>17.860663944102999</v>
      </c>
      <c r="AB225" s="4">
        <f t="shared" si="15"/>
        <v>17.835044675367797</v>
      </c>
      <c r="AK225" s="4" t="s">
        <v>2284</v>
      </c>
      <c r="AM225" s="4" t="s">
        <v>4443</v>
      </c>
      <c r="AP225" s="2"/>
      <c r="AT225" s="6"/>
      <c r="AU225" s="1"/>
      <c r="AV225" s="2"/>
      <c r="AX225" s="6" t="s">
        <v>871</v>
      </c>
    </row>
    <row r="226" spans="2:50" x14ac:dyDescent="0.2">
      <c r="B226" s="4" t="s">
        <v>2385</v>
      </c>
      <c r="C226" s="4">
        <v>17.805199999999999</v>
      </c>
      <c r="D226" s="4">
        <v>17.992899999999999</v>
      </c>
      <c r="E226" s="4">
        <v>17.807600000000001</v>
      </c>
      <c r="F226" s="4">
        <f t="shared" si="12"/>
        <v>17.868566666666666</v>
      </c>
      <c r="I226" s="4" t="s">
        <v>2405</v>
      </c>
      <c r="J226" s="4">
        <v>17.982199999999999</v>
      </c>
      <c r="K226" s="4">
        <v>17.741499999999998</v>
      </c>
      <c r="L226" s="4">
        <v>18.0199</v>
      </c>
      <c r="M226" s="4">
        <f t="shared" si="13"/>
        <v>17.914533333333331</v>
      </c>
      <c r="Q226" s="43" t="s">
        <v>1218</v>
      </c>
      <c r="R226" s="4">
        <v>17.948054101249699</v>
      </c>
      <c r="S226" s="4">
        <v>17.702307728980699</v>
      </c>
      <c r="T226" s="4">
        <v>17.698070501151001</v>
      </c>
      <c r="U226" s="4">
        <f t="shared" si="14"/>
        <v>17.782810777127132</v>
      </c>
      <c r="X226" s="43" t="s">
        <v>1847</v>
      </c>
      <c r="Y226" s="4">
        <v>17.990588468761999</v>
      </c>
      <c r="Z226" s="4">
        <v>17.838761267587898</v>
      </c>
      <c r="AA226" s="4">
        <v>17.670509754235301</v>
      </c>
      <c r="AB226" s="4">
        <f t="shared" si="15"/>
        <v>17.833286496861732</v>
      </c>
      <c r="AK226" s="4" t="s">
        <v>2275</v>
      </c>
      <c r="AM226" s="4" t="s">
        <v>4258</v>
      </c>
      <c r="AP226" s="2"/>
      <c r="AT226" s="6"/>
      <c r="AU226" s="1"/>
      <c r="AV226" s="1"/>
      <c r="AX226" s="6" t="s">
        <v>872</v>
      </c>
    </row>
    <row r="227" spans="2:50" x14ac:dyDescent="0.2">
      <c r="B227" s="4" t="s">
        <v>2344</v>
      </c>
      <c r="C227" s="4">
        <v>17.856400000000001</v>
      </c>
      <c r="D227" s="4">
        <v>17.9984</v>
      </c>
      <c r="E227" s="4">
        <v>17.7424</v>
      </c>
      <c r="F227" s="4">
        <f t="shared" si="12"/>
        <v>17.865733333333335</v>
      </c>
      <c r="I227" s="4" t="s">
        <v>3038</v>
      </c>
      <c r="J227" s="4">
        <v>17.9788</v>
      </c>
      <c r="K227" s="4">
        <v>17.714700000000001</v>
      </c>
      <c r="L227" s="4">
        <v>18.0472</v>
      </c>
      <c r="M227" s="4">
        <f t="shared" si="13"/>
        <v>17.913566666666668</v>
      </c>
      <c r="Q227" s="43" t="s">
        <v>1835</v>
      </c>
      <c r="R227" s="4">
        <v>17.7550592246889</v>
      </c>
      <c r="S227" s="4">
        <v>17.709836967681799</v>
      </c>
      <c r="T227" s="4">
        <v>17.865288130563801</v>
      </c>
      <c r="U227" s="4">
        <f t="shared" si="14"/>
        <v>17.776728107644832</v>
      </c>
      <c r="X227" s="43" t="s">
        <v>582</v>
      </c>
      <c r="Y227" s="4">
        <v>17.694638620183301</v>
      </c>
      <c r="Z227" s="4">
        <v>17.915977796027502</v>
      </c>
      <c r="AA227" s="4">
        <v>17.8752252549113</v>
      </c>
      <c r="AB227" s="4">
        <f t="shared" si="15"/>
        <v>17.828613890374033</v>
      </c>
      <c r="AK227" s="4" t="s">
        <v>441</v>
      </c>
      <c r="AM227" s="4" t="s">
        <v>4366</v>
      </c>
      <c r="AP227" s="2"/>
      <c r="AT227" s="6"/>
      <c r="AU227" s="1"/>
      <c r="AV227" s="2"/>
      <c r="AX227" s="6" t="s">
        <v>873</v>
      </c>
    </row>
    <row r="228" spans="2:50" x14ac:dyDescent="0.2">
      <c r="B228" s="4" t="s">
        <v>3191</v>
      </c>
      <c r="C228" s="4">
        <v>18.016300000000001</v>
      </c>
      <c r="D228" s="4">
        <v>17.906199999999998</v>
      </c>
      <c r="E228" s="4">
        <v>17.6555</v>
      </c>
      <c r="F228" s="4">
        <f t="shared" si="12"/>
        <v>17.859333333333336</v>
      </c>
      <c r="I228" s="4" t="s">
        <v>353</v>
      </c>
      <c r="J228" s="4">
        <v>18.043500000000002</v>
      </c>
      <c r="K228" s="4">
        <v>17.8111</v>
      </c>
      <c r="L228" s="4">
        <v>17.871400000000001</v>
      </c>
      <c r="M228" s="4">
        <f t="shared" si="13"/>
        <v>17.908666666666669</v>
      </c>
      <c r="Q228" s="43" t="s">
        <v>1833</v>
      </c>
      <c r="R228" s="4">
        <v>17.959847514061501</v>
      </c>
      <c r="S228" s="4">
        <v>17.576227408550601</v>
      </c>
      <c r="T228" s="4">
        <v>17.7632286525639</v>
      </c>
      <c r="U228" s="4">
        <f t="shared" si="14"/>
        <v>17.766434525058667</v>
      </c>
      <c r="X228" s="43" t="s">
        <v>2311</v>
      </c>
      <c r="Y228" s="4">
        <v>18.123973953141299</v>
      </c>
      <c r="Z228" s="4">
        <v>17.865284804346199</v>
      </c>
      <c r="AA228" s="4">
        <v>17.4568800313521</v>
      </c>
      <c r="AB228" s="4">
        <f t="shared" si="15"/>
        <v>17.815379596279865</v>
      </c>
      <c r="AK228" s="4" t="s">
        <v>3547</v>
      </c>
      <c r="AM228" s="4" t="s">
        <v>4272</v>
      </c>
      <c r="AP228" s="2"/>
      <c r="AT228" s="6"/>
      <c r="AU228" s="1"/>
      <c r="AV228" s="2"/>
      <c r="AX228" s="6" t="s">
        <v>774</v>
      </c>
    </row>
    <row r="229" spans="2:50" x14ac:dyDescent="0.2">
      <c r="B229" s="4" t="s">
        <v>263</v>
      </c>
      <c r="C229" s="4">
        <v>17.862300000000001</v>
      </c>
      <c r="D229" s="4">
        <v>17.735499999999998</v>
      </c>
      <c r="E229" s="4">
        <v>17.965699999999998</v>
      </c>
      <c r="F229" s="4">
        <f t="shared" si="12"/>
        <v>17.854499999999998</v>
      </c>
      <c r="I229" s="4" t="s">
        <v>2282</v>
      </c>
      <c r="J229" s="4">
        <v>17.938099999999999</v>
      </c>
      <c r="K229" s="4">
        <v>17.7851</v>
      </c>
      <c r="L229" s="4">
        <v>17.887599999999999</v>
      </c>
      <c r="M229" s="4">
        <f t="shared" si="13"/>
        <v>17.870266666666666</v>
      </c>
      <c r="Q229" s="43" t="s">
        <v>2698</v>
      </c>
      <c r="R229" s="4">
        <v>18.1757780020992</v>
      </c>
      <c r="S229" s="4">
        <v>17.583112524293298</v>
      </c>
      <c r="T229" s="4">
        <v>17.5311359477022</v>
      </c>
      <c r="U229" s="4">
        <f t="shared" si="14"/>
        <v>17.763342158031566</v>
      </c>
      <c r="X229" s="43" t="s">
        <v>1425</v>
      </c>
      <c r="Y229" s="4">
        <v>17.7295059599751</v>
      </c>
      <c r="Z229" s="4">
        <v>17.724621685939599</v>
      </c>
      <c r="AA229" s="4">
        <v>17.986202917875101</v>
      </c>
      <c r="AB229" s="4">
        <f t="shared" si="15"/>
        <v>17.813443521263267</v>
      </c>
      <c r="AK229" s="4" t="s">
        <v>3036</v>
      </c>
      <c r="AM229" s="6" t="s">
        <v>860</v>
      </c>
      <c r="AP229" s="2"/>
      <c r="AT229" s="6"/>
      <c r="AU229" s="1"/>
      <c r="AV229" s="1"/>
      <c r="AX229" s="6" t="s">
        <v>874</v>
      </c>
    </row>
    <row r="230" spans="2:50" x14ac:dyDescent="0.2">
      <c r="B230" s="4" t="s">
        <v>960</v>
      </c>
      <c r="C230" s="4">
        <v>16.725899999999999</v>
      </c>
      <c r="D230" s="4">
        <v>17.3566</v>
      </c>
      <c r="E230" s="4">
        <v>19.448899999999998</v>
      </c>
      <c r="F230" s="4">
        <f t="shared" si="12"/>
        <v>17.843799999999998</v>
      </c>
      <c r="I230" s="4" t="s">
        <v>2068</v>
      </c>
      <c r="J230" s="4">
        <v>18.014600000000002</v>
      </c>
      <c r="K230" s="4">
        <v>17.442299999999999</v>
      </c>
      <c r="L230" s="4">
        <v>18.126999999999999</v>
      </c>
      <c r="M230" s="4">
        <f t="shared" si="13"/>
        <v>17.8613</v>
      </c>
      <c r="Q230" s="43" t="s">
        <v>746</v>
      </c>
      <c r="R230" s="4">
        <v>17.9283340763422</v>
      </c>
      <c r="S230" s="4">
        <v>17.5913820342581</v>
      </c>
      <c r="T230" s="4">
        <v>17.739561645680698</v>
      </c>
      <c r="U230" s="4">
        <f t="shared" si="14"/>
        <v>17.753092585426998</v>
      </c>
      <c r="X230" s="43" t="s">
        <v>2837</v>
      </c>
      <c r="Y230" s="4">
        <v>17.8395607701726</v>
      </c>
      <c r="Z230" s="4">
        <v>17.882495300756599</v>
      </c>
      <c r="AA230" s="4">
        <v>17.682574647407201</v>
      </c>
      <c r="AB230" s="4">
        <f t="shared" si="15"/>
        <v>17.801543572778801</v>
      </c>
      <c r="AK230" s="4" t="s">
        <v>4054</v>
      </c>
      <c r="AM230" s="4" t="s">
        <v>1036</v>
      </c>
      <c r="AP230" s="2"/>
      <c r="AT230" s="6"/>
      <c r="AU230" s="1"/>
      <c r="AV230" s="2"/>
      <c r="AX230" s="6" t="s">
        <v>875</v>
      </c>
    </row>
    <row r="231" spans="2:50" x14ac:dyDescent="0.2">
      <c r="B231" s="4" t="s">
        <v>2068</v>
      </c>
      <c r="C231" s="4">
        <v>17.781500000000001</v>
      </c>
      <c r="D231" s="4">
        <v>17.925899999999999</v>
      </c>
      <c r="E231" s="4">
        <v>17.815999999999999</v>
      </c>
      <c r="F231" s="4">
        <f t="shared" si="12"/>
        <v>17.841133333333332</v>
      </c>
      <c r="I231" s="4" t="s">
        <v>3877</v>
      </c>
      <c r="J231" s="4">
        <v>17.594799999999999</v>
      </c>
      <c r="K231" s="4">
        <v>19.0718</v>
      </c>
      <c r="L231" s="4">
        <v>16.9084</v>
      </c>
      <c r="M231" s="4">
        <f t="shared" si="13"/>
        <v>17.858333333333334</v>
      </c>
      <c r="Q231" s="43" t="s">
        <v>1657</v>
      </c>
      <c r="R231" s="4">
        <v>17.826654644235202</v>
      </c>
      <c r="S231" s="4">
        <v>17.765719840039399</v>
      </c>
      <c r="T231" s="4">
        <v>17.658118260189202</v>
      </c>
      <c r="U231" s="4">
        <f t="shared" si="14"/>
        <v>17.750164248154601</v>
      </c>
      <c r="X231" s="43" t="s">
        <v>960</v>
      </c>
      <c r="Y231" s="4">
        <v>18.089960954905202</v>
      </c>
      <c r="Z231" s="4">
        <v>18.176600584203801</v>
      </c>
      <c r="AA231" s="4">
        <v>17.129634991455202</v>
      </c>
      <c r="AB231" s="4">
        <f t="shared" si="15"/>
        <v>17.798732176854738</v>
      </c>
      <c r="AK231" s="4" t="s">
        <v>3951</v>
      </c>
      <c r="AM231" s="4" t="s">
        <v>4247</v>
      </c>
      <c r="AP231" s="2"/>
      <c r="AT231" s="6"/>
      <c r="AU231" s="1"/>
      <c r="AV231" s="2"/>
      <c r="AX231" s="6" t="s">
        <v>789</v>
      </c>
    </row>
    <row r="232" spans="2:50" x14ac:dyDescent="0.2">
      <c r="B232" s="4" t="s">
        <v>746</v>
      </c>
      <c r="C232" s="4">
        <v>18.084900000000001</v>
      </c>
      <c r="D232" s="4">
        <v>17.8294</v>
      </c>
      <c r="E232" s="4">
        <v>17.594000000000001</v>
      </c>
      <c r="F232" s="4">
        <f t="shared" si="12"/>
        <v>17.836099999999998</v>
      </c>
      <c r="I232" s="4" t="s">
        <v>2396</v>
      </c>
      <c r="J232" s="4">
        <v>17.958300000000001</v>
      </c>
      <c r="K232" s="4">
        <v>17.754899999999999</v>
      </c>
      <c r="L232" s="4">
        <v>17.850999999999999</v>
      </c>
      <c r="M232" s="4">
        <f t="shared" si="13"/>
        <v>17.854733333333332</v>
      </c>
      <c r="Q232" s="43" t="s">
        <v>1024</v>
      </c>
      <c r="R232" s="4">
        <v>18.1710593738939</v>
      </c>
      <c r="S232" s="4">
        <v>17.375986943831901</v>
      </c>
      <c r="T232" s="4">
        <v>17.678192941611002</v>
      </c>
      <c r="U232" s="4">
        <f t="shared" si="14"/>
        <v>17.741746419778934</v>
      </c>
      <c r="X232" s="43" t="s">
        <v>3170</v>
      </c>
      <c r="Y232" s="4">
        <v>17.6643315483681</v>
      </c>
      <c r="Z232" s="4">
        <v>17.997565215317302</v>
      </c>
      <c r="AA232" s="4">
        <v>17.7068886562176</v>
      </c>
      <c r="AB232" s="4">
        <f t="shared" si="15"/>
        <v>17.78959513996767</v>
      </c>
      <c r="AK232" s="4" t="s">
        <v>3332</v>
      </c>
      <c r="AM232" s="4" t="s">
        <v>1287</v>
      </c>
      <c r="AP232" s="2"/>
      <c r="AT232" s="6"/>
      <c r="AU232" s="1"/>
      <c r="AV232" s="1"/>
      <c r="AX232" s="6" t="s">
        <v>876</v>
      </c>
    </row>
    <row r="233" spans="2:50" x14ac:dyDescent="0.2">
      <c r="B233" s="4" t="s">
        <v>1548</v>
      </c>
      <c r="C233" s="4">
        <v>17.8293</v>
      </c>
      <c r="D233" s="4">
        <v>17.657699999999998</v>
      </c>
      <c r="E233" s="4">
        <v>17.9983</v>
      </c>
      <c r="F233" s="4">
        <f t="shared" si="12"/>
        <v>17.828433333333333</v>
      </c>
      <c r="I233" s="4" t="s">
        <v>1502</v>
      </c>
      <c r="J233" s="4">
        <v>17.2636</v>
      </c>
      <c r="K233" s="4">
        <v>18.976500000000001</v>
      </c>
      <c r="L233" s="4">
        <v>17.3005</v>
      </c>
      <c r="M233" s="4">
        <f t="shared" si="13"/>
        <v>17.846866666666667</v>
      </c>
      <c r="Q233" s="43" t="s">
        <v>2134</v>
      </c>
      <c r="R233" s="4">
        <v>17.9581937560007</v>
      </c>
      <c r="S233" s="4">
        <v>17.652329101168799</v>
      </c>
      <c r="T233" s="4">
        <v>17.605604955183299</v>
      </c>
      <c r="U233" s="4">
        <f t="shared" si="14"/>
        <v>17.738709270784266</v>
      </c>
      <c r="X233" s="43" t="s">
        <v>2129</v>
      </c>
      <c r="Y233" s="4">
        <v>17.7164090604102</v>
      </c>
      <c r="Z233" s="4">
        <v>17.810897120948901</v>
      </c>
      <c r="AA233" s="4">
        <v>17.8362492630128</v>
      </c>
      <c r="AB233" s="4">
        <f t="shared" si="15"/>
        <v>17.787851814790631</v>
      </c>
      <c r="AK233" s="4" t="s">
        <v>2942</v>
      </c>
      <c r="AM233" s="6" t="s">
        <v>866</v>
      </c>
      <c r="AP233" s="2"/>
      <c r="AT233" s="6"/>
      <c r="AU233" s="1"/>
      <c r="AV233" s="1"/>
      <c r="AX233" s="6" t="s">
        <v>479</v>
      </c>
    </row>
    <row r="234" spans="2:50" x14ac:dyDescent="0.2">
      <c r="B234" s="4" t="s">
        <v>1466</v>
      </c>
      <c r="C234" s="4">
        <v>17.310300000000002</v>
      </c>
      <c r="D234" s="4">
        <v>18.101900000000001</v>
      </c>
      <c r="E234" s="4">
        <v>18.065200000000001</v>
      </c>
      <c r="F234" s="4">
        <f t="shared" si="12"/>
        <v>17.825800000000001</v>
      </c>
      <c r="I234" s="4" t="s">
        <v>1058</v>
      </c>
      <c r="J234" s="4">
        <v>17.674399999999999</v>
      </c>
      <c r="K234" s="4">
        <v>18.5717</v>
      </c>
      <c r="L234" s="4">
        <v>17.2895</v>
      </c>
      <c r="M234" s="4">
        <f t="shared" si="13"/>
        <v>17.845200000000002</v>
      </c>
      <c r="Q234" s="43" t="s">
        <v>2404</v>
      </c>
      <c r="R234" s="4">
        <v>17.6828439860071</v>
      </c>
      <c r="S234" s="4">
        <v>17.718037930977999</v>
      </c>
      <c r="T234" s="4">
        <v>17.7842064065462</v>
      </c>
      <c r="U234" s="4">
        <f t="shared" si="14"/>
        <v>17.728362774510433</v>
      </c>
      <c r="X234" s="43" t="s">
        <v>1366</v>
      </c>
      <c r="Y234" s="4">
        <v>17.751552349719301</v>
      </c>
      <c r="Z234" s="4">
        <v>17.716457423524201</v>
      </c>
      <c r="AA234" s="4">
        <v>17.880925837575798</v>
      </c>
      <c r="AB234" s="4">
        <f t="shared" si="15"/>
        <v>17.782978536939765</v>
      </c>
      <c r="AK234" s="4" t="s">
        <v>3438</v>
      </c>
      <c r="AM234" s="4" t="s">
        <v>4394</v>
      </c>
      <c r="AP234" s="2"/>
      <c r="AT234" s="6"/>
      <c r="AU234" s="1"/>
      <c r="AV234" s="1"/>
      <c r="AX234" s="6" t="s">
        <v>877</v>
      </c>
    </row>
    <row r="235" spans="2:50" x14ac:dyDescent="0.2">
      <c r="B235" s="4" t="s">
        <v>2837</v>
      </c>
      <c r="C235" s="4">
        <v>17.766999999999999</v>
      </c>
      <c r="D235" s="4">
        <v>17.877800000000001</v>
      </c>
      <c r="E235" s="4">
        <v>17.821200000000001</v>
      </c>
      <c r="F235" s="4">
        <f t="shared" si="12"/>
        <v>17.822000000000003</v>
      </c>
      <c r="I235" s="4" t="s">
        <v>3059</v>
      </c>
      <c r="J235" s="4">
        <v>17.9435</v>
      </c>
      <c r="K235" s="4">
        <v>17.311</v>
      </c>
      <c r="L235" s="4">
        <v>18.256399999999999</v>
      </c>
      <c r="M235" s="4">
        <f t="shared" si="13"/>
        <v>17.836966666666665</v>
      </c>
      <c r="Q235" s="43" t="s">
        <v>2696</v>
      </c>
      <c r="R235" s="4">
        <v>17.910849522380701</v>
      </c>
      <c r="S235" s="4">
        <v>17.598426595608501</v>
      </c>
      <c r="T235" s="4">
        <v>17.622910751507799</v>
      </c>
      <c r="U235" s="4">
        <f t="shared" si="14"/>
        <v>17.710728956499</v>
      </c>
      <c r="X235" s="43" t="s">
        <v>3985</v>
      </c>
      <c r="Y235" s="4">
        <v>17.7579282760612</v>
      </c>
      <c r="Z235" s="4">
        <v>17.653198281130301</v>
      </c>
      <c r="AA235" s="4">
        <v>17.920581051293201</v>
      </c>
      <c r="AB235" s="4">
        <f t="shared" si="15"/>
        <v>17.777235869494902</v>
      </c>
      <c r="AK235" s="4" t="s">
        <v>4083</v>
      </c>
      <c r="AM235" s="4" t="s">
        <v>4208</v>
      </c>
      <c r="AP235" s="2"/>
      <c r="AT235" s="6"/>
      <c r="AU235" s="1"/>
      <c r="AV235" s="1"/>
      <c r="AX235" s="6" t="s">
        <v>878</v>
      </c>
    </row>
    <row r="236" spans="2:50" x14ac:dyDescent="0.2">
      <c r="B236" s="4" t="s">
        <v>1689</v>
      </c>
      <c r="C236" s="4">
        <v>17.936499999999999</v>
      </c>
      <c r="D236" s="4">
        <v>17.841000000000001</v>
      </c>
      <c r="E236" s="4">
        <v>17.679400000000001</v>
      </c>
      <c r="F236" s="4">
        <f t="shared" si="12"/>
        <v>17.818966666666668</v>
      </c>
      <c r="I236" s="4" t="s">
        <v>3943</v>
      </c>
      <c r="J236" s="4">
        <v>17.785399999999999</v>
      </c>
      <c r="K236" s="4">
        <v>18.013500000000001</v>
      </c>
      <c r="L236" s="4">
        <v>17.707999999999998</v>
      </c>
      <c r="M236" s="4">
        <f t="shared" si="13"/>
        <v>17.835633333333334</v>
      </c>
      <c r="Q236" s="43" t="s">
        <v>960</v>
      </c>
      <c r="R236" s="4">
        <v>18.0124407793719</v>
      </c>
      <c r="S236" s="4">
        <v>16.916165438322398</v>
      </c>
      <c r="T236" s="4">
        <v>18.187502392953999</v>
      </c>
      <c r="U236" s="4">
        <f t="shared" si="14"/>
        <v>17.705369536882767</v>
      </c>
      <c r="X236" s="43" t="s">
        <v>537</v>
      </c>
      <c r="Y236" s="4">
        <v>17.701837083866099</v>
      </c>
      <c r="Z236" s="4">
        <v>17.844283678657899</v>
      </c>
      <c r="AA236" s="4">
        <v>17.7704316144156</v>
      </c>
      <c r="AB236" s="4">
        <f t="shared" si="15"/>
        <v>17.772184125646532</v>
      </c>
      <c r="AK236" s="4" t="s">
        <v>2116</v>
      </c>
      <c r="AM236" s="4" t="s">
        <v>4307</v>
      </c>
      <c r="AP236" s="2"/>
      <c r="AT236" s="6"/>
      <c r="AU236" s="1"/>
      <c r="AV236" s="2"/>
      <c r="AX236" s="6" t="s">
        <v>879</v>
      </c>
    </row>
    <row r="237" spans="2:50" x14ac:dyDescent="0.2">
      <c r="B237" s="4" t="s">
        <v>2698</v>
      </c>
      <c r="C237" s="4">
        <v>17.720500000000001</v>
      </c>
      <c r="D237" s="4">
        <v>17.956600000000002</v>
      </c>
      <c r="E237" s="4">
        <v>17.740100000000002</v>
      </c>
      <c r="F237" s="4">
        <f t="shared" si="12"/>
        <v>17.805733333333336</v>
      </c>
      <c r="I237" s="4" t="s">
        <v>1422</v>
      </c>
      <c r="J237" s="4">
        <v>17.252800000000001</v>
      </c>
      <c r="K237" s="4">
        <v>18.9679</v>
      </c>
      <c r="L237" s="4">
        <v>17.280899999999999</v>
      </c>
      <c r="M237" s="4">
        <f t="shared" si="13"/>
        <v>17.833866666666665</v>
      </c>
      <c r="Q237" s="43" t="s">
        <v>4524</v>
      </c>
      <c r="R237" s="4">
        <v>17.284184715209499</v>
      </c>
      <c r="S237" s="4">
        <v>17.631285944677401</v>
      </c>
      <c r="T237" s="4">
        <v>18.154264780153699</v>
      </c>
      <c r="U237" s="4">
        <f t="shared" si="14"/>
        <v>17.689911813346868</v>
      </c>
      <c r="X237" s="43" t="s">
        <v>2066</v>
      </c>
      <c r="Y237" s="4">
        <v>17.6759187072775</v>
      </c>
      <c r="Z237" s="4">
        <v>17.8052485898694</v>
      </c>
      <c r="AA237" s="4">
        <v>17.7900192731394</v>
      </c>
      <c r="AB237" s="4">
        <f t="shared" si="15"/>
        <v>17.757062190095432</v>
      </c>
      <c r="AK237" s="4" t="s">
        <v>1420</v>
      </c>
      <c r="AM237" s="4" t="s">
        <v>4271</v>
      </c>
      <c r="AP237" s="2"/>
      <c r="AT237" s="6"/>
      <c r="AU237" s="1"/>
      <c r="AV237" s="1"/>
      <c r="AX237" s="6" t="s">
        <v>880</v>
      </c>
    </row>
    <row r="238" spans="2:50" x14ac:dyDescent="0.2">
      <c r="B238" s="4" t="s">
        <v>1367</v>
      </c>
      <c r="C238" s="4">
        <v>18.0136</v>
      </c>
      <c r="D238" s="4">
        <v>17.228000000000002</v>
      </c>
      <c r="E238" s="4">
        <v>18.0989</v>
      </c>
      <c r="F238" s="4">
        <f t="shared" si="12"/>
        <v>17.78016666666667</v>
      </c>
      <c r="I238" s="4" t="s">
        <v>964</v>
      </c>
      <c r="J238" s="4">
        <v>17.236499999999999</v>
      </c>
      <c r="K238" s="4">
        <v>18.2241</v>
      </c>
      <c r="L238" s="4">
        <v>18.023900000000001</v>
      </c>
      <c r="M238" s="4">
        <f t="shared" si="13"/>
        <v>17.828166666666664</v>
      </c>
      <c r="Q238" s="43" t="s">
        <v>781</v>
      </c>
      <c r="R238" s="4">
        <v>17.741036278633999</v>
      </c>
      <c r="S238" s="4">
        <v>17.6747539808289</v>
      </c>
      <c r="T238" s="4">
        <v>17.633811610827401</v>
      </c>
      <c r="U238" s="4">
        <f t="shared" si="14"/>
        <v>17.6832006234301</v>
      </c>
      <c r="X238" s="43" t="s">
        <v>1721</v>
      </c>
      <c r="Y238" s="4">
        <v>17.6810708886489</v>
      </c>
      <c r="Z238" s="4">
        <v>17.8510324513292</v>
      </c>
      <c r="AA238" s="4">
        <v>17.726350156618899</v>
      </c>
      <c r="AB238" s="4">
        <f t="shared" si="15"/>
        <v>17.752817832199</v>
      </c>
      <c r="AK238" s="4" t="s">
        <v>3913</v>
      </c>
      <c r="AM238" s="4" t="s">
        <v>2130</v>
      </c>
      <c r="AP238" s="2"/>
      <c r="AT238" s="6"/>
      <c r="AU238" s="1"/>
      <c r="AV238" s="1"/>
      <c r="AX238" s="6" t="s">
        <v>675</v>
      </c>
    </row>
    <row r="239" spans="2:50" x14ac:dyDescent="0.2">
      <c r="B239" s="4" t="s">
        <v>1235</v>
      </c>
      <c r="C239" s="4">
        <v>18.135300000000001</v>
      </c>
      <c r="D239" s="4">
        <v>17.845099999999999</v>
      </c>
      <c r="E239" s="4">
        <v>17.357500000000002</v>
      </c>
      <c r="F239" s="4">
        <f t="shared" si="12"/>
        <v>17.779300000000003</v>
      </c>
      <c r="I239" s="4" t="s">
        <v>1655</v>
      </c>
      <c r="J239" s="4">
        <v>18.042100000000001</v>
      </c>
      <c r="K239" s="4">
        <v>17.4621</v>
      </c>
      <c r="L239" s="4">
        <v>17.970500000000001</v>
      </c>
      <c r="M239" s="4">
        <f t="shared" si="13"/>
        <v>17.8249</v>
      </c>
      <c r="Q239" s="43" t="s">
        <v>1173</v>
      </c>
      <c r="R239" s="4">
        <v>17.854282701446301</v>
      </c>
      <c r="S239" s="4">
        <v>17.644117615614501</v>
      </c>
      <c r="T239" s="4">
        <v>17.536265645995901</v>
      </c>
      <c r="U239" s="4">
        <f t="shared" si="14"/>
        <v>17.678221987685564</v>
      </c>
      <c r="X239" s="43" t="s">
        <v>2412</v>
      </c>
      <c r="Y239" s="4">
        <v>17.7420601252472</v>
      </c>
      <c r="Z239" s="4">
        <v>17.9317268645624</v>
      </c>
      <c r="AA239" s="4">
        <v>17.565636861218401</v>
      </c>
      <c r="AB239" s="4">
        <f t="shared" si="15"/>
        <v>17.746474617009333</v>
      </c>
      <c r="AK239" s="4" t="s">
        <v>1520</v>
      </c>
      <c r="AM239" s="4" t="s">
        <v>4471</v>
      </c>
      <c r="AP239" s="2"/>
      <c r="AT239" s="6"/>
      <c r="AU239" s="1"/>
      <c r="AV239" s="2"/>
      <c r="AX239" s="6" t="s">
        <v>881</v>
      </c>
    </row>
    <row r="240" spans="2:50" x14ac:dyDescent="0.2">
      <c r="B240" s="4" t="s">
        <v>1533</v>
      </c>
      <c r="C240" s="4">
        <v>17.868600000000001</v>
      </c>
      <c r="D240" s="4">
        <v>17.977</v>
      </c>
      <c r="E240" s="4">
        <v>17.484400000000001</v>
      </c>
      <c r="F240" s="4">
        <f t="shared" si="12"/>
        <v>17.776666666666667</v>
      </c>
      <c r="I240" s="4" t="s">
        <v>370</v>
      </c>
      <c r="J240" s="4">
        <v>17.555599999999998</v>
      </c>
      <c r="K240" s="4">
        <v>19.574100000000001</v>
      </c>
      <c r="L240" s="4">
        <v>16.325900000000001</v>
      </c>
      <c r="M240" s="4">
        <f t="shared" si="13"/>
        <v>17.818533333333335</v>
      </c>
      <c r="Q240" s="43" t="s">
        <v>3323</v>
      </c>
      <c r="R240" s="4">
        <v>17.632959036435299</v>
      </c>
      <c r="S240" s="4">
        <v>17.871741215195598</v>
      </c>
      <c r="T240" s="4">
        <v>17.528786300916501</v>
      </c>
      <c r="U240" s="4">
        <f t="shared" si="14"/>
        <v>17.677828850849131</v>
      </c>
      <c r="X240" s="43" t="s">
        <v>2134</v>
      </c>
      <c r="Y240" s="4">
        <v>17.886962613328102</v>
      </c>
      <c r="Z240" s="4">
        <v>17.7214181378482</v>
      </c>
      <c r="AA240" s="4">
        <v>17.626993826308301</v>
      </c>
      <c r="AB240" s="4">
        <f t="shared" si="15"/>
        <v>17.745124859161532</v>
      </c>
      <c r="AK240" s="4" t="s">
        <v>3687</v>
      </c>
      <c r="AM240" s="4" t="s">
        <v>4491</v>
      </c>
      <c r="AP240" s="2"/>
      <c r="AT240" s="6"/>
      <c r="AU240" s="1"/>
      <c r="AV240" s="2"/>
      <c r="AX240" s="6" t="s">
        <v>33</v>
      </c>
    </row>
    <row r="241" spans="2:50" x14ac:dyDescent="0.2">
      <c r="B241" s="4" t="s">
        <v>1655</v>
      </c>
      <c r="C241" s="4">
        <v>18.0456</v>
      </c>
      <c r="D241" s="4">
        <v>17.747</v>
      </c>
      <c r="E241" s="4">
        <v>17.526399999999999</v>
      </c>
      <c r="F241" s="4">
        <f t="shared" si="12"/>
        <v>17.773</v>
      </c>
      <c r="I241" s="4" t="s">
        <v>3548</v>
      </c>
      <c r="J241" s="4">
        <v>17.800999999999998</v>
      </c>
      <c r="K241" s="4">
        <v>18.093900000000001</v>
      </c>
      <c r="L241" s="4">
        <v>17.549900000000001</v>
      </c>
      <c r="M241" s="4">
        <f t="shared" si="13"/>
        <v>17.814933333333332</v>
      </c>
      <c r="Q241" s="43" t="s">
        <v>370</v>
      </c>
      <c r="R241" s="4">
        <v>18.1618235552675</v>
      </c>
      <c r="S241" s="4">
        <v>16.902635553312599</v>
      </c>
      <c r="T241" s="4">
        <v>17.966705245292999</v>
      </c>
      <c r="U241" s="4">
        <f t="shared" si="14"/>
        <v>17.677054784624364</v>
      </c>
      <c r="X241" s="43" t="s">
        <v>3910</v>
      </c>
      <c r="Y241" s="4">
        <v>17.741009722318701</v>
      </c>
      <c r="Z241" s="4">
        <v>17.7767088222115</v>
      </c>
      <c r="AA241" s="4">
        <v>17.670219434781899</v>
      </c>
      <c r="AB241" s="4">
        <f t="shared" si="15"/>
        <v>17.729312659770699</v>
      </c>
      <c r="AK241" s="4" t="s">
        <v>3149</v>
      </c>
      <c r="AM241" s="4" t="s">
        <v>4515</v>
      </c>
      <c r="AP241" s="2"/>
      <c r="AT241" s="6"/>
      <c r="AU241" s="1"/>
      <c r="AV241" s="2"/>
      <c r="AX241" s="6" t="s">
        <v>882</v>
      </c>
    </row>
    <row r="242" spans="2:50" x14ac:dyDescent="0.2">
      <c r="B242" s="4" t="s">
        <v>1485</v>
      </c>
      <c r="C242" s="4">
        <v>17.806799999999999</v>
      </c>
      <c r="D242" s="4">
        <v>17.703099999999999</v>
      </c>
      <c r="E242" s="4">
        <v>17.804600000000001</v>
      </c>
      <c r="F242" s="4">
        <f t="shared" si="12"/>
        <v>17.7715</v>
      </c>
      <c r="I242" s="4" t="s">
        <v>3400</v>
      </c>
      <c r="J242" s="4">
        <v>17.9253</v>
      </c>
      <c r="K242" s="4">
        <v>17.523499999999999</v>
      </c>
      <c r="L242" s="4">
        <v>17.9482</v>
      </c>
      <c r="M242" s="4">
        <f t="shared" si="13"/>
        <v>17.798999999999999</v>
      </c>
      <c r="Q242" s="43" t="s">
        <v>1565</v>
      </c>
      <c r="R242" s="4">
        <v>17.8134116520093</v>
      </c>
      <c r="S242" s="4">
        <v>17.843211943333099</v>
      </c>
      <c r="T242" s="4">
        <v>17.372917837033501</v>
      </c>
      <c r="U242" s="4">
        <f t="shared" si="14"/>
        <v>17.676513810791963</v>
      </c>
      <c r="X242" s="43" t="s">
        <v>2344</v>
      </c>
      <c r="Y242" s="4">
        <v>17.7848431428142</v>
      </c>
      <c r="Z242" s="4">
        <v>17.561937332777902</v>
      </c>
      <c r="AA242" s="4">
        <v>17.824149361924501</v>
      </c>
      <c r="AB242" s="4">
        <f t="shared" si="15"/>
        <v>17.723643279172197</v>
      </c>
      <c r="AK242" s="4" t="s">
        <v>450</v>
      </c>
      <c r="AM242" s="4" t="s">
        <v>4376</v>
      </c>
      <c r="AP242" s="2"/>
      <c r="AT242" s="6"/>
      <c r="AV242" s="2"/>
      <c r="AX242" s="6" t="s">
        <v>883</v>
      </c>
    </row>
    <row r="243" spans="2:50" x14ac:dyDescent="0.2">
      <c r="B243" s="4" t="s">
        <v>1057</v>
      </c>
      <c r="C243" s="4">
        <v>17.7468</v>
      </c>
      <c r="D243" s="4">
        <v>17.797599999999999</v>
      </c>
      <c r="E243" s="4">
        <v>17.769600000000001</v>
      </c>
      <c r="F243" s="4">
        <f t="shared" si="12"/>
        <v>17.771333333333331</v>
      </c>
      <c r="I243" s="4" t="s">
        <v>481</v>
      </c>
      <c r="J243" s="4">
        <v>18.021100000000001</v>
      </c>
      <c r="K243" s="4">
        <v>17.405799999999999</v>
      </c>
      <c r="L243" s="4">
        <v>17.9666</v>
      </c>
      <c r="M243" s="4">
        <f t="shared" si="13"/>
        <v>17.797833333333333</v>
      </c>
      <c r="Q243" s="43" t="s">
        <v>1513</v>
      </c>
      <c r="R243" s="4">
        <v>17.8511749283794</v>
      </c>
      <c r="S243" s="4">
        <v>17.426764057675399</v>
      </c>
      <c r="T243" s="4">
        <v>17.748279428777298</v>
      </c>
      <c r="U243" s="4">
        <f t="shared" si="14"/>
        <v>17.675406138277367</v>
      </c>
      <c r="X243" s="43" t="s">
        <v>481</v>
      </c>
      <c r="Y243" s="4">
        <v>17.663830201762</v>
      </c>
      <c r="Z243" s="4">
        <v>17.804993679865099</v>
      </c>
      <c r="AA243" s="4">
        <v>17.694168407843801</v>
      </c>
      <c r="AB243" s="4">
        <f t="shared" si="15"/>
        <v>17.720997429823637</v>
      </c>
      <c r="AK243" s="4" t="s">
        <v>3792</v>
      </c>
      <c r="AM243" s="4" t="s">
        <v>4530</v>
      </c>
      <c r="AP243" s="2"/>
      <c r="AT243" s="6"/>
      <c r="AV243" s="1"/>
      <c r="AX243" s="6" t="s">
        <v>884</v>
      </c>
    </row>
    <row r="244" spans="2:50" x14ac:dyDescent="0.2">
      <c r="B244" s="4" t="s">
        <v>2796</v>
      </c>
      <c r="C244" s="4">
        <v>17.992999999999999</v>
      </c>
      <c r="D244" s="4">
        <v>17.815300000000001</v>
      </c>
      <c r="E244" s="4">
        <v>17.497800000000002</v>
      </c>
      <c r="F244" s="4">
        <f t="shared" si="12"/>
        <v>17.768699999999999</v>
      </c>
      <c r="I244" s="4" t="s">
        <v>2385</v>
      </c>
      <c r="J244" s="4">
        <v>17.639199999999999</v>
      </c>
      <c r="K244" s="4">
        <v>17.947299999999998</v>
      </c>
      <c r="L244" s="4">
        <v>17.773</v>
      </c>
      <c r="M244" s="4">
        <f t="shared" si="13"/>
        <v>17.7865</v>
      </c>
      <c r="Q244" s="43" t="s">
        <v>2111</v>
      </c>
      <c r="R244" s="4">
        <v>17.749412578382799</v>
      </c>
      <c r="S244" s="4">
        <v>17.697959639870099</v>
      </c>
      <c r="T244" s="4">
        <v>17.5712824588107</v>
      </c>
      <c r="U244" s="4">
        <f t="shared" si="14"/>
        <v>17.672884892354531</v>
      </c>
      <c r="X244" s="43" t="s">
        <v>1173</v>
      </c>
      <c r="Y244" s="4">
        <v>18.003206263757399</v>
      </c>
      <c r="Z244" s="4">
        <v>18.030336625417199</v>
      </c>
      <c r="AA244" s="4">
        <v>17.114207738822099</v>
      </c>
      <c r="AB244" s="4">
        <f t="shared" si="15"/>
        <v>17.7159168759989</v>
      </c>
      <c r="AK244" s="4" t="s">
        <v>2505</v>
      </c>
      <c r="AM244" s="4" t="s">
        <v>4105</v>
      </c>
      <c r="AP244" s="2"/>
      <c r="AT244" s="6"/>
      <c r="AV244" s="2"/>
      <c r="AX244" s="6" t="s">
        <v>885</v>
      </c>
    </row>
    <row r="245" spans="2:50" x14ac:dyDescent="0.2">
      <c r="B245" s="4" t="s">
        <v>2377</v>
      </c>
      <c r="C245" s="4">
        <v>17.809200000000001</v>
      </c>
      <c r="D245" s="4">
        <v>17.927399999999999</v>
      </c>
      <c r="E245" s="4">
        <v>17.5623</v>
      </c>
      <c r="F245" s="4">
        <f t="shared" si="12"/>
        <v>17.766299999999998</v>
      </c>
      <c r="I245" s="4" t="s">
        <v>2609</v>
      </c>
      <c r="J245" s="4">
        <v>17.917100000000001</v>
      </c>
      <c r="K245" s="4">
        <v>17.539100000000001</v>
      </c>
      <c r="L245" s="4">
        <v>17.9025</v>
      </c>
      <c r="M245" s="4">
        <f t="shared" si="13"/>
        <v>17.786233333333332</v>
      </c>
      <c r="Q245" s="43" t="s">
        <v>1856</v>
      </c>
      <c r="R245" s="4">
        <v>17.6122170331994</v>
      </c>
      <c r="S245" s="4">
        <v>17.736318628910201</v>
      </c>
      <c r="T245" s="4">
        <v>17.6646176855504</v>
      </c>
      <c r="U245" s="4">
        <f t="shared" si="14"/>
        <v>17.671051115886666</v>
      </c>
      <c r="X245" s="43" t="s">
        <v>38</v>
      </c>
      <c r="Y245" s="4">
        <v>17.673616137220801</v>
      </c>
      <c r="Z245" s="4">
        <v>17.8590798069052</v>
      </c>
      <c r="AA245" s="4">
        <v>17.609002096527</v>
      </c>
      <c r="AB245" s="4">
        <f t="shared" si="15"/>
        <v>17.713899346884336</v>
      </c>
      <c r="AK245" s="4" t="s">
        <v>3625</v>
      </c>
      <c r="AM245" s="4" t="s">
        <v>4437</v>
      </c>
      <c r="AP245" s="2"/>
      <c r="AT245" s="6"/>
      <c r="AV245" s="2"/>
      <c r="AX245" s="6" t="s">
        <v>138</v>
      </c>
    </row>
    <row r="246" spans="2:50" x14ac:dyDescent="0.2">
      <c r="B246" s="4" t="s">
        <v>748</v>
      </c>
      <c r="C246" s="4">
        <v>17.865200000000002</v>
      </c>
      <c r="D246" s="4">
        <v>17.724399999999999</v>
      </c>
      <c r="E246" s="4">
        <v>17.6736</v>
      </c>
      <c r="F246" s="4">
        <f t="shared" si="12"/>
        <v>17.7544</v>
      </c>
      <c r="I246" s="4" t="s">
        <v>2693</v>
      </c>
      <c r="J246" s="4">
        <v>17.5198</v>
      </c>
      <c r="K246" s="4">
        <v>18.7713</v>
      </c>
      <c r="L246" s="4">
        <v>17.063400000000001</v>
      </c>
      <c r="M246" s="4">
        <f t="shared" si="13"/>
        <v>17.784833333333335</v>
      </c>
      <c r="Q246" s="43" t="s">
        <v>267</v>
      </c>
      <c r="R246" s="4">
        <v>17.731176421474501</v>
      </c>
      <c r="S246" s="4">
        <v>17.803666077629298</v>
      </c>
      <c r="T246" s="4">
        <v>17.476297036804599</v>
      </c>
      <c r="U246" s="4">
        <f t="shared" si="14"/>
        <v>17.670379845302801</v>
      </c>
      <c r="X246" s="43" t="s">
        <v>2531</v>
      </c>
      <c r="Y246" s="4">
        <v>17.8777763429567</v>
      </c>
      <c r="Z246" s="4">
        <v>17.6362893824999</v>
      </c>
      <c r="AA246" s="4">
        <v>17.62651835618</v>
      </c>
      <c r="AB246" s="4">
        <f t="shared" si="15"/>
        <v>17.713528027212202</v>
      </c>
      <c r="AK246" s="4" t="s">
        <v>2310</v>
      </c>
      <c r="AM246" s="4" t="s">
        <v>4614</v>
      </c>
      <c r="AP246" s="2"/>
      <c r="AT246" s="6"/>
      <c r="AV246" s="2"/>
      <c r="AX246" s="6" t="s">
        <v>886</v>
      </c>
    </row>
    <row r="247" spans="2:50" x14ac:dyDescent="0.2">
      <c r="B247" s="4" t="s">
        <v>3929</v>
      </c>
      <c r="C247" s="4">
        <v>17.791499999999999</v>
      </c>
      <c r="D247" s="4">
        <v>17.5991</v>
      </c>
      <c r="E247" s="4">
        <v>17.7804</v>
      </c>
      <c r="F247" s="4">
        <f t="shared" si="12"/>
        <v>17.723666666666666</v>
      </c>
      <c r="I247" s="4" t="s">
        <v>2596</v>
      </c>
      <c r="J247" s="4">
        <v>17.843299999999999</v>
      </c>
      <c r="K247" s="4">
        <v>17.959099999999999</v>
      </c>
      <c r="L247" s="4">
        <v>17.550599999999999</v>
      </c>
      <c r="M247" s="4">
        <f t="shared" si="13"/>
        <v>17.784333333333333</v>
      </c>
      <c r="Q247" s="43" t="s">
        <v>3059</v>
      </c>
      <c r="R247" s="4">
        <v>17.539861509687899</v>
      </c>
      <c r="S247" s="4">
        <v>17.712228031944999</v>
      </c>
      <c r="T247" s="4">
        <v>17.749945124775099</v>
      </c>
      <c r="U247" s="4">
        <f t="shared" si="14"/>
        <v>17.667344888802663</v>
      </c>
      <c r="X247" s="43" t="s">
        <v>1719</v>
      </c>
      <c r="Y247" s="4">
        <v>17.678073069923599</v>
      </c>
      <c r="Z247" s="4">
        <v>17.731468477480401</v>
      </c>
      <c r="AA247" s="4">
        <v>17.7208788893807</v>
      </c>
      <c r="AB247" s="4">
        <f t="shared" si="15"/>
        <v>17.710140145594902</v>
      </c>
      <c r="AK247" s="4" t="s">
        <v>3297</v>
      </c>
      <c r="AM247" s="4" t="s">
        <v>4578</v>
      </c>
      <c r="AP247" s="2"/>
      <c r="AT247" s="6"/>
      <c r="AV247" s="1"/>
    </row>
    <row r="248" spans="2:50" x14ac:dyDescent="0.2">
      <c r="B248" s="4" t="s">
        <v>100</v>
      </c>
      <c r="C248" s="4">
        <v>17.790600000000001</v>
      </c>
      <c r="D248" s="4">
        <v>17.633199999999999</v>
      </c>
      <c r="E248" s="4">
        <v>17.730799999999999</v>
      </c>
      <c r="F248" s="4">
        <f t="shared" si="12"/>
        <v>17.7182</v>
      </c>
      <c r="I248" s="4" t="s">
        <v>3878</v>
      </c>
      <c r="J248" s="4">
        <v>17.761700000000001</v>
      </c>
      <c r="K248" s="4">
        <v>17.777899999999999</v>
      </c>
      <c r="L248" s="4">
        <v>17.809899999999999</v>
      </c>
      <c r="M248" s="4">
        <f t="shared" si="13"/>
        <v>17.783166666666666</v>
      </c>
      <c r="Q248" s="43" t="s">
        <v>2944</v>
      </c>
      <c r="R248" s="4">
        <v>17.9626502512636</v>
      </c>
      <c r="S248" s="4">
        <v>17.584653860811098</v>
      </c>
      <c r="T248" s="4">
        <v>17.418074998187599</v>
      </c>
      <c r="U248" s="4">
        <f t="shared" si="14"/>
        <v>17.655126370087434</v>
      </c>
      <c r="X248" s="43" t="s">
        <v>374</v>
      </c>
      <c r="Y248" s="4">
        <v>17.726052342003602</v>
      </c>
      <c r="Z248" s="4">
        <v>17.796672291179</v>
      </c>
      <c r="AA248" s="4">
        <v>17.607630188046699</v>
      </c>
      <c r="AB248" s="4">
        <f t="shared" si="15"/>
        <v>17.710118273743102</v>
      </c>
      <c r="AK248" s="4" t="s">
        <v>2489</v>
      </c>
      <c r="AM248" s="4" t="s">
        <v>3585</v>
      </c>
      <c r="AP248" s="2"/>
      <c r="AT248" s="6"/>
      <c r="AV248" s="1"/>
    </row>
    <row r="249" spans="2:50" x14ac:dyDescent="0.2">
      <c r="B249" s="4" t="s">
        <v>3762</v>
      </c>
      <c r="C249" s="4">
        <v>17.3111</v>
      </c>
      <c r="D249" s="4">
        <v>18.006</v>
      </c>
      <c r="E249" s="4">
        <v>17.834800000000001</v>
      </c>
      <c r="F249" s="4">
        <f t="shared" si="12"/>
        <v>17.717299999999998</v>
      </c>
      <c r="I249" s="4" t="s">
        <v>582</v>
      </c>
      <c r="J249" s="4">
        <v>17.582100000000001</v>
      </c>
      <c r="K249" s="4">
        <v>18.097300000000001</v>
      </c>
      <c r="L249" s="4">
        <v>17.663799999999998</v>
      </c>
      <c r="M249" s="4">
        <f t="shared" si="13"/>
        <v>17.781066666666664</v>
      </c>
      <c r="Q249" s="43" t="s">
        <v>2744</v>
      </c>
      <c r="R249" s="4">
        <v>17.854389375179998</v>
      </c>
      <c r="S249" s="4">
        <v>17.608015574669199</v>
      </c>
      <c r="T249" s="4">
        <v>17.487350538340898</v>
      </c>
      <c r="U249" s="4">
        <f t="shared" si="14"/>
        <v>17.649918496063368</v>
      </c>
      <c r="X249" s="43" t="s">
        <v>2485</v>
      </c>
      <c r="Y249" s="4">
        <v>17.773741740582899</v>
      </c>
      <c r="Z249" s="4">
        <v>17.704685265252198</v>
      </c>
      <c r="AA249" s="4">
        <v>17.598404750251799</v>
      </c>
      <c r="AB249" s="4">
        <f t="shared" si="15"/>
        <v>17.692277252028969</v>
      </c>
      <c r="AK249" s="4" t="s">
        <v>3678</v>
      </c>
      <c r="AM249" s="4" t="s">
        <v>4438</v>
      </c>
      <c r="AP249" s="2"/>
      <c r="AT249" s="6"/>
      <c r="AV249" s="2"/>
    </row>
    <row r="250" spans="2:50" x14ac:dyDescent="0.2">
      <c r="B250" s="4" t="s">
        <v>1725</v>
      </c>
      <c r="C250" s="4">
        <v>17.793299999999999</v>
      </c>
      <c r="D250" s="4">
        <v>17.6357</v>
      </c>
      <c r="E250" s="4">
        <v>17.690200000000001</v>
      </c>
      <c r="F250" s="4">
        <f t="shared" si="12"/>
        <v>17.706400000000002</v>
      </c>
      <c r="I250" s="4" t="s">
        <v>1901</v>
      </c>
      <c r="J250" s="4">
        <v>17.588100000000001</v>
      </c>
      <c r="K250" s="4">
        <v>17.979800000000001</v>
      </c>
      <c r="L250" s="4">
        <v>17.7317</v>
      </c>
      <c r="M250" s="4">
        <f t="shared" si="13"/>
        <v>17.766533333333332</v>
      </c>
      <c r="Q250" s="43" t="s">
        <v>3577</v>
      </c>
      <c r="R250" s="4">
        <v>17.837760303755299</v>
      </c>
      <c r="S250" s="4">
        <v>17.5471881508123</v>
      </c>
      <c r="T250" s="4">
        <v>17.5156076355176</v>
      </c>
      <c r="U250" s="4">
        <f t="shared" si="14"/>
        <v>17.633518696695067</v>
      </c>
      <c r="X250" s="43" t="s">
        <v>1566</v>
      </c>
      <c r="Y250" s="4">
        <v>17.666146680762601</v>
      </c>
      <c r="Z250" s="4">
        <v>18.029210205635</v>
      </c>
      <c r="AA250" s="4">
        <v>17.325269326369298</v>
      </c>
      <c r="AB250" s="4">
        <f t="shared" si="15"/>
        <v>17.673542070922299</v>
      </c>
      <c r="AK250" s="4" t="s">
        <v>3224</v>
      </c>
      <c r="AM250" s="4" t="s">
        <v>2922</v>
      </c>
      <c r="AP250" s="2"/>
      <c r="AT250" s="6"/>
      <c r="AV250" s="2"/>
    </row>
    <row r="251" spans="2:50" x14ac:dyDescent="0.2">
      <c r="B251" s="4" t="s">
        <v>695</v>
      </c>
      <c r="C251" s="4">
        <v>18.217700000000001</v>
      </c>
      <c r="D251" s="4">
        <v>17.729099999999999</v>
      </c>
      <c r="E251" s="4">
        <v>17.160900000000002</v>
      </c>
      <c r="F251" s="4">
        <f t="shared" si="12"/>
        <v>17.702566666666666</v>
      </c>
      <c r="I251" s="4" t="s">
        <v>3704</v>
      </c>
      <c r="J251" s="4">
        <v>17.784300000000002</v>
      </c>
      <c r="K251" s="4">
        <v>17.730399999999999</v>
      </c>
      <c r="L251" s="4">
        <v>17.770299999999999</v>
      </c>
      <c r="M251" s="4">
        <f t="shared" si="13"/>
        <v>17.761666666666667</v>
      </c>
      <c r="Q251" s="43" t="s">
        <v>1680</v>
      </c>
      <c r="R251" s="4">
        <v>17.6932500318382</v>
      </c>
      <c r="S251" s="4">
        <v>17.616872183176401</v>
      </c>
      <c r="T251" s="4">
        <v>17.587968866526101</v>
      </c>
      <c r="U251" s="4">
        <f t="shared" si="14"/>
        <v>17.632697027180232</v>
      </c>
      <c r="X251" s="43" t="s">
        <v>3667</v>
      </c>
      <c r="Y251" s="4">
        <v>17.554994807399002</v>
      </c>
      <c r="Z251" s="4">
        <v>17.826654883051901</v>
      </c>
      <c r="AA251" s="4">
        <v>17.634418555725599</v>
      </c>
      <c r="AB251" s="4">
        <f t="shared" si="15"/>
        <v>17.672022748725499</v>
      </c>
      <c r="AK251" s="4" t="s">
        <v>2387</v>
      </c>
      <c r="AM251" s="4" t="s">
        <v>4529</v>
      </c>
      <c r="AP251" s="2"/>
      <c r="AT251" s="6"/>
      <c r="AV251" s="2"/>
    </row>
    <row r="252" spans="2:50" x14ac:dyDescent="0.2">
      <c r="B252" s="4" t="s">
        <v>3006</v>
      </c>
      <c r="C252" s="4">
        <v>17.865200000000002</v>
      </c>
      <c r="D252" s="4">
        <v>17.7563</v>
      </c>
      <c r="E252" s="4">
        <v>17.484100000000002</v>
      </c>
      <c r="F252" s="4">
        <f t="shared" si="12"/>
        <v>17.701866666666664</v>
      </c>
      <c r="I252" s="4" t="s">
        <v>295</v>
      </c>
      <c r="J252" s="4">
        <v>18.058299999999999</v>
      </c>
      <c r="K252" s="4">
        <v>17.338799999999999</v>
      </c>
      <c r="L252" s="4">
        <v>17.886900000000001</v>
      </c>
      <c r="M252" s="4">
        <f t="shared" si="13"/>
        <v>17.761333333333329</v>
      </c>
      <c r="Q252" s="43" t="s">
        <v>2531</v>
      </c>
      <c r="R252" s="4">
        <v>17.963319912707199</v>
      </c>
      <c r="S252" s="4">
        <v>17.459345826789701</v>
      </c>
      <c r="T252" s="4">
        <v>17.453808709149499</v>
      </c>
      <c r="U252" s="4">
        <f t="shared" si="14"/>
        <v>17.625491482882133</v>
      </c>
      <c r="X252" s="43" t="s">
        <v>1666</v>
      </c>
      <c r="Y252" s="4">
        <v>17.595021091980701</v>
      </c>
      <c r="Z252" s="4">
        <v>17.558897815482599</v>
      </c>
      <c r="AA252" s="4">
        <v>17.857813735495299</v>
      </c>
      <c r="AB252" s="4">
        <f t="shared" si="15"/>
        <v>17.670577547652865</v>
      </c>
      <c r="AK252" s="4" t="s">
        <v>3606</v>
      </c>
      <c r="AM252" s="4" t="s">
        <v>4441</v>
      </c>
      <c r="AP252" s="2"/>
      <c r="AT252" s="6"/>
      <c r="AV252" s="2"/>
    </row>
    <row r="253" spans="2:50" x14ac:dyDescent="0.2">
      <c r="B253" s="4" t="s">
        <v>3262</v>
      </c>
      <c r="C253" s="4">
        <v>17.424199999999999</v>
      </c>
      <c r="D253" s="4">
        <v>17.779199999999999</v>
      </c>
      <c r="E253" s="4">
        <v>17.884899999999998</v>
      </c>
      <c r="F253" s="4">
        <f t="shared" si="12"/>
        <v>17.696100000000001</v>
      </c>
      <c r="I253" s="4" t="s">
        <v>798</v>
      </c>
      <c r="J253" s="4">
        <v>17.7026</v>
      </c>
      <c r="K253" s="4">
        <v>17.653300000000002</v>
      </c>
      <c r="L253" s="4">
        <v>17.904399999999999</v>
      </c>
      <c r="M253" s="4">
        <f t="shared" si="13"/>
        <v>17.753433333333334</v>
      </c>
      <c r="Q253" s="43" t="s">
        <v>1662</v>
      </c>
      <c r="R253" s="4">
        <v>17.6784929122182</v>
      </c>
      <c r="S253" s="4">
        <v>17.553922948892101</v>
      </c>
      <c r="T253" s="4">
        <v>17.643196330018402</v>
      </c>
      <c r="U253" s="4">
        <f t="shared" si="14"/>
        <v>17.625204063709564</v>
      </c>
      <c r="X253" s="43" t="s">
        <v>1324</v>
      </c>
      <c r="Y253" s="4">
        <v>17.627187544147201</v>
      </c>
      <c r="Z253" s="4">
        <v>17.829743024022601</v>
      </c>
      <c r="AA253" s="4">
        <v>17.5264850882829</v>
      </c>
      <c r="AB253" s="4">
        <f t="shared" si="15"/>
        <v>17.661138552150902</v>
      </c>
      <c r="AK253" s="4" t="s">
        <v>2804</v>
      </c>
      <c r="AM253" s="4" t="s">
        <v>4442</v>
      </c>
      <c r="AP253" s="2"/>
      <c r="AT253" s="6"/>
      <c r="AV253" s="2"/>
    </row>
    <row r="254" spans="2:50" x14ac:dyDescent="0.2">
      <c r="B254" s="4" t="s">
        <v>1709</v>
      </c>
      <c r="C254" s="4">
        <v>17.655999999999999</v>
      </c>
      <c r="D254" s="4">
        <v>17.712399999999999</v>
      </c>
      <c r="E254" s="4">
        <v>17.651700000000002</v>
      </c>
      <c r="F254" s="4">
        <f t="shared" si="12"/>
        <v>17.673366666666666</v>
      </c>
      <c r="I254" s="4" t="s">
        <v>3223</v>
      </c>
      <c r="J254" s="4">
        <v>17.651399999999999</v>
      </c>
      <c r="K254" s="4">
        <v>17.950900000000001</v>
      </c>
      <c r="L254" s="4">
        <v>17.606999999999999</v>
      </c>
      <c r="M254" s="4">
        <f t="shared" si="13"/>
        <v>17.736433333333334</v>
      </c>
      <c r="Q254" s="43" t="s">
        <v>1826</v>
      </c>
      <c r="R254" s="4">
        <v>17.7663802143258</v>
      </c>
      <c r="S254" s="4">
        <v>17.405039896207398</v>
      </c>
      <c r="T254" s="4">
        <v>17.675693375697598</v>
      </c>
      <c r="U254" s="4">
        <f t="shared" si="14"/>
        <v>17.615704495410267</v>
      </c>
      <c r="X254" s="43" t="s">
        <v>4556</v>
      </c>
      <c r="Y254" s="4">
        <v>17.562863125671399</v>
      </c>
      <c r="Z254" s="4">
        <v>17.519953588182599</v>
      </c>
      <c r="AA254" s="4">
        <v>17.856212880451601</v>
      </c>
      <c r="AB254" s="4">
        <f t="shared" si="15"/>
        <v>17.646343198101867</v>
      </c>
      <c r="AK254" s="4" t="s">
        <v>3790</v>
      </c>
      <c r="AM254" s="4" t="s">
        <v>417</v>
      </c>
      <c r="AP254" s="2"/>
      <c r="AT254" s="6"/>
      <c r="AV254" s="1"/>
    </row>
    <row r="255" spans="2:50" x14ac:dyDescent="0.2">
      <c r="B255" s="4" t="s">
        <v>3323</v>
      </c>
      <c r="C255" s="4">
        <v>17.670500000000001</v>
      </c>
      <c r="D255" s="4">
        <v>17.653300000000002</v>
      </c>
      <c r="E255" s="4">
        <v>17.683</v>
      </c>
      <c r="F255" s="4">
        <f t="shared" si="12"/>
        <v>17.668933333333335</v>
      </c>
      <c r="I255" s="4" t="s">
        <v>2852</v>
      </c>
      <c r="J255" s="4">
        <v>17.723800000000001</v>
      </c>
      <c r="K255" s="4">
        <v>17.8398</v>
      </c>
      <c r="L255" s="4">
        <v>17.598700000000001</v>
      </c>
      <c r="M255" s="4">
        <f t="shared" si="13"/>
        <v>17.720766666666666</v>
      </c>
      <c r="Q255" s="43" t="s">
        <v>1711</v>
      </c>
      <c r="R255" s="4">
        <v>17.684285654040501</v>
      </c>
      <c r="S255" s="4">
        <v>17.492185068308199</v>
      </c>
      <c r="T255" s="4">
        <v>17.657768096873799</v>
      </c>
      <c r="U255" s="4">
        <f t="shared" si="14"/>
        <v>17.611412939740831</v>
      </c>
      <c r="X255" s="43" t="s">
        <v>1232</v>
      </c>
      <c r="Y255" s="4">
        <v>17.621681312290701</v>
      </c>
      <c r="Z255" s="4">
        <v>17.660509816849601</v>
      </c>
      <c r="AA255" s="4">
        <v>17.655118158086498</v>
      </c>
      <c r="AB255" s="4">
        <f t="shared" si="15"/>
        <v>17.645769762408932</v>
      </c>
      <c r="AK255" s="4" t="s">
        <v>310</v>
      </c>
      <c r="AM255" s="4" t="s">
        <v>4254</v>
      </c>
      <c r="AP255" s="2"/>
      <c r="AT255" s="6"/>
      <c r="AV255" s="1"/>
    </row>
    <row r="256" spans="2:50" x14ac:dyDescent="0.2">
      <c r="B256" s="4" t="s">
        <v>374</v>
      </c>
      <c r="C256" s="4">
        <v>17.373799999999999</v>
      </c>
      <c r="D256" s="4">
        <v>17.6553</v>
      </c>
      <c r="E256" s="4">
        <v>17.9648</v>
      </c>
      <c r="F256" s="4">
        <f t="shared" si="12"/>
        <v>17.664633333333331</v>
      </c>
      <c r="I256" s="4" t="s">
        <v>1319</v>
      </c>
      <c r="J256" s="4">
        <v>17.756900000000002</v>
      </c>
      <c r="K256" s="4">
        <v>17.764800000000001</v>
      </c>
      <c r="L256" s="4">
        <v>17.637499999999999</v>
      </c>
      <c r="M256" s="4">
        <f t="shared" si="13"/>
        <v>17.719733333333334</v>
      </c>
      <c r="Q256" s="43" t="s">
        <v>2655</v>
      </c>
      <c r="R256" s="4">
        <v>17.737711347122701</v>
      </c>
      <c r="S256" s="4">
        <v>17.5812153275395</v>
      </c>
      <c r="T256" s="4">
        <v>17.440565353794</v>
      </c>
      <c r="U256" s="4">
        <f t="shared" si="14"/>
        <v>17.586497342818735</v>
      </c>
      <c r="X256" s="43" t="s">
        <v>3157</v>
      </c>
      <c r="Y256" s="4">
        <v>17.589993288760301</v>
      </c>
      <c r="Z256" s="4">
        <v>17.701865072198199</v>
      </c>
      <c r="AA256" s="4">
        <v>17.534579726088801</v>
      </c>
      <c r="AB256" s="4">
        <f t="shared" si="15"/>
        <v>17.608812695682435</v>
      </c>
      <c r="AK256" s="4" t="s">
        <v>3118</v>
      </c>
      <c r="AM256" s="4" t="s">
        <v>561</v>
      </c>
      <c r="AP256" s="2"/>
      <c r="AT256" s="6"/>
      <c r="AV256" s="2"/>
      <c r="AX256" s="6"/>
    </row>
    <row r="257" spans="2:50" x14ac:dyDescent="0.2">
      <c r="B257" s="4" t="s">
        <v>731</v>
      </c>
      <c r="C257" s="4">
        <v>17.683399999999999</v>
      </c>
      <c r="D257" s="4">
        <v>17.4894</v>
      </c>
      <c r="E257" s="4">
        <v>17.759</v>
      </c>
      <c r="F257" s="4">
        <f t="shared" si="12"/>
        <v>17.643933333333333</v>
      </c>
      <c r="I257" s="4" t="s">
        <v>1689</v>
      </c>
      <c r="J257" s="4">
        <v>17.994599999999998</v>
      </c>
      <c r="K257" s="4">
        <v>17.168299999999999</v>
      </c>
      <c r="L257" s="4">
        <v>17.970600000000001</v>
      </c>
      <c r="M257" s="4">
        <f t="shared" si="13"/>
        <v>17.711166666666667</v>
      </c>
      <c r="Q257" s="43" t="s">
        <v>2427</v>
      </c>
      <c r="R257" s="4">
        <v>17.6742368413707</v>
      </c>
      <c r="S257" s="4">
        <v>17.563519298011901</v>
      </c>
      <c r="T257" s="4">
        <v>17.488042446764599</v>
      </c>
      <c r="U257" s="4">
        <f t="shared" si="14"/>
        <v>17.575266195382397</v>
      </c>
      <c r="X257" s="43" t="s">
        <v>766</v>
      </c>
      <c r="Y257" s="4">
        <v>17.702876484030799</v>
      </c>
      <c r="Z257" s="4">
        <v>17.4394780800808</v>
      </c>
      <c r="AA257" s="4">
        <v>17.640355977159999</v>
      </c>
      <c r="AB257" s="4">
        <f t="shared" si="15"/>
        <v>17.594236847090531</v>
      </c>
      <c r="AK257" s="4" t="s">
        <v>2951</v>
      </c>
      <c r="AM257" s="4" t="s">
        <v>1192</v>
      </c>
      <c r="AP257" s="2"/>
      <c r="AT257" s="6"/>
      <c r="AV257" s="1"/>
      <c r="AX257" s="6"/>
    </row>
    <row r="258" spans="2:50" x14ac:dyDescent="0.2">
      <c r="B258" s="4" t="s">
        <v>2609</v>
      </c>
      <c r="C258" s="4">
        <v>17.444800000000001</v>
      </c>
      <c r="D258" s="4">
        <v>17.668900000000001</v>
      </c>
      <c r="E258" s="4">
        <v>17.805599999999998</v>
      </c>
      <c r="F258" s="4">
        <f t="shared" ref="F258:F321" si="16">(C258+D258+E258)/3</f>
        <v>17.639766666666667</v>
      </c>
      <c r="I258" s="4" t="s">
        <v>3063</v>
      </c>
      <c r="J258" s="4">
        <v>17.744399999999999</v>
      </c>
      <c r="K258" s="4">
        <v>17.8019</v>
      </c>
      <c r="L258" s="4">
        <v>17.565300000000001</v>
      </c>
      <c r="M258" s="4">
        <f t="shared" ref="M258:M321" si="17">(J258+K258+L258)/3</f>
        <v>17.703866666666666</v>
      </c>
      <c r="Q258" s="43" t="s">
        <v>1909</v>
      </c>
      <c r="R258" s="4">
        <v>17.835930074975199</v>
      </c>
      <c r="S258" s="4">
        <v>17.403331377599699</v>
      </c>
      <c r="T258" s="4">
        <v>17.477940498807101</v>
      </c>
      <c r="U258" s="4">
        <f t="shared" ref="U258:U321" si="18">(R258+S258+T258)/3</f>
        <v>17.572400650460665</v>
      </c>
      <c r="X258" s="43" t="s">
        <v>3323</v>
      </c>
      <c r="Y258" s="4">
        <v>17.528746389915799</v>
      </c>
      <c r="Z258" s="4">
        <v>17.8948817095152</v>
      </c>
      <c r="AA258" s="4">
        <v>17.3386585036714</v>
      </c>
      <c r="AB258" s="4">
        <f t="shared" ref="AB258:AB321" si="19">(Y258+Z258+AA258)/3</f>
        <v>17.587428867700797</v>
      </c>
      <c r="AK258" s="4" t="s">
        <v>3402</v>
      </c>
      <c r="AM258" s="4" t="s">
        <v>1284</v>
      </c>
      <c r="AP258" s="2"/>
      <c r="AT258" s="6"/>
      <c r="AV258" s="1"/>
      <c r="AX258" s="6"/>
    </row>
    <row r="259" spans="2:50" x14ac:dyDescent="0.2">
      <c r="B259" s="4" t="s">
        <v>1004</v>
      </c>
      <c r="C259" s="4">
        <v>17.546299999999999</v>
      </c>
      <c r="D259" s="4">
        <v>17.259399999999999</v>
      </c>
      <c r="E259" s="4">
        <v>18.024799999999999</v>
      </c>
      <c r="F259" s="4">
        <f t="shared" si="16"/>
        <v>17.610166666666668</v>
      </c>
      <c r="I259" s="4" t="s">
        <v>1488</v>
      </c>
      <c r="J259" s="4">
        <v>17.299099999999999</v>
      </c>
      <c r="K259" s="4">
        <v>19.015599999999999</v>
      </c>
      <c r="L259" s="4">
        <v>16.782299999999999</v>
      </c>
      <c r="M259" s="4">
        <f t="shared" si="17"/>
        <v>17.699000000000002</v>
      </c>
      <c r="Q259" s="43" t="s">
        <v>2749</v>
      </c>
      <c r="R259" s="4">
        <v>17.578565506636998</v>
      </c>
      <c r="S259" s="4">
        <v>17.6367296775034</v>
      </c>
      <c r="T259" s="4">
        <v>17.493850725926499</v>
      </c>
      <c r="U259" s="4">
        <f t="shared" si="18"/>
        <v>17.569715303355633</v>
      </c>
      <c r="X259" s="43" t="s">
        <v>798</v>
      </c>
      <c r="Y259" s="4">
        <v>17.470308533745101</v>
      </c>
      <c r="Z259" s="4">
        <v>17.777318652078499</v>
      </c>
      <c r="AA259" s="4">
        <v>17.512837669008299</v>
      </c>
      <c r="AB259" s="4">
        <f t="shared" si="19"/>
        <v>17.586821618277302</v>
      </c>
      <c r="AK259" s="4" t="s">
        <v>2945</v>
      </c>
      <c r="AM259" s="4" t="s">
        <v>4255</v>
      </c>
      <c r="AP259" s="2"/>
      <c r="AT259" s="6"/>
      <c r="AV259" s="2"/>
      <c r="AX259" s="6"/>
    </row>
    <row r="260" spans="2:50" x14ac:dyDescent="0.2">
      <c r="B260" s="4" t="s">
        <v>1241</v>
      </c>
      <c r="C260" s="4">
        <v>17.561499999999999</v>
      </c>
      <c r="D260" s="4">
        <v>17.578299999999999</v>
      </c>
      <c r="E260" s="4">
        <v>17.6252</v>
      </c>
      <c r="F260" s="4">
        <f t="shared" si="16"/>
        <v>17.588333333333331</v>
      </c>
      <c r="I260" s="4" t="s">
        <v>647</v>
      </c>
      <c r="J260" s="4">
        <v>17.745100000000001</v>
      </c>
      <c r="K260" s="4">
        <v>18.043500000000002</v>
      </c>
      <c r="L260" s="4">
        <v>17.2578</v>
      </c>
      <c r="M260" s="4">
        <f t="shared" si="17"/>
        <v>17.682133333333336</v>
      </c>
      <c r="Q260" s="43" t="s">
        <v>2088</v>
      </c>
      <c r="R260" s="4">
        <v>17.473338208176202</v>
      </c>
      <c r="S260" s="4">
        <v>17.630615363122001</v>
      </c>
      <c r="T260" s="4">
        <v>17.579529977671999</v>
      </c>
      <c r="U260" s="4">
        <f t="shared" si="18"/>
        <v>17.561161182990066</v>
      </c>
      <c r="X260" s="43" t="s">
        <v>763</v>
      </c>
      <c r="Y260" s="4">
        <v>17.5548040866612</v>
      </c>
      <c r="Z260" s="4">
        <v>17.597994086690701</v>
      </c>
      <c r="AA260" s="4">
        <v>17.598038716624199</v>
      </c>
      <c r="AB260" s="4">
        <f t="shared" si="19"/>
        <v>17.5836122966587</v>
      </c>
      <c r="AK260" s="4" t="s">
        <v>3939</v>
      </c>
      <c r="AM260" s="4" t="s">
        <v>4246</v>
      </c>
      <c r="AP260" s="2"/>
      <c r="AT260" s="6"/>
      <c r="AV260" s="2"/>
      <c r="AX260" s="6"/>
    </row>
    <row r="261" spans="2:50" x14ac:dyDescent="0.2">
      <c r="B261" s="4" t="s">
        <v>3631</v>
      </c>
      <c r="C261" s="4">
        <v>17.598299999999998</v>
      </c>
      <c r="D261" s="4">
        <v>17.760400000000001</v>
      </c>
      <c r="E261" s="4">
        <v>17.403300000000002</v>
      </c>
      <c r="F261" s="4">
        <f t="shared" si="16"/>
        <v>17.587333333333333</v>
      </c>
      <c r="I261" s="4" t="s">
        <v>2377</v>
      </c>
      <c r="J261" s="4">
        <v>17.868600000000001</v>
      </c>
      <c r="K261" s="4">
        <v>17.32</v>
      </c>
      <c r="L261" s="4">
        <v>17.813400000000001</v>
      </c>
      <c r="M261" s="4">
        <f t="shared" si="17"/>
        <v>17.667333333333335</v>
      </c>
      <c r="Q261" s="43" t="s">
        <v>2596</v>
      </c>
      <c r="R261" s="4">
        <v>17.955168840500999</v>
      </c>
      <c r="S261" s="4">
        <v>17.1628181968834</v>
      </c>
      <c r="T261" s="4">
        <v>17.553653366478098</v>
      </c>
      <c r="U261" s="4">
        <f t="shared" si="18"/>
        <v>17.557213467954167</v>
      </c>
      <c r="X261" s="43" t="s">
        <v>3179</v>
      </c>
      <c r="Y261" s="4">
        <v>17.5482278310133</v>
      </c>
      <c r="Z261" s="4">
        <v>17.638488486477499</v>
      </c>
      <c r="AA261" s="4">
        <v>17.5297907729848</v>
      </c>
      <c r="AB261" s="4">
        <f t="shared" si="19"/>
        <v>17.572169030158534</v>
      </c>
      <c r="AK261" s="4" t="s">
        <v>3184</v>
      </c>
      <c r="AM261" s="4" t="s">
        <v>4245</v>
      </c>
      <c r="AP261" s="2"/>
      <c r="AT261" s="6"/>
      <c r="AV261" s="2"/>
      <c r="AX261" s="6"/>
    </row>
    <row r="262" spans="2:50" x14ac:dyDescent="0.2">
      <c r="B262" s="4" t="s">
        <v>658</v>
      </c>
      <c r="C262" s="4">
        <v>17.744199999999999</v>
      </c>
      <c r="D262" s="4">
        <v>17.778700000000001</v>
      </c>
      <c r="E262" s="4">
        <v>17.212499999999999</v>
      </c>
      <c r="F262" s="4">
        <f t="shared" si="16"/>
        <v>17.578466666666667</v>
      </c>
      <c r="I262" s="4" t="s">
        <v>1903</v>
      </c>
      <c r="J262" s="4">
        <v>18.023700000000002</v>
      </c>
      <c r="K262" s="4">
        <v>17.079999999999998</v>
      </c>
      <c r="L262" s="4">
        <v>17.871099999999998</v>
      </c>
      <c r="M262" s="4">
        <f t="shared" si="17"/>
        <v>17.658266666666666</v>
      </c>
      <c r="Q262" s="43" t="s">
        <v>3423</v>
      </c>
      <c r="R262" s="4">
        <v>17.749553481232699</v>
      </c>
      <c r="S262" s="4">
        <v>17.243236325608699</v>
      </c>
      <c r="T262" s="4">
        <v>17.628739028518002</v>
      </c>
      <c r="U262" s="4">
        <f t="shared" si="18"/>
        <v>17.540509611786465</v>
      </c>
      <c r="X262" s="43" t="s">
        <v>2117</v>
      </c>
      <c r="Y262" s="4">
        <v>17.548478288170799</v>
      </c>
      <c r="Z262" s="4">
        <v>17.778423094204499</v>
      </c>
      <c r="AA262" s="4">
        <v>17.3884735634254</v>
      </c>
      <c r="AB262" s="4">
        <f t="shared" si="19"/>
        <v>17.571791648600232</v>
      </c>
      <c r="AK262" s="4" t="s">
        <v>3653</v>
      </c>
      <c r="AM262" s="6" t="s">
        <v>854</v>
      </c>
      <c r="AP262" s="2"/>
      <c r="AT262" s="6"/>
      <c r="AV262" s="2"/>
    </row>
    <row r="263" spans="2:50" x14ac:dyDescent="0.2">
      <c r="B263" s="4" t="s">
        <v>3350</v>
      </c>
      <c r="C263" s="4">
        <v>17.614100000000001</v>
      </c>
      <c r="D263" s="4">
        <v>17.549199999999999</v>
      </c>
      <c r="E263" s="4">
        <v>17.5627</v>
      </c>
      <c r="F263" s="4">
        <f t="shared" si="16"/>
        <v>17.575333333333333</v>
      </c>
      <c r="I263" s="4" t="s">
        <v>2584</v>
      </c>
      <c r="J263" s="4">
        <v>17.360800000000001</v>
      </c>
      <c r="K263" s="4">
        <v>18.5563</v>
      </c>
      <c r="L263" s="4">
        <v>17.055299999999999</v>
      </c>
      <c r="M263" s="4">
        <f t="shared" si="17"/>
        <v>17.657466666666668</v>
      </c>
      <c r="Q263" s="43" t="s">
        <v>3978</v>
      </c>
      <c r="R263" s="4">
        <v>17.6500837044488</v>
      </c>
      <c r="S263" s="4">
        <v>17.450945991752601</v>
      </c>
      <c r="T263" s="4">
        <v>17.4747421064016</v>
      </c>
      <c r="U263" s="4">
        <f t="shared" si="18"/>
        <v>17.525257267534332</v>
      </c>
      <c r="X263" s="43" t="s">
        <v>1681</v>
      </c>
      <c r="Y263" s="4">
        <v>17.372800462242498</v>
      </c>
      <c r="Z263" s="4">
        <v>17.558824741721299</v>
      </c>
      <c r="AA263" s="4">
        <v>17.729933523155399</v>
      </c>
      <c r="AB263" s="4">
        <f t="shared" si="19"/>
        <v>17.553852909039733</v>
      </c>
      <c r="AK263" s="4" t="s">
        <v>3672</v>
      </c>
      <c r="AM263" s="4" t="s">
        <v>4492</v>
      </c>
      <c r="AP263" s="2"/>
      <c r="AT263" s="6"/>
      <c r="AV263" s="1"/>
      <c r="AX263" s="6"/>
    </row>
    <row r="264" spans="2:50" x14ac:dyDescent="0.2">
      <c r="B264" s="4" t="s">
        <v>1903</v>
      </c>
      <c r="C264" s="4">
        <v>17.6584</v>
      </c>
      <c r="D264" s="4">
        <v>17.577300000000001</v>
      </c>
      <c r="E264" s="4">
        <v>17.471599999999999</v>
      </c>
      <c r="F264" s="4">
        <f t="shared" si="16"/>
        <v>17.569100000000002</v>
      </c>
      <c r="I264" s="4" t="s">
        <v>1936</v>
      </c>
      <c r="J264" s="4">
        <v>17.900500000000001</v>
      </c>
      <c r="K264" s="4">
        <v>17.301100000000002</v>
      </c>
      <c r="L264" s="4">
        <v>17.758099999999999</v>
      </c>
      <c r="M264" s="4">
        <f t="shared" si="17"/>
        <v>17.653233333333333</v>
      </c>
      <c r="Q264" s="43" t="s">
        <v>4297</v>
      </c>
      <c r="R264" s="4">
        <v>17.6166625648208</v>
      </c>
      <c r="S264" s="4">
        <v>17.1756859921217</v>
      </c>
      <c r="T264" s="4">
        <v>17.762149758786599</v>
      </c>
      <c r="U264" s="4">
        <f t="shared" si="18"/>
        <v>17.518166105243033</v>
      </c>
      <c r="X264" s="43" t="s">
        <v>3400</v>
      </c>
      <c r="Y264" s="4">
        <v>17.502144449982701</v>
      </c>
      <c r="Z264" s="4">
        <v>17.635053130236599</v>
      </c>
      <c r="AA264" s="4">
        <v>17.5201071628506</v>
      </c>
      <c r="AB264" s="4">
        <f t="shared" si="19"/>
        <v>17.552434914356635</v>
      </c>
      <c r="AK264" s="4" t="s">
        <v>3725</v>
      </c>
      <c r="AM264" s="4" t="s">
        <v>4568</v>
      </c>
      <c r="AP264" s="2"/>
      <c r="AT264" s="6"/>
      <c r="AV264" s="1"/>
      <c r="AX264" s="6"/>
    </row>
    <row r="265" spans="2:50" x14ac:dyDescent="0.2">
      <c r="B265" s="4" t="s">
        <v>1623</v>
      </c>
      <c r="C265" s="4">
        <v>17.8249</v>
      </c>
      <c r="D265" s="4">
        <v>17.298999999999999</v>
      </c>
      <c r="E265" s="4">
        <v>17.573</v>
      </c>
      <c r="F265" s="4">
        <f t="shared" si="16"/>
        <v>17.565633333333334</v>
      </c>
      <c r="I265" s="4" t="s">
        <v>2574</v>
      </c>
      <c r="J265" s="4">
        <v>17.700299999999999</v>
      </c>
      <c r="K265" s="4">
        <v>17.635000000000002</v>
      </c>
      <c r="L265" s="4">
        <v>17.622199999999999</v>
      </c>
      <c r="M265" s="4">
        <f t="shared" si="17"/>
        <v>17.6525</v>
      </c>
      <c r="Q265" s="43" t="s">
        <v>3602</v>
      </c>
      <c r="R265" s="4">
        <v>17.563481094074302</v>
      </c>
      <c r="S265" s="4">
        <v>17.545147868317802</v>
      </c>
      <c r="T265" s="4">
        <v>17.404594831522999</v>
      </c>
      <c r="U265" s="4">
        <f t="shared" si="18"/>
        <v>17.504407931305035</v>
      </c>
      <c r="X265" s="43" t="s">
        <v>1642</v>
      </c>
      <c r="Y265" s="4">
        <v>17.472362412874801</v>
      </c>
      <c r="Z265" s="4">
        <v>17.6838234739439</v>
      </c>
      <c r="AA265" s="4">
        <v>17.462812113178899</v>
      </c>
      <c r="AB265" s="4">
        <f t="shared" si="19"/>
        <v>17.539665999999201</v>
      </c>
      <c r="AK265" s="4" t="s">
        <v>3871</v>
      </c>
      <c r="AM265" s="4" t="s">
        <v>4439</v>
      </c>
      <c r="AP265" s="2"/>
      <c r="AT265" s="6"/>
      <c r="AV265" s="1"/>
      <c r="AX265" s="6"/>
    </row>
    <row r="266" spans="2:50" x14ac:dyDescent="0.2">
      <c r="B266" s="4" t="s">
        <v>1335</v>
      </c>
      <c r="C266" s="4">
        <v>17.648900000000001</v>
      </c>
      <c r="D266" s="4">
        <v>17.543399999999998</v>
      </c>
      <c r="E266" s="4">
        <v>17.4985</v>
      </c>
      <c r="F266" s="4">
        <f t="shared" si="16"/>
        <v>17.563600000000001</v>
      </c>
      <c r="I266" s="4" t="s">
        <v>305</v>
      </c>
      <c r="J266" s="4">
        <v>17.6998</v>
      </c>
      <c r="K266" s="4">
        <v>17.883900000000001</v>
      </c>
      <c r="L266" s="4">
        <v>17.3461</v>
      </c>
      <c r="M266" s="4">
        <f t="shared" si="17"/>
        <v>17.643266666666666</v>
      </c>
      <c r="Q266" s="43" t="s">
        <v>2129</v>
      </c>
      <c r="R266" s="4">
        <v>17.4141272731142</v>
      </c>
      <c r="S266" s="4">
        <v>17.477719221289099</v>
      </c>
      <c r="T266" s="4">
        <v>17.585283291164899</v>
      </c>
      <c r="U266" s="4">
        <f t="shared" si="18"/>
        <v>17.492376595189398</v>
      </c>
      <c r="X266" s="43" t="s">
        <v>2125</v>
      </c>
      <c r="Y266" s="4">
        <v>17.5286592282228</v>
      </c>
      <c r="Z266" s="4">
        <v>17.583208950523399</v>
      </c>
      <c r="AA266" s="4">
        <v>17.457515516974599</v>
      </c>
      <c r="AB266" s="4">
        <f t="shared" si="19"/>
        <v>17.523127898573602</v>
      </c>
      <c r="AK266" s="4" t="s">
        <v>2773</v>
      </c>
      <c r="AM266" s="4" t="s">
        <v>4268</v>
      </c>
      <c r="AP266" s="2"/>
      <c r="AT266" s="6"/>
      <c r="AV266" s="2"/>
      <c r="AX266" s="6"/>
    </row>
    <row r="267" spans="2:50" x14ac:dyDescent="0.2">
      <c r="B267" s="4" t="s">
        <v>3205</v>
      </c>
      <c r="C267" s="4">
        <v>17.6206</v>
      </c>
      <c r="D267" s="4">
        <v>17.530799999999999</v>
      </c>
      <c r="E267" s="4">
        <v>17.5228</v>
      </c>
      <c r="F267" s="4">
        <f t="shared" si="16"/>
        <v>17.558066666666665</v>
      </c>
      <c r="I267" s="4" t="s">
        <v>3494</v>
      </c>
      <c r="J267" s="4">
        <v>17.5595</v>
      </c>
      <c r="K267" s="4">
        <v>17.9603</v>
      </c>
      <c r="L267" s="4">
        <v>17.386900000000001</v>
      </c>
      <c r="M267" s="4">
        <f t="shared" si="17"/>
        <v>17.635566666666666</v>
      </c>
      <c r="Q267" s="43" t="s">
        <v>1253</v>
      </c>
      <c r="R267" s="4">
        <v>17.390090879974402</v>
      </c>
      <c r="S267" s="4">
        <v>17.6704561900494</v>
      </c>
      <c r="T267" s="4">
        <v>17.416262684983799</v>
      </c>
      <c r="U267" s="4">
        <f t="shared" si="18"/>
        <v>17.492269918335868</v>
      </c>
      <c r="X267" s="43" t="s">
        <v>164</v>
      </c>
      <c r="Y267" s="4">
        <v>17.5447042714563</v>
      </c>
      <c r="Z267" s="4">
        <v>17.811405851714301</v>
      </c>
      <c r="AA267" s="4">
        <v>17.1948612043822</v>
      </c>
      <c r="AB267" s="4">
        <f t="shared" si="19"/>
        <v>17.516990442517599</v>
      </c>
      <c r="AK267" s="4" t="s">
        <v>3137</v>
      </c>
      <c r="AM267" s="4" t="s">
        <v>1902</v>
      </c>
      <c r="AP267" s="2"/>
      <c r="AT267" s="6"/>
      <c r="AV267" s="2"/>
      <c r="AX267" s="6"/>
    </row>
    <row r="268" spans="2:50" x14ac:dyDescent="0.2">
      <c r="B268" s="4" t="s">
        <v>3512</v>
      </c>
      <c r="C268" s="4">
        <v>17.721399999999999</v>
      </c>
      <c r="D268" s="4">
        <v>17.53</v>
      </c>
      <c r="E268" s="4">
        <v>17.399999999999999</v>
      </c>
      <c r="F268" s="4">
        <f t="shared" si="16"/>
        <v>17.550466666666669</v>
      </c>
      <c r="I268" s="4" t="s">
        <v>524</v>
      </c>
      <c r="J268" s="4">
        <v>17.676300000000001</v>
      </c>
      <c r="K268" s="4">
        <v>17.334800000000001</v>
      </c>
      <c r="L268" s="4">
        <v>17.853899999999999</v>
      </c>
      <c r="M268" s="4">
        <f t="shared" si="17"/>
        <v>17.621666666666666</v>
      </c>
      <c r="Q268" s="43" t="s">
        <v>909</v>
      </c>
      <c r="R268" s="4">
        <v>16.8181855784599</v>
      </c>
      <c r="S268" s="4">
        <v>17.365531993787702</v>
      </c>
      <c r="T268" s="4">
        <v>18.241530338485099</v>
      </c>
      <c r="U268" s="4">
        <f t="shared" si="18"/>
        <v>17.475082636910901</v>
      </c>
      <c r="X268" s="43" t="s">
        <v>3929</v>
      </c>
      <c r="Y268" s="4">
        <v>17.6151120130918</v>
      </c>
      <c r="Z268" s="4">
        <v>17.605452160028101</v>
      </c>
      <c r="AA268" s="4">
        <v>17.315953987148198</v>
      </c>
      <c r="AB268" s="4">
        <f t="shared" si="19"/>
        <v>17.512172720089364</v>
      </c>
      <c r="AK268" s="4" t="s">
        <v>327</v>
      </c>
      <c r="AM268" s="4" t="s">
        <v>4297</v>
      </c>
      <c r="AP268" s="2"/>
      <c r="AT268" s="6"/>
      <c r="AV268" s="2"/>
      <c r="AX268" s="6"/>
    </row>
    <row r="269" spans="2:50" x14ac:dyDescent="0.2">
      <c r="B269" s="4" t="s">
        <v>1326</v>
      </c>
      <c r="C269" s="4">
        <v>17.582799999999999</v>
      </c>
      <c r="D269" s="4">
        <v>17.419599999999999</v>
      </c>
      <c r="E269" s="4">
        <v>17.616499999999998</v>
      </c>
      <c r="F269" s="4">
        <f t="shared" si="16"/>
        <v>17.539633333333331</v>
      </c>
      <c r="I269" s="4" t="s">
        <v>180</v>
      </c>
      <c r="J269" s="4">
        <v>17.811499999999999</v>
      </c>
      <c r="K269" s="4">
        <v>17.194199999999999</v>
      </c>
      <c r="L269" s="4">
        <v>17.855799999999999</v>
      </c>
      <c r="M269" s="4">
        <f t="shared" si="17"/>
        <v>17.620499999999996</v>
      </c>
      <c r="Q269" s="43" t="s">
        <v>3985</v>
      </c>
      <c r="R269" s="4">
        <v>17.5469963565683</v>
      </c>
      <c r="S269" s="4">
        <v>17.450163459814402</v>
      </c>
      <c r="T269" s="4">
        <v>17.422743959803199</v>
      </c>
      <c r="U269" s="4">
        <f t="shared" si="18"/>
        <v>17.473301258728636</v>
      </c>
      <c r="X269" s="43" t="s">
        <v>3061</v>
      </c>
      <c r="Y269" s="4">
        <v>17.370667385819299</v>
      </c>
      <c r="Z269" s="4">
        <v>17.9071404943289</v>
      </c>
      <c r="AA269" s="4">
        <v>17.254297934115002</v>
      </c>
      <c r="AB269" s="4">
        <f t="shared" si="19"/>
        <v>17.510701938087735</v>
      </c>
      <c r="AK269" s="4" t="s">
        <v>2753</v>
      </c>
      <c r="AM269" s="4" t="s">
        <v>4132</v>
      </c>
      <c r="AP269" s="2"/>
      <c r="AT269" s="6"/>
      <c r="AV269" s="2"/>
      <c r="AX269" s="6"/>
    </row>
    <row r="270" spans="2:50" x14ac:dyDescent="0.2">
      <c r="B270" s="4" t="s">
        <v>2574</v>
      </c>
      <c r="C270" s="4">
        <v>17.508700000000001</v>
      </c>
      <c r="D270" s="4">
        <v>17.610099999999999</v>
      </c>
      <c r="E270" s="4">
        <v>17.497399999999999</v>
      </c>
      <c r="F270" s="4">
        <f t="shared" si="16"/>
        <v>17.538733333333333</v>
      </c>
      <c r="I270" s="4" t="s">
        <v>1709</v>
      </c>
      <c r="J270" s="4">
        <v>17.8508</v>
      </c>
      <c r="K270" s="4">
        <v>17.119599999999998</v>
      </c>
      <c r="L270" s="4">
        <v>17.8889</v>
      </c>
      <c r="M270" s="4">
        <f t="shared" si="17"/>
        <v>17.619766666666667</v>
      </c>
      <c r="Q270" s="43" t="s">
        <v>2844</v>
      </c>
      <c r="R270" s="4">
        <v>17.4156935078529</v>
      </c>
      <c r="S270" s="4">
        <v>17.347458102500401</v>
      </c>
      <c r="T270" s="4">
        <v>17.574940381454802</v>
      </c>
      <c r="U270" s="4">
        <f t="shared" si="18"/>
        <v>17.446030663936035</v>
      </c>
      <c r="X270" s="43" t="s">
        <v>166</v>
      </c>
      <c r="Y270" s="4">
        <v>17.4836438522352</v>
      </c>
      <c r="Z270" s="4">
        <v>17.536024380413799</v>
      </c>
      <c r="AA270" s="4">
        <v>17.504875941703599</v>
      </c>
      <c r="AB270" s="4">
        <f t="shared" si="19"/>
        <v>17.508181391450865</v>
      </c>
      <c r="AK270" s="4" t="s">
        <v>3815</v>
      </c>
      <c r="AM270" s="4" t="s">
        <v>1408</v>
      </c>
      <c r="AP270" s="2"/>
      <c r="AT270" s="6"/>
      <c r="AV270" s="1"/>
      <c r="AX270" s="6"/>
    </row>
    <row r="271" spans="2:50" x14ac:dyDescent="0.2">
      <c r="B271" s="4" t="s">
        <v>1542</v>
      </c>
      <c r="C271" s="4">
        <v>17.1067</v>
      </c>
      <c r="D271" s="4">
        <v>17.180099999999999</v>
      </c>
      <c r="E271" s="4">
        <v>18.312799999999999</v>
      </c>
      <c r="F271" s="4">
        <f t="shared" si="16"/>
        <v>17.533199999999997</v>
      </c>
      <c r="I271" s="4" t="s">
        <v>567</v>
      </c>
      <c r="J271" s="4">
        <v>17.622</v>
      </c>
      <c r="K271" s="4">
        <v>17.716100000000001</v>
      </c>
      <c r="L271" s="4">
        <v>17.503399999999999</v>
      </c>
      <c r="M271" s="4">
        <f t="shared" si="17"/>
        <v>17.613833333333332</v>
      </c>
      <c r="Q271" s="43" t="s">
        <v>2125</v>
      </c>
      <c r="R271" s="4">
        <v>17.5668415962487</v>
      </c>
      <c r="S271" s="4">
        <v>17.321999841390401</v>
      </c>
      <c r="T271" s="4">
        <v>17.422468813869099</v>
      </c>
      <c r="U271" s="4">
        <f t="shared" si="18"/>
        <v>17.4371034171694</v>
      </c>
      <c r="X271" s="43" t="s">
        <v>3631</v>
      </c>
      <c r="Y271" s="4">
        <v>17.545910465404798</v>
      </c>
      <c r="Z271" s="4">
        <v>17.435630894074599</v>
      </c>
      <c r="AA271" s="4">
        <v>17.473357601100101</v>
      </c>
      <c r="AB271" s="4">
        <f t="shared" si="19"/>
        <v>17.484966320193166</v>
      </c>
      <c r="AK271" s="4" t="s">
        <v>3029</v>
      </c>
      <c r="AM271" s="4" t="s">
        <v>4259</v>
      </c>
      <c r="AP271" s="2"/>
      <c r="AT271" s="6"/>
      <c r="AV271" s="2"/>
      <c r="AX271" s="6"/>
    </row>
    <row r="272" spans="2:50" x14ac:dyDescent="0.2">
      <c r="B272" s="4" t="s">
        <v>3938</v>
      </c>
      <c r="C272" s="4">
        <v>17.5837</v>
      </c>
      <c r="D272" s="4">
        <v>17.516100000000002</v>
      </c>
      <c r="E272" s="4">
        <v>17.408000000000001</v>
      </c>
      <c r="F272" s="4">
        <f t="shared" si="16"/>
        <v>17.502600000000001</v>
      </c>
      <c r="I272" s="4" t="s">
        <v>3839</v>
      </c>
      <c r="J272" s="4">
        <v>17.605599999999999</v>
      </c>
      <c r="K272" s="4">
        <v>17.8797</v>
      </c>
      <c r="L272" s="4">
        <v>17.352599999999999</v>
      </c>
      <c r="M272" s="4">
        <f t="shared" si="17"/>
        <v>17.612633333333331</v>
      </c>
      <c r="Q272" s="43" t="s">
        <v>3401</v>
      </c>
      <c r="R272" s="4">
        <v>17.496471234121</v>
      </c>
      <c r="S272" s="4">
        <v>17.267992296653102</v>
      </c>
      <c r="T272" s="4">
        <v>17.483115238691301</v>
      </c>
      <c r="U272" s="4">
        <f t="shared" si="18"/>
        <v>17.415859589821803</v>
      </c>
      <c r="X272" s="43" t="s">
        <v>54</v>
      </c>
      <c r="Y272" s="4">
        <v>17.528051302776799</v>
      </c>
      <c r="Z272" s="4">
        <v>17.414935924691999</v>
      </c>
      <c r="AA272" s="4">
        <v>17.508457622044698</v>
      </c>
      <c r="AB272" s="4">
        <f t="shared" si="19"/>
        <v>17.483814949837832</v>
      </c>
      <c r="AK272" s="4" t="s">
        <v>1388</v>
      </c>
      <c r="AM272" s="4" t="s">
        <v>4267</v>
      </c>
      <c r="AP272" s="2"/>
      <c r="AT272" s="6"/>
      <c r="AV272" s="2"/>
    </row>
    <row r="273" spans="2:50" x14ac:dyDescent="0.2">
      <c r="B273" s="4" t="s">
        <v>687</v>
      </c>
      <c r="C273" s="4">
        <v>17.646899999999999</v>
      </c>
      <c r="D273" s="4">
        <v>17.936599999999999</v>
      </c>
      <c r="E273" s="4">
        <v>16.9177</v>
      </c>
      <c r="F273" s="4">
        <f t="shared" si="16"/>
        <v>17.500399999999999</v>
      </c>
      <c r="I273" s="4" t="s">
        <v>2642</v>
      </c>
      <c r="J273" s="4">
        <v>16.978999999999999</v>
      </c>
      <c r="K273" s="4">
        <v>18.040400000000002</v>
      </c>
      <c r="L273" s="4">
        <v>17.813300000000002</v>
      </c>
      <c r="M273" s="4">
        <f t="shared" si="17"/>
        <v>17.610900000000001</v>
      </c>
      <c r="Q273" s="43" t="s">
        <v>4295</v>
      </c>
      <c r="R273" s="4">
        <v>16.7630116913808</v>
      </c>
      <c r="S273" s="4">
        <v>17.8897562795601</v>
      </c>
      <c r="T273" s="4">
        <v>17.593495647067101</v>
      </c>
      <c r="U273" s="4">
        <f t="shared" si="18"/>
        <v>17.415421206002666</v>
      </c>
      <c r="X273" s="43" t="s">
        <v>1253</v>
      </c>
      <c r="Y273" s="4">
        <v>17.5334958440821</v>
      </c>
      <c r="Z273" s="4">
        <v>17.319711438524799</v>
      </c>
      <c r="AA273" s="4">
        <v>17.5771570334594</v>
      </c>
      <c r="AB273" s="4">
        <f t="shared" si="19"/>
        <v>17.476788105355435</v>
      </c>
      <c r="AK273" s="4" t="s">
        <v>2801</v>
      </c>
      <c r="AM273" s="4" t="s">
        <v>4477</v>
      </c>
      <c r="AP273" s="2"/>
      <c r="AT273" s="6"/>
      <c r="AV273" s="2"/>
    </row>
    <row r="274" spans="2:50" x14ac:dyDescent="0.2">
      <c r="B274" s="4" t="s">
        <v>2622</v>
      </c>
      <c r="C274" s="4">
        <v>17.700900000000001</v>
      </c>
      <c r="D274" s="4">
        <v>17.421500000000002</v>
      </c>
      <c r="E274" s="4">
        <v>17.357800000000001</v>
      </c>
      <c r="F274" s="4">
        <f t="shared" si="16"/>
        <v>17.493399999999998</v>
      </c>
      <c r="I274" s="4" t="s">
        <v>1213</v>
      </c>
      <c r="J274" s="4">
        <v>17.5077</v>
      </c>
      <c r="K274" s="4">
        <v>17.892700000000001</v>
      </c>
      <c r="L274" s="4">
        <v>17.420300000000001</v>
      </c>
      <c r="M274" s="4">
        <f t="shared" si="17"/>
        <v>17.6069</v>
      </c>
      <c r="Q274" s="43" t="s">
        <v>658</v>
      </c>
      <c r="R274" s="4">
        <v>17.261819737439101</v>
      </c>
      <c r="S274" s="4">
        <v>17.246461554566501</v>
      </c>
      <c r="T274" s="4">
        <v>17.7226350007032</v>
      </c>
      <c r="U274" s="4">
        <f t="shared" si="18"/>
        <v>17.410305430902934</v>
      </c>
      <c r="X274" s="43" t="s">
        <v>375</v>
      </c>
      <c r="Y274" s="4">
        <v>17.469590945690701</v>
      </c>
      <c r="Z274" s="4">
        <v>17.591078548776601</v>
      </c>
      <c r="AA274" s="4">
        <v>17.366912061942799</v>
      </c>
      <c r="AB274" s="4">
        <f t="shared" si="19"/>
        <v>17.475860518803369</v>
      </c>
      <c r="AK274" s="4" t="s">
        <v>3325</v>
      </c>
      <c r="AM274" s="4" t="s">
        <v>4600</v>
      </c>
      <c r="AP274" s="2"/>
      <c r="AT274" s="6"/>
      <c r="AV274" s="1"/>
      <c r="AX274" s="6"/>
    </row>
    <row r="275" spans="2:50" x14ac:dyDescent="0.2">
      <c r="B275" s="4" t="s">
        <v>713</v>
      </c>
      <c r="C275" s="4">
        <v>17.513300000000001</v>
      </c>
      <c r="D275" s="4">
        <v>17.5045</v>
      </c>
      <c r="E275" s="4">
        <v>17.4482</v>
      </c>
      <c r="F275" s="4">
        <f t="shared" si="16"/>
        <v>17.488666666666667</v>
      </c>
      <c r="I275" s="4" t="s">
        <v>3789</v>
      </c>
      <c r="J275" s="4">
        <v>17.7744</v>
      </c>
      <c r="K275" s="4">
        <v>17.328299999999999</v>
      </c>
      <c r="L275" s="4">
        <v>17.6616</v>
      </c>
      <c r="M275" s="4">
        <f t="shared" si="17"/>
        <v>17.588100000000001</v>
      </c>
      <c r="Q275" s="43" t="s">
        <v>1502</v>
      </c>
      <c r="R275" s="4">
        <v>17.667271003146599</v>
      </c>
      <c r="S275" s="4">
        <v>17.277275770892501</v>
      </c>
      <c r="T275" s="4">
        <v>17.278012107980899</v>
      </c>
      <c r="U275" s="4">
        <f t="shared" si="18"/>
        <v>17.407519627339997</v>
      </c>
      <c r="X275" s="43" t="s">
        <v>1711</v>
      </c>
      <c r="Y275" s="4">
        <v>17.3701537077464</v>
      </c>
      <c r="Z275" s="4">
        <v>17.4868655410637</v>
      </c>
      <c r="AA275" s="4">
        <v>17.561579306577698</v>
      </c>
      <c r="AB275" s="4">
        <f t="shared" si="19"/>
        <v>17.472866185129266</v>
      </c>
      <c r="AK275" s="4" t="s">
        <v>3422</v>
      </c>
      <c r="AM275" s="4" t="s">
        <v>4324</v>
      </c>
      <c r="AP275" s="2"/>
      <c r="AT275" s="6"/>
      <c r="AV275" s="1"/>
      <c r="AX275" s="6"/>
    </row>
    <row r="276" spans="2:50" x14ac:dyDescent="0.2">
      <c r="B276" s="4" t="s">
        <v>1936</v>
      </c>
      <c r="C276" s="4">
        <v>17.444400000000002</v>
      </c>
      <c r="D276" s="4">
        <v>17.529299999999999</v>
      </c>
      <c r="E276" s="4">
        <v>17.4876</v>
      </c>
      <c r="F276" s="4">
        <f t="shared" si="16"/>
        <v>17.487100000000002</v>
      </c>
      <c r="I276" s="4" t="s">
        <v>1719</v>
      </c>
      <c r="J276" s="4">
        <v>17.3032</v>
      </c>
      <c r="K276" s="4">
        <v>17.9498</v>
      </c>
      <c r="L276" s="4">
        <v>17.502199999999998</v>
      </c>
      <c r="M276" s="4">
        <f t="shared" si="17"/>
        <v>17.585066666666666</v>
      </c>
      <c r="Q276" s="43" t="s">
        <v>3233</v>
      </c>
      <c r="R276" s="4">
        <v>17.580384630991102</v>
      </c>
      <c r="S276" s="4">
        <v>17.266017349630499</v>
      </c>
      <c r="T276" s="4">
        <v>17.363431965525599</v>
      </c>
      <c r="U276" s="4">
        <f t="shared" si="18"/>
        <v>17.403277982049065</v>
      </c>
      <c r="X276" s="43" t="s">
        <v>1223</v>
      </c>
      <c r="Y276" s="4">
        <v>17.619188609570202</v>
      </c>
      <c r="Z276" s="4">
        <v>17.621132450726201</v>
      </c>
      <c r="AA276" s="4">
        <v>17.166692838900499</v>
      </c>
      <c r="AB276" s="4">
        <f t="shared" si="19"/>
        <v>17.469004633065634</v>
      </c>
      <c r="AK276" s="4" t="s">
        <v>2770</v>
      </c>
      <c r="AM276" s="4" t="s">
        <v>4514</v>
      </c>
      <c r="AP276" s="2"/>
      <c r="AT276" s="6"/>
      <c r="AV276" s="2"/>
    </row>
    <row r="277" spans="2:50" x14ac:dyDescent="0.2">
      <c r="B277" s="4" t="s">
        <v>284</v>
      </c>
      <c r="C277" s="4">
        <v>17.8569</v>
      </c>
      <c r="D277" s="4">
        <v>17.4922</v>
      </c>
      <c r="E277" s="4">
        <v>17.099699999999999</v>
      </c>
      <c r="F277" s="4">
        <f t="shared" si="16"/>
        <v>17.482933333333332</v>
      </c>
      <c r="I277" s="4" t="s">
        <v>1717</v>
      </c>
      <c r="J277" s="4">
        <v>17.622399999999999</v>
      </c>
      <c r="K277" s="4">
        <v>17.6706</v>
      </c>
      <c r="L277" s="4">
        <v>17.4557</v>
      </c>
      <c r="M277" s="4">
        <f t="shared" si="17"/>
        <v>17.582899999999999</v>
      </c>
      <c r="Q277" s="43" t="s">
        <v>504</v>
      </c>
      <c r="R277" s="4">
        <v>17.449121185038301</v>
      </c>
      <c r="S277" s="4">
        <v>17.445974831680299</v>
      </c>
      <c r="T277" s="4">
        <v>17.2902332821822</v>
      </c>
      <c r="U277" s="4">
        <f t="shared" si="18"/>
        <v>17.395109766300266</v>
      </c>
      <c r="X277" s="43" t="s">
        <v>3611</v>
      </c>
      <c r="Y277" s="4">
        <v>17.319578651521599</v>
      </c>
      <c r="Z277" s="4">
        <v>17.224174440991899</v>
      </c>
      <c r="AA277" s="4">
        <v>17.8519863547392</v>
      </c>
      <c r="AB277" s="4">
        <f t="shared" si="19"/>
        <v>17.465246482417566</v>
      </c>
      <c r="AK277" s="4" t="s">
        <v>2477</v>
      </c>
      <c r="AM277" s="4" t="s">
        <v>4556</v>
      </c>
      <c r="AP277" s="2"/>
      <c r="AT277" s="6"/>
      <c r="AV277" s="2"/>
      <c r="AX277" s="6"/>
    </row>
    <row r="278" spans="2:50" x14ac:dyDescent="0.2">
      <c r="B278" s="4" t="s">
        <v>2531</v>
      </c>
      <c r="C278" s="4">
        <v>17.398199999999999</v>
      </c>
      <c r="D278" s="4">
        <v>17.6753</v>
      </c>
      <c r="E278" s="4">
        <v>17.333500000000001</v>
      </c>
      <c r="F278" s="4">
        <f t="shared" si="16"/>
        <v>17.468999999999998</v>
      </c>
      <c r="I278" s="4" t="s">
        <v>1513</v>
      </c>
      <c r="J278" s="4">
        <v>17.2044</v>
      </c>
      <c r="K278" s="4">
        <v>18.3371</v>
      </c>
      <c r="L278" s="4">
        <v>17.2042</v>
      </c>
      <c r="M278" s="4">
        <f t="shared" si="17"/>
        <v>17.581900000000001</v>
      </c>
      <c r="Q278" s="43" t="s">
        <v>2214</v>
      </c>
      <c r="R278" s="4">
        <v>17.255816962870099</v>
      </c>
      <c r="S278" s="4">
        <v>17.391643782134</v>
      </c>
      <c r="T278" s="4">
        <v>17.531580191056399</v>
      </c>
      <c r="U278" s="4">
        <f t="shared" si="18"/>
        <v>17.393013645353498</v>
      </c>
      <c r="X278" s="43" t="s">
        <v>1659</v>
      </c>
      <c r="Y278" s="4">
        <v>17.453294911914998</v>
      </c>
      <c r="Z278" s="4">
        <v>17.454951616667302</v>
      </c>
      <c r="AA278" s="4">
        <v>17.4847601123837</v>
      </c>
      <c r="AB278" s="4">
        <f t="shared" si="19"/>
        <v>17.464335546988664</v>
      </c>
      <c r="AK278" s="4" t="s">
        <v>467</v>
      </c>
      <c r="AM278" s="4" t="s">
        <v>4332</v>
      </c>
      <c r="AP278" s="2"/>
      <c r="AT278" s="6"/>
      <c r="AV278" s="1"/>
      <c r="AX278" s="6"/>
    </row>
    <row r="279" spans="2:50" x14ac:dyDescent="0.2">
      <c r="B279" s="4" t="s">
        <v>3063</v>
      </c>
      <c r="C279" s="4">
        <v>17.488299999999999</v>
      </c>
      <c r="D279" s="4">
        <v>17.496200000000002</v>
      </c>
      <c r="E279" s="4">
        <v>17.404499999999999</v>
      </c>
      <c r="F279" s="4">
        <f t="shared" si="16"/>
        <v>17.462999999999997</v>
      </c>
      <c r="I279" s="4" t="s">
        <v>1367</v>
      </c>
      <c r="J279" s="4">
        <v>17.203800000000001</v>
      </c>
      <c r="K279" s="4">
        <v>18.010300000000001</v>
      </c>
      <c r="L279" s="4">
        <v>17.521699999999999</v>
      </c>
      <c r="M279" s="4">
        <f t="shared" si="17"/>
        <v>17.578599999999998</v>
      </c>
      <c r="Q279" s="43" t="s">
        <v>2108</v>
      </c>
      <c r="R279" s="4">
        <v>17.5582379641593</v>
      </c>
      <c r="S279" s="4">
        <v>17.2910263005658</v>
      </c>
      <c r="T279" s="4">
        <v>17.3134704911871</v>
      </c>
      <c r="U279" s="4">
        <f t="shared" si="18"/>
        <v>17.387578251970734</v>
      </c>
      <c r="X279" s="43" t="s">
        <v>1361</v>
      </c>
      <c r="Y279" s="4">
        <v>17.425834285258802</v>
      </c>
      <c r="Z279" s="4">
        <v>17.542765849858299</v>
      </c>
      <c r="AA279" s="4">
        <v>17.404441207053601</v>
      </c>
      <c r="AB279" s="4">
        <f t="shared" si="19"/>
        <v>17.457680447390235</v>
      </c>
      <c r="AK279" s="4" t="s">
        <v>3122</v>
      </c>
      <c r="AM279" s="4" t="s">
        <v>4580</v>
      </c>
      <c r="AV279" s="2"/>
      <c r="AX279" s="6"/>
    </row>
    <row r="280" spans="2:50" x14ac:dyDescent="0.2">
      <c r="B280" s="4" t="s">
        <v>1064</v>
      </c>
      <c r="C280" s="4">
        <v>16.4771</v>
      </c>
      <c r="D280" s="4">
        <v>17.349599999999999</v>
      </c>
      <c r="E280" s="4">
        <v>18.55</v>
      </c>
      <c r="F280" s="4">
        <f t="shared" si="16"/>
        <v>17.4589</v>
      </c>
      <c r="I280" s="4" t="s">
        <v>748</v>
      </c>
      <c r="J280" s="4">
        <v>17.865100000000002</v>
      </c>
      <c r="K280" s="4">
        <v>17.0321</v>
      </c>
      <c r="L280" s="4">
        <v>17.837399999999999</v>
      </c>
      <c r="M280" s="4">
        <f t="shared" si="17"/>
        <v>17.578199999999999</v>
      </c>
      <c r="Q280" s="43" t="s">
        <v>1247</v>
      </c>
      <c r="R280" s="4">
        <v>17.2171794381604</v>
      </c>
      <c r="S280" s="4">
        <v>17.492523020789001</v>
      </c>
      <c r="T280" s="4">
        <v>17.386139982638301</v>
      </c>
      <c r="U280" s="4">
        <f t="shared" si="18"/>
        <v>17.365280813862569</v>
      </c>
      <c r="X280" s="43" t="s">
        <v>1218</v>
      </c>
      <c r="Y280" s="4">
        <v>17.518857829250202</v>
      </c>
      <c r="Z280" s="4">
        <v>17.364225565613399</v>
      </c>
      <c r="AA280" s="4">
        <v>17.482558821322101</v>
      </c>
      <c r="AB280" s="4">
        <f t="shared" si="19"/>
        <v>17.455214072061903</v>
      </c>
      <c r="AK280" s="4" t="s">
        <v>2011</v>
      </c>
      <c r="AM280" s="4" t="s">
        <v>4160</v>
      </c>
      <c r="AV280" s="2"/>
      <c r="AX280" s="6"/>
    </row>
    <row r="281" spans="2:50" x14ac:dyDescent="0.2">
      <c r="B281" s="4" t="s">
        <v>1189</v>
      </c>
      <c r="C281" s="4">
        <v>17.527999999999999</v>
      </c>
      <c r="D281" s="4">
        <v>17.481000000000002</v>
      </c>
      <c r="E281" s="4">
        <v>17.350899999999999</v>
      </c>
      <c r="F281" s="4">
        <f t="shared" si="16"/>
        <v>17.453299999999999</v>
      </c>
      <c r="I281" s="4" t="s">
        <v>2837</v>
      </c>
      <c r="J281" s="4">
        <v>17.786799999999999</v>
      </c>
      <c r="K281" s="4">
        <v>17.124400000000001</v>
      </c>
      <c r="L281" s="4">
        <v>17.814699999999998</v>
      </c>
      <c r="M281" s="4">
        <f t="shared" si="17"/>
        <v>17.575299999999999</v>
      </c>
      <c r="Q281" s="43" t="s">
        <v>6</v>
      </c>
      <c r="R281" s="4">
        <v>17.622816982832202</v>
      </c>
      <c r="S281" s="4">
        <v>17.195436457061</v>
      </c>
      <c r="T281" s="4">
        <v>17.275773034628699</v>
      </c>
      <c r="U281" s="4">
        <f t="shared" si="18"/>
        <v>17.364675491507299</v>
      </c>
      <c r="X281" s="43" t="s">
        <v>4417</v>
      </c>
      <c r="Y281" s="4">
        <v>17.4122348613638</v>
      </c>
      <c r="Z281" s="4">
        <v>17.602062872143598</v>
      </c>
      <c r="AA281" s="4">
        <v>17.340503469182</v>
      </c>
      <c r="AB281" s="4">
        <f t="shared" si="19"/>
        <v>17.451600400896467</v>
      </c>
      <c r="AK281" s="4" t="s">
        <v>337</v>
      </c>
      <c r="AM281" s="4" t="s">
        <v>4238</v>
      </c>
      <c r="AV281" s="1"/>
      <c r="AX281" s="6"/>
    </row>
    <row r="282" spans="2:50" x14ac:dyDescent="0.2">
      <c r="B282" s="4" t="s">
        <v>2485</v>
      </c>
      <c r="C282" s="4">
        <v>17.432600000000001</v>
      </c>
      <c r="D282" s="4">
        <v>17.698899999999998</v>
      </c>
      <c r="E282" s="4">
        <v>17.175699999999999</v>
      </c>
      <c r="F282" s="4">
        <f t="shared" si="16"/>
        <v>17.435733333333335</v>
      </c>
      <c r="I282" s="4" t="s">
        <v>3039</v>
      </c>
      <c r="J282" s="4">
        <v>17.686800000000002</v>
      </c>
      <c r="K282" s="4">
        <v>17.158000000000001</v>
      </c>
      <c r="L282" s="4">
        <v>17.789899999999999</v>
      </c>
      <c r="M282" s="4">
        <f t="shared" si="17"/>
        <v>17.544900000000002</v>
      </c>
      <c r="Q282" s="43" t="s">
        <v>1566</v>
      </c>
      <c r="R282" s="4">
        <v>17.5062282031972</v>
      </c>
      <c r="S282" s="4">
        <v>17.031833122210699</v>
      </c>
      <c r="T282" s="4">
        <v>17.547230797750899</v>
      </c>
      <c r="U282" s="4">
        <f t="shared" si="18"/>
        <v>17.361764041052933</v>
      </c>
      <c r="X282" s="43" t="s">
        <v>964</v>
      </c>
      <c r="Y282" s="4">
        <v>17.1045346023534</v>
      </c>
      <c r="Z282" s="4">
        <v>18.501630009665298</v>
      </c>
      <c r="AA282" s="4">
        <v>16.736769632881199</v>
      </c>
      <c r="AB282" s="4">
        <f t="shared" si="19"/>
        <v>17.447644748299968</v>
      </c>
      <c r="AK282" s="4" t="s">
        <v>341</v>
      </c>
      <c r="AM282" s="4" t="s">
        <v>4318</v>
      </c>
      <c r="AV282" s="2"/>
      <c r="AX282" s="6"/>
    </row>
    <row r="283" spans="2:50" x14ac:dyDescent="0.2">
      <c r="B283" s="4" t="s">
        <v>2244</v>
      </c>
      <c r="C283" s="4">
        <v>17.820699999999999</v>
      </c>
      <c r="D283" s="4">
        <v>17.294899999999998</v>
      </c>
      <c r="E283" s="4">
        <v>17.1906</v>
      </c>
      <c r="F283" s="4">
        <f t="shared" si="16"/>
        <v>17.435400000000001</v>
      </c>
      <c r="I283" s="4" t="s">
        <v>3332</v>
      </c>
      <c r="J283" s="4">
        <v>18.0153</v>
      </c>
      <c r="K283" s="4">
        <v>17.403099999999998</v>
      </c>
      <c r="L283" s="4">
        <v>17.180399999999999</v>
      </c>
      <c r="M283" s="4">
        <f t="shared" si="17"/>
        <v>17.532933333333332</v>
      </c>
      <c r="Q283" s="43" t="s">
        <v>2282</v>
      </c>
      <c r="R283" s="4">
        <v>17.517848819809998</v>
      </c>
      <c r="S283" s="4">
        <v>17.3049771523558</v>
      </c>
      <c r="T283" s="4">
        <v>17.2130491240376</v>
      </c>
      <c r="U283" s="4">
        <f t="shared" si="18"/>
        <v>17.345291698734467</v>
      </c>
      <c r="X283" s="43" t="s">
        <v>3038</v>
      </c>
      <c r="Y283" s="4">
        <v>17.581421956974001</v>
      </c>
      <c r="Z283" s="4">
        <v>17.5226984212003</v>
      </c>
      <c r="AA283" s="4">
        <v>17.186027177997499</v>
      </c>
      <c r="AB283" s="4">
        <f t="shared" si="19"/>
        <v>17.430049185390601</v>
      </c>
      <c r="AK283" s="4" t="s">
        <v>1156</v>
      </c>
      <c r="AM283" s="4" t="s">
        <v>4280</v>
      </c>
      <c r="AV283" s="2"/>
    </row>
    <row r="284" spans="2:50" x14ac:dyDescent="0.2">
      <c r="B284" s="4" t="s">
        <v>766</v>
      </c>
      <c r="C284" s="4">
        <v>18.131699999999999</v>
      </c>
      <c r="D284" s="4">
        <v>17.6601</v>
      </c>
      <c r="E284" s="4">
        <v>16.5105</v>
      </c>
      <c r="F284" s="4">
        <f t="shared" si="16"/>
        <v>17.434099999999997</v>
      </c>
      <c r="I284" s="4" t="s">
        <v>769</v>
      </c>
      <c r="J284" s="4">
        <v>16.886199999999999</v>
      </c>
      <c r="K284" s="4">
        <v>18.924299999999999</v>
      </c>
      <c r="L284" s="4">
        <v>16.776599999999998</v>
      </c>
      <c r="M284" s="4">
        <f t="shared" si="17"/>
        <v>17.529033333333331</v>
      </c>
      <c r="Q284" s="43" t="s">
        <v>1709</v>
      </c>
      <c r="R284" s="4">
        <v>17.192446126235399</v>
      </c>
      <c r="S284" s="4">
        <v>17.3206461925766</v>
      </c>
      <c r="T284" s="4">
        <v>17.498873746979999</v>
      </c>
      <c r="U284" s="4">
        <f t="shared" si="18"/>
        <v>17.337322021930664</v>
      </c>
      <c r="X284" s="43" t="s">
        <v>3757</v>
      </c>
      <c r="Y284" s="4">
        <v>17.3394272407904</v>
      </c>
      <c r="Z284" s="4">
        <v>17.551661640961001</v>
      </c>
      <c r="AA284" s="4">
        <v>17.347510379338601</v>
      </c>
      <c r="AB284" s="4">
        <f t="shared" si="19"/>
        <v>17.412866420363333</v>
      </c>
      <c r="AK284" s="4" t="s">
        <v>3483</v>
      </c>
      <c r="AM284" s="4" t="s">
        <v>947</v>
      </c>
      <c r="AV284" s="2"/>
      <c r="AX284" s="6"/>
    </row>
    <row r="285" spans="2:50" x14ac:dyDescent="0.2">
      <c r="B285" s="4" t="s">
        <v>3971</v>
      </c>
      <c r="C285" s="4">
        <v>17.402899999999999</v>
      </c>
      <c r="D285" s="4">
        <v>17.3611</v>
      </c>
      <c r="E285" s="4">
        <v>17.534099999999999</v>
      </c>
      <c r="F285" s="4">
        <f t="shared" si="16"/>
        <v>17.432699999999997</v>
      </c>
      <c r="I285" s="4" t="s">
        <v>3294</v>
      </c>
      <c r="J285" s="4">
        <v>16.613399999999999</v>
      </c>
      <c r="K285" s="4">
        <v>19.3201</v>
      </c>
      <c r="L285" s="4">
        <v>16.651</v>
      </c>
      <c r="M285" s="4">
        <f t="shared" si="17"/>
        <v>17.528166666666664</v>
      </c>
      <c r="Q285" s="43" t="s">
        <v>1220</v>
      </c>
      <c r="R285" s="4">
        <v>17.096890232230098</v>
      </c>
      <c r="S285" s="4">
        <v>17.628744348749599</v>
      </c>
      <c r="T285" s="4">
        <v>17.272747482641801</v>
      </c>
      <c r="U285" s="4">
        <f t="shared" si="18"/>
        <v>17.332794021207167</v>
      </c>
      <c r="X285" s="43" t="s">
        <v>1213</v>
      </c>
      <c r="Y285" s="4">
        <v>17.6377051681926</v>
      </c>
      <c r="Z285" s="4">
        <v>17.248088770488302</v>
      </c>
      <c r="AA285" s="4">
        <v>17.318774239796198</v>
      </c>
      <c r="AB285" s="4">
        <f t="shared" si="19"/>
        <v>17.401522726159033</v>
      </c>
      <c r="AK285" s="4" t="s">
        <v>1811</v>
      </c>
      <c r="AM285" s="4" t="s">
        <v>4299</v>
      </c>
      <c r="AV285" s="1"/>
      <c r="AX285" s="6"/>
    </row>
    <row r="286" spans="2:50" x14ac:dyDescent="0.2">
      <c r="B286" s="4" t="s">
        <v>1493</v>
      </c>
      <c r="C286" s="4">
        <v>17.5594</v>
      </c>
      <c r="D286" s="4">
        <v>17.107500000000002</v>
      </c>
      <c r="E286" s="4">
        <v>17.6265</v>
      </c>
      <c r="F286" s="4">
        <f t="shared" si="16"/>
        <v>17.431133333333332</v>
      </c>
      <c r="I286" s="4" t="s">
        <v>2796</v>
      </c>
      <c r="J286" s="4">
        <v>17.6844</v>
      </c>
      <c r="K286" s="4">
        <v>17.1403</v>
      </c>
      <c r="L286" s="4">
        <v>17.759699999999999</v>
      </c>
      <c r="M286" s="4">
        <f t="shared" si="17"/>
        <v>17.528133333333333</v>
      </c>
      <c r="Q286" s="43" t="s">
        <v>951</v>
      </c>
      <c r="R286" s="4">
        <v>17.440663830240702</v>
      </c>
      <c r="S286" s="4">
        <v>17.3727459088859</v>
      </c>
      <c r="T286" s="4">
        <v>17.1810792415626</v>
      </c>
      <c r="U286" s="4">
        <f t="shared" si="18"/>
        <v>17.331496326896399</v>
      </c>
      <c r="X286" s="43" t="s">
        <v>2667</v>
      </c>
      <c r="Y286" s="4">
        <v>17.348982439360199</v>
      </c>
      <c r="Z286" s="4">
        <v>17.452531723597001</v>
      </c>
      <c r="AA286" s="4">
        <v>17.356198533125301</v>
      </c>
      <c r="AB286" s="4">
        <f t="shared" si="19"/>
        <v>17.385904232027503</v>
      </c>
      <c r="AK286" s="4" t="s">
        <v>2080</v>
      </c>
      <c r="AM286" s="4" t="s">
        <v>4302</v>
      </c>
      <c r="AV286" s="2"/>
      <c r="AX286" s="6"/>
    </row>
    <row r="287" spans="2:50" x14ac:dyDescent="0.2">
      <c r="B287" s="4" t="s">
        <v>3223</v>
      </c>
      <c r="C287" s="4">
        <v>17.421700000000001</v>
      </c>
      <c r="D287" s="4">
        <v>17.296700000000001</v>
      </c>
      <c r="E287" s="4">
        <v>17.557700000000001</v>
      </c>
      <c r="F287" s="4">
        <f t="shared" si="16"/>
        <v>17.425366666666665</v>
      </c>
      <c r="I287" s="4" t="s">
        <v>3191</v>
      </c>
      <c r="J287" s="4">
        <v>17.441199999999998</v>
      </c>
      <c r="K287" s="4">
        <v>17.796800000000001</v>
      </c>
      <c r="L287" s="4">
        <v>17.341799999999999</v>
      </c>
      <c r="M287" s="4">
        <f t="shared" si="17"/>
        <v>17.526599999999998</v>
      </c>
      <c r="Q287" s="43" t="s">
        <v>2077</v>
      </c>
      <c r="R287" s="4">
        <v>17.379631432200998</v>
      </c>
      <c r="S287" s="4">
        <v>17.362083885456101</v>
      </c>
      <c r="T287" s="4">
        <v>17.244371822944402</v>
      </c>
      <c r="U287" s="4">
        <f t="shared" si="18"/>
        <v>17.328695713533833</v>
      </c>
      <c r="X287" s="43" t="s">
        <v>2111</v>
      </c>
      <c r="Y287" s="4">
        <v>17.283779984395402</v>
      </c>
      <c r="Z287" s="4">
        <v>17.311485548105701</v>
      </c>
      <c r="AA287" s="4">
        <v>17.547542167013201</v>
      </c>
      <c r="AB287" s="4">
        <f t="shared" si="19"/>
        <v>17.380935899838104</v>
      </c>
      <c r="AK287" s="4" t="s">
        <v>4050</v>
      </c>
      <c r="AM287" s="4" t="s">
        <v>4303</v>
      </c>
      <c r="AV287" s="2"/>
      <c r="AX287" s="6"/>
    </row>
    <row r="288" spans="2:50" x14ac:dyDescent="0.2">
      <c r="B288" s="4" t="s">
        <v>2693</v>
      </c>
      <c r="C288" s="4">
        <v>17.536999999999999</v>
      </c>
      <c r="D288" s="4">
        <v>17.412199999999999</v>
      </c>
      <c r="E288" s="4">
        <v>17.3172</v>
      </c>
      <c r="F288" s="4">
        <f t="shared" si="16"/>
        <v>17.422133333333331</v>
      </c>
      <c r="I288" s="4" t="s">
        <v>570</v>
      </c>
      <c r="J288" s="4">
        <v>17.246200000000002</v>
      </c>
      <c r="K288" s="4">
        <v>17.966100000000001</v>
      </c>
      <c r="L288" s="4">
        <v>17.356200000000001</v>
      </c>
      <c r="M288" s="4">
        <f t="shared" si="17"/>
        <v>17.522833333333335</v>
      </c>
      <c r="Q288" s="43" t="s">
        <v>4467</v>
      </c>
      <c r="R288" s="4">
        <v>17.542279298154401</v>
      </c>
      <c r="S288" s="4">
        <v>17.188960868641999</v>
      </c>
      <c r="T288" s="4">
        <v>17.207408531778299</v>
      </c>
      <c r="U288" s="4">
        <f t="shared" si="18"/>
        <v>17.312882899524897</v>
      </c>
      <c r="X288" s="43" t="s">
        <v>3577</v>
      </c>
      <c r="Y288" s="4">
        <v>17.2309567465642</v>
      </c>
      <c r="Z288" s="4">
        <v>17.424256640681499</v>
      </c>
      <c r="AA288" s="4">
        <v>17.475141381958</v>
      </c>
      <c r="AB288" s="4">
        <f t="shared" si="19"/>
        <v>17.376784923067898</v>
      </c>
      <c r="AK288" s="4" t="s">
        <v>2254</v>
      </c>
      <c r="AM288" s="4" t="s">
        <v>4342</v>
      </c>
      <c r="AV288" s="1"/>
      <c r="AX288" s="6"/>
    </row>
    <row r="289" spans="2:50" x14ac:dyDescent="0.2">
      <c r="B289" s="4" t="s">
        <v>891</v>
      </c>
      <c r="C289" s="4">
        <v>17.5487</v>
      </c>
      <c r="D289" s="4">
        <v>17.392800000000001</v>
      </c>
      <c r="E289" s="4">
        <v>17.308900000000001</v>
      </c>
      <c r="F289" s="4">
        <f t="shared" si="16"/>
        <v>17.416800000000002</v>
      </c>
      <c r="I289" s="4" t="s">
        <v>1533</v>
      </c>
      <c r="J289" s="4">
        <v>17.045000000000002</v>
      </c>
      <c r="K289" s="4">
        <v>18.436499999999999</v>
      </c>
      <c r="L289" s="4">
        <v>17.061900000000001</v>
      </c>
      <c r="M289" s="4">
        <f t="shared" si="17"/>
        <v>17.514466666666667</v>
      </c>
      <c r="Q289" s="43" t="s">
        <v>1058</v>
      </c>
      <c r="R289" s="4">
        <v>17.636513882619401</v>
      </c>
      <c r="S289" s="4">
        <v>16.816252522131101</v>
      </c>
      <c r="T289" s="4">
        <v>17.485548908490902</v>
      </c>
      <c r="U289" s="4">
        <f t="shared" si="18"/>
        <v>17.312771771080467</v>
      </c>
      <c r="X289" s="43" t="s">
        <v>2852</v>
      </c>
      <c r="Y289" s="4">
        <v>17.5123876532151</v>
      </c>
      <c r="Z289" s="4">
        <v>17.370127343432099</v>
      </c>
      <c r="AA289" s="4">
        <v>17.238950358667001</v>
      </c>
      <c r="AB289" s="4">
        <f t="shared" si="19"/>
        <v>17.373821785104735</v>
      </c>
      <c r="AK289" s="4" t="s">
        <v>351</v>
      </c>
      <c r="AM289" s="4" t="s">
        <v>4401</v>
      </c>
      <c r="AV289" s="2"/>
      <c r="AX289" s="6"/>
    </row>
    <row r="290" spans="2:50" x14ac:dyDescent="0.2">
      <c r="B290" s="4" t="s">
        <v>2412</v>
      </c>
      <c r="C290" s="4">
        <v>17.5535</v>
      </c>
      <c r="D290" s="4">
        <v>17.411300000000001</v>
      </c>
      <c r="E290" s="4">
        <v>17.283000000000001</v>
      </c>
      <c r="F290" s="4">
        <f t="shared" si="16"/>
        <v>17.415933333333331</v>
      </c>
      <c r="I290" s="4" t="s">
        <v>3074</v>
      </c>
      <c r="J290" s="4">
        <v>16.932099999999998</v>
      </c>
      <c r="K290" s="4">
        <v>19.1493</v>
      </c>
      <c r="L290" s="4">
        <v>16.451000000000001</v>
      </c>
      <c r="M290" s="4">
        <f t="shared" si="17"/>
        <v>17.5108</v>
      </c>
      <c r="Q290" s="43" t="s">
        <v>1478</v>
      </c>
      <c r="R290" s="4">
        <v>17.708704031946699</v>
      </c>
      <c r="S290" s="4">
        <v>17.0075806884904</v>
      </c>
      <c r="T290" s="4">
        <v>17.193483152863699</v>
      </c>
      <c r="U290" s="4">
        <f t="shared" si="18"/>
        <v>17.303255957766932</v>
      </c>
      <c r="X290" s="43" t="s">
        <v>1208</v>
      </c>
      <c r="Y290" s="4">
        <v>17.420764250487402</v>
      </c>
      <c r="Z290" s="4">
        <v>17.382015296410199</v>
      </c>
      <c r="AA290" s="4">
        <v>17.294546791218</v>
      </c>
      <c r="AB290" s="4">
        <f t="shared" si="19"/>
        <v>17.36577544603853</v>
      </c>
      <c r="AK290" s="4" t="s">
        <v>3285</v>
      </c>
      <c r="AM290" s="4" t="s">
        <v>1865</v>
      </c>
      <c r="AV290" s="2"/>
    </row>
    <row r="291" spans="2:50" x14ac:dyDescent="0.2">
      <c r="B291" s="4" t="s">
        <v>742</v>
      </c>
      <c r="C291" s="4">
        <v>16.9084</v>
      </c>
      <c r="D291" s="4">
        <v>17.6038</v>
      </c>
      <c r="E291" s="4">
        <v>17.720500000000001</v>
      </c>
      <c r="F291" s="4">
        <f t="shared" si="16"/>
        <v>17.410900000000002</v>
      </c>
      <c r="I291" s="4" t="s">
        <v>2342</v>
      </c>
      <c r="J291" s="4">
        <v>17.805700000000002</v>
      </c>
      <c r="K291" s="4">
        <v>16.964300000000001</v>
      </c>
      <c r="L291" s="4">
        <v>17.717500000000001</v>
      </c>
      <c r="M291" s="4">
        <f t="shared" si="17"/>
        <v>17.495833333333334</v>
      </c>
      <c r="Q291" s="43" t="s">
        <v>2784</v>
      </c>
      <c r="R291" s="4">
        <v>17.392524655946001</v>
      </c>
      <c r="S291" s="4">
        <v>17.295538172807799</v>
      </c>
      <c r="T291" s="4">
        <v>17.217018487878999</v>
      </c>
      <c r="U291" s="4">
        <f t="shared" si="18"/>
        <v>17.301693772210935</v>
      </c>
      <c r="X291" s="43" t="s">
        <v>2655</v>
      </c>
      <c r="Y291" s="4">
        <v>17.324240089133401</v>
      </c>
      <c r="Z291" s="4">
        <v>17.4103658262969</v>
      </c>
      <c r="AA291" s="4">
        <v>17.351746824572999</v>
      </c>
      <c r="AB291" s="4">
        <f t="shared" si="19"/>
        <v>17.362117580001101</v>
      </c>
      <c r="AK291" s="4" t="s">
        <v>3403</v>
      </c>
      <c r="AM291" s="4" t="s">
        <v>4264</v>
      </c>
      <c r="AV291" s="2"/>
      <c r="AX291" s="6"/>
    </row>
    <row r="292" spans="2:50" x14ac:dyDescent="0.2">
      <c r="B292" s="4" t="s">
        <v>3038</v>
      </c>
      <c r="C292" s="4">
        <v>17.402899999999999</v>
      </c>
      <c r="D292" s="4">
        <v>17.1496</v>
      </c>
      <c r="E292" s="4">
        <v>17.672599999999999</v>
      </c>
      <c r="F292" s="4">
        <f t="shared" si="16"/>
        <v>17.408366666666666</v>
      </c>
      <c r="I292" s="4" t="s">
        <v>705</v>
      </c>
      <c r="J292" s="4">
        <v>17.659400000000002</v>
      </c>
      <c r="K292" s="4">
        <v>17.453299999999999</v>
      </c>
      <c r="L292" s="4">
        <v>17.3552</v>
      </c>
      <c r="M292" s="4">
        <f t="shared" si="17"/>
        <v>17.4893</v>
      </c>
      <c r="Q292" s="43" t="s">
        <v>567</v>
      </c>
      <c r="R292" s="4">
        <v>17.220678645742598</v>
      </c>
      <c r="S292" s="4">
        <v>17.305497774626399</v>
      </c>
      <c r="T292" s="4">
        <v>17.377026704585401</v>
      </c>
      <c r="U292" s="4">
        <f t="shared" si="18"/>
        <v>17.301067708318133</v>
      </c>
      <c r="X292" s="43" t="s">
        <v>2624</v>
      </c>
      <c r="Y292" s="4">
        <v>17.3248073298459</v>
      </c>
      <c r="Z292" s="4">
        <v>17.3821689223909</v>
      </c>
      <c r="AA292" s="4">
        <v>17.359596968893701</v>
      </c>
      <c r="AB292" s="4">
        <f t="shared" si="19"/>
        <v>17.3555244070435</v>
      </c>
      <c r="AK292" s="4" t="s">
        <v>1017</v>
      </c>
      <c r="AM292" s="4" t="s">
        <v>4608</v>
      </c>
      <c r="AV292" s="2"/>
      <c r="AX292" s="6"/>
    </row>
    <row r="293" spans="2:50" x14ac:dyDescent="0.2">
      <c r="B293" s="4" t="s">
        <v>656</v>
      </c>
      <c r="C293" s="4">
        <v>17.4986</v>
      </c>
      <c r="D293" s="4">
        <v>17.252300000000002</v>
      </c>
      <c r="E293" s="4">
        <v>17.471699999999998</v>
      </c>
      <c r="F293" s="4">
        <f t="shared" si="16"/>
        <v>17.407533333333333</v>
      </c>
      <c r="I293" s="4" t="s">
        <v>4025</v>
      </c>
      <c r="J293" s="4">
        <v>17.6005</v>
      </c>
      <c r="K293" s="4">
        <v>17.651199999999999</v>
      </c>
      <c r="L293" s="4">
        <v>17.197500000000002</v>
      </c>
      <c r="M293" s="4">
        <f t="shared" si="17"/>
        <v>17.483066666666669</v>
      </c>
      <c r="Q293" s="43" t="s">
        <v>446</v>
      </c>
      <c r="R293" s="4">
        <v>17.509265056163599</v>
      </c>
      <c r="S293" s="4">
        <v>17.183541719880299</v>
      </c>
      <c r="T293" s="4">
        <v>17.197841003546099</v>
      </c>
      <c r="U293" s="4">
        <f t="shared" si="18"/>
        <v>17.296882593196667</v>
      </c>
      <c r="X293" s="43" t="s">
        <v>2077</v>
      </c>
      <c r="Y293" s="4">
        <v>17.2480672620785</v>
      </c>
      <c r="Z293" s="4">
        <v>17.432808271293101</v>
      </c>
      <c r="AA293" s="4">
        <v>17.383204963847199</v>
      </c>
      <c r="AB293" s="4">
        <f t="shared" si="19"/>
        <v>17.354693499072933</v>
      </c>
      <c r="AK293" s="4" t="s">
        <v>3204</v>
      </c>
      <c r="AM293" s="4" t="s">
        <v>439</v>
      </c>
      <c r="AV293" s="2"/>
      <c r="AX293" s="6"/>
    </row>
    <row r="294" spans="2:50" x14ac:dyDescent="0.2">
      <c r="B294" s="4" t="s">
        <v>2342</v>
      </c>
      <c r="C294" s="4">
        <v>17.496700000000001</v>
      </c>
      <c r="D294" s="4">
        <v>17.488399999999999</v>
      </c>
      <c r="E294" s="4">
        <v>17.179099999999998</v>
      </c>
      <c r="F294" s="4">
        <f t="shared" si="16"/>
        <v>17.388066666666667</v>
      </c>
      <c r="I294" s="4" t="s">
        <v>2</v>
      </c>
      <c r="J294" s="4">
        <v>17.502800000000001</v>
      </c>
      <c r="K294" s="4">
        <v>17.558199999999999</v>
      </c>
      <c r="L294" s="4">
        <v>17.369199999999999</v>
      </c>
      <c r="M294" s="4">
        <f t="shared" si="17"/>
        <v>17.476733333333332</v>
      </c>
      <c r="Q294" s="43" t="s">
        <v>2545</v>
      </c>
      <c r="R294" s="4">
        <v>17.544767425228599</v>
      </c>
      <c r="S294" s="4">
        <v>17.211238178435401</v>
      </c>
      <c r="T294" s="4">
        <v>17.1177572233881</v>
      </c>
      <c r="U294" s="4">
        <f t="shared" si="18"/>
        <v>17.291254275684036</v>
      </c>
      <c r="X294" s="43" t="s">
        <v>3240</v>
      </c>
      <c r="Y294" s="4">
        <v>17.402433226164</v>
      </c>
      <c r="Z294" s="4">
        <v>17.247852083552999</v>
      </c>
      <c r="AA294" s="4">
        <v>17.3453417483917</v>
      </c>
      <c r="AB294" s="4">
        <f t="shared" si="19"/>
        <v>17.331875686036231</v>
      </c>
      <c r="AK294" s="4" t="s">
        <v>2877</v>
      </c>
      <c r="AM294" s="4" t="s">
        <v>3745</v>
      </c>
      <c r="AV294" s="1"/>
      <c r="AX294" s="6"/>
    </row>
    <row r="295" spans="2:50" x14ac:dyDescent="0.2">
      <c r="B295" s="4" t="s">
        <v>2584</v>
      </c>
      <c r="C295" s="4">
        <v>17.604099999999999</v>
      </c>
      <c r="D295" s="4">
        <v>17.428000000000001</v>
      </c>
      <c r="E295" s="4">
        <v>17.094200000000001</v>
      </c>
      <c r="F295" s="4">
        <f t="shared" si="16"/>
        <v>17.375433333333334</v>
      </c>
      <c r="I295" s="4" t="s">
        <v>734</v>
      </c>
      <c r="J295" s="4">
        <v>17.590499999999999</v>
      </c>
      <c r="K295" s="4">
        <v>17.1416</v>
      </c>
      <c r="L295" s="4">
        <v>17.679099999999998</v>
      </c>
      <c r="M295" s="4">
        <f t="shared" si="17"/>
        <v>17.470400000000001</v>
      </c>
      <c r="Q295" s="43" t="s">
        <v>2989</v>
      </c>
      <c r="R295" s="4">
        <v>17.477633543346901</v>
      </c>
      <c r="S295" s="4">
        <v>17.211510170497601</v>
      </c>
      <c r="T295" s="4">
        <v>17.1417822648074</v>
      </c>
      <c r="U295" s="4">
        <f t="shared" si="18"/>
        <v>17.2769753262173</v>
      </c>
      <c r="X295" s="43" t="s">
        <v>1901</v>
      </c>
      <c r="Y295" s="4">
        <v>17.185072477050699</v>
      </c>
      <c r="Z295" s="4">
        <v>17.364860616197699</v>
      </c>
      <c r="AA295" s="4">
        <v>17.423408773176099</v>
      </c>
      <c r="AB295" s="4">
        <f t="shared" si="19"/>
        <v>17.324447288808166</v>
      </c>
      <c r="AK295" s="4" t="s">
        <v>3130</v>
      </c>
      <c r="AM295" s="4" t="s">
        <v>3114</v>
      </c>
      <c r="AV295" s="2"/>
    </row>
    <row r="296" spans="2:50" x14ac:dyDescent="0.2">
      <c r="B296" s="4" t="s">
        <v>781</v>
      </c>
      <c r="C296" s="4">
        <v>17.040099999999999</v>
      </c>
      <c r="D296" s="4">
        <v>17.396100000000001</v>
      </c>
      <c r="E296" s="4">
        <v>17.6447</v>
      </c>
      <c r="F296" s="4">
        <f t="shared" si="16"/>
        <v>17.360299999999999</v>
      </c>
      <c r="I296" s="4" t="s">
        <v>1721</v>
      </c>
      <c r="J296" s="4">
        <v>17.691500000000001</v>
      </c>
      <c r="K296" s="4">
        <v>16.9192</v>
      </c>
      <c r="L296" s="4">
        <v>17.7546</v>
      </c>
      <c r="M296" s="4">
        <f t="shared" si="17"/>
        <v>17.455100000000002</v>
      </c>
      <c r="Q296" s="43" t="s">
        <v>1690</v>
      </c>
      <c r="R296" s="4">
        <v>17.123350710328001</v>
      </c>
      <c r="S296" s="4">
        <v>17.259426310739599</v>
      </c>
      <c r="T296" s="4">
        <v>17.445633951309901</v>
      </c>
      <c r="U296" s="4">
        <f t="shared" si="18"/>
        <v>17.276136990792498</v>
      </c>
      <c r="X296" s="43" t="s">
        <v>4524</v>
      </c>
      <c r="Y296" s="4">
        <v>17.4232335548135</v>
      </c>
      <c r="Z296" s="4">
        <v>16.500762337895701</v>
      </c>
      <c r="AA296" s="4">
        <v>18.047096634270499</v>
      </c>
      <c r="AB296" s="4">
        <f t="shared" si="19"/>
        <v>17.323697508993234</v>
      </c>
      <c r="AK296" s="4" t="s">
        <v>2272</v>
      </c>
      <c r="AM296" s="4" t="s">
        <v>4217</v>
      </c>
      <c r="AV296" s="2"/>
      <c r="AX296" s="6"/>
    </row>
    <row r="297" spans="2:50" x14ac:dyDescent="0.2">
      <c r="B297" s="4" t="s">
        <v>3548</v>
      </c>
      <c r="C297" s="4">
        <v>17.430399999999999</v>
      </c>
      <c r="D297" s="4">
        <v>17.3095</v>
      </c>
      <c r="E297" s="4">
        <v>17.318300000000001</v>
      </c>
      <c r="F297" s="4">
        <f t="shared" si="16"/>
        <v>17.352733333333333</v>
      </c>
      <c r="I297" s="4" t="s">
        <v>1493</v>
      </c>
      <c r="J297" s="4">
        <v>16.868300000000001</v>
      </c>
      <c r="K297" s="4">
        <v>18.925699999999999</v>
      </c>
      <c r="L297" s="4">
        <v>16.5639</v>
      </c>
      <c r="M297" s="4">
        <f t="shared" si="17"/>
        <v>17.452633333333335</v>
      </c>
      <c r="Q297" s="43" t="s">
        <v>1208</v>
      </c>
      <c r="R297" s="4">
        <v>17.2628415079527</v>
      </c>
      <c r="S297" s="4">
        <v>17.1755920170812</v>
      </c>
      <c r="T297" s="4">
        <v>17.354963876185401</v>
      </c>
      <c r="U297" s="4">
        <f t="shared" si="18"/>
        <v>17.264465800406434</v>
      </c>
      <c r="X297" s="43" t="s">
        <v>2413</v>
      </c>
      <c r="Y297" s="4">
        <v>17.250655764575299</v>
      </c>
      <c r="Z297" s="4">
        <v>17.446484827842198</v>
      </c>
      <c r="AA297" s="4">
        <v>17.266059125159899</v>
      </c>
      <c r="AB297" s="4">
        <f t="shared" si="19"/>
        <v>17.321066572525798</v>
      </c>
      <c r="AK297" s="4" t="s">
        <v>3042</v>
      </c>
      <c r="AM297" s="4" t="s">
        <v>4453</v>
      </c>
      <c r="AV297" s="2"/>
      <c r="AX297" s="6"/>
    </row>
    <row r="298" spans="2:50" x14ac:dyDescent="0.2">
      <c r="B298" s="4" t="s">
        <v>856</v>
      </c>
      <c r="C298" s="4">
        <v>17.2624</v>
      </c>
      <c r="D298" s="4">
        <v>17.203399999999998</v>
      </c>
      <c r="E298" s="4">
        <v>17.550999999999998</v>
      </c>
      <c r="F298" s="4">
        <f t="shared" si="16"/>
        <v>17.338933333333333</v>
      </c>
      <c r="I298" s="4" t="s">
        <v>729</v>
      </c>
      <c r="J298" s="4">
        <v>17.6983</v>
      </c>
      <c r="K298" s="4">
        <v>17.1007</v>
      </c>
      <c r="L298" s="4">
        <v>17.524899999999999</v>
      </c>
      <c r="M298" s="4">
        <f t="shared" si="17"/>
        <v>17.441299999999998</v>
      </c>
      <c r="Q298" s="43" t="s">
        <v>1693</v>
      </c>
      <c r="R298" s="4">
        <v>17.1315273362566</v>
      </c>
      <c r="S298" s="4">
        <v>17.273798157971299</v>
      </c>
      <c r="T298" s="4">
        <v>17.383135451724499</v>
      </c>
      <c r="U298" s="4">
        <f t="shared" si="18"/>
        <v>17.262820315317466</v>
      </c>
      <c r="X298" s="43" t="s">
        <v>2989</v>
      </c>
      <c r="Y298" s="4">
        <v>17.339941247639398</v>
      </c>
      <c r="Z298" s="4">
        <v>17.4054279828825</v>
      </c>
      <c r="AA298" s="4">
        <v>17.185562647173299</v>
      </c>
      <c r="AB298" s="4">
        <f t="shared" si="19"/>
        <v>17.310310625898399</v>
      </c>
      <c r="AK298" s="4" t="s">
        <v>1479</v>
      </c>
      <c r="AM298" s="4" t="s">
        <v>1732</v>
      </c>
      <c r="AV298" s="2"/>
    </row>
    <row r="299" spans="2:50" x14ac:dyDescent="0.2">
      <c r="B299" s="4" t="s">
        <v>2425</v>
      </c>
      <c r="C299" s="4">
        <v>17.529900000000001</v>
      </c>
      <c r="D299" s="4">
        <v>17.290800000000001</v>
      </c>
      <c r="E299" s="4">
        <v>17.178000000000001</v>
      </c>
      <c r="F299" s="4">
        <f t="shared" si="16"/>
        <v>17.332899999999999</v>
      </c>
      <c r="I299" s="4" t="s">
        <v>1542</v>
      </c>
      <c r="J299" s="4">
        <v>16.8919</v>
      </c>
      <c r="K299" s="4">
        <v>17.769500000000001</v>
      </c>
      <c r="L299" s="4">
        <v>17.6539</v>
      </c>
      <c r="M299" s="4">
        <f t="shared" si="17"/>
        <v>17.438433333333332</v>
      </c>
      <c r="Q299" s="43" t="s">
        <v>1324</v>
      </c>
      <c r="R299" s="4">
        <v>17.457778767691401</v>
      </c>
      <c r="S299" s="4">
        <v>17.150545195986599</v>
      </c>
      <c r="T299" s="4">
        <v>17.155196549840301</v>
      </c>
      <c r="U299" s="4">
        <f t="shared" si="18"/>
        <v>17.254506837839433</v>
      </c>
      <c r="X299" s="43" t="s">
        <v>2110</v>
      </c>
      <c r="Y299" s="4">
        <v>17.501347923588298</v>
      </c>
      <c r="Z299" s="4">
        <v>17.3973018285614</v>
      </c>
      <c r="AA299" s="4">
        <v>16.993966935552798</v>
      </c>
      <c r="AB299" s="4">
        <f t="shared" si="19"/>
        <v>17.297538895900832</v>
      </c>
      <c r="AK299" s="4" t="s">
        <v>3794</v>
      </c>
      <c r="AM299" s="4" t="s">
        <v>4377</v>
      </c>
      <c r="AV299" s="2"/>
    </row>
    <row r="300" spans="2:50" x14ac:dyDescent="0.2">
      <c r="B300" s="4" t="s">
        <v>3267</v>
      </c>
      <c r="C300" s="4">
        <v>17.754799999999999</v>
      </c>
      <c r="D300" s="4">
        <v>17.266300000000001</v>
      </c>
      <c r="E300" s="4">
        <v>16.944400000000002</v>
      </c>
      <c r="F300" s="4">
        <f t="shared" si="16"/>
        <v>17.321833333333334</v>
      </c>
      <c r="I300" s="4" t="s">
        <v>2425</v>
      </c>
      <c r="J300" s="4">
        <v>17.4633</v>
      </c>
      <c r="K300" s="4">
        <v>17.651599999999998</v>
      </c>
      <c r="L300" s="4">
        <v>17.198</v>
      </c>
      <c r="M300" s="4">
        <f t="shared" si="17"/>
        <v>17.437633333333334</v>
      </c>
      <c r="Q300" s="43" t="s">
        <v>1364</v>
      </c>
      <c r="R300" s="4">
        <v>17.2637382699528</v>
      </c>
      <c r="S300" s="4">
        <v>17.146503175509601</v>
      </c>
      <c r="T300" s="4">
        <v>17.244436331901799</v>
      </c>
      <c r="U300" s="4">
        <f t="shared" si="18"/>
        <v>17.218225925788065</v>
      </c>
      <c r="X300" s="43" t="s">
        <v>3814</v>
      </c>
      <c r="Y300" s="4">
        <v>17.3276077362179</v>
      </c>
      <c r="Z300" s="4">
        <v>17.258491149036001</v>
      </c>
      <c r="AA300" s="4">
        <v>17.306052546953602</v>
      </c>
      <c r="AB300" s="4">
        <f t="shared" si="19"/>
        <v>17.297383810735834</v>
      </c>
      <c r="AK300" s="4" t="s">
        <v>3109</v>
      </c>
      <c r="AM300" s="4" t="s">
        <v>1413</v>
      </c>
      <c r="AV300" s="1"/>
      <c r="AX300" s="6"/>
    </row>
    <row r="301" spans="2:50" x14ac:dyDescent="0.2">
      <c r="B301" s="4" t="s">
        <v>3750</v>
      </c>
      <c r="C301" s="4">
        <v>17.5593</v>
      </c>
      <c r="D301" s="4">
        <v>17.475999999999999</v>
      </c>
      <c r="E301" s="4">
        <v>16.928999999999998</v>
      </c>
      <c r="F301" s="4">
        <f t="shared" si="16"/>
        <v>17.321433333333331</v>
      </c>
      <c r="I301" s="4" t="s">
        <v>1066</v>
      </c>
      <c r="J301" s="4">
        <v>17.447199999999999</v>
      </c>
      <c r="K301" s="4">
        <v>17.6145</v>
      </c>
      <c r="L301" s="4">
        <v>17.2498</v>
      </c>
      <c r="M301" s="4">
        <f t="shared" si="17"/>
        <v>17.437166666666666</v>
      </c>
      <c r="Q301" s="43" t="s">
        <v>1705</v>
      </c>
      <c r="R301" s="4">
        <v>17.0277230724829</v>
      </c>
      <c r="S301" s="4">
        <v>17.392150659625401</v>
      </c>
      <c r="T301" s="4">
        <v>17.232737290735301</v>
      </c>
      <c r="U301" s="4">
        <f t="shared" si="18"/>
        <v>17.217537007614535</v>
      </c>
      <c r="X301" s="43" t="s">
        <v>4025</v>
      </c>
      <c r="Y301" s="4">
        <v>17.291815009592298</v>
      </c>
      <c r="Z301" s="4">
        <v>17.342293034802399</v>
      </c>
      <c r="AA301" s="4">
        <v>17.239875430688102</v>
      </c>
      <c r="AB301" s="4">
        <f t="shared" si="19"/>
        <v>17.291327825027597</v>
      </c>
      <c r="AK301" s="4" t="s">
        <v>3551</v>
      </c>
      <c r="AM301" s="4" t="s">
        <v>2361</v>
      </c>
      <c r="AV301" s="2"/>
      <c r="AX301" s="6"/>
    </row>
    <row r="302" spans="2:50" x14ac:dyDescent="0.2">
      <c r="B302" s="4" t="s">
        <v>3002</v>
      </c>
      <c r="C302" s="4">
        <v>16.306899999999999</v>
      </c>
      <c r="D302" s="4">
        <v>16.871700000000001</v>
      </c>
      <c r="E302" s="4">
        <v>18.780899999999999</v>
      </c>
      <c r="F302" s="4">
        <f t="shared" si="16"/>
        <v>17.319833333333335</v>
      </c>
      <c r="I302" s="4" t="s">
        <v>960</v>
      </c>
      <c r="J302" s="4">
        <v>16.8569</v>
      </c>
      <c r="K302" s="4">
        <v>18.012799999999999</v>
      </c>
      <c r="L302" s="4">
        <v>17.418900000000001</v>
      </c>
      <c r="M302" s="4">
        <f t="shared" si="17"/>
        <v>17.429533333333332</v>
      </c>
      <c r="Q302" s="43" t="s">
        <v>3038</v>
      </c>
      <c r="R302" s="4">
        <v>16.909429886216198</v>
      </c>
      <c r="S302" s="4">
        <v>17.166753253058001</v>
      </c>
      <c r="T302" s="4">
        <v>17.5742628551357</v>
      </c>
      <c r="U302" s="4">
        <f t="shared" si="18"/>
        <v>17.216815331469967</v>
      </c>
      <c r="X302" s="43" t="s">
        <v>1643</v>
      </c>
      <c r="Y302" s="4">
        <v>17.117460366276902</v>
      </c>
      <c r="Z302" s="4">
        <v>17.4065111259982</v>
      </c>
      <c r="AA302" s="4">
        <v>17.320098645868502</v>
      </c>
      <c r="AB302" s="4">
        <f t="shared" si="19"/>
        <v>17.281356712714537</v>
      </c>
      <c r="AK302" s="4" t="s">
        <v>3917</v>
      </c>
      <c r="AM302" s="4" t="s">
        <v>4533</v>
      </c>
      <c r="AV302" s="2"/>
      <c r="AX302" s="6"/>
    </row>
    <row r="303" spans="2:50" x14ac:dyDescent="0.2">
      <c r="B303" s="4" t="s">
        <v>1835</v>
      </c>
      <c r="C303" s="4">
        <v>17.334800000000001</v>
      </c>
      <c r="D303" s="4">
        <v>17.357500000000002</v>
      </c>
      <c r="E303" s="4">
        <v>17.247299999999999</v>
      </c>
      <c r="F303" s="4">
        <f t="shared" si="16"/>
        <v>17.313199999999998</v>
      </c>
      <c r="I303" s="4" t="s">
        <v>1326</v>
      </c>
      <c r="J303" s="4">
        <v>17.189800000000002</v>
      </c>
      <c r="K303" s="4">
        <v>17.8933</v>
      </c>
      <c r="L303" s="4">
        <v>17.183800000000002</v>
      </c>
      <c r="M303" s="4">
        <f t="shared" si="17"/>
        <v>17.422300000000003</v>
      </c>
      <c r="Q303" s="43" t="s">
        <v>4263</v>
      </c>
      <c r="R303" s="4">
        <v>17.242011039841898</v>
      </c>
      <c r="S303" s="4">
        <v>17.333437057682701</v>
      </c>
      <c r="T303" s="4">
        <v>17.066594015603702</v>
      </c>
      <c r="U303" s="4">
        <f t="shared" si="18"/>
        <v>17.214014037709433</v>
      </c>
      <c r="X303" s="43" t="s">
        <v>589</v>
      </c>
      <c r="Y303" s="4">
        <v>17.157972896236</v>
      </c>
      <c r="Z303" s="4">
        <v>17.261458333140499</v>
      </c>
      <c r="AA303" s="4">
        <v>17.412974478941901</v>
      </c>
      <c r="AB303" s="4">
        <f t="shared" si="19"/>
        <v>17.277468569439467</v>
      </c>
      <c r="AK303" s="4" t="s">
        <v>2882</v>
      </c>
      <c r="AM303" s="4" t="s">
        <v>4198</v>
      </c>
      <c r="AV303" s="2"/>
      <c r="AX303" s="6"/>
    </row>
    <row r="304" spans="2:50" x14ac:dyDescent="0.2">
      <c r="B304" s="4" t="s">
        <v>1891</v>
      </c>
      <c r="C304" s="4">
        <v>17.0733</v>
      </c>
      <c r="D304" s="4">
        <v>17.343499999999999</v>
      </c>
      <c r="E304" s="4">
        <v>17.510400000000001</v>
      </c>
      <c r="F304" s="4">
        <f t="shared" si="16"/>
        <v>17.309066666666666</v>
      </c>
      <c r="I304" s="4" t="s">
        <v>3399</v>
      </c>
      <c r="J304" s="4">
        <v>17.152799999999999</v>
      </c>
      <c r="K304" s="4">
        <v>18.2729</v>
      </c>
      <c r="L304" s="4">
        <v>16.8353</v>
      </c>
      <c r="M304" s="4">
        <f t="shared" si="17"/>
        <v>17.420333333333332</v>
      </c>
      <c r="Q304" s="43" t="s">
        <v>2317</v>
      </c>
      <c r="R304" s="4">
        <v>17.474379414533001</v>
      </c>
      <c r="S304" s="4">
        <v>17.0886389357923</v>
      </c>
      <c r="T304" s="4">
        <v>17.064399589738201</v>
      </c>
      <c r="U304" s="4">
        <f t="shared" si="18"/>
        <v>17.209139313354502</v>
      </c>
      <c r="X304" s="43" t="s">
        <v>55</v>
      </c>
      <c r="Y304" s="4">
        <v>17.248325243350202</v>
      </c>
      <c r="Z304" s="4">
        <v>17.3568542532302</v>
      </c>
      <c r="AA304" s="4">
        <v>17.207651074131199</v>
      </c>
      <c r="AB304" s="4">
        <f t="shared" si="19"/>
        <v>17.270943523570534</v>
      </c>
      <c r="AK304" s="4" t="s">
        <v>3507</v>
      </c>
      <c r="AM304" s="4" t="s">
        <v>4207</v>
      </c>
      <c r="AV304" s="2"/>
      <c r="AX304" s="6"/>
    </row>
    <row r="305" spans="2:50" x14ac:dyDescent="0.2">
      <c r="B305" s="4" t="s">
        <v>2400</v>
      </c>
      <c r="C305" s="4">
        <v>17.378799999999998</v>
      </c>
      <c r="D305" s="4">
        <v>17.391400000000001</v>
      </c>
      <c r="E305" s="4">
        <v>17.156099999999999</v>
      </c>
      <c r="F305" s="4">
        <f t="shared" si="16"/>
        <v>17.308766666666667</v>
      </c>
      <c r="I305" s="4" t="s">
        <v>3739</v>
      </c>
      <c r="J305" s="4">
        <v>16.827300000000001</v>
      </c>
      <c r="K305" s="4">
        <v>18.7378</v>
      </c>
      <c r="L305" s="4">
        <v>16.6935</v>
      </c>
      <c r="M305" s="4">
        <f t="shared" si="17"/>
        <v>17.419533333333334</v>
      </c>
      <c r="Q305" s="43" t="s">
        <v>3757</v>
      </c>
      <c r="R305" s="4">
        <v>17.361305386409899</v>
      </c>
      <c r="S305" s="4">
        <v>17.133883298650002</v>
      </c>
      <c r="T305" s="4">
        <v>17.100029529296201</v>
      </c>
      <c r="U305" s="4">
        <f t="shared" si="18"/>
        <v>17.198406071452034</v>
      </c>
      <c r="X305" s="43" t="s">
        <v>3131</v>
      </c>
      <c r="Y305" s="4">
        <v>17.4652260512424</v>
      </c>
      <c r="Z305" s="4">
        <v>17.560428071961699</v>
      </c>
      <c r="AA305" s="4">
        <v>16.778042493184401</v>
      </c>
      <c r="AB305" s="4">
        <f t="shared" si="19"/>
        <v>17.2678988721295</v>
      </c>
      <c r="AK305" s="4" t="s">
        <v>3727</v>
      </c>
      <c r="AM305" s="4" t="s">
        <v>4406</v>
      </c>
      <c r="AV305" s="2"/>
      <c r="AX305" s="6"/>
    </row>
    <row r="306" spans="2:50" x14ac:dyDescent="0.2">
      <c r="B306" s="4" t="s">
        <v>3796</v>
      </c>
      <c r="C306" s="4">
        <v>17.031099999999999</v>
      </c>
      <c r="D306" s="4">
        <v>17.221699999999998</v>
      </c>
      <c r="E306" s="4">
        <v>17.654699999999998</v>
      </c>
      <c r="F306" s="4">
        <f t="shared" si="16"/>
        <v>17.302499999999998</v>
      </c>
      <c r="I306" s="4" t="s">
        <v>674</v>
      </c>
      <c r="J306" s="4">
        <v>17.254799999999999</v>
      </c>
      <c r="K306" s="4">
        <v>17.8888</v>
      </c>
      <c r="L306" s="4">
        <v>17.102699999999999</v>
      </c>
      <c r="M306" s="4">
        <f t="shared" si="17"/>
        <v>17.415433333333333</v>
      </c>
      <c r="Q306" s="43" t="s">
        <v>2412</v>
      </c>
      <c r="R306" s="4">
        <v>17.096050900559199</v>
      </c>
      <c r="S306" s="4">
        <v>17.2584916167886</v>
      </c>
      <c r="T306" s="4">
        <v>17.229864016191101</v>
      </c>
      <c r="U306" s="4">
        <f t="shared" si="18"/>
        <v>17.194802177846299</v>
      </c>
      <c r="X306" s="43" t="s">
        <v>1352</v>
      </c>
      <c r="Y306" s="4">
        <v>17.2157868051723</v>
      </c>
      <c r="Z306" s="4">
        <v>17.277929268551301</v>
      </c>
      <c r="AA306" s="4">
        <v>17.297143293041799</v>
      </c>
      <c r="AB306" s="4">
        <f t="shared" si="19"/>
        <v>17.263619788921801</v>
      </c>
      <c r="AK306" s="4" t="s">
        <v>3529</v>
      </c>
      <c r="AM306" s="4" t="s">
        <v>1550</v>
      </c>
      <c r="AV306" s="2"/>
    </row>
    <row r="307" spans="2:50" x14ac:dyDescent="0.2">
      <c r="B307" s="4" t="s">
        <v>1721</v>
      </c>
      <c r="C307" s="4">
        <v>17.152999999999999</v>
      </c>
      <c r="D307" s="4">
        <v>17.284800000000001</v>
      </c>
      <c r="E307" s="4">
        <v>17.436800000000002</v>
      </c>
      <c r="F307" s="4">
        <f t="shared" si="16"/>
        <v>17.291533333333334</v>
      </c>
      <c r="I307" s="4" t="s">
        <v>2400</v>
      </c>
      <c r="J307" s="4">
        <v>17.581900000000001</v>
      </c>
      <c r="K307" s="4">
        <v>17.055900000000001</v>
      </c>
      <c r="L307" s="4">
        <v>17.596299999999999</v>
      </c>
      <c r="M307" s="4">
        <f t="shared" si="17"/>
        <v>17.411366666666666</v>
      </c>
      <c r="Q307" s="43" t="s">
        <v>3157</v>
      </c>
      <c r="R307" s="4">
        <v>17.134672861088401</v>
      </c>
      <c r="S307" s="4">
        <v>17.249886697679301</v>
      </c>
      <c r="T307" s="4">
        <v>17.1996024242912</v>
      </c>
      <c r="U307" s="4">
        <f t="shared" si="18"/>
        <v>17.194720661019634</v>
      </c>
      <c r="X307" s="43" t="s">
        <v>368</v>
      </c>
      <c r="Y307" s="4">
        <v>17.242311496730501</v>
      </c>
      <c r="Z307" s="4">
        <v>17.2120779045772</v>
      </c>
      <c r="AA307" s="4">
        <v>17.318281417832001</v>
      </c>
      <c r="AB307" s="4">
        <f t="shared" si="19"/>
        <v>17.257556939713236</v>
      </c>
      <c r="AK307" s="4" t="s">
        <v>2690</v>
      </c>
      <c r="AM307" s="4" t="s">
        <v>2544</v>
      </c>
      <c r="AV307" s="2"/>
    </row>
    <row r="308" spans="2:50" x14ac:dyDescent="0.2">
      <c r="B308" s="4" t="s">
        <v>3704</v>
      </c>
      <c r="C308" s="4">
        <v>17.4284</v>
      </c>
      <c r="D308" s="4">
        <v>17.275300000000001</v>
      </c>
      <c r="E308" s="4">
        <v>17.170300000000001</v>
      </c>
      <c r="F308" s="4">
        <f t="shared" si="16"/>
        <v>17.291333333333331</v>
      </c>
      <c r="I308" s="4" t="s">
        <v>3947</v>
      </c>
      <c r="J308" s="4">
        <v>17.456399999999999</v>
      </c>
      <c r="K308" s="4">
        <v>17.1905</v>
      </c>
      <c r="L308" s="4">
        <v>17.546099999999999</v>
      </c>
      <c r="M308" s="4">
        <f t="shared" si="17"/>
        <v>17.397666666666666</v>
      </c>
      <c r="Q308" s="43" t="s">
        <v>1745</v>
      </c>
      <c r="R308" s="4">
        <v>17.475079488300899</v>
      </c>
      <c r="S308" s="4">
        <v>17.0371638374451</v>
      </c>
      <c r="T308" s="4">
        <v>17.057180850878598</v>
      </c>
      <c r="U308" s="4">
        <f t="shared" si="18"/>
        <v>17.189808058874863</v>
      </c>
      <c r="X308" s="43" t="s">
        <v>916</v>
      </c>
      <c r="Y308" s="4">
        <v>17.160824100314599</v>
      </c>
      <c r="Z308" s="4">
        <v>17.314927439555198</v>
      </c>
      <c r="AA308" s="4">
        <v>17.265170402857699</v>
      </c>
      <c r="AB308" s="4">
        <f t="shared" si="19"/>
        <v>17.246973980909164</v>
      </c>
      <c r="AK308" s="4" t="s">
        <v>1106</v>
      </c>
      <c r="AM308" s="4" t="s">
        <v>4444</v>
      </c>
      <c r="AV308" s="2"/>
      <c r="AX308" s="6"/>
    </row>
    <row r="309" spans="2:50" x14ac:dyDescent="0.2">
      <c r="B309" s="4" t="s">
        <v>2038</v>
      </c>
      <c r="C309" s="4">
        <v>17.439599999999999</v>
      </c>
      <c r="D309" s="4">
        <v>17.150600000000001</v>
      </c>
      <c r="E309" s="4">
        <v>17.275400000000001</v>
      </c>
      <c r="F309" s="4">
        <f t="shared" si="16"/>
        <v>17.288533333333334</v>
      </c>
      <c r="I309" s="4" t="s">
        <v>1715</v>
      </c>
      <c r="J309" s="4">
        <v>17.617599999999999</v>
      </c>
      <c r="K309" s="4">
        <v>17.159300000000002</v>
      </c>
      <c r="L309" s="4">
        <v>17.372499999999999</v>
      </c>
      <c r="M309" s="4">
        <f t="shared" si="17"/>
        <v>17.383133333333333</v>
      </c>
      <c r="Q309" s="43" t="s">
        <v>2</v>
      </c>
      <c r="R309" s="4">
        <v>17.511350360810201</v>
      </c>
      <c r="S309" s="4">
        <v>17.022532172882201</v>
      </c>
      <c r="T309" s="4">
        <v>17.012135833694199</v>
      </c>
      <c r="U309" s="4">
        <f t="shared" si="18"/>
        <v>17.182006122462202</v>
      </c>
      <c r="X309" s="43" t="s">
        <v>1690</v>
      </c>
      <c r="Y309" s="4">
        <v>17.173092356562801</v>
      </c>
      <c r="Z309" s="4">
        <v>17.287591251687001</v>
      </c>
      <c r="AA309" s="4">
        <v>17.2413845015951</v>
      </c>
      <c r="AB309" s="4">
        <f t="shared" si="19"/>
        <v>17.234022703281635</v>
      </c>
      <c r="AK309" s="4" t="s">
        <v>956</v>
      </c>
      <c r="AM309" s="4" t="s">
        <v>2785</v>
      </c>
      <c r="AV309" s="2"/>
    </row>
    <row r="310" spans="2:50" x14ac:dyDescent="0.2">
      <c r="B310" s="4" t="s">
        <v>3725</v>
      </c>
      <c r="C310" s="4">
        <v>17.249099999999999</v>
      </c>
      <c r="D310" s="4">
        <v>16.935400000000001</v>
      </c>
      <c r="E310" s="4">
        <v>17.677199999999999</v>
      </c>
      <c r="F310" s="4">
        <f t="shared" si="16"/>
        <v>17.287233333333333</v>
      </c>
      <c r="I310" s="4" t="s">
        <v>3999</v>
      </c>
      <c r="J310" s="4">
        <v>17.392700000000001</v>
      </c>
      <c r="K310" s="4">
        <v>17.3383</v>
      </c>
      <c r="L310" s="4">
        <v>17.4162</v>
      </c>
      <c r="M310" s="4">
        <f t="shared" si="17"/>
        <v>17.382400000000001</v>
      </c>
      <c r="Q310" s="43" t="s">
        <v>1901</v>
      </c>
      <c r="R310" s="4">
        <v>17.4113272249927</v>
      </c>
      <c r="S310" s="4">
        <v>16.965185892997901</v>
      </c>
      <c r="T310" s="4">
        <v>17.1658379382317</v>
      </c>
      <c r="U310" s="4">
        <f t="shared" si="18"/>
        <v>17.180783685407434</v>
      </c>
      <c r="X310" s="43" t="s">
        <v>1693</v>
      </c>
      <c r="Y310" s="4">
        <v>17.138080719527998</v>
      </c>
      <c r="Z310" s="4">
        <v>17.1298440520276</v>
      </c>
      <c r="AA310" s="4">
        <v>17.419952613855699</v>
      </c>
      <c r="AB310" s="4">
        <f t="shared" si="19"/>
        <v>17.229292461803766</v>
      </c>
      <c r="AK310" s="4" t="s">
        <v>2709</v>
      </c>
      <c r="AM310" s="4" t="s">
        <v>1820</v>
      </c>
      <c r="AV310" s="2"/>
      <c r="AX310" s="6"/>
    </row>
    <row r="311" spans="2:50" x14ac:dyDescent="0.2">
      <c r="B311" s="4" t="s">
        <v>1208</v>
      </c>
      <c r="C311" s="4">
        <v>17.1477</v>
      </c>
      <c r="D311" s="4">
        <v>17.438800000000001</v>
      </c>
      <c r="E311" s="4">
        <v>17.254999999999999</v>
      </c>
      <c r="F311" s="4">
        <f t="shared" si="16"/>
        <v>17.2805</v>
      </c>
      <c r="I311" s="4" t="s">
        <v>1725</v>
      </c>
      <c r="J311" s="4">
        <v>17.477599999999999</v>
      </c>
      <c r="K311" s="4">
        <v>17.052499999999998</v>
      </c>
      <c r="L311" s="4">
        <v>17.549299999999999</v>
      </c>
      <c r="M311" s="4">
        <f t="shared" si="17"/>
        <v>17.359799999999996</v>
      </c>
      <c r="Q311" s="43" t="s">
        <v>570</v>
      </c>
      <c r="R311" s="4">
        <v>17.1245775848131</v>
      </c>
      <c r="S311" s="4">
        <v>17.136663182426101</v>
      </c>
      <c r="T311" s="4">
        <v>17.265647874599001</v>
      </c>
      <c r="U311" s="4">
        <f t="shared" si="18"/>
        <v>17.175629547279399</v>
      </c>
      <c r="X311" s="43" t="s">
        <v>806</v>
      </c>
      <c r="Y311" s="4">
        <v>17.1836552426822</v>
      </c>
      <c r="Z311" s="4">
        <v>16.9392823221546</v>
      </c>
      <c r="AA311" s="4">
        <v>17.553523615256001</v>
      </c>
      <c r="AB311" s="4">
        <f t="shared" si="19"/>
        <v>17.225487060030932</v>
      </c>
      <c r="AK311" s="4" t="s">
        <v>1376</v>
      </c>
      <c r="AM311" s="4" t="s">
        <v>4511</v>
      </c>
      <c r="AV311" s="2"/>
      <c r="AX311" s="6"/>
    </row>
    <row r="312" spans="2:50" x14ac:dyDescent="0.2">
      <c r="B312" s="4" t="s">
        <v>2143</v>
      </c>
      <c r="C312" s="4">
        <v>17.3567</v>
      </c>
      <c r="D312" s="4">
        <v>17.2973</v>
      </c>
      <c r="E312" s="4">
        <v>17.1812</v>
      </c>
      <c r="F312" s="4">
        <f t="shared" si="16"/>
        <v>17.278400000000001</v>
      </c>
      <c r="I312" s="4" t="s">
        <v>2244</v>
      </c>
      <c r="J312" s="4">
        <v>17.486599999999999</v>
      </c>
      <c r="K312" s="4">
        <v>16.988299999999999</v>
      </c>
      <c r="L312" s="4">
        <v>17.600300000000001</v>
      </c>
      <c r="M312" s="4">
        <f t="shared" si="17"/>
        <v>17.3584</v>
      </c>
      <c r="Q312" s="43" t="s">
        <v>2618</v>
      </c>
      <c r="R312" s="4">
        <v>17.471257894550799</v>
      </c>
      <c r="S312" s="4">
        <v>16.861736138800801</v>
      </c>
      <c r="T312" s="4">
        <v>17.1851905209476</v>
      </c>
      <c r="U312" s="4">
        <f t="shared" si="18"/>
        <v>17.172728184766399</v>
      </c>
      <c r="X312" s="43" t="s">
        <v>3602</v>
      </c>
      <c r="Y312" s="4">
        <v>17.199812356579798</v>
      </c>
      <c r="Z312" s="4">
        <v>17.139100782003599</v>
      </c>
      <c r="AA312" s="4">
        <v>17.317673356396298</v>
      </c>
      <c r="AB312" s="4">
        <f t="shared" si="19"/>
        <v>17.218862164993229</v>
      </c>
      <c r="AK312" s="4" t="s">
        <v>2920</v>
      </c>
      <c r="AM312" s="4" t="s">
        <v>4175</v>
      </c>
      <c r="AV312" s="2"/>
      <c r="AX312" s="6"/>
    </row>
    <row r="313" spans="2:50" x14ac:dyDescent="0.2">
      <c r="B313" s="4" t="s">
        <v>1965</v>
      </c>
      <c r="C313" s="4">
        <v>17.604500000000002</v>
      </c>
      <c r="D313" s="4">
        <v>17.311599999999999</v>
      </c>
      <c r="E313" s="4">
        <v>16.8812</v>
      </c>
      <c r="F313" s="4">
        <f t="shared" si="16"/>
        <v>17.265766666666668</v>
      </c>
      <c r="I313" s="4" t="s">
        <v>2945</v>
      </c>
      <c r="J313" s="4">
        <v>17.0336</v>
      </c>
      <c r="K313" s="4">
        <v>18.677099999999999</v>
      </c>
      <c r="L313" s="4">
        <v>16.3474</v>
      </c>
      <c r="M313" s="4">
        <f t="shared" si="17"/>
        <v>17.352700000000002</v>
      </c>
      <c r="Q313" s="43" t="s">
        <v>1775</v>
      </c>
      <c r="R313" s="4">
        <v>17.531135009768299</v>
      </c>
      <c r="S313" s="4">
        <v>16.856625953470701</v>
      </c>
      <c r="T313" s="4">
        <v>17.0940231113231</v>
      </c>
      <c r="U313" s="4">
        <f t="shared" si="18"/>
        <v>17.1605946915207</v>
      </c>
      <c r="X313" s="43" t="s">
        <v>1221</v>
      </c>
      <c r="Y313" s="4">
        <v>17.072232594029</v>
      </c>
      <c r="Z313" s="4">
        <v>17.2825617065755</v>
      </c>
      <c r="AA313" s="4">
        <v>17.2671167288992</v>
      </c>
      <c r="AB313" s="4">
        <f t="shared" si="19"/>
        <v>17.20730367650123</v>
      </c>
      <c r="AK313" s="4" t="s">
        <v>174</v>
      </c>
      <c r="AM313" s="4" t="s">
        <v>4604</v>
      </c>
      <c r="AV313" s="2"/>
    </row>
    <row r="314" spans="2:50" x14ac:dyDescent="0.2">
      <c r="B314" s="4" t="s">
        <v>3987</v>
      </c>
      <c r="C314" s="4">
        <v>17.0517</v>
      </c>
      <c r="D314" s="4">
        <v>17.245100000000001</v>
      </c>
      <c r="E314" s="4">
        <v>17.499700000000001</v>
      </c>
      <c r="F314" s="4">
        <f t="shared" si="16"/>
        <v>17.265500000000003</v>
      </c>
      <c r="I314" s="4" t="s">
        <v>2531</v>
      </c>
      <c r="J314" s="4">
        <v>17.347000000000001</v>
      </c>
      <c r="K314" s="4">
        <v>17.197800000000001</v>
      </c>
      <c r="L314" s="4">
        <v>17.5001</v>
      </c>
      <c r="M314" s="4">
        <f t="shared" si="17"/>
        <v>17.348299999999998</v>
      </c>
      <c r="Q314" s="43" t="s">
        <v>2117</v>
      </c>
      <c r="R314" s="4">
        <v>17.2490078903324</v>
      </c>
      <c r="S314" s="4">
        <v>17.144131440802699</v>
      </c>
      <c r="T314" s="4">
        <v>17.087209716653099</v>
      </c>
      <c r="U314" s="4">
        <f t="shared" si="18"/>
        <v>17.160116349262733</v>
      </c>
      <c r="X314" s="43" t="s">
        <v>415</v>
      </c>
      <c r="Y314" s="4">
        <v>17.080936466556398</v>
      </c>
      <c r="Z314" s="4">
        <v>17.5176585535539</v>
      </c>
      <c r="AA314" s="4">
        <v>17.014852283657699</v>
      </c>
      <c r="AB314" s="4">
        <f t="shared" si="19"/>
        <v>17.204482434589334</v>
      </c>
      <c r="AK314" s="4" t="s">
        <v>3014</v>
      </c>
      <c r="AM314" s="4" t="s">
        <v>4543</v>
      </c>
      <c r="AV314" s="2"/>
      <c r="AX314" s="6"/>
    </row>
    <row r="315" spans="2:50" x14ac:dyDescent="0.2">
      <c r="B315" s="4" t="s">
        <v>673</v>
      </c>
      <c r="C315" s="4">
        <v>16.908100000000001</v>
      </c>
      <c r="D315" s="4">
        <v>17.445599999999999</v>
      </c>
      <c r="E315" s="4">
        <v>17.434200000000001</v>
      </c>
      <c r="F315" s="4">
        <f t="shared" si="16"/>
        <v>17.262633333333337</v>
      </c>
      <c r="I315" s="4" t="s">
        <v>3262</v>
      </c>
      <c r="J315" s="4">
        <v>17.244</v>
      </c>
      <c r="K315" s="4">
        <v>17.246700000000001</v>
      </c>
      <c r="L315" s="4">
        <v>17.537400000000002</v>
      </c>
      <c r="M315" s="4">
        <f t="shared" si="17"/>
        <v>17.342700000000004</v>
      </c>
      <c r="Q315" s="43" t="s">
        <v>690</v>
      </c>
      <c r="R315" s="4">
        <v>16.788730168923301</v>
      </c>
      <c r="S315" s="4">
        <v>17.055683576913601</v>
      </c>
      <c r="T315" s="4">
        <v>17.631681007706899</v>
      </c>
      <c r="U315" s="4">
        <f t="shared" si="18"/>
        <v>17.158698251181267</v>
      </c>
      <c r="X315" s="43" t="s">
        <v>2784</v>
      </c>
      <c r="Y315" s="4">
        <v>17.224865916939201</v>
      </c>
      <c r="Z315" s="4">
        <v>17.2518590260193</v>
      </c>
      <c r="AA315" s="4">
        <v>17.131008758580901</v>
      </c>
      <c r="AB315" s="4">
        <f t="shared" si="19"/>
        <v>17.202577900513134</v>
      </c>
      <c r="AK315" s="4" t="s">
        <v>957</v>
      </c>
      <c r="AM315" s="4" t="s">
        <v>4576</v>
      </c>
      <c r="AV315" s="2"/>
      <c r="AX315" s="6"/>
    </row>
    <row r="316" spans="2:50" x14ac:dyDescent="0.2">
      <c r="B316" s="4" t="s">
        <v>3117</v>
      </c>
      <c r="C316" s="4">
        <v>17.115300000000001</v>
      </c>
      <c r="D316" s="4">
        <v>17.259799999999998</v>
      </c>
      <c r="E316" s="4">
        <v>17.412400000000002</v>
      </c>
      <c r="F316" s="4">
        <f t="shared" si="16"/>
        <v>17.262500000000003</v>
      </c>
      <c r="I316" s="4" t="s">
        <v>3173</v>
      </c>
      <c r="J316" s="4">
        <v>17.3916</v>
      </c>
      <c r="K316" s="4">
        <v>17.306799999999999</v>
      </c>
      <c r="L316" s="4">
        <v>17.327300000000001</v>
      </c>
      <c r="M316" s="4">
        <f t="shared" si="17"/>
        <v>17.341899999999999</v>
      </c>
      <c r="Q316" s="43" t="s">
        <v>2244</v>
      </c>
      <c r="R316" s="4">
        <v>17.273627275535599</v>
      </c>
      <c r="S316" s="4">
        <v>17.013984660166301</v>
      </c>
      <c r="T316" s="4">
        <v>17.153762425315001</v>
      </c>
      <c r="U316" s="4">
        <f t="shared" si="18"/>
        <v>17.147124787005634</v>
      </c>
      <c r="X316" s="43" t="s">
        <v>2698</v>
      </c>
      <c r="Y316" s="4">
        <v>17.330377562519899</v>
      </c>
      <c r="Z316" s="4">
        <v>17.155585571807499</v>
      </c>
      <c r="AA316" s="4">
        <v>17.1162850103788</v>
      </c>
      <c r="AB316" s="4">
        <f t="shared" si="19"/>
        <v>17.20074938156873</v>
      </c>
      <c r="AK316" s="4" t="s">
        <v>1285</v>
      </c>
      <c r="AM316" s="4" t="s">
        <v>1089</v>
      </c>
      <c r="AV316" s="2"/>
      <c r="AX316" s="6"/>
    </row>
    <row r="317" spans="2:50" x14ac:dyDescent="0.2">
      <c r="B317" s="4" t="s">
        <v>893</v>
      </c>
      <c r="C317" s="4">
        <v>17.162099999999999</v>
      </c>
      <c r="D317" s="4">
        <v>17.003499999999999</v>
      </c>
      <c r="E317" s="4">
        <v>17.601800000000001</v>
      </c>
      <c r="F317" s="4">
        <f t="shared" si="16"/>
        <v>17.255799999999997</v>
      </c>
      <c r="I317" s="4" t="s">
        <v>1543</v>
      </c>
      <c r="J317" s="4">
        <v>17.210999999999999</v>
      </c>
      <c r="K317" s="4">
        <v>17.8188</v>
      </c>
      <c r="L317" s="4">
        <v>16.982299999999999</v>
      </c>
      <c r="M317" s="4">
        <f t="shared" si="17"/>
        <v>17.337366666666664</v>
      </c>
      <c r="Q317" s="43" t="s">
        <v>3087</v>
      </c>
      <c r="R317" s="4">
        <v>17.495015485404402</v>
      </c>
      <c r="S317" s="4">
        <v>16.8703964688128</v>
      </c>
      <c r="T317" s="4">
        <v>17.063484905542399</v>
      </c>
      <c r="U317" s="4">
        <f t="shared" si="18"/>
        <v>17.142965619919867</v>
      </c>
      <c r="X317" s="43" t="s">
        <v>3830</v>
      </c>
      <c r="Y317" s="4">
        <v>17.383243966782398</v>
      </c>
      <c r="Z317" s="4">
        <v>16.990162592404801</v>
      </c>
      <c r="AA317" s="4">
        <v>17.209564824629201</v>
      </c>
      <c r="AB317" s="4">
        <f t="shared" si="19"/>
        <v>17.194323794605467</v>
      </c>
      <c r="AK317" s="4" t="s">
        <v>3763</v>
      </c>
      <c r="AM317" s="4" t="s">
        <v>4449</v>
      </c>
      <c r="AV317" s="2"/>
      <c r="AX317" s="6"/>
    </row>
    <row r="318" spans="2:50" x14ac:dyDescent="0.2">
      <c r="B318" s="4" t="s">
        <v>570</v>
      </c>
      <c r="C318" s="4">
        <v>17.2637</v>
      </c>
      <c r="D318" s="4">
        <v>17.007899999999999</v>
      </c>
      <c r="E318" s="4">
        <v>17.494</v>
      </c>
      <c r="F318" s="4">
        <f t="shared" si="16"/>
        <v>17.255199999999999</v>
      </c>
      <c r="I318" s="4" t="s">
        <v>586</v>
      </c>
      <c r="J318" s="4">
        <v>17.2212</v>
      </c>
      <c r="K318" s="4">
        <v>17.9513</v>
      </c>
      <c r="L318" s="4">
        <v>16.8276</v>
      </c>
      <c r="M318" s="4">
        <f t="shared" si="17"/>
        <v>17.333366666666667</v>
      </c>
      <c r="Q318" s="43" t="s">
        <v>4556</v>
      </c>
      <c r="R318" s="4">
        <v>16.950796000041699</v>
      </c>
      <c r="S318" s="4">
        <v>17.079600317639098</v>
      </c>
      <c r="T318" s="4">
        <v>17.3490353822624</v>
      </c>
      <c r="U318" s="4">
        <f t="shared" si="18"/>
        <v>17.1264772333144</v>
      </c>
      <c r="X318" s="43" t="s">
        <v>1235</v>
      </c>
      <c r="Y318" s="4">
        <v>17.2656075165389</v>
      </c>
      <c r="Z318" s="4">
        <v>17.139286119538301</v>
      </c>
      <c r="AA318" s="4">
        <v>17.164664240651401</v>
      </c>
      <c r="AB318" s="4">
        <f t="shared" si="19"/>
        <v>17.189852625576204</v>
      </c>
      <c r="AK318" s="4" t="s">
        <v>1350</v>
      </c>
      <c r="AM318" s="4" t="s">
        <v>4162</v>
      </c>
      <c r="AV318" s="1"/>
      <c r="AX318" s="6"/>
    </row>
    <row r="319" spans="2:50" x14ac:dyDescent="0.2">
      <c r="B319" s="4" t="s">
        <v>2624</v>
      </c>
      <c r="C319" s="4">
        <v>17.328099999999999</v>
      </c>
      <c r="D319" s="4">
        <v>17.394400000000001</v>
      </c>
      <c r="E319" s="4">
        <v>17.0275</v>
      </c>
      <c r="F319" s="4">
        <f t="shared" si="16"/>
        <v>17.25</v>
      </c>
      <c r="I319" s="4" t="s">
        <v>3723</v>
      </c>
      <c r="J319" s="4">
        <v>17.289300000000001</v>
      </c>
      <c r="K319" s="4">
        <v>17.637499999999999</v>
      </c>
      <c r="L319" s="4">
        <v>17.054200000000002</v>
      </c>
      <c r="M319" s="4">
        <f t="shared" si="17"/>
        <v>17.327000000000002</v>
      </c>
      <c r="Q319" s="43" t="s">
        <v>3488</v>
      </c>
      <c r="R319" s="4">
        <v>17.244944711346299</v>
      </c>
      <c r="S319" s="4">
        <v>17.242763235641</v>
      </c>
      <c r="T319" s="4">
        <v>16.886951881890301</v>
      </c>
      <c r="U319" s="4">
        <f t="shared" si="18"/>
        <v>17.124886609625865</v>
      </c>
      <c r="X319" s="43" t="s">
        <v>1623</v>
      </c>
      <c r="Y319" s="4">
        <v>17.015458623585499</v>
      </c>
      <c r="Z319" s="4">
        <v>17.223045229052801</v>
      </c>
      <c r="AA319" s="4">
        <v>17.3261785881155</v>
      </c>
      <c r="AB319" s="4">
        <f t="shared" si="19"/>
        <v>17.188227480251268</v>
      </c>
      <c r="AK319" s="4" t="s">
        <v>2406</v>
      </c>
      <c r="AM319" s="4" t="s">
        <v>4380</v>
      </c>
      <c r="AX319" s="6"/>
    </row>
    <row r="320" spans="2:50" x14ac:dyDescent="0.2">
      <c r="B320" s="4" t="s">
        <v>2305</v>
      </c>
      <c r="C320" s="4">
        <v>17.315000000000001</v>
      </c>
      <c r="D320" s="4">
        <v>17.316700000000001</v>
      </c>
      <c r="E320" s="4">
        <v>17.1174</v>
      </c>
      <c r="F320" s="4">
        <f t="shared" si="16"/>
        <v>17.249700000000001</v>
      </c>
      <c r="I320" s="4" t="s">
        <v>3848</v>
      </c>
      <c r="J320" s="4">
        <v>17.0929</v>
      </c>
      <c r="K320" s="4">
        <v>17.981000000000002</v>
      </c>
      <c r="L320" s="4">
        <v>16.8781</v>
      </c>
      <c r="M320" s="4">
        <f t="shared" si="17"/>
        <v>17.317333333333334</v>
      </c>
      <c r="Q320" s="43" t="s">
        <v>3548</v>
      </c>
      <c r="R320" s="4">
        <v>17.1179732788842</v>
      </c>
      <c r="S320" s="4">
        <v>16.9952869820325</v>
      </c>
      <c r="T320" s="4">
        <v>17.250263767023501</v>
      </c>
      <c r="U320" s="4">
        <f t="shared" si="18"/>
        <v>17.121174675980068</v>
      </c>
      <c r="X320" s="43" t="s">
        <v>901</v>
      </c>
      <c r="Y320" s="4">
        <v>17.118193898969299</v>
      </c>
      <c r="Z320" s="4">
        <v>17.2951210165422</v>
      </c>
      <c r="AA320" s="4">
        <v>17.128881027466701</v>
      </c>
      <c r="AB320" s="4">
        <f t="shared" si="19"/>
        <v>17.180731980992732</v>
      </c>
      <c r="AK320" s="4" t="s">
        <v>3138</v>
      </c>
      <c r="AM320" s="4" t="s">
        <v>4546</v>
      </c>
      <c r="AX320" s="6"/>
    </row>
    <row r="321" spans="2:50" x14ac:dyDescent="0.2">
      <c r="B321" s="4" t="s">
        <v>3039</v>
      </c>
      <c r="C321" s="4">
        <v>17.227900000000002</v>
      </c>
      <c r="D321" s="4">
        <v>17.392600000000002</v>
      </c>
      <c r="E321" s="4">
        <v>17.066600000000001</v>
      </c>
      <c r="F321" s="4">
        <f t="shared" si="16"/>
        <v>17.229033333333337</v>
      </c>
      <c r="I321" s="4" t="s">
        <v>3887</v>
      </c>
      <c r="J321" s="4">
        <v>17.2258</v>
      </c>
      <c r="K321" s="4">
        <v>17.55</v>
      </c>
      <c r="L321" s="4">
        <v>17.172599999999999</v>
      </c>
      <c r="M321" s="4">
        <f t="shared" si="17"/>
        <v>17.316133333333337</v>
      </c>
      <c r="Q321" s="43" t="s">
        <v>2402</v>
      </c>
      <c r="R321" s="4">
        <v>17.2693263574931</v>
      </c>
      <c r="S321" s="4">
        <v>16.979337484400101</v>
      </c>
      <c r="T321" s="4">
        <v>17.075413630525599</v>
      </c>
      <c r="U321" s="4">
        <f t="shared" si="18"/>
        <v>17.108025824139602</v>
      </c>
      <c r="X321" s="43" t="s">
        <v>2696</v>
      </c>
      <c r="Y321" s="4">
        <v>17.1524041528561</v>
      </c>
      <c r="Z321" s="4">
        <v>17.215540868897499</v>
      </c>
      <c r="AA321" s="4">
        <v>17.141975251873301</v>
      </c>
      <c r="AB321" s="4">
        <f t="shared" si="19"/>
        <v>17.169973424542302</v>
      </c>
      <c r="AK321" s="4" t="s">
        <v>2469</v>
      </c>
      <c r="AM321" s="4" t="s">
        <v>3688</v>
      </c>
      <c r="AX321" s="6"/>
    </row>
    <row r="322" spans="2:50" x14ac:dyDescent="0.2">
      <c r="B322" s="4" t="s">
        <v>2603</v>
      </c>
      <c r="C322" s="4">
        <v>17.496099999999998</v>
      </c>
      <c r="D322" s="4">
        <v>16.8782</v>
      </c>
      <c r="E322" s="4">
        <v>17.312100000000001</v>
      </c>
      <c r="F322" s="4">
        <f t="shared" ref="F322:F385" si="20">(C322+D322+E322)/3</f>
        <v>17.2288</v>
      </c>
      <c r="I322" s="4" t="s">
        <v>2143</v>
      </c>
      <c r="J322" s="4">
        <v>17.525600000000001</v>
      </c>
      <c r="K322" s="4">
        <v>17.046900000000001</v>
      </c>
      <c r="L322" s="4">
        <v>17.369</v>
      </c>
      <c r="M322" s="4">
        <f t="shared" ref="M322:M385" si="21">(J322+K322+L322)/3</f>
        <v>17.313833333333335</v>
      </c>
      <c r="Q322" s="43" t="s">
        <v>2322</v>
      </c>
      <c r="R322" s="4">
        <v>16.864826747097101</v>
      </c>
      <c r="S322" s="4">
        <v>17.121973706394801</v>
      </c>
      <c r="T322" s="4">
        <v>17.327043479255199</v>
      </c>
      <c r="U322" s="4">
        <f t="shared" ref="U322:U385" si="22">(R322+S322+T322)/3</f>
        <v>17.104614644249036</v>
      </c>
      <c r="X322" s="43" t="s">
        <v>1776</v>
      </c>
      <c r="Y322" s="4">
        <v>17.075428650075899</v>
      </c>
      <c r="Z322" s="4">
        <v>17.432602728519001</v>
      </c>
      <c r="AA322" s="4">
        <v>16.989775203672501</v>
      </c>
      <c r="AB322" s="4">
        <f t="shared" ref="AB322:AB385" si="23">(Y322+Z322+AA322)/3</f>
        <v>17.165935527422466</v>
      </c>
      <c r="AK322" s="4" t="s">
        <v>3048</v>
      </c>
      <c r="AM322" s="6" t="s">
        <v>846</v>
      </c>
      <c r="AX322" s="6"/>
    </row>
    <row r="323" spans="2:50" x14ac:dyDescent="0.2">
      <c r="B323" s="4" t="s">
        <v>2325</v>
      </c>
      <c r="C323" s="4">
        <v>17.239000000000001</v>
      </c>
      <c r="D323" s="4">
        <v>17.113099999999999</v>
      </c>
      <c r="E323" s="4">
        <v>17.305900000000001</v>
      </c>
      <c r="F323" s="4">
        <f t="shared" si="20"/>
        <v>17.219333333333335</v>
      </c>
      <c r="I323" s="4" t="s">
        <v>3233</v>
      </c>
      <c r="J323" s="4">
        <v>17.429500000000001</v>
      </c>
      <c r="K323" s="4">
        <v>16.944600000000001</v>
      </c>
      <c r="L323" s="4">
        <v>17.5623</v>
      </c>
      <c r="M323" s="4">
        <f t="shared" si="21"/>
        <v>17.312133333333332</v>
      </c>
      <c r="Q323" s="43" t="s">
        <v>3723</v>
      </c>
      <c r="R323" s="4">
        <v>17.235725759047099</v>
      </c>
      <c r="S323" s="4">
        <v>17.109493769977401</v>
      </c>
      <c r="T323" s="4">
        <v>16.963661368068902</v>
      </c>
      <c r="U323" s="4">
        <f t="shared" si="22"/>
        <v>17.102960299031135</v>
      </c>
      <c r="X323" s="43" t="s">
        <v>1624</v>
      </c>
      <c r="Y323" s="4">
        <v>17.172455219246899</v>
      </c>
      <c r="Z323" s="4">
        <v>17.164159422295199</v>
      </c>
      <c r="AA323" s="4">
        <v>17.159673533329499</v>
      </c>
      <c r="AB323" s="4">
        <f t="shared" si="23"/>
        <v>17.165429391623864</v>
      </c>
      <c r="AK323" s="4" t="s">
        <v>3324</v>
      </c>
      <c r="AM323" s="4" t="s">
        <v>4289</v>
      </c>
      <c r="AX323" s="6"/>
    </row>
    <row r="324" spans="2:50" x14ac:dyDescent="0.2">
      <c r="B324" s="4" t="s">
        <v>880</v>
      </c>
      <c r="C324" s="4">
        <v>17.1389</v>
      </c>
      <c r="D324" s="4">
        <v>17.212900000000001</v>
      </c>
      <c r="E324" s="4">
        <v>17.287800000000001</v>
      </c>
      <c r="F324" s="4">
        <f t="shared" si="20"/>
        <v>17.213200000000001</v>
      </c>
      <c r="I324" s="4" t="s">
        <v>730</v>
      </c>
      <c r="J324" s="4">
        <v>17.012699999999999</v>
      </c>
      <c r="K324" s="4">
        <v>18.4148</v>
      </c>
      <c r="L324" s="4">
        <v>16.499700000000001</v>
      </c>
      <c r="M324" s="4">
        <f t="shared" si="21"/>
        <v>17.309066666666666</v>
      </c>
      <c r="Q324" s="43" t="s">
        <v>3910</v>
      </c>
      <c r="R324" s="4">
        <v>17.051550427898398</v>
      </c>
      <c r="S324" s="4">
        <v>17.086505517592599</v>
      </c>
      <c r="T324" s="4">
        <v>17.158257759987801</v>
      </c>
      <c r="U324" s="4">
        <f t="shared" si="22"/>
        <v>17.0987712351596</v>
      </c>
      <c r="X324" s="43" t="s">
        <v>2744</v>
      </c>
      <c r="Y324" s="4">
        <v>17.2562143522686</v>
      </c>
      <c r="Z324" s="4">
        <v>17.326434711917098</v>
      </c>
      <c r="AA324" s="4">
        <v>16.912173806187798</v>
      </c>
      <c r="AB324" s="4">
        <f t="shared" si="23"/>
        <v>17.164940956791167</v>
      </c>
      <c r="AK324" s="4" t="s">
        <v>242</v>
      </c>
      <c r="AM324" s="4" t="s">
        <v>4131</v>
      </c>
      <c r="AX324" s="6"/>
    </row>
    <row r="325" spans="2:50" x14ac:dyDescent="0.2">
      <c r="B325" s="4" t="s">
        <v>3579</v>
      </c>
      <c r="C325" s="4">
        <v>17.1798</v>
      </c>
      <c r="D325" s="4">
        <v>17.166799999999999</v>
      </c>
      <c r="E325" s="4">
        <v>17.286300000000001</v>
      </c>
      <c r="F325" s="4">
        <f t="shared" si="20"/>
        <v>17.210966666666664</v>
      </c>
      <c r="I325" s="4" t="s">
        <v>1642</v>
      </c>
      <c r="J325" s="4">
        <v>17.447900000000001</v>
      </c>
      <c r="K325" s="4">
        <v>17.125499999999999</v>
      </c>
      <c r="L325" s="4">
        <v>17.335699999999999</v>
      </c>
      <c r="M325" s="4">
        <f t="shared" si="21"/>
        <v>17.303033333333332</v>
      </c>
      <c r="Q325" s="43" t="s">
        <v>1431</v>
      </c>
      <c r="R325" s="4">
        <v>17.489713649000301</v>
      </c>
      <c r="S325" s="4">
        <v>16.811265876667399</v>
      </c>
      <c r="T325" s="4">
        <v>16.900950982960602</v>
      </c>
      <c r="U325" s="4">
        <f t="shared" si="22"/>
        <v>17.067310169542768</v>
      </c>
      <c r="X325" s="43" t="s">
        <v>1189</v>
      </c>
      <c r="Y325" s="4">
        <v>17.1536984647453</v>
      </c>
      <c r="Z325" s="4">
        <v>17.329606448488899</v>
      </c>
      <c r="AA325" s="4">
        <v>16.978264041956699</v>
      </c>
      <c r="AB325" s="4">
        <f t="shared" si="23"/>
        <v>17.153856318396965</v>
      </c>
      <c r="AK325" s="4" t="s">
        <v>2537</v>
      </c>
      <c r="AM325" s="4" t="s">
        <v>4415</v>
      </c>
      <c r="AX325" s="6"/>
    </row>
    <row r="326" spans="2:50" x14ac:dyDescent="0.2">
      <c r="B326" s="4" t="s">
        <v>1659</v>
      </c>
      <c r="C326" s="4">
        <v>17.323</v>
      </c>
      <c r="D326" s="4">
        <v>17.1128</v>
      </c>
      <c r="E326" s="4">
        <v>17.164400000000001</v>
      </c>
      <c r="F326" s="4">
        <f t="shared" si="20"/>
        <v>17.200066666666668</v>
      </c>
      <c r="I326" s="4" t="s">
        <v>2038</v>
      </c>
      <c r="J326" s="4">
        <v>17.555800000000001</v>
      </c>
      <c r="K326" s="4">
        <v>16.917899999999999</v>
      </c>
      <c r="L326" s="4">
        <v>17.429200000000002</v>
      </c>
      <c r="M326" s="4">
        <f t="shared" si="21"/>
        <v>17.300966666666667</v>
      </c>
      <c r="Q326" s="43" t="s">
        <v>2300</v>
      </c>
      <c r="R326" s="4">
        <v>17.293590653382999</v>
      </c>
      <c r="S326" s="4">
        <v>16.912226444725999</v>
      </c>
      <c r="T326" s="4">
        <v>16.9837703888345</v>
      </c>
      <c r="U326" s="4">
        <f t="shared" si="22"/>
        <v>17.063195828981165</v>
      </c>
      <c r="X326" s="43" t="s">
        <v>2444</v>
      </c>
      <c r="Y326" s="4">
        <v>17.033954677585701</v>
      </c>
      <c r="Z326" s="4">
        <v>17.193937238475201</v>
      </c>
      <c r="AA326" s="4">
        <v>17.172707939513501</v>
      </c>
      <c r="AB326" s="4">
        <f t="shared" si="23"/>
        <v>17.133533285191465</v>
      </c>
      <c r="AK326" s="4" t="s">
        <v>1552</v>
      </c>
      <c r="AM326" s="4" t="s">
        <v>4159</v>
      </c>
    </row>
    <row r="327" spans="2:50" x14ac:dyDescent="0.2">
      <c r="B327" s="4" t="s">
        <v>3785</v>
      </c>
      <c r="C327" s="4">
        <v>17.135000000000002</v>
      </c>
      <c r="D327" s="4">
        <v>17.143000000000001</v>
      </c>
      <c r="E327" s="4">
        <v>17.285</v>
      </c>
      <c r="F327" s="4">
        <f t="shared" si="20"/>
        <v>17.187666666666669</v>
      </c>
      <c r="I327" s="4" t="s">
        <v>3307</v>
      </c>
      <c r="J327" s="4">
        <v>17.462900000000001</v>
      </c>
      <c r="K327" s="4">
        <v>16.985700000000001</v>
      </c>
      <c r="L327" s="4">
        <v>17.4346</v>
      </c>
      <c r="M327" s="4">
        <f t="shared" si="21"/>
        <v>17.2944</v>
      </c>
      <c r="Q327" s="43" t="s">
        <v>1681</v>
      </c>
      <c r="R327" s="4">
        <v>16.947309454103301</v>
      </c>
      <c r="S327" s="4">
        <v>16.970650633189699</v>
      </c>
      <c r="T327" s="4">
        <v>17.268973626326002</v>
      </c>
      <c r="U327" s="4">
        <f t="shared" si="22"/>
        <v>17.062311237873001</v>
      </c>
      <c r="X327" s="43" t="s">
        <v>2367</v>
      </c>
      <c r="Y327" s="4">
        <v>16.9019468523481</v>
      </c>
      <c r="Z327" s="4">
        <v>17.2984121681395</v>
      </c>
      <c r="AA327" s="4">
        <v>17.171813461309998</v>
      </c>
      <c r="AB327" s="4">
        <f t="shared" si="23"/>
        <v>17.124057493932529</v>
      </c>
      <c r="AK327" s="4" t="s">
        <v>1545</v>
      </c>
      <c r="AM327" s="4" t="s">
        <v>4196</v>
      </c>
      <c r="AX327" s="6"/>
    </row>
    <row r="328" spans="2:50" x14ac:dyDescent="0.2">
      <c r="B328" s="4" t="s">
        <v>3494</v>
      </c>
      <c r="C328" s="4">
        <v>17.071300000000001</v>
      </c>
      <c r="D328" s="4">
        <v>17.159199999999998</v>
      </c>
      <c r="E328" s="4">
        <v>17.3123</v>
      </c>
      <c r="F328" s="4">
        <f t="shared" si="20"/>
        <v>17.180933333333332</v>
      </c>
      <c r="I328" s="4" t="s">
        <v>1771</v>
      </c>
      <c r="J328" s="4">
        <v>17.518999999999998</v>
      </c>
      <c r="K328" s="4">
        <v>17.0457</v>
      </c>
      <c r="L328" s="4">
        <v>17.307200000000002</v>
      </c>
      <c r="M328" s="4">
        <f t="shared" si="21"/>
        <v>17.290633333333336</v>
      </c>
      <c r="Q328" s="43" t="s">
        <v>2600</v>
      </c>
      <c r="R328" s="4">
        <v>17.0911133586802</v>
      </c>
      <c r="S328" s="4">
        <v>17.108579139279399</v>
      </c>
      <c r="T328" s="4">
        <v>16.984837259244099</v>
      </c>
      <c r="U328" s="4">
        <f t="shared" si="22"/>
        <v>17.061509919067902</v>
      </c>
      <c r="X328" s="43" t="s">
        <v>775</v>
      </c>
      <c r="Y328" s="4">
        <v>17.137342642869601</v>
      </c>
      <c r="Z328" s="4">
        <v>17.201976832880899</v>
      </c>
      <c r="AA328" s="4">
        <v>17.025663508131299</v>
      </c>
      <c r="AB328" s="4">
        <f t="shared" si="23"/>
        <v>17.121660994627266</v>
      </c>
      <c r="AK328" s="4" t="s">
        <v>2663</v>
      </c>
      <c r="AM328" s="4" t="s">
        <v>4452</v>
      </c>
      <c r="AX328" s="6"/>
    </row>
    <row r="329" spans="2:50" x14ac:dyDescent="0.2">
      <c r="B329" s="4" t="s">
        <v>1463</v>
      </c>
      <c r="C329" s="4">
        <v>17.101500000000001</v>
      </c>
      <c r="D329" s="4">
        <v>16.593399999999999</v>
      </c>
      <c r="E329" s="4">
        <v>17.824100000000001</v>
      </c>
      <c r="F329" s="4">
        <f t="shared" si="20"/>
        <v>17.173000000000002</v>
      </c>
      <c r="I329" s="4" t="s">
        <v>2485</v>
      </c>
      <c r="J329" s="4">
        <v>17.4786</v>
      </c>
      <c r="K329" s="4">
        <v>16.8855</v>
      </c>
      <c r="L329" s="4">
        <v>17.507000000000001</v>
      </c>
      <c r="M329" s="4">
        <f t="shared" si="21"/>
        <v>17.290366666666667</v>
      </c>
      <c r="Q329" s="43" t="s">
        <v>2110</v>
      </c>
      <c r="R329" s="4">
        <v>16.973477653424801</v>
      </c>
      <c r="S329" s="4">
        <v>17.1886462498009</v>
      </c>
      <c r="T329" s="4">
        <v>17.021792042088499</v>
      </c>
      <c r="U329" s="4">
        <f t="shared" si="22"/>
        <v>17.061305315104736</v>
      </c>
      <c r="X329" s="43" t="s">
        <v>199</v>
      </c>
      <c r="Y329" s="4">
        <v>17.170370341442101</v>
      </c>
      <c r="Z329" s="4">
        <v>17.204881856265398</v>
      </c>
      <c r="AA329" s="4">
        <v>16.979110055074099</v>
      </c>
      <c r="AB329" s="4">
        <f t="shared" si="23"/>
        <v>17.118120750927201</v>
      </c>
      <c r="AK329" s="4" t="s">
        <v>1798</v>
      </c>
      <c r="AM329" s="4" t="s">
        <v>1596</v>
      </c>
      <c r="AX329" s="6"/>
    </row>
    <row r="330" spans="2:50" x14ac:dyDescent="0.2">
      <c r="B330" s="4" t="s">
        <v>1510</v>
      </c>
      <c r="C330" s="4">
        <v>16.443899999999999</v>
      </c>
      <c r="D330" s="4">
        <v>16.6922</v>
      </c>
      <c r="E330" s="4">
        <v>18.362100000000002</v>
      </c>
      <c r="F330" s="4">
        <f t="shared" si="20"/>
        <v>17.166066666666666</v>
      </c>
      <c r="I330" s="4" t="s">
        <v>2412</v>
      </c>
      <c r="J330" s="4">
        <v>17.566299999999998</v>
      </c>
      <c r="K330" s="4">
        <v>16.714500000000001</v>
      </c>
      <c r="L330" s="4">
        <v>17.559200000000001</v>
      </c>
      <c r="M330" s="4">
        <f t="shared" si="21"/>
        <v>17.28</v>
      </c>
      <c r="Q330" s="43" t="s">
        <v>650</v>
      </c>
      <c r="R330" s="4">
        <v>16.715936245654099</v>
      </c>
      <c r="S330" s="4">
        <v>17.1597401618892</v>
      </c>
      <c r="T330" s="4">
        <v>17.3076004519646</v>
      </c>
      <c r="U330" s="4">
        <f t="shared" si="22"/>
        <v>17.061092286502632</v>
      </c>
      <c r="X330" s="43" t="s">
        <v>4297</v>
      </c>
      <c r="Y330" s="4">
        <v>16.9277337600371</v>
      </c>
      <c r="Z330" s="4">
        <v>17.101508758647501</v>
      </c>
      <c r="AA330" s="4">
        <v>17.3198805296263</v>
      </c>
      <c r="AB330" s="4">
        <f t="shared" si="23"/>
        <v>17.116374349436967</v>
      </c>
      <c r="AK330" s="4" t="s">
        <v>2589</v>
      </c>
      <c r="AM330" s="4" t="s">
        <v>4157</v>
      </c>
      <c r="AX330" s="6"/>
    </row>
    <row r="331" spans="2:50" x14ac:dyDescent="0.2">
      <c r="B331" s="4" t="s">
        <v>2425</v>
      </c>
      <c r="C331" s="4">
        <v>17.288799999999998</v>
      </c>
      <c r="D331" s="4">
        <v>17.115600000000001</v>
      </c>
      <c r="E331" s="4">
        <v>17.079999999999998</v>
      </c>
      <c r="F331" s="4">
        <f t="shared" si="20"/>
        <v>17.161466666666666</v>
      </c>
      <c r="I331" s="4" t="s">
        <v>2425</v>
      </c>
      <c r="J331" s="4">
        <v>17.1828</v>
      </c>
      <c r="K331" s="4">
        <v>17.45</v>
      </c>
      <c r="L331" s="4">
        <v>17.1981</v>
      </c>
      <c r="M331" s="4">
        <f t="shared" si="21"/>
        <v>17.276966666666667</v>
      </c>
      <c r="Q331" s="43" t="s">
        <v>1373</v>
      </c>
      <c r="R331" s="4">
        <v>17.241224774255301</v>
      </c>
      <c r="S331" s="4">
        <v>16.9922291845849</v>
      </c>
      <c r="T331" s="4">
        <v>16.939292950147799</v>
      </c>
      <c r="U331" s="4">
        <f t="shared" si="22"/>
        <v>17.057582302996</v>
      </c>
      <c r="X331" s="43" t="s">
        <v>4538</v>
      </c>
      <c r="Y331" s="4">
        <v>16.908118123228299</v>
      </c>
      <c r="Z331" s="4">
        <v>17.030217238067401</v>
      </c>
      <c r="AA331" s="4">
        <v>17.388652002309101</v>
      </c>
      <c r="AB331" s="4">
        <f t="shared" si="23"/>
        <v>17.108995787868267</v>
      </c>
      <c r="AK331" s="4" t="s">
        <v>3081</v>
      </c>
      <c r="AM331" s="4" t="s">
        <v>1687</v>
      </c>
    </row>
    <row r="332" spans="2:50" x14ac:dyDescent="0.2">
      <c r="B332" s="4" t="s">
        <v>2062</v>
      </c>
      <c r="C332" s="4">
        <v>17.268000000000001</v>
      </c>
      <c r="D332" s="4">
        <v>17.180599999999998</v>
      </c>
      <c r="E332" s="4">
        <v>17.032399999999999</v>
      </c>
      <c r="F332" s="4">
        <f t="shared" si="20"/>
        <v>17.16033333333333</v>
      </c>
      <c r="I332" s="4" t="s">
        <v>2622</v>
      </c>
      <c r="J332" s="4">
        <v>17.010300000000001</v>
      </c>
      <c r="K332" s="4">
        <v>17.896000000000001</v>
      </c>
      <c r="L332" s="4">
        <v>16.9238</v>
      </c>
      <c r="M332" s="4">
        <f t="shared" si="21"/>
        <v>17.276700000000002</v>
      </c>
      <c r="Q332" s="43" t="s">
        <v>3771</v>
      </c>
      <c r="R332" s="4">
        <v>16.998210193144502</v>
      </c>
      <c r="S332" s="4">
        <v>17.009100384851099</v>
      </c>
      <c r="T332" s="4">
        <v>17.157266402233201</v>
      </c>
      <c r="U332" s="4">
        <f t="shared" si="22"/>
        <v>17.054858993409599</v>
      </c>
      <c r="X332" s="43" t="s">
        <v>879</v>
      </c>
      <c r="Y332" s="4">
        <v>17.1274583532824</v>
      </c>
      <c r="Z332" s="4">
        <v>17.228776220165599</v>
      </c>
      <c r="AA332" s="4">
        <v>16.966829337818201</v>
      </c>
      <c r="AB332" s="4">
        <f t="shared" si="23"/>
        <v>17.107687970422067</v>
      </c>
      <c r="AK332" s="4" t="s">
        <v>2695</v>
      </c>
      <c r="AM332" s="4" t="s">
        <v>4242</v>
      </c>
    </row>
    <row r="333" spans="2:50" x14ac:dyDescent="0.2">
      <c r="B333" s="4" t="s">
        <v>3957</v>
      </c>
      <c r="C333" s="4">
        <v>17.156199999999998</v>
      </c>
      <c r="D333" s="4">
        <v>17.153300000000002</v>
      </c>
      <c r="E333" s="4">
        <v>17.127400000000002</v>
      </c>
      <c r="F333" s="4">
        <f t="shared" si="20"/>
        <v>17.145633333333333</v>
      </c>
      <c r="I333" s="4" t="s">
        <v>2669</v>
      </c>
      <c r="J333" s="4">
        <v>17.2927</v>
      </c>
      <c r="K333" s="4">
        <v>17.262599999999999</v>
      </c>
      <c r="L333" s="4">
        <v>17.268699999999999</v>
      </c>
      <c r="M333" s="4">
        <f t="shared" si="21"/>
        <v>17.274666666666665</v>
      </c>
      <c r="Q333" s="43" t="s">
        <v>3240</v>
      </c>
      <c r="R333" s="4">
        <v>16.756139825908999</v>
      </c>
      <c r="S333" s="4">
        <v>17.1605988293501</v>
      </c>
      <c r="T333" s="4">
        <v>17.2125135711123</v>
      </c>
      <c r="U333" s="4">
        <f t="shared" si="22"/>
        <v>17.043084075457131</v>
      </c>
      <c r="X333" s="43" t="s">
        <v>3488</v>
      </c>
      <c r="Y333" s="4">
        <v>16.917888971569202</v>
      </c>
      <c r="Z333" s="4">
        <v>17.240722466145499</v>
      </c>
      <c r="AA333" s="4">
        <v>17.127766305830999</v>
      </c>
      <c r="AB333" s="4">
        <f t="shared" si="23"/>
        <v>17.095459247848567</v>
      </c>
      <c r="AK333" s="4" t="s">
        <v>3408</v>
      </c>
      <c r="AM333" s="4" t="s">
        <v>4589</v>
      </c>
    </row>
    <row r="334" spans="2:50" x14ac:dyDescent="0.2">
      <c r="B334" s="4" t="s">
        <v>735</v>
      </c>
      <c r="C334" s="4">
        <v>17.373100000000001</v>
      </c>
      <c r="D334" s="4">
        <v>16.982299999999999</v>
      </c>
      <c r="E334" s="4">
        <v>17.069299999999998</v>
      </c>
      <c r="F334" s="4">
        <f t="shared" si="20"/>
        <v>17.141566666666666</v>
      </c>
      <c r="I334" s="4" t="s">
        <v>651</v>
      </c>
      <c r="J334" s="4">
        <v>17.378399999999999</v>
      </c>
      <c r="K334" s="4">
        <v>17.1084</v>
      </c>
      <c r="L334" s="4">
        <v>17.333400000000001</v>
      </c>
      <c r="M334" s="4">
        <f t="shared" si="21"/>
        <v>17.273399999999999</v>
      </c>
      <c r="Q334" s="43" t="s">
        <v>1659</v>
      </c>
      <c r="R334" s="4">
        <v>16.970186268284401</v>
      </c>
      <c r="S334" s="4">
        <v>17.0914987165309</v>
      </c>
      <c r="T334" s="4">
        <v>17.0305328802507</v>
      </c>
      <c r="U334" s="4">
        <f t="shared" si="22"/>
        <v>17.030739288355335</v>
      </c>
      <c r="X334" s="43" t="s">
        <v>3971</v>
      </c>
      <c r="Y334" s="4">
        <v>17.2996339377524</v>
      </c>
      <c r="Z334" s="4">
        <v>17.4135379040925</v>
      </c>
      <c r="AA334" s="4">
        <v>16.538284853528801</v>
      </c>
      <c r="AB334" s="4">
        <f t="shared" si="23"/>
        <v>17.083818898457899</v>
      </c>
      <c r="AK334" s="4" t="s">
        <v>4057</v>
      </c>
      <c r="AM334" s="4" t="s">
        <v>4087</v>
      </c>
    </row>
    <row r="335" spans="2:50" x14ac:dyDescent="0.2">
      <c r="B335" s="4" t="s">
        <v>1714</v>
      </c>
      <c r="C335" s="4">
        <v>17.125599999999999</v>
      </c>
      <c r="D335" s="4">
        <v>17.580300000000001</v>
      </c>
      <c r="E335" s="4">
        <v>16.712199999999999</v>
      </c>
      <c r="F335" s="4">
        <f t="shared" si="20"/>
        <v>17.139366666666664</v>
      </c>
      <c r="I335" s="4" t="s">
        <v>2540</v>
      </c>
      <c r="J335" s="4">
        <v>17.034500000000001</v>
      </c>
      <c r="K335" s="4">
        <v>17.9315</v>
      </c>
      <c r="L335" s="4">
        <v>16.8079</v>
      </c>
      <c r="M335" s="4">
        <f t="shared" si="21"/>
        <v>17.257966666666665</v>
      </c>
      <c r="Q335" s="43" t="s">
        <v>2138</v>
      </c>
      <c r="R335" s="4">
        <v>17.1286679925378</v>
      </c>
      <c r="S335" s="4">
        <v>16.970456691125602</v>
      </c>
      <c r="T335" s="4">
        <v>16.986680521013302</v>
      </c>
      <c r="U335" s="4">
        <f t="shared" si="22"/>
        <v>17.028601734892234</v>
      </c>
      <c r="X335" s="43" t="s">
        <v>2944</v>
      </c>
      <c r="Y335" s="4">
        <v>17.0200311968973</v>
      </c>
      <c r="Z335" s="4">
        <v>17.203387000540602</v>
      </c>
      <c r="AA335" s="4">
        <v>17.006510404994099</v>
      </c>
      <c r="AB335" s="4">
        <f t="shared" si="23"/>
        <v>17.076642867477332</v>
      </c>
      <c r="AK335" s="4" t="s">
        <v>2230</v>
      </c>
      <c r="AM335" s="4" t="s">
        <v>1155</v>
      </c>
    </row>
    <row r="336" spans="2:50" x14ac:dyDescent="0.2">
      <c r="B336" s="4" t="s">
        <v>2669</v>
      </c>
      <c r="C336" s="4">
        <v>17.268999999999998</v>
      </c>
      <c r="D336" s="4">
        <v>17.123000000000001</v>
      </c>
      <c r="E336" s="4">
        <v>17.014900000000001</v>
      </c>
      <c r="F336" s="4">
        <f t="shared" si="20"/>
        <v>17.135633333333331</v>
      </c>
      <c r="I336" s="4" t="s">
        <v>746</v>
      </c>
      <c r="J336" s="4">
        <v>17.4283</v>
      </c>
      <c r="K336" s="4">
        <v>16.997299999999999</v>
      </c>
      <c r="L336" s="4">
        <v>17.333100000000002</v>
      </c>
      <c r="M336" s="4">
        <f t="shared" si="21"/>
        <v>17.2529</v>
      </c>
      <c r="Q336" s="43" t="s">
        <v>1950</v>
      </c>
      <c r="R336" s="4">
        <v>17.114524085437399</v>
      </c>
      <c r="S336" s="4">
        <v>16.8440938810778</v>
      </c>
      <c r="T336" s="4">
        <v>17.1010309272109</v>
      </c>
      <c r="U336" s="4">
        <f t="shared" si="22"/>
        <v>17.019882964575366</v>
      </c>
      <c r="X336" s="43" t="s">
        <v>3705</v>
      </c>
      <c r="Y336" s="4">
        <v>16.9279022864357</v>
      </c>
      <c r="Z336" s="4">
        <v>17.308780605343198</v>
      </c>
      <c r="AA336" s="4">
        <v>16.988536627170902</v>
      </c>
      <c r="AB336" s="4">
        <f t="shared" si="23"/>
        <v>17.075073172983267</v>
      </c>
      <c r="AK336" s="4" t="s">
        <v>3888</v>
      </c>
      <c r="AM336" s="4" t="s">
        <v>4106</v>
      </c>
    </row>
    <row r="337" spans="2:39" x14ac:dyDescent="0.2">
      <c r="B337" s="4" t="s">
        <v>295</v>
      </c>
      <c r="C337" s="4">
        <v>17.144100000000002</v>
      </c>
      <c r="D337" s="4">
        <v>17.112200000000001</v>
      </c>
      <c r="E337" s="4">
        <v>17.143699999999999</v>
      </c>
      <c r="F337" s="4">
        <f t="shared" si="20"/>
        <v>17.133333333333336</v>
      </c>
      <c r="I337" s="4" t="s">
        <v>3323</v>
      </c>
      <c r="J337" s="4">
        <v>17.387699999999999</v>
      </c>
      <c r="K337" s="4">
        <v>16.819700000000001</v>
      </c>
      <c r="L337" s="4">
        <v>17.537700000000001</v>
      </c>
      <c r="M337" s="4">
        <f t="shared" si="21"/>
        <v>17.248366666666666</v>
      </c>
      <c r="Q337" s="43" t="s">
        <v>3174</v>
      </c>
      <c r="R337" s="4">
        <v>17.000614497769</v>
      </c>
      <c r="S337" s="4">
        <v>17.078739082267699</v>
      </c>
      <c r="T337" s="4">
        <v>16.9777161023354</v>
      </c>
      <c r="U337" s="4">
        <f t="shared" si="22"/>
        <v>17.019023227457364</v>
      </c>
      <c r="X337" s="43" t="s">
        <v>504</v>
      </c>
      <c r="Y337" s="4">
        <v>17.065748111577101</v>
      </c>
      <c r="Z337" s="4">
        <v>17.166975477728201</v>
      </c>
      <c r="AA337" s="4">
        <v>16.9826094570656</v>
      </c>
      <c r="AB337" s="4">
        <f t="shared" si="23"/>
        <v>17.071777682123635</v>
      </c>
      <c r="AK337" s="4" t="s">
        <v>1341</v>
      </c>
      <c r="AM337" s="4" t="s">
        <v>3104</v>
      </c>
    </row>
    <row r="338" spans="2:39" x14ac:dyDescent="0.2">
      <c r="B338" s="4" t="s">
        <v>3856</v>
      </c>
      <c r="C338" s="4">
        <v>17.083500000000001</v>
      </c>
      <c r="D338" s="4">
        <v>17.056100000000001</v>
      </c>
      <c r="E338" s="4">
        <v>17.255299999999998</v>
      </c>
      <c r="F338" s="4">
        <f t="shared" si="20"/>
        <v>17.131633333333333</v>
      </c>
      <c r="I338" s="4" t="s">
        <v>478</v>
      </c>
      <c r="J338" s="4">
        <v>17.3705</v>
      </c>
      <c r="K338" s="4">
        <v>17.054400000000001</v>
      </c>
      <c r="L338" s="4">
        <v>17.2927</v>
      </c>
      <c r="M338" s="4">
        <f t="shared" si="21"/>
        <v>17.2392</v>
      </c>
      <c r="Q338" s="43" t="s">
        <v>2837</v>
      </c>
      <c r="R338" s="4">
        <v>16.8755205490497</v>
      </c>
      <c r="S338" s="4">
        <v>17.0294099922532</v>
      </c>
      <c r="T338" s="4">
        <v>17.1492225824922</v>
      </c>
      <c r="U338" s="4">
        <f t="shared" si="22"/>
        <v>17.018051041265036</v>
      </c>
      <c r="X338" s="43" t="s">
        <v>115</v>
      </c>
      <c r="Y338" s="4">
        <v>17.104524700739699</v>
      </c>
      <c r="Z338" s="4">
        <v>17.087306363379401</v>
      </c>
      <c r="AA338" s="4">
        <v>17.022829007469198</v>
      </c>
      <c r="AB338" s="4">
        <f t="shared" si="23"/>
        <v>17.071553357196098</v>
      </c>
      <c r="AK338" s="4" t="s">
        <v>3080</v>
      </c>
      <c r="AM338" s="4" t="s">
        <v>1177</v>
      </c>
    </row>
    <row r="339" spans="2:39" x14ac:dyDescent="0.2">
      <c r="B339" s="4" t="s">
        <v>3275</v>
      </c>
      <c r="C339" s="4">
        <v>16.985399999999998</v>
      </c>
      <c r="D339" s="4">
        <v>17.156300000000002</v>
      </c>
      <c r="E339" s="4">
        <v>17.246200000000002</v>
      </c>
      <c r="F339" s="4">
        <f t="shared" si="20"/>
        <v>17.129300000000001</v>
      </c>
      <c r="I339" s="4" t="s">
        <v>128</v>
      </c>
      <c r="J339" s="4">
        <v>17.007000000000001</v>
      </c>
      <c r="K339" s="4">
        <v>17.6326</v>
      </c>
      <c r="L339" s="4">
        <v>17.050699999999999</v>
      </c>
      <c r="M339" s="4">
        <f t="shared" si="21"/>
        <v>17.2301</v>
      </c>
      <c r="Q339" s="43" t="s">
        <v>1651</v>
      </c>
      <c r="R339" s="4">
        <v>17.067096223815099</v>
      </c>
      <c r="S339" s="4">
        <v>16.9952048211237</v>
      </c>
      <c r="T339" s="4">
        <v>16.984172663048799</v>
      </c>
      <c r="U339" s="4">
        <f t="shared" si="22"/>
        <v>17.015491235995867</v>
      </c>
      <c r="X339" s="43" t="s">
        <v>2596</v>
      </c>
      <c r="Y339" s="4">
        <v>17.176942447001299</v>
      </c>
      <c r="Z339" s="4">
        <v>17.1731578604156</v>
      </c>
      <c r="AA339" s="4">
        <v>16.849511926573498</v>
      </c>
      <c r="AB339" s="4">
        <f t="shared" si="23"/>
        <v>17.066537411330131</v>
      </c>
      <c r="AK339" s="4" t="s">
        <v>1728</v>
      </c>
      <c r="AM339" s="6" t="s">
        <v>772</v>
      </c>
    </row>
    <row r="340" spans="2:39" x14ac:dyDescent="0.2">
      <c r="B340" s="4" t="s">
        <v>1232</v>
      </c>
      <c r="C340" s="4">
        <v>17.0578</v>
      </c>
      <c r="D340" s="4">
        <v>17.2133</v>
      </c>
      <c r="E340" s="4">
        <v>17.106200000000001</v>
      </c>
      <c r="F340" s="4">
        <f t="shared" si="20"/>
        <v>17.125766666666667</v>
      </c>
      <c r="I340" s="4" t="s">
        <v>1694</v>
      </c>
      <c r="J340" s="4">
        <v>17.491</v>
      </c>
      <c r="K340" s="4">
        <v>16.6401</v>
      </c>
      <c r="L340" s="4">
        <v>17.5289</v>
      </c>
      <c r="M340" s="4">
        <f t="shared" si="21"/>
        <v>17.220000000000002</v>
      </c>
      <c r="Q340" s="43" t="s">
        <v>3065</v>
      </c>
      <c r="R340" s="4">
        <v>17.1717201155246</v>
      </c>
      <c r="S340" s="4">
        <v>16.828452934884599</v>
      </c>
      <c r="T340" s="4">
        <v>17.0449584529403</v>
      </c>
      <c r="U340" s="4">
        <f t="shared" si="22"/>
        <v>17.015043834449834</v>
      </c>
      <c r="X340" s="43" t="s">
        <v>802</v>
      </c>
      <c r="Y340" s="4">
        <v>17.0694294347572</v>
      </c>
      <c r="Z340" s="4">
        <v>17.056009000615099</v>
      </c>
      <c r="AA340" s="4">
        <v>17.0604627629756</v>
      </c>
      <c r="AB340" s="4">
        <f t="shared" si="23"/>
        <v>17.061967066115969</v>
      </c>
      <c r="AK340" s="4" t="s">
        <v>3881</v>
      </c>
      <c r="AM340" s="4" t="s">
        <v>4446</v>
      </c>
    </row>
    <row r="341" spans="2:39" x14ac:dyDescent="0.2">
      <c r="B341" s="4" t="s">
        <v>3633</v>
      </c>
      <c r="C341" s="4">
        <v>17.058499999999999</v>
      </c>
      <c r="D341" s="4">
        <v>17.1218</v>
      </c>
      <c r="E341" s="4">
        <v>17.169599999999999</v>
      </c>
      <c r="F341" s="4">
        <f t="shared" si="20"/>
        <v>17.116633333333336</v>
      </c>
      <c r="I341" s="4" t="s">
        <v>3771</v>
      </c>
      <c r="J341" s="4">
        <v>17.290099999999999</v>
      </c>
      <c r="K341" s="4">
        <v>17.055399999999999</v>
      </c>
      <c r="L341" s="4">
        <v>17.298999999999999</v>
      </c>
      <c r="M341" s="4">
        <f t="shared" si="21"/>
        <v>17.214833333333335</v>
      </c>
      <c r="Q341" s="43" t="s">
        <v>2367</v>
      </c>
      <c r="R341" s="4">
        <v>17.141125374226199</v>
      </c>
      <c r="S341" s="4">
        <v>16.781800548903998</v>
      </c>
      <c r="T341" s="4">
        <v>17.094888162068901</v>
      </c>
      <c r="U341" s="4">
        <f t="shared" si="22"/>
        <v>17.005938028399697</v>
      </c>
      <c r="X341" s="43" t="s">
        <v>3704</v>
      </c>
      <c r="Y341" s="4">
        <v>17.032994574585501</v>
      </c>
      <c r="Z341" s="4">
        <v>17.054278938598401</v>
      </c>
      <c r="AA341" s="4">
        <v>17.089930123982199</v>
      </c>
      <c r="AB341" s="4">
        <f t="shared" si="23"/>
        <v>17.059067879055366</v>
      </c>
      <c r="AK341" s="4" t="s">
        <v>2518</v>
      </c>
      <c r="AM341" s="4" t="s">
        <v>758</v>
      </c>
    </row>
    <row r="342" spans="2:39" x14ac:dyDescent="0.2">
      <c r="B342" s="4" t="s">
        <v>911</v>
      </c>
      <c r="C342" s="4">
        <v>17.1845</v>
      </c>
      <c r="D342" s="4">
        <v>16.974599999999999</v>
      </c>
      <c r="E342" s="4">
        <v>17.152699999999999</v>
      </c>
      <c r="F342" s="4">
        <f t="shared" si="20"/>
        <v>17.10393333333333</v>
      </c>
      <c r="I342" s="4" t="s">
        <v>3487</v>
      </c>
      <c r="J342" s="4">
        <v>16.956600000000002</v>
      </c>
      <c r="K342" s="4">
        <v>17.630800000000001</v>
      </c>
      <c r="L342" s="4">
        <v>17.029699999999998</v>
      </c>
      <c r="M342" s="4">
        <f t="shared" si="21"/>
        <v>17.2057</v>
      </c>
      <c r="Q342" s="43" t="s">
        <v>3088</v>
      </c>
      <c r="R342" s="4">
        <v>16.990076228591501</v>
      </c>
      <c r="S342" s="4">
        <v>17.065629183945301</v>
      </c>
      <c r="T342" s="4">
        <v>16.9284368446983</v>
      </c>
      <c r="U342" s="4">
        <f t="shared" si="22"/>
        <v>16.994714085745034</v>
      </c>
      <c r="X342" s="43" t="s">
        <v>3174</v>
      </c>
      <c r="Y342" s="4">
        <v>17.007507073977902</v>
      </c>
      <c r="Z342" s="4">
        <v>17.025075381332499</v>
      </c>
      <c r="AA342" s="4">
        <v>17.143998708172301</v>
      </c>
      <c r="AB342" s="4">
        <f t="shared" si="23"/>
        <v>17.058860387827568</v>
      </c>
      <c r="AK342" s="4" t="s">
        <v>3776</v>
      </c>
      <c r="AM342" s="4" t="s">
        <v>4361</v>
      </c>
    </row>
    <row r="343" spans="2:39" x14ac:dyDescent="0.2">
      <c r="B343" s="4" t="s">
        <v>2413</v>
      </c>
      <c r="C343" s="4">
        <v>17.239799999999999</v>
      </c>
      <c r="D343" s="4">
        <v>16.987300000000001</v>
      </c>
      <c r="E343" s="4">
        <v>17.063099999999999</v>
      </c>
      <c r="F343" s="4">
        <f t="shared" si="20"/>
        <v>17.096733333333333</v>
      </c>
      <c r="I343" s="4" t="s">
        <v>3205</v>
      </c>
      <c r="J343" s="4">
        <v>17.345300000000002</v>
      </c>
      <c r="K343" s="4">
        <v>16.817799999999998</v>
      </c>
      <c r="L343" s="4">
        <v>17.445499999999999</v>
      </c>
      <c r="M343" s="4">
        <f t="shared" si="21"/>
        <v>17.202866666666665</v>
      </c>
      <c r="Q343" s="43" t="s">
        <v>582</v>
      </c>
      <c r="R343" s="4">
        <v>16.973738751510101</v>
      </c>
      <c r="S343" s="4">
        <v>17.0208419363512</v>
      </c>
      <c r="T343" s="4">
        <v>16.971299584311399</v>
      </c>
      <c r="U343" s="4">
        <f t="shared" si="22"/>
        <v>16.9886267573909</v>
      </c>
      <c r="X343" s="43" t="s">
        <v>532</v>
      </c>
      <c r="Y343" s="4">
        <v>17.095386447754699</v>
      </c>
      <c r="Z343" s="4">
        <v>17.097905892898599</v>
      </c>
      <c r="AA343" s="4">
        <v>16.978637919411199</v>
      </c>
      <c r="AB343" s="4">
        <f t="shared" si="23"/>
        <v>17.057310086688165</v>
      </c>
      <c r="AK343" s="4" t="s">
        <v>2865</v>
      </c>
      <c r="AM343" s="4" t="s">
        <v>4467</v>
      </c>
    </row>
    <row r="344" spans="2:39" x14ac:dyDescent="0.2">
      <c r="B344" s="4" t="s">
        <v>4005</v>
      </c>
      <c r="C344" s="4">
        <v>17.297899999999998</v>
      </c>
      <c r="D344" s="4">
        <v>17.008099999999999</v>
      </c>
      <c r="E344" s="4">
        <v>16.943200000000001</v>
      </c>
      <c r="F344" s="4">
        <f t="shared" si="20"/>
        <v>17.083066666666667</v>
      </c>
      <c r="I344" s="4" t="s">
        <v>2062</v>
      </c>
      <c r="J344" s="4">
        <v>16.814</v>
      </c>
      <c r="K344" s="4">
        <v>18.225200000000001</v>
      </c>
      <c r="L344" s="4">
        <v>16.540299999999998</v>
      </c>
      <c r="M344" s="4">
        <f t="shared" si="21"/>
        <v>17.193166666666666</v>
      </c>
      <c r="Q344" s="43" t="s">
        <v>2047</v>
      </c>
      <c r="R344" s="4">
        <v>17.339037962121601</v>
      </c>
      <c r="S344" s="4">
        <v>16.676710525137899</v>
      </c>
      <c r="T344" s="4">
        <v>16.9394635017198</v>
      </c>
      <c r="U344" s="4">
        <f t="shared" si="22"/>
        <v>16.985070662993099</v>
      </c>
      <c r="X344" s="43" t="s">
        <v>3633</v>
      </c>
      <c r="Y344" s="4">
        <v>16.971155427169101</v>
      </c>
      <c r="Z344" s="4">
        <v>17.054837124675199</v>
      </c>
      <c r="AA344" s="4">
        <v>17.145251271342499</v>
      </c>
      <c r="AB344" s="4">
        <f t="shared" si="23"/>
        <v>17.0570812743956</v>
      </c>
      <c r="AK344" s="4" t="s">
        <v>2522</v>
      </c>
      <c r="AM344" s="4" t="s">
        <v>1210</v>
      </c>
    </row>
    <row r="345" spans="2:39" x14ac:dyDescent="0.2">
      <c r="B345" s="4" t="s">
        <v>1791</v>
      </c>
      <c r="C345" s="4">
        <v>16.354600000000001</v>
      </c>
      <c r="D345" s="4">
        <v>17.8538</v>
      </c>
      <c r="E345" s="4">
        <v>17.0349</v>
      </c>
      <c r="F345" s="4">
        <f t="shared" si="20"/>
        <v>17.081099999999999</v>
      </c>
      <c r="I345" s="4" t="s">
        <v>519</v>
      </c>
      <c r="J345" s="4">
        <v>17.311699999999998</v>
      </c>
      <c r="K345" s="4">
        <v>16.947099999999999</v>
      </c>
      <c r="L345" s="4">
        <v>17.311299999999999</v>
      </c>
      <c r="M345" s="4">
        <f t="shared" si="21"/>
        <v>17.190033333333332</v>
      </c>
      <c r="Q345" s="43" t="s">
        <v>3494</v>
      </c>
      <c r="R345" s="4">
        <v>17.122424545314701</v>
      </c>
      <c r="S345" s="4">
        <v>16.738650772340701</v>
      </c>
      <c r="T345" s="4">
        <v>17.0701195700703</v>
      </c>
      <c r="U345" s="4">
        <f t="shared" si="22"/>
        <v>16.977064962575238</v>
      </c>
      <c r="X345" s="43" t="s">
        <v>770</v>
      </c>
      <c r="Y345" s="4">
        <v>17.132824060725898</v>
      </c>
      <c r="Z345" s="4">
        <v>17.082362011769199</v>
      </c>
      <c r="AA345" s="4">
        <v>16.951849480597499</v>
      </c>
      <c r="AB345" s="4">
        <f t="shared" si="23"/>
        <v>17.055678517697533</v>
      </c>
      <c r="AK345" s="4" t="s">
        <v>2431</v>
      </c>
      <c r="AM345" s="4" t="s">
        <v>1746</v>
      </c>
    </row>
    <row r="346" spans="2:39" x14ac:dyDescent="0.2">
      <c r="B346" s="4" t="s">
        <v>1319</v>
      </c>
      <c r="C346" s="4">
        <v>17.3</v>
      </c>
      <c r="D346" s="4">
        <v>17.061399999999999</v>
      </c>
      <c r="E346" s="4">
        <v>16.876799999999999</v>
      </c>
      <c r="F346" s="4">
        <f t="shared" si="20"/>
        <v>17.079400000000003</v>
      </c>
      <c r="I346" s="4" t="s">
        <v>3930</v>
      </c>
      <c r="J346" s="4">
        <v>17.194600000000001</v>
      </c>
      <c r="K346" s="4">
        <v>17.456499999999998</v>
      </c>
      <c r="L346" s="4">
        <v>16.901</v>
      </c>
      <c r="M346" s="4">
        <f t="shared" si="21"/>
        <v>17.184033333333332</v>
      </c>
      <c r="Q346" s="43" t="s">
        <v>3516</v>
      </c>
      <c r="R346" s="4">
        <v>17.262149524703599</v>
      </c>
      <c r="S346" s="4">
        <v>17.075509810448501</v>
      </c>
      <c r="T346" s="4">
        <v>16.583013283770502</v>
      </c>
      <c r="U346" s="4">
        <f t="shared" si="22"/>
        <v>16.973557539640865</v>
      </c>
      <c r="X346" s="43" t="s">
        <v>2600</v>
      </c>
      <c r="Y346" s="4">
        <v>17.050106107760701</v>
      </c>
      <c r="Z346" s="4">
        <v>17.168021447864199</v>
      </c>
      <c r="AA346" s="4">
        <v>16.914882674214901</v>
      </c>
      <c r="AB346" s="4">
        <f t="shared" si="23"/>
        <v>17.044336743279935</v>
      </c>
      <c r="AK346" s="4" t="s">
        <v>551</v>
      </c>
      <c r="AM346" s="4" t="s">
        <v>4274</v>
      </c>
    </row>
    <row r="347" spans="2:39" x14ac:dyDescent="0.2">
      <c r="B347" s="4" t="s">
        <v>951</v>
      </c>
      <c r="C347" s="4">
        <v>17.203099999999999</v>
      </c>
      <c r="D347" s="4">
        <v>17.021100000000001</v>
      </c>
      <c r="E347" s="4">
        <v>16.995799999999999</v>
      </c>
      <c r="F347" s="4">
        <f t="shared" si="20"/>
        <v>17.073333333333334</v>
      </c>
      <c r="I347" s="4" t="s">
        <v>2305</v>
      </c>
      <c r="J347" s="4">
        <v>17.317</v>
      </c>
      <c r="K347" s="4">
        <v>16.909300000000002</v>
      </c>
      <c r="L347" s="4">
        <v>17.310199999999998</v>
      </c>
      <c r="M347" s="4">
        <f t="shared" si="21"/>
        <v>17.178833333333333</v>
      </c>
      <c r="Q347" s="43" t="s">
        <v>2015</v>
      </c>
      <c r="R347" s="4">
        <v>17.384469625692802</v>
      </c>
      <c r="S347" s="4">
        <v>16.691630657507002</v>
      </c>
      <c r="T347" s="4">
        <v>16.824192965721799</v>
      </c>
      <c r="U347" s="4">
        <f t="shared" si="22"/>
        <v>16.966764416307203</v>
      </c>
      <c r="X347" s="43" t="s">
        <v>1909</v>
      </c>
      <c r="Y347" s="4">
        <v>17.0817433268952</v>
      </c>
      <c r="Z347" s="4">
        <v>16.9650311305043</v>
      </c>
      <c r="AA347" s="4">
        <v>17.0453359130398</v>
      </c>
      <c r="AB347" s="4">
        <f t="shared" si="23"/>
        <v>17.0307034568131</v>
      </c>
      <c r="AK347" s="4" t="s">
        <v>3107</v>
      </c>
      <c r="AM347" s="4" t="s">
        <v>4155</v>
      </c>
    </row>
    <row r="348" spans="2:39" x14ac:dyDescent="0.2">
      <c r="B348" s="4" t="s">
        <v>1711</v>
      </c>
      <c r="C348" s="4">
        <v>16.773900000000001</v>
      </c>
      <c r="D348" s="4">
        <v>16.9956</v>
      </c>
      <c r="E348" s="4">
        <v>17.445</v>
      </c>
      <c r="F348" s="4">
        <f t="shared" si="20"/>
        <v>17.0715</v>
      </c>
      <c r="I348" s="4" t="s">
        <v>533</v>
      </c>
      <c r="J348" s="4">
        <v>17.313300000000002</v>
      </c>
      <c r="K348" s="4">
        <v>17.0228</v>
      </c>
      <c r="L348" s="4">
        <v>17.192</v>
      </c>
      <c r="M348" s="4">
        <f t="shared" si="21"/>
        <v>17.176033333333333</v>
      </c>
      <c r="Q348" s="43" t="s">
        <v>2624</v>
      </c>
      <c r="R348" s="4">
        <v>16.868222486054702</v>
      </c>
      <c r="S348" s="4">
        <v>16.956188784956801</v>
      </c>
      <c r="T348" s="4">
        <v>17.064331183939501</v>
      </c>
      <c r="U348" s="4">
        <f t="shared" si="22"/>
        <v>16.962914151650335</v>
      </c>
      <c r="X348" s="43" t="s">
        <v>3978</v>
      </c>
      <c r="Y348" s="4">
        <v>17.045919027274401</v>
      </c>
      <c r="Z348" s="4">
        <v>16.878646054941701</v>
      </c>
      <c r="AA348" s="4">
        <v>17.117593312587498</v>
      </c>
      <c r="AB348" s="4">
        <f t="shared" si="23"/>
        <v>17.014052798267869</v>
      </c>
      <c r="AK348" s="4" t="s">
        <v>553</v>
      </c>
      <c r="AM348" s="4" t="s">
        <v>4338</v>
      </c>
    </row>
    <row r="349" spans="2:39" x14ac:dyDescent="0.2">
      <c r="B349" s="4" t="s">
        <v>3878</v>
      </c>
      <c r="C349" s="4">
        <v>16.734500000000001</v>
      </c>
      <c r="D349" s="4">
        <v>17.158200000000001</v>
      </c>
      <c r="E349" s="4">
        <v>17.316700000000001</v>
      </c>
      <c r="F349" s="4">
        <f t="shared" si="20"/>
        <v>17.069800000000001</v>
      </c>
      <c r="I349" s="4" t="s">
        <v>279</v>
      </c>
      <c r="J349" s="4">
        <v>17.2898</v>
      </c>
      <c r="K349" s="4">
        <v>16.8843</v>
      </c>
      <c r="L349" s="4">
        <v>17.338100000000001</v>
      </c>
      <c r="M349" s="4">
        <f t="shared" si="21"/>
        <v>17.170733333333331</v>
      </c>
      <c r="Q349" s="43" t="s">
        <v>3762</v>
      </c>
      <c r="R349" s="4">
        <v>17.182393751816399</v>
      </c>
      <c r="S349" s="4">
        <v>16.7956283875405</v>
      </c>
      <c r="T349" s="4">
        <v>16.900492723358401</v>
      </c>
      <c r="U349" s="4">
        <f t="shared" si="22"/>
        <v>16.95950495423843</v>
      </c>
      <c r="X349" s="43" t="s">
        <v>3090</v>
      </c>
      <c r="Y349" s="4">
        <v>16.996687100793601</v>
      </c>
      <c r="Z349" s="4">
        <v>17.050016516646199</v>
      </c>
      <c r="AA349" s="4">
        <v>16.9948384853443</v>
      </c>
      <c r="AB349" s="4">
        <f t="shared" si="23"/>
        <v>17.013847367594703</v>
      </c>
      <c r="AK349" s="4" t="s">
        <v>1791</v>
      </c>
      <c r="AM349" s="4" t="s">
        <v>576</v>
      </c>
    </row>
    <row r="350" spans="2:39" x14ac:dyDescent="0.2">
      <c r="B350" s="4" t="s">
        <v>2886</v>
      </c>
      <c r="C350" s="4">
        <v>17.232600000000001</v>
      </c>
      <c r="D350" s="4">
        <v>17.146100000000001</v>
      </c>
      <c r="E350" s="4">
        <v>16.829599999999999</v>
      </c>
      <c r="F350" s="4">
        <f t="shared" si="20"/>
        <v>17.069433333333333</v>
      </c>
      <c r="I350" s="4" t="s">
        <v>690</v>
      </c>
      <c r="J350" s="4">
        <v>17.317399999999999</v>
      </c>
      <c r="K350" s="4">
        <v>17.057700000000001</v>
      </c>
      <c r="L350" s="4">
        <v>17.104299999999999</v>
      </c>
      <c r="M350" s="4">
        <f t="shared" si="21"/>
        <v>17.159800000000001</v>
      </c>
      <c r="Q350" s="43" t="s">
        <v>2063</v>
      </c>
      <c r="R350" s="4">
        <v>17.013081770655401</v>
      </c>
      <c r="S350" s="4">
        <v>16.881660178736201</v>
      </c>
      <c r="T350" s="4">
        <v>16.9810135791882</v>
      </c>
      <c r="U350" s="4">
        <f t="shared" si="22"/>
        <v>16.958585176193267</v>
      </c>
      <c r="X350" s="43" t="s">
        <v>2298</v>
      </c>
      <c r="Y350" s="4">
        <v>17.119204223892201</v>
      </c>
      <c r="Z350" s="4">
        <v>16.839413176829702</v>
      </c>
      <c r="AA350" s="4">
        <v>17.0523475945282</v>
      </c>
      <c r="AB350" s="4">
        <f t="shared" si="23"/>
        <v>17.003654998416703</v>
      </c>
      <c r="AK350" s="4" t="s">
        <v>3364</v>
      </c>
      <c r="AM350" s="4" t="s">
        <v>4450</v>
      </c>
    </row>
    <row r="351" spans="2:39" x14ac:dyDescent="0.2">
      <c r="B351" s="4" t="s">
        <v>2077</v>
      </c>
      <c r="C351" s="4">
        <v>16.738700000000001</v>
      </c>
      <c r="D351" s="4">
        <v>17.056999999999999</v>
      </c>
      <c r="E351" s="4">
        <v>17.3994</v>
      </c>
      <c r="F351" s="4">
        <f t="shared" si="20"/>
        <v>17.065033333333332</v>
      </c>
      <c r="I351" s="4" t="s">
        <v>666</v>
      </c>
      <c r="J351" s="4">
        <v>16.878299999999999</v>
      </c>
      <c r="K351" s="4">
        <v>17.8628</v>
      </c>
      <c r="L351" s="4">
        <v>16.715199999999999</v>
      </c>
      <c r="M351" s="4">
        <f t="shared" si="21"/>
        <v>17.152100000000001</v>
      </c>
      <c r="Q351" s="43" t="s">
        <v>1847</v>
      </c>
      <c r="R351" s="4">
        <v>17.125136509787801</v>
      </c>
      <c r="S351" s="4">
        <v>16.850473328188802</v>
      </c>
      <c r="T351" s="4">
        <v>16.887013038918099</v>
      </c>
      <c r="U351" s="4">
        <f t="shared" si="22"/>
        <v>16.954207625631568</v>
      </c>
      <c r="X351" s="43" t="s">
        <v>1248</v>
      </c>
      <c r="Y351" s="4">
        <v>16.986004577650402</v>
      </c>
      <c r="Z351" s="4">
        <v>17.2471942578129</v>
      </c>
      <c r="AA351" s="4">
        <v>16.715116508205799</v>
      </c>
      <c r="AB351" s="4">
        <f t="shared" si="23"/>
        <v>16.982771781223033</v>
      </c>
      <c r="AK351" s="4" t="s">
        <v>3879</v>
      </c>
      <c r="AM351" s="4" t="s">
        <v>4597</v>
      </c>
    </row>
    <row r="352" spans="2:39" x14ac:dyDescent="0.2">
      <c r="B352" s="4" t="s">
        <v>3564</v>
      </c>
      <c r="C352" s="4">
        <v>17.057200000000002</v>
      </c>
      <c r="D352" s="4">
        <v>17.115300000000001</v>
      </c>
      <c r="E352" s="4">
        <v>17.0213</v>
      </c>
      <c r="F352" s="4">
        <f t="shared" si="20"/>
        <v>17.064599999999999</v>
      </c>
      <c r="I352" s="4" t="s">
        <v>856</v>
      </c>
      <c r="J352" s="4">
        <v>17.195399999999999</v>
      </c>
      <c r="K352" s="4">
        <v>16.8201</v>
      </c>
      <c r="L352" s="4">
        <v>17.427299999999999</v>
      </c>
      <c r="M352" s="4">
        <f t="shared" si="21"/>
        <v>17.147600000000001</v>
      </c>
      <c r="Q352" s="43" t="s">
        <v>1878</v>
      </c>
      <c r="R352" s="4">
        <v>16.232212863467002</v>
      </c>
      <c r="S352" s="4">
        <v>17.087497315497401</v>
      </c>
      <c r="T352" s="4">
        <v>17.516515532006999</v>
      </c>
      <c r="U352" s="4">
        <f t="shared" si="22"/>
        <v>16.945408570323799</v>
      </c>
      <c r="X352" s="43" t="s">
        <v>1878</v>
      </c>
      <c r="Y352" s="4">
        <v>16.8788923585719</v>
      </c>
      <c r="Z352" s="4">
        <v>17.348559613134899</v>
      </c>
      <c r="AA352" s="4">
        <v>16.716101925929902</v>
      </c>
      <c r="AB352" s="4">
        <f t="shared" si="23"/>
        <v>16.981184632545567</v>
      </c>
      <c r="AK352" s="4" t="s">
        <v>2984</v>
      </c>
      <c r="AM352" s="6" t="s">
        <v>762</v>
      </c>
    </row>
    <row r="353" spans="2:39" x14ac:dyDescent="0.2">
      <c r="B353" s="4" t="s">
        <v>2989</v>
      </c>
      <c r="C353" s="4">
        <v>17.207799999999999</v>
      </c>
      <c r="D353" s="4">
        <v>17.052299999999999</v>
      </c>
      <c r="E353" s="4">
        <v>16.932300000000001</v>
      </c>
      <c r="F353" s="4">
        <f t="shared" si="20"/>
        <v>17.064133333333331</v>
      </c>
      <c r="I353" s="4" t="s">
        <v>1004</v>
      </c>
      <c r="J353" s="4">
        <v>16.186499999999999</v>
      </c>
      <c r="K353" s="4">
        <v>18.5822</v>
      </c>
      <c r="L353" s="4">
        <v>16.667100000000001</v>
      </c>
      <c r="M353" s="4">
        <f t="shared" si="21"/>
        <v>17.145266666666668</v>
      </c>
      <c r="Q353" s="43" t="s">
        <v>3667</v>
      </c>
      <c r="R353" s="4">
        <v>16.790670214137599</v>
      </c>
      <c r="S353" s="4">
        <v>17.344528391860099</v>
      </c>
      <c r="T353" s="4">
        <v>16.691215342885599</v>
      </c>
      <c r="U353" s="4">
        <f t="shared" si="22"/>
        <v>16.9421379829611</v>
      </c>
      <c r="X353" s="43" t="s">
        <v>2047</v>
      </c>
      <c r="Y353" s="4">
        <v>16.9215090031988</v>
      </c>
      <c r="Z353" s="4">
        <v>16.8926013625073</v>
      </c>
      <c r="AA353" s="4">
        <v>17.122360160368999</v>
      </c>
      <c r="AB353" s="4">
        <f t="shared" si="23"/>
        <v>16.978823508691701</v>
      </c>
      <c r="AK353" s="4" t="s">
        <v>3126</v>
      </c>
      <c r="AM353" s="4" t="s">
        <v>1836</v>
      </c>
    </row>
    <row r="354" spans="2:39" x14ac:dyDescent="0.2">
      <c r="B354" s="4" t="s">
        <v>1717</v>
      </c>
      <c r="C354" s="4">
        <v>17.022400000000001</v>
      </c>
      <c r="D354" s="4">
        <v>17.031099999999999</v>
      </c>
      <c r="E354" s="4">
        <v>17.1236</v>
      </c>
      <c r="F354" s="4">
        <f t="shared" si="20"/>
        <v>17.059033333333332</v>
      </c>
      <c r="I354" s="4" t="s">
        <v>396</v>
      </c>
      <c r="J354" s="4">
        <v>17.3324</v>
      </c>
      <c r="K354" s="4">
        <v>17.086500000000001</v>
      </c>
      <c r="L354" s="4">
        <v>16.999199999999998</v>
      </c>
      <c r="M354" s="4">
        <f t="shared" si="21"/>
        <v>17.139366666666664</v>
      </c>
      <c r="Q354" s="43" t="s">
        <v>3586</v>
      </c>
      <c r="R354" s="4">
        <v>16.8810014661269</v>
      </c>
      <c r="S354" s="4">
        <v>16.948060221577499</v>
      </c>
      <c r="T354" s="4">
        <v>16.977105205632501</v>
      </c>
      <c r="U354" s="4">
        <f t="shared" si="22"/>
        <v>16.935388964445632</v>
      </c>
      <c r="X354" s="43" t="s">
        <v>1626</v>
      </c>
      <c r="Y354" s="4">
        <v>16.859568206397299</v>
      </c>
      <c r="Z354" s="4">
        <v>17.050998818918298</v>
      </c>
      <c r="AA354" s="4">
        <v>16.988478058578998</v>
      </c>
      <c r="AB354" s="4">
        <f t="shared" si="23"/>
        <v>16.966348361298198</v>
      </c>
      <c r="AK354" s="4" t="s">
        <v>2197</v>
      </c>
      <c r="AM354" s="4" t="s">
        <v>4284</v>
      </c>
    </row>
    <row r="355" spans="2:39" x14ac:dyDescent="0.2">
      <c r="B355" s="4" t="s">
        <v>3060</v>
      </c>
      <c r="C355" s="4">
        <v>17.098099999999999</v>
      </c>
      <c r="D355" s="4">
        <v>17.087</v>
      </c>
      <c r="E355" s="4">
        <v>16.991199999999999</v>
      </c>
      <c r="F355" s="4">
        <f t="shared" si="20"/>
        <v>17.058766666666667</v>
      </c>
      <c r="I355" s="4" t="s">
        <v>4026</v>
      </c>
      <c r="J355" s="4">
        <v>17.1722</v>
      </c>
      <c r="K355" s="4">
        <v>16.8842</v>
      </c>
      <c r="L355" s="4">
        <v>17.345400000000001</v>
      </c>
      <c r="M355" s="4">
        <f t="shared" si="21"/>
        <v>17.133933333333331</v>
      </c>
      <c r="Q355" s="43" t="s">
        <v>3173</v>
      </c>
      <c r="R355" s="4">
        <v>17.300058673288099</v>
      </c>
      <c r="S355" s="4">
        <v>16.7051044116327</v>
      </c>
      <c r="T355" s="4">
        <v>16.7806627928477</v>
      </c>
      <c r="U355" s="4">
        <f t="shared" si="22"/>
        <v>16.928608625922831</v>
      </c>
      <c r="X355" s="43" t="s">
        <v>3999</v>
      </c>
      <c r="Y355" s="4">
        <v>16.983294890947398</v>
      </c>
      <c r="Z355" s="4">
        <v>16.920083189197101</v>
      </c>
      <c r="AA355" s="4">
        <v>16.988383305872802</v>
      </c>
      <c r="AB355" s="4">
        <f t="shared" si="23"/>
        <v>16.963920462005767</v>
      </c>
      <c r="AK355" s="4" t="s">
        <v>3636</v>
      </c>
      <c r="AM355" s="4" t="s">
        <v>4472</v>
      </c>
    </row>
    <row r="356" spans="2:39" x14ac:dyDescent="0.2">
      <c r="B356" s="4" t="s">
        <v>2540</v>
      </c>
      <c r="C356" s="4">
        <v>17.230799999999999</v>
      </c>
      <c r="D356" s="4">
        <v>17.138400000000001</v>
      </c>
      <c r="E356" s="4">
        <v>16.7879</v>
      </c>
      <c r="F356" s="4">
        <f t="shared" si="20"/>
        <v>17.052366666666668</v>
      </c>
      <c r="I356" s="4" t="s">
        <v>3631</v>
      </c>
      <c r="J356" s="4">
        <v>17.020499999999998</v>
      </c>
      <c r="K356" s="4">
        <v>17.195499999999999</v>
      </c>
      <c r="L356" s="4">
        <v>17.163599999999999</v>
      </c>
      <c r="M356" s="4">
        <f t="shared" si="21"/>
        <v>17.126533333333331</v>
      </c>
      <c r="Q356" s="43" t="s">
        <v>2389</v>
      </c>
      <c r="R356" s="4">
        <v>16.933755230473398</v>
      </c>
      <c r="S356" s="4">
        <v>17.014133627049901</v>
      </c>
      <c r="T356" s="4">
        <v>16.805807170103801</v>
      </c>
      <c r="U356" s="4">
        <f t="shared" si="22"/>
        <v>16.917898675875701</v>
      </c>
      <c r="X356" s="43" t="s">
        <v>2317</v>
      </c>
      <c r="Y356" s="4">
        <v>16.888298785015699</v>
      </c>
      <c r="Z356" s="4">
        <v>16.984116287424101</v>
      </c>
      <c r="AA356" s="4">
        <v>17.000142067374298</v>
      </c>
      <c r="AB356" s="4">
        <f t="shared" si="23"/>
        <v>16.957519046604698</v>
      </c>
      <c r="AK356" s="4" t="s">
        <v>2483</v>
      </c>
      <c r="AM356" s="6" t="s">
        <v>771</v>
      </c>
    </row>
    <row r="357" spans="2:39" x14ac:dyDescent="0.2">
      <c r="B357" s="4" t="s">
        <v>582</v>
      </c>
      <c r="C357" s="4">
        <v>16.798400000000001</v>
      </c>
      <c r="D357" s="4">
        <v>16.910299999999999</v>
      </c>
      <c r="E357" s="4">
        <v>17.443100000000001</v>
      </c>
      <c r="F357" s="4">
        <f t="shared" si="20"/>
        <v>17.050599999999999</v>
      </c>
      <c r="I357" s="4" t="s">
        <v>3038</v>
      </c>
      <c r="J357" s="4">
        <v>17.276700000000002</v>
      </c>
      <c r="K357" s="4">
        <v>17.094200000000001</v>
      </c>
      <c r="L357" s="4">
        <v>17.005400000000002</v>
      </c>
      <c r="M357" s="4">
        <f t="shared" si="21"/>
        <v>17.125433333333337</v>
      </c>
      <c r="Q357" s="43" t="s">
        <v>3356</v>
      </c>
      <c r="R357" s="4">
        <v>17.055228506300399</v>
      </c>
      <c r="S357" s="4">
        <v>16.891774622911299</v>
      </c>
      <c r="T357" s="4">
        <v>16.805233090677302</v>
      </c>
      <c r="U357" s="4">
        <f t="shared" si="22"/>
        <v>16.917412073296333</v>
      </c>
      <c r="X357" s="43" t="s">
        <v>2796</v>
      </c>
      <c r="Y357" s="4">
        <v>16.950338308081701</v>
      </c>
      <c r="Z357" s="4">
        <v>17.154052864610001</v>
      </c>
      <c r="AA357" s="4">
        <v>16.748234764871501</v>
      </c>
      <c r="AB357" s="4">
        <f t="shared" si="23"/>
        <v>16.950875312521067</v>
      </c>
      <c r="AK357" s="4" t="s">
        <v>2786</v>
      </c>
      <c r="AM357" s="4" t="s">
        <v>4526</v>
      </c>
    </row>
    <row r="358" spans="2:39" x14ac:dyDescent="0.2">
      <c r="B358" s="4" t="s">
        <v>1642</v>
      </c>
      <c r="C358" s="4">
        <v>17.1599</v>
      </c>
      <c r="D358" s="4">
        <v>16.994599999999998</v>
      </c>
      <c r="E358" s="4">
        <v>16.982399999999998</v>
      </c>
      <c r="F358" s="4">
        <f t="shared" si="20"/>
        <v>17.045633333333331</v>
      </c>
      <c r="I358" s="4" t="s">
        <v>80</v>
      </c>
      <c r="J358" s="4">
        <v>17.2745</v>
      </c>
      <c r="K358" s="4">
        <v>16.860299999999999</v>
      </c>
      <c r="L358" s="4">
        <v>17.239000000000001</v>
      </c>
      <c r="M358" s="4">
        <f t="shared" si="21"/>
        <v>17.124600000000001</v>
      </c>
      <c r="Q358" s="43" t="s">
        <v>4075</v>
      </c>
      <c r="R358" s="4">
        <v>17.291715574751699</v>
      </c>
      <c r="S358" s="4">
        <v>16.605442601476302</v>
      </c>
      <c r="T358" s="4">
        <v>16.8185366750753</v>
      </c>
      <c r="U358" s="4">
        <f t="shared" si="22"/>
        <v>16.905231617101101</v>
      </c>
      <c r="X358" s="43" t="s">
        <v>1651</v>
      </c>
      <c r="Y358" s="4">
        <v>16.993236369702799</v>
      </c>
      <c r="Z358" s="4">
        <v>16.945319370091902</v>
      </c>
      <c r="AA358" s="4">
        <v>16.891076414072799</v>
      </c>
      <c r="AB358" s="4">
        <f t="shared" si="23"/>
        <v>16.943210717955832</v>
      </c>
      <c r="AK358" s="4" t="s">
        <v>1170</v>
      </c>
      <c r="AM358" s="4" t="s">
        <v>4468</v>
      </c>
    </row>
    <row r="359" spans="2:39" x14ac:dyDescent="0.2">
      <c r="B359" s="4" t="s">
        <v>3173</v>
      </c>
      <c r="C359" s="4">
        <v>17.2911</v>
      </c>
      <c r="D359" s="4">
        <v>16.987100000000002</v>
      </c>
      <c r="E359" s="4">
        <v>16.855699999999999</v>
      </c>
      <c r="F359" s="4">
        <f t="shared" si="20"/>
        <v>17.044633333333334</v>
      </c>
      <c r="I359" s="4" t="s">
        <v>199</v>
      </c>
      <c r="J359" s="4">
        <v>17.2456</v>
      </c>
      <c r="K359" s="4">
        <v>16.8127</v>
      </c>
      <c r="L359" s="4">
        <v>17.3017</v>
      </c>
      <c r="M359" s="4">
        <f t="shared" si="21"/>
        <v>17.12</v>
      </c>
      <c r="Q359" s="43" t="s">
        <v>233</v>
      </c>
      <c r="R359" s="4">
        <v>17.071003489299599</v>
      </c>
      <c r="S359" s="4">
        <v>16.880389965853599</v>
      </c>
      <c r="T359" s="4">
        <v>16.7405053105383</v>
      </c>
      <c r="U359" s="4">
        <f t="shared" si="22"/>
        <v>16.897299588563829</v>
      </c>
      <c r="X359" s="43" t="s">
        <v>1476</v>
      </c>
      <c r="Y359" s="4">
        <v>17.075657788023602</v>
      </c>
      <c r="Z359" s="4">
        <v>16.786363121937899</v>
      </c>
      <c r="AA359" s="4">
        <v>16.946207302038001</v>
      </c>
      <c r="AB359" s="4">
        <f t="shared" si="23"/>
        <v>16.936076070666502</v>
      </c>
      <c r="AK359" s="4" t="s">
        <v>3500</v>
      </c>
      <c r="AM359" s="4" t="s">
        <v>4407</v>
      </c>
    </row>
    <row r="360" spans="2:39" x14ac:dyDescent="0.2">
      <c r="B360" s="4" t="s">
        <v>2082</v>
      </c>
      <c r="C360" s="4">
        <v>16.902799999999999</v>
      </c>
      <c r="D360" s="4">
        <v>17.108000000000001</v>
      </c>
      <c r="E360" s="4">
        <v>17.116099999999999</v>
      </c>
      <c r="F360" s="4">
        <f t="shared" si="20"/>
        <v>17.042300000000001</v>
      </c>
      <c r="I360" s="4" t="s">
        <v>3373</v>
      </c>
      <c r="J360" s="4">
        <v>17.176200000000001</v>
      </c>
      <c r="K360" s="4">
        <v>16.9193</v>
      </c>
      <c r="L360" s="4">
        <v>17.254100000000001</v>
      </c>
      <c r="M360" s="4">
        <f t="shared" si="21"/>
        <v>17.116533333333333</v>
      </c>
      <c r="Q360" s="43" t="s">
        <v>1626</v>
      </c>
      <c r="R360" s="4">
        <v>16.912348451879801</v>
      </c>
      <c r="S360" s="4">
        <v>16.972671841448999</v>
      </c>
      <c r="T360" s="4">
        <v>16.804313212991701</v>
      </c>
      <c r="U360" s="4">
        <f t="shared" si="22"/>
        <v>16.896444502106835</v>
      </c>
      <c r="X360" s="43" t="s">
        <v>1950</v>
      </c>
      <c r="Y360" s="4">
        <v>16.964998330138801</v>
      </c>
      <c r="Z360" s="4">
        <v>16.9118975038947</v>
      </c>
      <c r="AA360" s="4">
        <v>16.874603728578801</v>
      </c>
      <c r="AB360" s="4">
        <f t="shared" si="23"/>
        <v>16.917166520870769</v>
      </c>
      <c r="AK360" s="4" t="s">
        <v>930</v>
      </c>
      <c r="AM360" s="4" t="s">
        <v>4321</v>
      </c>
    </row>
    <row r="361" spans="2:39" x14ac:dyDescent="0.2">
      <c r="B361" s="4" t="s">
        <v>361</v>
      </c>
      <c r="C361" s="4">
        <v>17.211300000000001</v>
      </c>
      <c r="D361" s="4">
        <v>17.033100000000001</v>
      </c>
      <c r="E361" s="4">
        <v>16.865500000000001</v>
      </c>
      <c r="F361" s="4">
        <f t="shared" si="20"/>
        <v>17.036633333333331</v>
      </c>
      <c r="I361" s="4" t="s">
        <v>658</v>
      </c>
      <c r="J361" s="4">
        <v>17.208400000000001</v>
      </c>
      <c r="K361" s="4">
        <v>16.989799999999999</v>
      </c>
      <c r="L361" s="4">
        <v>17.118300000000001</v>
      </c>
      <c r="M361" s="4">
        <f t="shared" si="21"/>
        <v>17.105500000000003</v>
      </c>
      <c r="Q361" s="43" t="s">
        <v>1361</v>
      </c>
      <c r="R361" s="4">
        <v>16.908008304202799</v>
      </c>
      <c r="S361" s="4">
        <v>16.8972219132785</v>
      </c>
      <c r="T361" s="4">
        <v>16.8822373100673</v>
      </c>
      <c r="U361" s="4">
        <f t="shared" si="22"/>
        <v>16.895822509182864</v>
      </c>
      <c r="X361" s="43" t="s">
        <v>3548</v>
      </c>
      <c r="Y361" s="4">
        <v>17.0037939687125</v>
      </c>
      <c r="Z361" s="4">
        <v>17.0234926375349</v>
      </c>
      <c r="AA361" s="4">
        <v>16.723050133271599</v>
      </c>
      <c r="AB361" s="4">
        <f t="shared" si="23"/>
        <v>16.916778913173001</v>
      </c>
      <c r="AK361" s="4" t="s">
        <v>2150</v>
      </c>
      <c r="AM361" s="4" t="s">
        <v>1005</v>
      </c>
    </row>
    <row r="362" spans="2:39" x14ac:dyDescent="0.2">
      <c r="B362" s="4" t="s">
        <v>2188</v>
      </c>
      <c r="C362" s="4">
        <v>17.042899999999999</v>
      </c>
      <c r="D362" s="4">
        <v>17.0124</v>
      </c>
      <c r="E362" s="4">
        <v>17.023900000000001</v>
      </c>
      <c r="F362" s="4">
        <f t="shared" si="20"/>
        <v>17.026399999999999</v>
      </c>
      <c r="I362" s="4" t="s">
        <v>2737</v>
      </c>
      <c r="J362" s="4">
        <v>16.510899999999999</v>
      </c>
      <c r="K362" s="4">
        <v>17.567699999999999</v>
      </c>
      <c r="L362" s="4">
        <v>17.226199999999999</v>
      </c>
      <c r="M362" s="4">
        <f t="shared" si="21"/>
        <v>17.101599999999998</v>
      </c>
      <c r="Q362" s="43" t="s">
        <v>1232</v>
      </c>
      <c r="R362" s="4">
        <v>16.961583935217199</v>
      </c>
      <c r="S362" s="4">
        <v>16.868675203693002</v>
      </c>
      <c r="T362" s="4">
        <v>16.8571083368799</v>
      </c>
      <c r="U362" s="4">
        <f t="shared" si="22"/>
        <v>16.895789158596699</v>
      </c>
      <c r="X362" s="43" t="s">
        <v>133</v>
      </c>
      <c r="Y362" s="4">
        <v>16.9653296148694</v>
      </c>
      <c r="Z362" s="4">
        <v>16.833373083218401</v>
      </c>
      <c r="AA362" s="4">
        <v>16.921336934736001</v>
      </c>
      <c r="AB362" s="4">
        <f t="shared" si="23"/>
        <v>16.906679877607932</v>
      </c>
      <c r="AK362" s="4" t="s">
        <v>615</v>
      </c>
      <c r="AM362" s="4" t="s">
        <v>1303</v>
      </c>
    </row>
    <row r="363" spans="2:39" x14ac:dyDescent="0.2">
      <c r="B363" s="4" t="s">
        <v>2061</v>
      </c>
      <c r="C363" s="4">
        <v>16.952500000000001</v>
      </c>
      <c r="D363" s="4">
        <v>17.100200000000001</v>
      </c>
      <c r="E363" s="4">
        <v>17.006599999999999</v>
      </c>
      <c r="F363" s="4">
        <f t="shared" si="20"/>
        <v>17.019766666666666</v>
      </c>
      <c r="I363" s="4" t="s">
        <v>3910</v>
      </c>
      <c r="J363" s="4">
        <v>17.256499999999999</v>
      </c>
      <c r="K363" s="4">
        <v>16.635100000000001</v>
      </c>
      <c r="L363" s="4">
        <v>17.4115</v>
      </c>
      <c r="M363" s="4">
        <f t="shared" si="21"/>
        <v>17.101033333333334</v>
      </c>
      <c r="Q363" s="43" t="s">
        <v>448</v>
      </c>
      <c r="R363" s="4">
        <v>17.317620858142401</v>
      </c>
      <c r="S363" s="4">
        <v>16.672584246739099</v>
      </c>
      <c r="T363" s="4">
        <v>16.6969782836943</v>
      </c>
      <c r="U363" s="4">
        <f t="shared" si="22"/>
        <v>16.895727796191931</v>
      </c>
      <c r="X363" s="43" t="s">
        <v>3206</v>
      </c>
      <c r="Y363" s="4">
        <v>16.733545957058102</v>
      </c>
      <c r="Z363" s="4">
        <v>16.9297167402312</v>
      </c>
      <c r="AA363" s="4">
        <v>17.0436500131275</v>
      </c>
      <c r="AB363" s="4">
        <f t="shared" si="23"/>
        <v>16.902304236805602</v>
      </c>
      <c r="AK363" s="4" t="s">
        <v>1504</v>
      </c>
      <c r="AM363" s="4" t="s">
        <v>1839</v>
      </c>
    </row>
    <row r="364" spans="2:39" x14ac:dyDescent="0.2">
      <c r="B364" s="4" t="s">
        <v>353</v>
      </c>
      <c r="C364" s="4">
        <v>17.1037</v>
      </c>
      <c r="D364" s="4">
        <v>16.967500000000001</v>
      </c>
      <c r="E364" s="4">
        <v>16.963899999999999</v>
      </c>
      <c r="F364" s="4">
        <f t="shared" si="20"/>
        <v>17.011700000000001</v>
      </c>
      <c r="I364" s="4" t="s">
        <v>3814</v>
      </c>
      <c r="J364" s="4">
        <v>17.344200000000001</v>
      </c>
      <c r="K364" s="4">
        <v>16.7317</v>
      </c>
      <c r="L364" s="4">
        <v>17.2163</v>
      </c>
      <c r="M364" s="4">
        <f t="shared" si="21"/>
        <v>17.097400000000004</v>
      </c>
      <c r="Q364" s="43" t="s">
        <v>3061</v>
      </c>
      <c r="R364" s="4">
        <v>16.974813993367299</v>
      </c>
      <c r="S364" s="4">
        <v>16.7910556199155</v>
      </c>
      <c r="T364" s="4">
        <v>16.912616837301499</v>
      </c>
      <c r="U364" s="4">
        <f t="shared" si="22"/>
        <v>16.892828816861435</v>
      </c>
      <c r="X364" s="43" t="s">
        <v>2</v>
      </c>
      <c r="Y364" s="4">
        <v>16.788506332350199</v>
      </c>
      <c r="Z364" s="4">
        <v>17.0170263001534</v>
      </c>
      <c r="AA364" s="4">
        <v>16.8993104260671</v>
      </c>
      <c r="AB364" s="4">
        <f t="shared" si="23"/>
        <v>16.9016143528569</v>
      </c>
      <c r="AK364" s="1"/>
      <c r="AM364" s="4" t="s">
        <v>1781</v>
      </c>
    </row>
    <row r="365" spans="2:39" x14ac:dyDescent="0.2">
      <c r="B365" s="4" t="s">
        <v>694</v>
      </c>
      <c r="C365" s="4">
        <v>17.516500000000001</v>
      </c>
      <c r="D365" s="4">
        <v>16.868400000000001</v>
      </c>
      <c r="E365" s="4">
        <v>16.6447</v>
      </c>
      <c r="F365" s="4">
        <f t="shared" si="20"/>
        <v>17.009866666666667</v>
      </c>
      <c r="I365" s="4" t="s">
        <v>2077</v>
      </c>
      <c r="J365" s="4">
        <v>17.089300000000001</v>
      </c>
      <c r="K365" s="4">
        <v>16.715800000000002</v>
      </c>
      <c r="L365" s="4">
        <v>17.471</v>
      </c>
      <c r="M365" s="4">
        <f t="shared" si="21"/>
        <v>17.092033333333333</v>
      </c>
      <c r="Q365" s="43" t="s">
        <v>1481</v>
      </c>
      <c r="R365" s="4">
        <v>16.6883340771994</v>
      </c>
      <c r="S365" s="4">
        <v>17.107789614035401</v>
      </c>
      <c r="T365" s="4">
        <v>16.875077108922401</v>
      </c>
      <c r="U365" s="4">
        <f t="shared" si="22"/>
        <v>16.890400266719066</v>
      </c>
      <c r="X365" s="43" t="s">
        <v>1565</v>
      </c>
      <c r="Y365" s="4">
        <v>16.750587605881801</v>
      </c>
      <c r="Z365" s="4">
        <v>17.0020546967786</v>
      </c>
      <c r="AA365" s="4">
        <v>16.9233763715309</v>
      </c>
      <c r="AB365" s="4">
        <f t="shared" si="23"/>
        <v>16.892006224730434</v>
      </c>
      <c r="AK365" s="1"/>
      <c r="AM365" s="4" t="s">
        <v>992</v>
      </c>
    </row>
    <row r="366" spans="2:39" x14ac:dyDescent="0.2">
      <c r="B366" s="4" t="s">
        <v>2066</v>
      </c>
      <c r="C366" s="4">
        <v>16.971900000000002</v>
      </c>
      <c r="D366" s="4">
        <v>17.1098</v>
      </c>
      <c r="E366" s="4">
        <v>16.928000000000001</v>
      </c>
      <c r="F366" s="4">
        <f t="shared" si="20"/>
        <v>17.003233333333331</v>
      </c>
      <c r="I366" s="4" t="s">
        <v>1368</v>
      </c>
      <c r="J366" s="4">
        <v>17.189699999999998</v>
      </c>
      <c r="K366" s="4">
        <v>16.944299999999998</v>
      </c>
      <c r="L366" s="4">
        <v>17.121700000000001</v>
      </c>
      <c r="M366" s="4">
        <f t="shared" si="21"/>
        <v>17.085233333333335</v>
      </c>
      <c r="Q366" s="43" t="s">
        <v>316</v>
      </c>
      <c r="R366" s="4">
        <v>16.924572964021898</v>
      </c>
      <c r="S366" s="4">
        <v>16.834169127633398</v>
      </c>
      <c r="T366" s="4">
        <v>16.905926464389701</v>
      </c>
      <c r="U366" s="4">
        <f t="shared" si="22"/>
        <v>16.888222852014998</v>
      </c>
      <c r="X366" s="43" t="s">
        <v>1347</v>
      </c>
      <c r="Y366" s="4">
        <v>16.715529607021999</v>
      </c>
      <c r="Z366" s="4">
        <v>17.026395626200099</v>
      </c>
      <c r="AA366" s="4">
        <v>16.928791441402598</v>
      </c>
      <c r="AB366" s="4">
        <f t="shared" si="23"/>
        <v>16.890238891541568</v>
      </c>
      <c r="AK366" s="1"/>
      <c r="AM366" s="4" t="s">
        <v>4501</v>
      </c>
    </row>
    <row r="367" spans="2:39" x14ac:dyDescent="0.2">
      <c r="B367" s="4" t="s">
        <v>3332</v>
      </c>
      <c r="C367" s="4">
        <v>17.063500000000001</v>
      </c>
      <c r="D367" s="4">
        <v>16.633900000000001</v>
      </c>
      <c r="E367" s="4">
        <v>17.305800000000001</v>
      </c>
      <c r="F367" s="4">
        <f t="shared" si="20"/>
        <v>17.00106666666667</v>
      </c>
      <c r="I367" s="4" t="s">
        <v>3512</v>
      </c>
      <c r="J367" s="4">
        <v>17.011099999999999</v>
      </c>
      <c r="K367" s="4">
        <v>17.394100000000002</v>
      </c>
      <c r="L367" s="4">
        <v>16.846699999999998</v>
      </c>
      <c r="M367" s="4">
        <f t="shared" si="21"/>
        <v>17.083966666666665</v>
      </c>
      <c r="Q367" s="43" t="s">
        <v>1744</v>
      </c>
      <c r="R367" s="4">
        <v>17.147267652793101</v>
      </c>
      <c r="S367" s="4">
        <v>16.686034960302901</v>
      </c>
      <c r="T367" s="4">
        <v>16.823994327559699</v>
      </c>
      <c r="U367" s="4">
        <f t="shared" si="22"/>
        <v>16.885765646885233</v>
      </c>
      <c r="X367" s="43" t="s">
        <v>1234</v>
      </c>
      <c r="Y367" s="4">
        <v>17.015723735873301</v>
      </c>
      <c r="Z367" s="4">
        <v>16.870311332937401</v>
      </c>
      <c r="AA367" s="4">
        <v>16.7845618934527</v>
      </c>
      <c r="AB367" s="4">
        <f t="shared" si="23"/>
        <v>16.890198987421133</v>
      </c>
      <c r="AK367" s="1"/>
      <c r="AM367" s="4" t="s">
        <v>4395</v>
      </c>
    </row>
    <row r="368" spans="2:39" x14ac:dyDescent="0.2">
      <c r="B368" s="4" t="s">
        <v>2427</v>
      </c>
      <c r="C368" s="4">
        <v>17.0488</v>
      </c>
      <c r="D368" s="4">
        <v>17.0426</v>
      </c>
      <c r="E368" s="4">
        <v>16.902200000000001</v>
      </c>
      <c r="F368" s="4">
        <f t="shared" si="20"/>
        <v>16.997866666666667</v>
      </c>
      <c r="I368" s="4" t="s">
        <v>1428</v>
      </c>
      <c r="J368" s="4">
        <v>17.157499999999999</v>
      </c>
      <c r="K368" s="4">
        <v>17.1815</v>
      </c>
      <c r="L368" s="4">
        <v>16.906099999999999</v>
      </c>
      <c r="M368" s="4">
        <f t="shared" si="21"/>
        <v>17.081699999999998</v>
      </c>
      <c r="Q368" s="43" t="s">
        <v>2248</v>
      </c>
      <c r="R368" s="4">
        <v>16.899994103236601</v>
      </c>
      <c r="S368" s="4">
        <v>16.729103083768798</v>
      </c>
      <c r="T368" s="4">
        <v>17.027940529445001</v>
      </c>
      <c r="U368" s="4">
        <f t="shared" si="22"/>
        <v>16.885679238816802</v>
      </c>
      <c r="X368" s="43" t="s">
        <v>2891</v>
      </c>
      <c r="Y368" s="4">
        <v>16.881042230701102</v>
      </c>
      <c r="Z368" s="4">
        <v>16.691982655962398</v>
      </c>
      <c r="AA368" s="4">
        <v>17.0854645971183</v>
      </c>
      <c r="AB368" s="4">
        <f t="shared" si="23"/>
        <v>16.886163161260601</v>
      </c>
      <c r="AK368" s="1"/>
      <c r="AM368" s="4" t="s">
        <v>4423</v>
      </c>
    </row>
    <row r="369" spans="2:39" x14ac:dyDescent="0.2">
      <c r="B369" s="4" t="s">
        <v>1496</v>
      </c>
      <c r="C369" s="4">
        <v>16.8185</v>
      </c>
      <c r="D369" s="4">
        <v>16.7027</v>
      </c>
      <c r="E369" s="4">
        <v>17.448599999999999</v>
      </c>
      <c r="F369" s="4">
        <f t="shared" si="20"/>
        <v>16.989933333333333</v>
      </c>
      <c r="I369" s="4" t="s">
        <v>2325</v>
      </c>
      <c r="J369" s="4">
        <v>16.682600000000001</v>
      </c>
      <c r="K369" s="4">
        <v>17.951599999999999</v>
      </c>
      <c r="L369" s="4">
        <v>16.589500000000001</v>
      </c>
      <c r="M369" s="4">
        <f t="shared" si="21"/>
        <v>17.074566666666666</v>
      </c>
      <c r="Q369" s="43" t="s">
        <v>2796</v>
      </c>
      <c r="R369" s="4">
        <v>16.943246926843599</v>
      </c>
      <c r="S369" s="4">
        <v>16.863388297282199</v>
      </c>
      <c r="T369" s="4">
        <v>16.845608883767898</v>
      </c>
      <c r="U369" s="4">
        <f t="shared" si="22"/>
        <v>16.884081369297899</v>
      </c>
      <c r="X369" s="43" t="s">
        <v>4467</v>
      </c>
      <c r="Y369" s="4">
        <v>17.394839779594101</v>
      </c>
      <c r="Z369" s="4">
        <v>16.532878895475701</v>
      </c>
      <c r="AA369" s="4">
        <v>16.718494008857199</v>
      </c>
      <c r="AB369" s="4">
        <f t="shared" si="23"/>
        <v>16.882070894642332</v>
      </c>
      <c r="AK369" s="1"/>
      <c r="AM369" s="4" t="s">
        <v>4185</v>
      </c>
    </row>
    <row r="370" spans="2:39" x14ac:dyDescent="0.2">
      <c r="B370" s="4" t="s">
        <v>769</v>
      </c>
      <c r="C370" s="4">
        <v>16.807600000000001</v>
      </c>
      <c r="D370" s="4">
        <v>16.642700000000001</v>
      </c>
      <c r="E370" s="4">
        <v>17.510400000000001</v>
      </c>
      <c r="F370" s="4">
        <f t="shared" si="20"/>
        <v>16.986900000000002</v>
      </c>
      <c r="I370" s="4" t="s">
        <v>2082</v>
      </c>
      <c r="J370" s="4">
        <v>17.270199999999999</v>
      </c>
      <c r="K370" s="4">
        <v>16.6233</v>
      </c>
      <c r="L370" s="4">
        <v>17.310500000000001</v>
      </c>
      <c r="M370" s="4">
        <f t="shared" si="21"/>
        <v>17.068000000000001</v>
      </c>
      <c r="Q370" s="43" t="s">
        <v>3801</v>
      </c>
      <c r="R370" s="4">
        <v>16.855433528739798</v>
      </c>
      <c r="S370" s="4">
        <v>16.797484693168901</v>
      </c>
      <c r="T370" s="4">
        <v>16.997691213932999</v>
      </c>
      <c r="U370" s="4">
        <f t="shared" si="22"/>
        <v>16.883536478613902</v>
      </c>
      <c r="X370" s="43" t="s">
        <v>1370</v>
      </c>
      <c r="Y370" s="4">
        <v>16.862834385879999</v>
      </c>
      <c r="Z370" s="4">
        <v>16.946242130178099</v>
      </c>
      <c r="AA370" s="4">
        <v>16.8355896116285</v>
      </c>
      <c r="AB370" s="4">
        <f t="shared" si="23"/>
        <v>16.881555375895534</v>
      </c>
      <c r="AK370" s="1"/>
      <c r="AM370" s="4" t="s">
        <v>4445</v>
      </c>
    </row>
    <row r="371" spans="2:39" x14ac:dyDescent="0.2">
      <c r="B371" s="4" t="s">
        <v>1368</v>
      </c>
      <c r="C371" s="4">
        <v>17.033899999999999</v>
      </c>
      <c r="D371" s="4">
        <v>16.913</v>
      </c>
      <c r="E371" s="4">
        <v>16.985299999999999</v>
      </c>
      <c r="F371" s="4">
        <f t="shared" si="20"/>
        <v>16.977399999999999</v>
      </c>
      <c r="I371" s="4" t="s">
        <v>2624</v>
      </c>
      <c r="J371" s="4">
        <v>17.310600000000001</v>
      </c>
      <c r="K371" s="4">
        <v>16.608499999999999</v>
      </c>
      <c r="L371" s="4">
        <v>17.275200000000002</v>
      </c>
      <c r="M371" s="4">
        <f t="shared" si="21"/>
        <v>17.064766666666667</v>
      </c>
      <c r="Q371" s="43" t="s">
        <v>1643</v>
      </c>
      <c r="R371" s="4">
        <v>16.824429495231399</v>
      </c>
      <c r="S371" s="4">
        <v>17.052291505056399</v>
      </c>
      <c r="T371" s="4">
        <v>16.7684483577785</v>
      </c>
      <c r="U371" s="4">
        <f t="shared" si="22"/>
        <v>16.881723119355431</v>
      </c>
      <c r="X371" s="43" t="s">
        <v>1712</v>
      </c>
      <c r="Y371" s="4">
        <v>16.958848657293601</v>
      </c>
      <c r="Z371" s="4">
        <v>16.7551134184855</v>
      </c>
      <c r="AA371" s="4">
        <v>16.903984477197199</v>
      </c>
      <c r="AB371" s="4">
        <f t="shared" si="23"/>
        <v>16.8726488509921</v>
      </c>
      <c r="AK371" s="1"/>
      <c r="AM371" s="4" t="s">
        <v>4386</v>
      </c>
    </row>
    <row r="372" spans="2:39" x14ac:dyDescent="0.2">
      <c r="B372" s="4" t="s">
        <v>1679</v>
      </c>
      <c r="C372" s="4">
        <v>17.154299999999999</v>
      </c>
      <c r="D372" s="4">
        <v>16.962700000000002</v>
      </c>
      <c r="E372" s="4">
        <v>16.809200000000001</v>
      </c>
      <c r="F372" s="4">
        <f t="shared" si="20"/>
        <v>16.975400000000004</v>
      </c>
      <c r="I372" s="4" t="s">
        <v>911</v>
      </c>
      <c r="J372" s="4">
        <v>17.103999999999999</v>
      </c>
      <c r="K372" s="4">
        <v>16.979800000000001</v>
      </c>
      <c r="L372" s="4">
        <v>17.105</v>
      </c>
      <c r="M372" s="4">
        <f t="shared" si="21"/>
        <v>17.062933333333334</v>
      </c>
      <c r="Q372" s="43" t="s">
        <v>2900</v>
      </c>
      <c r="R372" s="4">
        <v>16.835923775073201</v>
      </c>
      <c r="S372" s="4">
        <v>16.982739536775199</v>
      </c>
      <c r="T372" s="4">
        <v>16.8181423179999</v>
      </c>
      <c r="U372" s="4">
        <f t="shared" si="22"/>
        <v>16.878935209949432</v>
      </c>
      <c r="X372" s="43" t="s">
        <v>1513</v>
      </c>
      <c r="Y372" s="4">
        <v>16.406275604941399</v>
      </c>
      <c r="Z372" s="4">
        <v>16.975787416725201</v>
      </c>
      <c r="AA372" s="4">
        <v>17.235683566625799</v>
      </c>
      <c r="AB372" s="4">
        <f t="shared" si="23"/>
        <v>16.872582196097465</v>
      </c>
      <c r="AK372" s="1"/>
      <c r="AM372" s="4" t="s">
        <v>4336</v>
      </c>
    </row>
    <row r="373" spans="2:39" x14ac:dyDescent="0.2">
      <c r="B373" s="4" t="s">
        <v>3467</v>
      </c>
      <c r="C373" s="4">
        <v>16.564599999999999</v>
      </c>
      <c r="D373" s="4">
        <v>17.014299999999999</v>
      </c>
      <c r="E373" s="4">
        <v>17.344799999999999</v>
      </c>
      <c r="F373" s="4">
        <f t="shared" si="20"/>
        <v>16.974566666666664</v>
      </c>
      <c r="I373" s="4" t="s">
        <v>3602</v>
      </c>
      <c r="J373" s="4">
        <v>17.294899999999998</v>
      </c>
      <c r="K373" s="4">
        <v>16.644600000000001</v>
      </c>
      <c r="L373" s="4">
        <v>17.246300000000002</v>
      </c>
      <c r="M373" s="4">
        <f t="shared" si="21"/>
        <v>17.061933333333332</v>
      </c>
      <c r="Q373" s="43" t="s">
        <v>2276</v>
      </c>
      <c r="R373" s="4">
        <v>17.234106840289598</v>
      </c>
      <c r="S373" s="4">
        <v>16.530771525250302</v>
      </c>
      <c r="T373" s="4">
        <v>16.869236072176701</v>
      </c>
      <c r="U373" s="4">
        <f t="shared" si="22"/>
        <v>16.878038145905535</v>
      </c>
      <c r="X373" s="43" t="s">
        <v>2425</v>
      </c>
      <c r="Y373" s="4">
        <v>16.981173272962501</v>
      </c>
      <c r="Z373" s="4">
        <v>16.961315103296801</v>
      </c>
      <c r="AA373" s="4">
        <v>16.646542754946399</v>
      </c>
      <c r="AB373" s="4">
        <f t="shared" si="23"/>
        <v>16.863010377068566</v>
      </c>
      <c r="AK373" s="1"/>
      <c r="AM373" s="4" t="s">
        <v>4504</v>
      </c>
    </row>
    <row r="374" spans="2:39" x14ac:dyDescent="0.2">
      <c r="B374" s="4" t="s">
        <v>2189</v>
      </c>
      <c r="C374" s="4">
        <v>16.936699999999998</v>
      </c>
      <c r="D374" s="4">
        <v>16.979399999999998</v>
      </c>
      <c r="E374" s="4">
        <v>17.002800000000001</v>
      </c>
      <c r="F374" s="4">
        <f t="shared" si="20"/>
        <v>16.972966666666668</v>
      </c>
      <c r="I374" s="4" t="s">
        <v>1624</v>
      </c>
      <c r="J374" s="4">
        <v>17.112500000000001</v>
      </c>
      <c r="K374" s="4">
        <v>16.926300000000001</v>
      </c>
      <c r="L374" s="4">
        <v>17.031600000000001</v>
      </c>
      <c r="M374" s="4">
        <f t="shared" si="21"/>
        <v>17.023466666666668</v>
      </c>
      <c r="Q374" s="43" t="s">
        <v>2503</v>
      </c>
      <c r="R374" s="4">
        <v>16.951613718711499</v>
      </c>
      <c r="S374" s="4">
        <v>16.857699789353401</v>
      </c>
      <c r="T374" s="4">
        <v>16.8215053646773</v>
      </c>
      <c r="U374" s="4">
        <f t="shared" si="22"/>
        <v>16.876939624247402</v>
      </c>
      <c r="X374" s="43" t="s">
        <v>1715</v>
      </c>
      <c r="Y374" s="4">
        <v>16.836649228898899</v>
      </c>
      <c r="Z374" s="4">
        <v>16.834420578528501</v>
      </c>
      <c r="AA374" s="4">
        <v>16.917673992099001</v>
      </c>
      <c r="AB374" s="4">
        <f t="shared" si="23"/>
        <v>16.862914599842131</v>
      </c>
      <c r="AK374" s="1"/>
      <c r="AM374" s="4" t="s">
        <v>4426</v>
      </c>
    </row>
    <row r="375" spans="2:39" x14ac:dyDescent="0.2">
      <c r="B375" s="4" t="s">
        <v>3233</v>
      </c>
      <c r="C375" s="4">
        <v>16.9039</v>
      </c>
      <c r="D375" s="4">
        <v>16.967199999999998</v>
      </c>
      <c r="E375" s="4">
        <v>16.990200000000002</v>
      </c>
      <c r="F375" s="4">
        <f t="shared" si="20"/>
        <v>16.953766666666667</v>
      </c>
      <c r="I375" s="4" t="s">
        <v>2066</v>
      </c>
      <c r="J375" s="4">
        <v>17.241700000000002</v>
      </c>
      <c r="K375" s="4">
        <v>16.638100000000001</v>
      </c>
      <c r="L375" s="4">
        <v>17.186599999999999</v>
      </c>
      <c r="M375" s="4">
        <f t="shared" si="21"/>
        <v>17.022133333333333</v>
      </c>
      <c r="Q375" s="43" t="s">
        <v>3465</v>
      </c>
      <c r="R375" s="4">
        <v>16.8970428800585</v>
      </c>
      <c r="S375" s="4">
        <v>16.896135182116002</v>
      </c>
      <c r="T375" s="4">
        <v>16.825639152269499</v>
      </c>
      <c r="U375" s="4">
        <f t="shared" si="22"/>
        <v>16.872939071481337</v>
      </c>
      <c r="X375" s="43" t="s">
        <v>3262</v>
      </c>
      <c r="Y375" s="4">
        <v>16.855990340106601</v>
      </c>
      <c r="Z375" s="4">
        <v>17.252403846689301</v>
      </c>
      <c r="AA375" s="4">
        <v>16.437344616807302</v>
      </c>
      <c r="AB375" s="4">
        <f t="shared" si="23"/>
        <v>16.84857960120107</v>
      </c>
      <c r="AK375" s="1"/>
      <c r="AM375" s="6" t="s">
        <v>733</v>
      </c>
    </row>
    <row r="376" spans="2:39" x14ac:dyDescent="0.2">
      <c r="B376" s="4" t="s">
        <v>2513</v>
      </c>
      <c r="C376" s="4">
        <v>16.688700000000001</v>
      </c>
      <c r="D376" s="4">
        <v>16.887599999999999</v>
      </c>
      <c r="E376" s="4">
        <v>17.274799999999999</v>
      </c>
      <c r="F376" s="4">
        <f t="shared" si="20"/>
        <v>16.950366666666667</v>
      </c>
      <c r="I376" s="4" t="s">
        <v>2413</v>
      </c>
      <c r="J376" s="4">
        <v>17.0261</v>
      </c>
      <c r="K376" s="4">
        <v>17.0931</v>
      </c>
      <c r="L376" s="4">
        <v>16.910699999999999</v>
      </c>
      <c r="M376" s="4">
        <f t="shared" si="21"/>
        <v>17.009966666666667</v>
      </c>
      <c r="Q376" s="43" t="s">
        <v>1656</v>
      </c>
      <c r="R376" s="4">
        <v>17.237070496505499</v>
      </c>
      <c r="S376" s="4">
        <v>16.5858377973593</v>
      </c>
      <c r="T376" s="4">
        <v>16.786252929362401</v>
      </c>
      <c r="U376" s="4">
        <f t="shared" si="22"/>
        <v>16.869720407742403</v>
      </c>
      <c r="X376" s="43" t="s">
        <v>1463</v>
      </c>
      <c r="Y376" s="4">
        <v>16.805311319363099</v>
      </c>
      <c r="Z376" s="4">
        <v>16.756604080463301</v>
      </c>
      <c r="AA376" s="4">
        <v>16.9535710328758</v>
      </c>
      <c r="AB376" s="4">
        <f t="shared" si="23"/>
        <v>16.838495477567403</v>
      </c>
      <c r="AK376" s="1"/>
      <c r="AM376" s="4" t="s">
        <v>4461</v>
      </c>
    </row>
    <row r="377" spans="2:39" x14ac:dyDescent="0.2">
      <c r="B377" s="4" t="s">
        <v>2041</v>
      </c>
      <c r="C377" s="4">
        <v>17.035299999999999</v>
      </c>
      <c r="D377" s="4">
        <v>16.720400000000001</v>
      </c>
      <c r="E377" s="4">
        <v>17.0671</v>
      </c>
      <c r="F377" s="4">
        <f t="shared" si="20"/>
        <v>16.940933333333334</v>
      </c>
      <c r="I377" s="4" t="s">
        <v>1370</v>
      </c>
      <c r="J377" s="4">
        <v>17.149699999999999</v>
      </c>
      <c r="K377" s="4">
        <v>16.9085</v>
      </c>
      <c r="L377" s="4">
        <v>16.970300000000002</v>
      </c>
      <c r="M377" s="4">
        <f t="shared" si="21"/>
        <v>17.009499999999999</v>
      </c>
      <c r="Q377" s="43" t="s">
        <v>4317</v>
      </c>
      <c r="R377" s="4">
        <v>16.904372441709199</v>
      </c>
      <c r="S377" s="4">
        <v>16.655667712142201</v>
      </c>
      <c r="T377" s="4">
        <v>16.972418243337501</v>
      </c>
      <c r="U377" s="4">
        <f t="shared" si="22"/>
        <v>16.844152799062968</v>
      </c>
      <c r="X377" s="43" t="s">
        <v>1656</v>
      </c>
      <c r="Y377" s="4">
        <v>17.1730087440537</v>
      </c>
      <c r="Z377" s="4">
        <v>16.685796060110199</v>
      </c>
      <c r="AA377" s="4">
        <v>16.650185139318701</v>
      </c>
      <c r="AB377" s="4">
        <f t="shared" si="23"/>
        <v>16.836329981160866</v>
      </c>
      <c r="AK377" s="1"/>
      <c r="AM377" s="4" t="s">
        <v>4329</v>
      </c>
    </row>
    <row r="378" spans="2:39" x14ac:dyDescent="0.2">
      <c r="B378" s="4" t="s">
        <v>3943</v>
      </c>
      <c r="C378" s="4">
        <v>17.074400000000001</v>
      </c>
      <c r="D378" s="4">
        <v>17.216000000000001</v>
      </c>
      <c r="E378" s="4">
        <v>16.528400000000001</v>
      </c>
      <c r="F378" s="4">
        <f t="shared" si="20"/>
        <v>16.939600000000002</v>
      </c>
      <c r="I378" s="4" t="s">
        <v>2061</v>
      </c>
      <c r="J378" s="4">
        <v>17.215499999999999</v>
      </c>
      <c r="K378" s="4">
        <v>16.607299999999999</v>
      </c>
      <c r="L378" s="4">
        <v>17.186900000000001</v>
      </c>
      <c r="M378" s="4">
        <f t="shared" si="21"/>
        <v>17.003233333333334</v>
      </c>
      <c r="Q378" s="43" t="s">
        <v>3090</v>
      </c>
      <c r="R378" s="4">
        <v>16.870240199393098</v>
      </c>
      <c r="S378" s="4">
        <v>16.925494894445801</v>
      </c>
      <c r="T378" s="4">
        <v>16.7335398903816</v>
      </c>
      <c r="U378" s="4">
        <f t="shared" si="22"/>
        <v>16.843091661406834</v>
      </c>
      <c r="X378" s="43" t="s">
        <v>607</v>
      </c>
      <c r="Y378" s="4">
        <v>16.825855122581899</v>
      </c>
      <c r="Z378" s="4">
        <v>16.9656096187712</v>
      </c>
      <c r="AA378" s="4">
        <v>16.713801031894398</v>
      </c>
      <c r="AB378" s="4">
        <f t="shared" si="23"/>
        <v>16.835088591082499</v>
      </c>
      <c r="AK378" s="1"/>
      <c r="AM378" s="4" t="s">
        <v>4298</v>
      </c>
    </row>
    <row r="379" spans="2:39" x14ac:dyDescent="0.2">
      <c r="B379" s="4" t="s">
        <v>1370</v>
      </c>
      <c r="C379" s="4">
        <v>16.9514</v>
      </c>
      <c r="D379" s="4">
        <v>17.047799999999999</v>
      </c>
      <c r="E379" s="4">
        <v>16.805599999999998</v>
      </c>
      <c r="F379" s="4">
        <f t="shared" si="20"/>
        <v>16.934933333333333</v>
      </c>
      <c r="I379" s="4" t="s">
        <v>3929</v>
      </c>
      <c r="J379" s="4">
        <v>16.944199999999999</v>
      </c>
      <c r="K379" s="4">
        <v>16.887699999999999</v>
      </c>
      <c r="L379" s="4">
        <v>17.172699999999999</v>
      </c>
      <c r="M379" s="4">
        <f t="shared" si="21"/>
        <v>17.001533333333331</v>
      </c>
      <c r="Q379" s="43" t="s">
        <v>1352</v>
      </c>
      <c r="R379" s="4">
        <v>16.851822198429499</v>
      </c>
      <c r="S379" s="4">
        <v>16.900385570588</v>
      </c>
      <c r="T379" s="4">
        <v>16.7575857963642</v>
      </c>
      <c r="U379" s="4">
        <f t="shared" si="22"/>
        <v>16.836597855127234</v>
      </c>
      <c r="X379" s="43" t="s">
        <v>606</v>
      </c>
      <c r="Y379" s="4">
        <v>16.8811372259904</v>
      </c>
      <c r="Z379" s="4">
        <v>16.446544015764498</v>
      </c>
      <c r="AA379" s="4">
        <v>17.102163510141398</v>
      </c>
      <c r="AB379" s="4">
        <f t="shared" si="23"/>
        <v>16.8099482506321</v>
      </c>
      <c r="AK379" s="1"/>
      <c r="AM379" s="4" t="s">
        <v>3091</v>
      </c>
    </row>
    <row r="380" spans="2:39" x14ac:dyDescent="0.2">
      <c r="B380" s="4" t="s">
        <v>1663</v>
      </c>
      <c r="C380" s="4">
        <v>16.986999999999998</v>
      </c>
      <c r="D380" s="4">
        <v>16.903600000000001</v>
      </c>
      <c r="E380" s="4">
        <v>16.906700000000001</v>
      </c>
      <c r="F380" s="4">
        <f t="shared" si="20"/>
        <v>16.932433333333332</v>
      </c>
      <c r="I380" s="4" t="s">
        <v>2863</v>
      </c>
      <c r="J380" s="4">
        <v>17.255500000000001</v>
      </c>
      <c r="K380" s="4">
        <v>16.453399999999998</v>
      </c>
      <c r="L380" s="4">
        <v>17.279699999999998</v>
      </c>
      <c r="M380" s="4">
        <f t="shared" si="21"/>
        <v>16.996199999999998</v>
      </c>
      <c r="Q380" s="43" t="s">
        <v>1347</v>
      </c>
      <c r="R380" s="4">
        <v>16.618922417186699</v>
      </c>
      <c r="S380" s="4">
        <v>16.839689037130899</v>
      </c>
      <c r="T380" s="4">
        <v>17.021328142017499</v>
      </c>
      <c r="U380" s="4">
        <f t="shared" si="22"/>
        <v>16.826646532111699</v>
      </c>
      <c r="X380" s="43" t="s">
        <v>135</v>
      </c>
      <c r="Y380" s="4">
        <v>16.7757358563161</v>
      </c>
      <c r="Z380" s="4">
        <v>16.747030210516499</v>
      </c>
      <c r="AA380" s="4">
        <v>16.868005149659499</v>
      </c>
      <c r="AB380" s="4">
        <f t="shared" si="23"/>
        <v>16.796923738830699</v>
      </c>
      <c r="AK380" s="1"/>
      <c r="AM380" s="4" t="s">
        <v>2165</v>
      </c>
    </row>
    <row r="381" spans="2:39" x14ac:dyDescent="0.2">
      <c r="B381" s="4" t="s">
        <v>3874</v>
      </c>
      <c r="C381" s="4">
        <v>16.307300000000001</v>
      </c>
      <c r="D381" s="4">
        <v>17.140999999999998</v>
      </c>
      <c r="E381" s="4">
        <v>17.333300000000001</v>
      </c>
      <c r="F381" s="4">
        <f t="shared" si="20"/>
        <v>16.927200000000003</v>
      </c>
      <c r="I381" s="4" t="s">
        <v>135</v>
      </c>
      <c r="J381" s="4">
        <v>17.103000000000002</v>
      </c>
      <c r="K381" s="4">
        <v>16.922799999999999</v>
      </c>
      <c r="L381" s="4">
        <v>16.9497</v>
      </c>
      <c r="M381" s="4">
        <f t="shared" si="21"/>
        <v>16.991833333333336</v>
      </c>
      <c r="Q381" s="43" t="s">
        <v>2891</v>
      </c>
      <c r="R381" s="4">
        <v>16.786217623420999</v>
      </c>
      <c r="S381" s="4">
        <v>16.7816579898995</v>
      </c>
      <c r="T381" s="4">
        <v>16.905621373345401</v>
      </c>
      <c r="U381" s="4">
        <f t="shared" si="22"/>
        <v>16.824498995555299</v>
      </c>
      <c r="X381" s="43" t="s">
        <v>3088</v>
      </c>
      <c r="Y381" s="4">
        <v>16.7428816013107</v>
      </c>
      <c r="Z381" s="4">
        <v>16.894316283774899</v>
      </c>
      <c r="AA381" s="4">
        <v>16.746884380632999</v>
      </c>
      <c r="AB381" s="4">
        <f t="shared" si="23"/>
        <v>16.794694088572864</v>
      </c>
      <c r="AK381" s="1"/>
      <c r="AM381" s="4" t="s">
        <v>1667</v>
      </c>
    </row>
    <row r="382" spans="2:39" x14ac:dyDescent="0.2">
      <c r="B382" s="4" t="s">
        <v>1694</v>
      </c>
      <c r="C382" s="4">
        <v>16.9406</v>
      </c>
      <c r="D382" s="4">
        <v>16.963999999999999</v>
      </c>
      <c r="E382" s="4">
        <v>16.860600000000002</v>
      </c>
      <c r="F382" s="4">
        <f t="shared" si="20"/>
        <v>16.921733333333336</v>
      </c>
      <c r="I382" s="4" t="s">
        <v>1324</v>
      </c>
      <c r="J382" s="4">
        <v>17.079899999999999</v>
      </c>
      <c r="K382" s="4">
        <v>16.783300000000001</v>
      </c>
      <c r="L382" s="4">
        <v>17.111699999999999</v>
      </c>
      <c r="M382" s="4">
        <f t="shared" si="21"/>
        <v>16.991633333333333</v>
      </c>
      <c r="Q382" s="43" t="s">
        <v>3400</v>
      </c>
      <c r="R382" s="4">
        <v>16.588278284890599</v>
      </c>
      <c r="S382" s="4">
        <v>16.894670733695602</v>
      </c>
      <c r="T382" s="4">
        <v>16.990326298751501</v>
      </c>
      <c r="U382" s="4">
        <f t="shared" si="22"/>
        <v>16.82442510577923</v>
      </c>
      <c r="X382" s="43" t="s">
        <v>1024</v>
      </c>
      <c r="Y382" s="4">
        <v>17.06208234687</v>
      </c>
      <c r="Z382" s="4">
        <v>16.533928135116401</v>
      </c>
      <c r="AA382" s="4">
        <v>16.785949318460101</v>
      </c>
      <c r="AB382" s="4">
        <f t="shared" si="23"/>
        <v>16.79398660014883</v>
      </c>
      <c r="AK382" s="1"/>
      <c r="AM382" s="4" t="s">
        <v>4086</v>
      </c>
    </row>
    <row r="383" spans="2:39" x14ac:dyDescent="0.2">
      <c r="B383" s="4" t="s">
        <v>1431</v>
      </c>
      <c r="C383" s="4">
        <v>16.827100000000002</v>
      </c>
      <c r="D383" s="4">
        <v>16.921900000000001</v>
      </c>
      <c r="E383" s="4">
        <v>16.999600000000001</v>
      </c>
      <c r="F383" s="4">
        <f t="shared" si="20"/>
        <v>16.9162</v>
      </c>
      <c r="I383" s="4" t="s">
        <v>1659</v>
      </c>
      <c r="J383" s="4">
        <v>17.2393</v>
      </c>
      <c r="K383" s="4">
        <v>16.537600000000001</v>
      </c>
      <c r="L383" s="4">
        <v>17.194199999999999</v>
      </c>
      <c r="M383" s="4">
        <f t="shared" si="21"/>
        <v>16.990366666666663</v>
      </c>
      <c r="Q383" s="43" t="s">
        <v>880</v>
      </c>
      <c r="R383" s="4">
        <v>16.6303943686403</v>
      </c>
      <c r="S383" s="4">
        <v>17.0387747405927</v>
      </c>
      <c r="T383" s="4">
        <v>16.798873313291999</v>
      </c>
      <c r="U383" s="4">
        <f t="shared" si="22"/>
        <v>16.822680807508331</v>
      </c>
      <c r="X383" s="43" t="s">
        <v>2707</v>
      </c>
      <c r="Y383" s="4">
        <v>16.7400205339043</v>
      </c>
      <c r="Z383" s="4">
        <v>16.882127454648</v>
      </c>
      <c r="AA383" s="4">
        <v>16.736399906351501</v>
      </c>
      <c r="AB383" s="4">
        <f t="shared" si="23"/>
        <v>16.786182631634599</v>
      </c>
      <c r="AK383" s="1"/>
      <c r="AM383" s="4" t="s">
        <v>1044</v>
      </c>
    </row>
    <row r="384" spans="2:39" x14ac:dyDescent="0.2">
      <c r="B384" s="4" t="s">
        <v>3307</v>
      </c>
      <c r="C384" s="4">
        <v>16.712700000000002</v>
      </c>
      <c r="D384" s="4">
        <v>16.9818</v>
      </c>
      <c r="E384" s="4">
        <v>17.042899999999999</v>
      </c>
      <c r="F384" s="4">
        <f t="shared" si="20"/>
        <v>16.912466666666671</v>
      </c>
      <c r="I384" s="4" t="s">
        <v>1218</v>
      </c>
      <c r="J384" s="4">
        <v>17.2288</v>
      </c>
      <c r="K384" s="4">
        <v>16.453700000000001</v>
      </c>
      <c r="L384" s="4">
        <v>17.287700000000001</v>
      </c>
      <c r="M384" s="4">
        <f t="shared" si="21"/>
        <v>16.990066666666667</v>
      </c>
      <c r="Q384" s="43" t="s">
        <v>4294</v>
      </c>
      <c r="R384" s="4">
        <v>16.745933301451601</v>
      </c>
      <c r="S384" s="4">
        <v>17.017498914636398</v>
      </c>
      <c r="T384" s="4">
        <v>16.680600420171899</v>
      </c>
      <c r="U384" s="4">
        <f t="shared" si="22"/>
        <v>16.814677545419965</v>
      </c>
      <c r="X384" s="43" t="s">
        <v>3233</v>
      </c>
      <c r="Y384" s="4">
        <v>16.663131486825499</v>
      </c>
      <c r="Z384" s="4">
        <v>16.919998403925401</v>
      </c>
      <c r="AA384" s="4">
        <v>16.755801018353601</v>
      </c>
      <c r="AB384" s="4">
        <f t="shared" si="23"/>
        <v>16.779643636368167</v>
      </c>
      <c r="AK384" s="1"/>
      <c r="AM384" s="4" t="s">
        <v>1857</v>
      </c>
    </row>
    <row r="385" spans="2:39" x14ac:dyDescent="0.2">
      <c r="B385" s="4" t="s">
        <v>1248</v>
      </c>
      <c r="C385" s="4">
        <v>17.096699999999998</v>
      </c>
      <c r="D385" s="4">
        <v>16.921099999999999</v>
      </c>
      <c r="E385" s="4">
        <v>16.7178</v>
      </c>
      <c r="F385" s="4">
        <f t="shared" si="20"/>
        <v>16.911866666666665</v>
      </c>
      <c r="I385" s="4" t="s">
        <v>1679</v>
      </c>
      <c r="J385" s="4">
        <v>17.135100000000001</v>
      </c>
      <c r="K385" s="4">
        <v>16.8459</v>
      </c>
      <c r="L385" s="4">
        <v>16.9712</v>
      </c>
      <c r="M385" s="4">
        <f t="shared" si="21"/>
        <v>16.984066666666667</v>
      </c>
      <c r="Q385" s="43" t="s">
        <v>1715</v>
      </c>
      <c r="R385" s="4">
        <v>16.82663292614</v>
      </c>
      <c r="S385" s="4">
        <v>16.679839851306198</v>
      </c>
      <c r="T385" s="4">
        <v>16.933736779397801</v>
      </c>
      <c r="U385" s="4">
        <f t="shared" si="22"/>
        <v>16.813403185614664</v>
      </c>
      <c r="X385" s="43" t="s">
        <v>2545</v>
      </c>
      <c r="Y385" s="4">
        <v>16.839727498403299</v>
      </c>
      <c r="Z385" s="4">
        <v>16.840891567318302</v>
      </c>
      <c r="AA385" s="4">
        <v>16.644632345820799</v>
      </c>
      <c r="AB385" s="4">
        <f t="shared" si="23"/>
        <v>16.775083803847465</v>
      </c>
      <c r="AK385" s="1"/>
      <c r="AM385" s="4" t="s">
        <v>1180</v>
      </c>
    </row>
    <row r="386" spans="2:39" x14ac:dyDescent="0.2">
      <c r="B386" s="4" t="s">
        <v>600</v>
      </c>
      <c r="C386" s="4">
        <v>16.911200000000001</v>
      </c>
      <c r="D386" s="4">
        <v>16.967600000000001</v>
      </c>
      <c r="E386" s="4">
        <v>16.8385</v>
      </c>
      <c r="F386" s="4">
        <f t="shared" ref="F386:F449" si="24">(C386+D386+E386)/3</f>
        <v>16.905766666666665</v>
      </c>
      <c r="I386" s="4" t="s">
        <v>728</v>
      </c>
      <c r="J386" s="4">
        <v>16.737100000000002</v>
      </c>
      <c r="K386" s="4">
        <v>17.295500000000001</v>
      </c>
      <c r="L386" s="4">
        <v>16.916</v>
      </c>
      <c r="M386" s="4">
        <f t="shared" ref="M386:M449" si="25">(J386+K386+L386)/3</f>
        <v>16.982866666666666</v>
      </c>
      <c r="Q386" s="43" t="s">
        <v>961</v>
      </c>
      <c r="R386" s="4">
        <v>17.0955632754589</v>
      </c>
      <c r="S386" s="4">
        <v>16.088433857781698</v>
      </c>
      <c r="T386" s="4">
        <v>17.244286795731998</v>
      </c>
      <c r="U386" s="4">
        <f t="shared" ref="U386:U449" si="26">(R386+S386+T386)/3</f>
        <v>16.809427976324198</v>
      </c>
      <c r="X386" s="43" t="s">
        <v>2108</v>
      </c>
      <c r="Y386" s="4">
        <v>16.775000950401001</v>
      </c>
      <c r="Z386" s="4">
        <v>16.808511297436201</v>
      </c>
      <c r="AA386" s="4">
        <v>16.732899764156201</v>
      </c>
      <c r="AB386" s="4">
        <f t="shared" ref="AB386:AB449" si="27">(Y386+Z386+AA386)/3</f>
        <v>16.772137337331134</v>
      </c>
      <c r="AK386" s="1"/>
      <c r="AM386" s="4" t="s">
        <v>4498</v>
      </c>
    </row>
    <row r="387" spans="2:39" x14ac:dyDescent="0.2">
      <c r="B387" s="4" t="s">
        <v>744</v>
      </c>
      <c r="C387" s="4">
        <v>16.9938</v>
      </c>
      <c r="D387" s="4">
        <v>16.812899999999999</v>
      </c>
      <c r="E387" s="4">
        <v>16.894400000000001</v>
      </c>
      <c r="F387" s="4">
        <f t="shared" si="24"/>
        <v>16.900366666666667</v>
      </c>
      <c r="I387" s="4" t="s">
        <v>3117</v>
      </c>
      <c r="J387" s="4">
        <v>16.787299999999998</v>
      </c>
      <c r="K387" s="4">
        <v>17.115300000000001</v>
      </c>
      <c r="L387" s="4">
        <v>17.04</v>
      </c>
      <c r="M387" s="4">
        <f t="shared" si="25"/>
        <v>16.980866666666667</v>
      </c>
      <c r="Q387" s="43" t="s">
        <v>1916</v>
      </c>
      <c r="R387" s="4">
        <v>17.241897212741399</v>
      </c>
      <c r="S387" s="4">
        <v>16.57099726361</v>
      </c>
      <c r="T387" s="4">
        <v>16.6140764266882</v>
      </c>
      <c r="U387" s="4">
        <f t="shared" si="26"/>
        <v>16.8089903010132</v>
      </c>
      <c r="X387" s="43" t="s">
        <v>3987</v>
      </c>
      <c r="Y387" s="4">
        <v>16.643330280643799</v>
      </c>
      <c r="Z387" s="4">
        <v>16.913249367027799</v>
      </c>
      <c r="AA387" s="4">
        <v>16.738997197652999</v>
      </c>
      <c r="AB387" s="4">
        <f t="shared" si="27"/>
        <v>16.765192281774866</v>
      </c>
      <c r="AK387" s="1"/>
      <c r="AM387" s="4" t="s">
        <v>4479</v>
      </c>
    </row>
    <row r="388" spans="2:39" x14ac:dyDescent="0.2">
      <c r="B388" s="4" t="s">
        <v>1842</v>
      </c>
      <c r="C388" s="4">
        <v>17.194600000000001</v>
      </c>
      <c r="D388" s="4">
        <v>16.890499999999999</v>
      </c>
      <c r="E388" s="4">
        <v>16.604500000000002</v>
      </c>
      <c r="F388" s="4">
        <f t="shared" si="24"/>
        <v>16.896533333333334</v>
      </c>
      <c r="I388" s="4" t="s">
        <v>2188</v>
      </c>
      <c r="J388" s="4">
        <v>17.154599999999999</v>
      </c>
      <c r="K388" s="4">
        <v>16.652799999999999</v>
      </c>
      <c r="L388" s="4">
        <v>17.1341</v>
      </c>
      <c r="M388" s="4">
        <f t="shared" si="25"/>
        <v>16.980500000000003</v>
      </c>
      <c r="Q388" s="43" t="s">
        <v>3051</v>
      </c>
      <c r="R388" s="4">
        <v>17.063259734773201</v>
      </c>
      <c r="S388" s="4">
        <v>16.595594577878</v>
      </c>
      <c r="T388" s="4">
        <v>16.746280436429501</v>
      </c>
      <c r="U388" s="4">
        <f t="shared" si="26"/>
        <v>16.801711583026901</v>
      </c>
      <c r="X388" s="43" t="s">
        <v>2622</v>
      </c>
      <c r="Y388" s="4">
        <v>16.628875986532101</v>
      </c>
      <c r="Z388" s="4">
        <v>16.733862710632302</v>
      </c>
      <c r="AA388" s="4">
        <v>16.9164807122295</v>
      </c>
      <c r="AB388" s="4">
        <f t="shared" si="27"/>
        <v>16.7597398031313</v>
      </c>
      <c r="AK388" s="1"/>
      <c r="AM388" s="4" t="s">
        <v>4356</v>
      </c>
    </row>
    <row r="389" spans="2:39" x14ac:dyDescent="0.2">
      <c r="B389" s="4" t="s">
        <v>1517</v>
      </c>
      <c r="C389" s="4">
        <v>15.574</v>
      </c>
      <c r="D389" s="4">
        <v>16.709</v>
      </c>
      <c r="E389" s="4">
        <v>18.384599999999999</v>
      </c>
      <c r="F389" s="4">
        <f t="shared" si="24"/>
        <v>16.889199999999999</v>
      </c>
      <c r="I389" s="4" t="s">
        <v>713</v>
      </c>
      <c r="J389" s="4">
        <v>17.0884</v>
      </c>
      <c r="K389" s="4">
        <v>16.809999999999999</v>
      </c>
      <c r="L389" s="4">
        <v>17.038399999999999</v>
      </c>
      <c r="M389" s="4">
        <f t="shared" si="25"/>
        <v>16.97893333333333</v>
      </c>
      <c r="Q389" s="43" t="s">
        <v>2038</v>
      </c>
      <c r="R389" s="4">
        <v>17.019521835144499</v>
      </c>
      <c r="S389" s="4">
        <v>16.698867267488499</v>
      </c>
      <c r="T389" s="4">
        <v>16.685139020094301</v>
      </c>
      <c r="U389" s="4">
        <f t="shared" si="26"/>
        <v>16.801176040909098</v>
      </c>
      <c r="X389" s="43" t="s">
        <v>2863</v>
      </c>
      <c r="Y389" s="4">
        <v>16.6911584131153</v>
      </c>
      <c r="Z389" s="4">
        <v>16.762048575400801</v>
      </c>
      <c r="AA389" s="4">
        <v>16.818741419616501</v>
      </c>
      <c r="AB389" s="4">
        <f t="shared" si="27"/>
        <v>16.757316136044199</v>
      </c>
      <c r="AK389" s="1"/>
      <c r="AM389" s="4" t="s">
        <v>1893</v>
      </c>
    </row>
    <row r="390" spans="2:39" x14ac:dyDescent="0.2">
      <c r="B390" s="4" t="s">
        <v>607</v>
      </c>
      <c r="C390" s="4">
        <v>16.796700000000001</v>
      </c>
      <c r="D390" s="4">
        <v>16.805499999999999</v>
      </c>
      <c r="E390" s="4">
        <v>17.034400000000002</v>
      </c>
      <c r="F390" s="4">
        <f t="shared" si="24"/>
        <v>16.878866666666667</v>
      </c>
      <c r="I390" s="4" t="s">
        <v>98</v>
      </c>
      <c r="J390" s="4">
        <v>16.882400000000001</v>
      </c>
      <c r="K390" s="4">
        <v>17.3813</v>
      </c>
      <c r="L390" s="4">
        <v>16.6678</v>
      </c>
      <c r="M390" s="4">
        <f t="shared" si="25"/>
        <v>16.977166666666665</v>
      </c>
      <c r="Q390" s="43" t="s">
        <v>1367</v>
      </c>
      <c r="R390" s="4">
        <v>17.236348839870701</v>
      </c>
      <c r="S390" s="4">
        <v>16.322877127181702</v>
      </c>
      <c r="T390" s="4">
        <v>16.802140590433101</v>
      </c>
      <c r="U390" s="4">
        <f t="shared" si="26"/>
        <v>16.787122185828498</v>
      </c>
      <c r="X390" s="43" t="s">
        <v>4263</v>
      </c>
      <c r="Y390" s="4">
        <v>16.720103768790398</v>
      </c>
      <c r="Z390" s="4">
        <v>16.728715302443302</v>
      </c>
      <c r="AA390" s="4">
        <v>16.812191372410201</v>
      </c>
      <c r="AB390" s="4">
        <f t="shared" si="27"/>
        <v>16.753670147881298</v>
      </c>
      <c r="AK390" s="1"/>
      <c r="AM390" s="4" t="s">
        <v>4283</v>
      </c>
    </row>
    <row r="391" spans="2:39" x14ac:dyDescent="0.2">
      <c r="B391" s="4" t="s">
        <v>1722</v>
      </c>
      <c r="C391" s="4">
        <v>16.805099999999999</v>
      </c>
      <c r="D391" s="4">
        <v>16.8752</v>
      </c>
      <c r="E391" s="4">
        <v>16.939499999999999</v>
      </c>
      <c r="F391" s="4">
        <f t="shared" si="24"/>
        <v>16.873266666666666</v>
      </c>
      <c r="I391" s="4" t="s">
        <v>1722</v>
      </c>
      <c r="J391" s="4">
        <v>17.1587</v>
      </c>
      <c r="K391" s="4">
        <v>16.591899999999999</v>
      </c>
      <c r="L391" s="4">
        <v>17.180700000000002</v>
      </c>
      <c r="M391" s="4">
        <f t="shared" si="25"/>
        <v>16.9771</v>
      </c>
      <c r="Q391" s="43" t="s">
        <v>3929</v>
      </c>
      <c r="R391" s="4">
        <v>16.8482278840711</v>
      </c>
      <c r="S391" s="4">
        <v>16.601337656325001</v>
      </c>
      <c r="T391" s="4">
        <v>16.881529523607799</v>
      </c>
      <c r="U391" s="4">
        <f t="shared" si="26"/>
        <v>16.777031688001301</v>
      </c>
      <c r="X391" s="43" t="s">
        <v>748</v>
      </c>
      <c r="Y391" s="4">
        <v>16.750832335090799</v>
      </c>
      <c r="Z391" s="4">
        <v>17.0252588422317</v>
      </c>
      <c r="AA391" s="4">
        <v>16.4554544300651</v>
      </c>
      <c r="AB391" s="4">
        <f t="shared" si="27"/>
        <v>16.743848535795866</v>
      </c>
      <c r="AK391" s="1"/>
      <c r="AM391" s="4" t="s">
        <v>1412</v>
      </c>
    </row>
    <row r="392" spans="2:39" x14ac:dyDescent="0.2">
      <c r="B392" s="4" t="s">
        <v>1324</v>
      </c>
      <c r="C392" s="4">
        <v>17.0702</v>
      </c>
      <c r="D392" s="4">
        <v>16.831</v>
      </c>
      <c r="E392" s="4">
        <v>16.711500000000001</v>
      </c>
      <c r="F392" s="4">
        <f t="shared" si="24"/>
        <v>16.870900000000002</v>
      </c>
      <c r="I392" s="4" t="s">
        <v>2345</v>
      </c>
      <c r="J392" s="4">
        <v>16.674299999999999</v>
      </c>
      <c r="K392" s="4">
        <v>17.510400000000001</v>
      </c>
      <c r="L392" s="4">
        <v>16.7423</v>
      </c>
      <c r="M392" s="4">
        <f t="shared" si="25"/>
        <v>16.975666666666665</v>
      </c>
      <c r="Q392" s="43" t="s">
        <v>1624</v>
      </c>
      <c r="R392" s="4">
        <v>16.925276225978401</v>
      </c>
      <c r="S392" s="4">
        <v>16.6683417537342</v>
      </c>
      <c r="T392" s="4">
        <v>16.7330315804879</v>
      </c>
      <c r="U392" s="4">
        <f t="shared" si="26"/>
        <v>16.775549853400168</v>
      </c>
      <c r="X392" s="43" t="s">
        <v>961</v>
      </c>
      <c r="Y392" s="4">
        <v>17.104592145169701</v>
      </c>
      <c r="Z392" s="4">
        <v>17.033271778259198</v>
      </c>
      <c r="AA392" s="4">
        <v>16.0849736450376</v>
      </c>
      <c r="AB392" s="4">
        <f t="shared" si="27"/>
        <v>16.740945856155498</v>
      </c>
      <c r="AK392" s="1"/>
      <c r="AM392" s="4" t="s">
        <v>4574</v>
      </c>
    </row>
    <row r="393" spans="2:39" x14ac:dyDescent="0.2">
      <c r="B393" s="4" t="s">
        <v>1361</v>
      </c>
      <c r="C393" s="4">
        <v>17.020299999999999</v>
      </c>
      <c r="D393" s="4">
        <v>16.776199999999999</v>
      </c>
      <c r="E393" s="4">
        <v>16.809699999999999</v>
      </c>
      <c r="F393" s="4">
        <f t="shared" si="24"/>
        <v>16.868733333333331</v>
      </c>
      <c r="I393" s="4" t="s">
        <v>1643</v>
      </c>
      <c r="J393" s="4">
        <v>17.161300000000001</v>
      </c>
      <c r="K393" s="4">
        <v>16.512</v>
      </c>
      <c r="L393" s="4">
        <v>17.233599999999999</v>
      </c>
      <c r="M393" s="4">
        <f t="shared" si="25"/>
        <v>16.968966666666663</v>
      </c>
      <c r="Q393" s="43" t="s">
        <v>3340</v>
      </c>
      <c r="R393" s="4">
        <v>16.848115126495401</v>
      </c>
      <c r="S393" s="4">
        <v>16.7691990568931</v>
      </c>
      <c r="T393" s="4">
        <v>16.7008844078549</v>
      </c>
      <c r="U393" s="4">
        <f t="shared" si="26"/>
        <v>16.772732863747802</v>
      </c>
      <c r="X393" s="43" t="s">
        <v>1812</v>
      </c>
      <c r="Y393" s="4">
        <v>16.9199973707988</v>
      </c>
      <c r="Z393" s="4">
        <v>16.7142565401684</v>
      </c>
      <c r="AA393" s="4">
        <v>16.569370046671501</v>
      </c>
      <c r="AB393" s="4">
        <f t="shared" si="27"/>
        <v>16.734541319212902</v>
      </c>
      <c r="AK393" s="1"/>
      <c r="AM393" s="4" t="s">
        <v>2329</v>
      </c>
    </row>
    <row r="394" spans="2:39" x14ac:dyDescent="0.2">
      <c r="B394" s="4" t="s">
        <v>2</v>
      </c>
      <c r="C394" s="4">
        <v>16.795000000000002</v>
      </c>
      <c r="D394" s="4">
        <v>17.023599999999998</v>
      </c>
      <c r="E394" s="4">
        <v>16.779699999999998</v>
      </c>
      <c r="F394" s="4">
        <f t="shared" si="24"/>
        <v>16.866099999999999</v>
      </c>
      <c r="I394" s="4" t="s">
        <v>3179</v>
      </c>
      <c r="J394" s="4">
        <v>17.114999999999998</v>
      </c>
      <c r="K394" s="4">
        <v>16.734200000000001</v>
      </c>
      <c r="L394" s="4">
        <v>17.037099999999999</v>
      </c>
      <c r="M394" s="4">
        <f t="shared" si="25"/>
        <v>16.962099999999996</v>
      </c>
      <c r="Q394" s="43" t="s">
        <v>1321</v>
      </c>
      <c r="R394" s="4">
        <v>16.870236789151299</v>
      </c>
      <c r="S394" s="4">
        <v>16.7682564710659</v>
      </c>
      <c r="T394" s="4">
        <v>16.667720664514398</v>
      </c>
      <c r="U394" s="4">
        <f t="shared" si="26"/>
        <v>16.768737974910533</v>
      </c>
      <c r="X394" s="43" t="s">
        <v>689</v>
      </c>
      <c r="Y394" s="4">
        <v>16.8228537537641</v>
      </c>
      <c r="Z394" s="4">
        <v>16.775057727051902</v>
      </c>
      <c r="AA394" s="4">
        <v>16.593583913221899</v>
      </c>
      <c r="AB394" s="4">
        <f t="shared" si="27"/>
        <v>16.7304984646793</v>
      </c>
      <c r="AK394" s="1"/>
      <c r="AM394" s="4" t="s">
        <v>1216</v>
      </c>
    </row>
    <row r="395" spans="2:39" x14ac:dyDescent="0.2">
      <c r="B395" s="4" t="s">
        <v>3098</v>
      </c>
      <c r="C395" s="4">
        <v>16.816299999999998</v>
      </c>
      <c r="D395" s="4">
        <v>16.810300000000002</v>
      </c>
      <c r="E395" s="4">
        <v>16.956399999999999</v>
      </c>
      <c r="F395" s="4">
        <f t="shared" si="24"/>
        <v>16.861000000000001</v>
      </c>
      <c r="I395" s="4" t="s">
        <v>20</v>
      </c>
      <c r="J395" s="4">
        <v>17.0213</v>
      </c>
      <c r="K395" s="4">
        <v>16.659199999999998</v>
      </c>
      <c r="L395" s="4">
        <v>17.198699999999999</v>
      </c>
      <c r="M395" s="4">
        <f t="shared" si="25"/>
        <v>16.959733333333332</v>
      </c>
      <c r="Q395" s="43" t="s">
        <v>3769</v>
      </c>
      <c r="R395" s="4">
        <v>16.8334645006016</v>
      </c>
      <c r="S395" s="4">
        <v>16.844918815966899</v>
      </c>
      <c r="T395" s="4">
        <v>16.577454828402001</v>
      </c>
      <c r="U395" s="4">
        <f t="shared" si="26"/>
        <v>16.7519460483235</v>
      </c>
      <c r="X395" s="43" t="s">
        <v>2900</v>
      </c>
      <c r="Y395" s="4">
        <v>16.637839127324</v>
      </c>
      <c r="Z395" s="4">
        <v>16.7150637848017</v>
      </c>
      <c r="AA395" s="4">
        <v>16.797757537182299</v>
      </c>
      <c r="AB395" s="4">
        <f t="shared" si="27"/>
        <v>16.716886816435998</v>
      </c>
      <c r="AK395" s="1"/>
      <c r="AM395" s="6" t="s">
        <v>671</v>
      </c>
    </row>
    <row r="396" spans="2:39" x14ac:dyDescent="0.2">
      <c r="B396" s="4" t="s">
        <v>2345</v>
      </c>
      <c r="C396" s="4">
        <v>16.632899999999999</v>
      </c>
      <c r="D396" s="4">
        <v>16.728000000000002</v>
      </c>
      <c r="E396" s="4">
        <v>17.212900000000001</v>
      </c>
      <c r="F396" s="4">
        <f t="shared" si="24"/>
        <v>16.857933333333335</v>
      </c>
      <c r="I396" s="4" t="s">
        <v>664</v>
      </c>
      <c r="J396" s="4">
        <v>16.875800000000002</v>
      </c>
      <c r="K396" s="4">
        <v>17.1846</v>
      </c>
      <c r="L396" s="4">
        <v>16.8154</v>
      </c>
      <c r="M396" s="4">
        <f t="shared" si="25"/>
        <v>16.958600000000001</v>
      </c>
      <c r="Q396" s="43" t="s">
        <v>3531</v>
      </c>
      <c r="R396" s="4">
        <v>17.1152233430102</v>
      </c>
      <c r="S396" s="4">
        <v>16.559396309691699</v>
      </c>
      <c r="T396" s="4">
        <v>16.5638406147085</v>
      </c>
      <c r="U396" s="4">
        <f t="shared" si="26"/>
        <v>16.746153422470133</v>
      </c>
      <c r="X396" s="43" t="s">
        <v>47</v>
      </c>
      <c r="Y396" s="4">
        <v>16.771508889607301</v>
      </c>
      <c r="Z396" s="4">
        <v>16.710487652002801</v>
      </c>
      <c r="AA396" s="4">
        <v>16.656405098384599</v>
      </c>
      <c r="AB396" s="4">
        <f t="shared" si="27"/>
        <v>16.712800546664898</v>
      </c>
      <c r="AK396" s="1"/>
      <c r="AM396" s="4" t="s">
        <v>4385</v>
      </c>
    </row>
    <row r="397" spans="2:39" x14ac:dyDescent="0.2">
      <c r="B397" s="4" t="s">
        <v>755</v>
      </c>
      <c r="C397" s="4">
        <v>16.8781</v>
      </c>
      <c r="D397" s="4">
        <v>16.66</v>
      </c>
      <c r="E397" s="4">
        <v>17.025600000000001</v>
      </c>
      <c r="F397" s="4">
        <f t="shared" si="24"/>
        <v>16.854566666666667</v>
      </c>
      <c r="I397" s="4" t="s">
        <v>2041</v>
      </c>
      <c r="J397" s="4">
        <v>16.712599999999998</v>
      </c>
      <c r="K397" s="4">
        <v>17.594899999999999</v>
      </c>
      <c r="L397" s="4">
        <v>16.568000000000001</v>
      </c>
      <c r="M397" s="4">
        <f t="shared" si="25"/>
        <v>16.958500000000001</v>
      </c>
      <c r="Q397" s="43" t="s">
        <v>3262</v>
      </c>
      <c r="R397" s="4">
        <v>16.7436830477745</v>
      </c>
      <c r="S397" s="4">
        <v>16.8231054063065</v>
      </c>
      <c r="T397" s="4">
        <v>16.652314312194498</v>
      </c>
      <c r="U397" s="4">
        <f t="shared" si="26"/>
        <v>16.739700922091831</v>
      </c>
      <c r="X397" s="43" t="s">
        <v>101</v>
      </c>
      <c r="Y397" s="4">
        <v>16.7629605245561</v>
      </c>
      <c r="Z397" s="4">
        <v>16.843329002857299</v>
      </c>
      <c r="AA397" s="4">
        <v>16.532091447819401</v>
      </c>
      <c r="AB397" s="4">
        <f t="shared" si="27"/>
        <v>16.712793658410931</v>
      </c>
      <c r="AK397" s="1"/>
      <c r="AM397" s="4" t="s">
        <v>4418</v>
      </c>
    </row>
    <row r="398" spans="2:39" x14ac:dyDescent="0.2">
      <c r="B398" s="4" t="s">
        <v>2125</v>
      </c>
      <c r="C398" s="4">
        <v>17.0016</v>
      </c>
      <c r="D398" s="4">
        <v>16.8172</v>
      </c>
      <c r="E398" s="4">
        <v>16.744399999999999</v>
      </c>
      <c r="F398" s="4">
        <f t="shared" si="24"/>
        <v>16.854399999999998</v>
      </c>
      <c r="I398" s="4" t="s">
        <v>1485</v>
      </c>
      <c r="J398" s="4">
        <v>16.5825</v>
      </c>
      <c r="K398" s="4">
        <v>17.6996</v>
      </c>
      <c r="L398" s="4">
        <v>16.576000000000001</v>
      </c>
      <c r="M398" s="4">
        <f t="shared" si="25"/>
        <v>16.9527</v>
      </c>
      <c r="Q398" s="43" t="s">
        <v>3659</v>
      </c>
      <c r="R398" s="4">
        <v>17.083598327358001</v>
      </c>
      <c r="S398" s="4">
        <v>16.5535522809434</v>
      </c>
      <c r="T398" s="4">
        <v>16.581606348897701</v>
      </c>
      <c r="U398" s="4">
        <f t="shared" si="26"/>
        <v>16.7395856523997</v>
      </c>
      <c r="X398" s="43" t="s">
        <v>2130</v>
      </c>
      <c r="Y398" s="4">
        <v>16.9096719775042</v>
      </c>
      <c r="Z398" s="4">
        <v>16.629159942152199</v>
      </c>
      <c r="AA398" s="4">
        <v>16.5747701149017</v>
      </c>
      <c r="AB398" s="4">
        <f t="shared" si="27"/>
        <v>16.704534011519367</v>
      </c>
      <c r="AK398" s="1"/>
      <c r="AM398" s="4" t="s">
        <v>1261</v>
      </c>
    </row>
    <row r="399" spans="2:39" x14ac:dyDescent="0.2">
      <c r="B399" s="4" t="s">
        <v>770</v>
      </c>
      <c r="C399" s="4">
        <v>17.109400000000001</v>
      </c>
      <c r="D399" s="4">
        <v>16.843399999999999</v>
      </c>
      <c r="E399" s="4">
        <v>16.604900000000001</v>
      </c>
      <c r="F399" s="4">
        <f t="shared" si="24"/>
        <v>16.852566666666664</v>
      </c>
      <c r="I399" s="4" t="s">
        <v>4062</v>
      </c>
      <c r="J399" s="4">
        <v>16.903099999999998</v>
      </c>
      <c r="K399" s="4">
        <v>16.677199999999999</v>
      </c>
      <c r="L399" s="4">
        <v>17.246400000000001</v>
      </c>
      <c r="M399" s="4">
        <f t="shared" si="25"/>
        <v>16.942233333333331</v>
      </c>
      <c r="Q399" s="43" t="s">
        <v>2413</v>
      </c>
      <c r="R399" s="4">
        <v>16.700179415501999</v>
      </c>
      <c r="S399" s="4">
        <v>16.684459771597201</v>
      </c>
      <c r="T399" s="4">
        <v>16.827880454804401</v>
      </c>
      <c r="U399" s="4">
        <f t="shared" si="26"/>
        <v>16.737506547301198</v>
      </c>
      <c r="X399" s="43" t="s">
        <v>2038</v>
      </c>
      <c r="Y399" s="4">
        <v>16.6461319744196</v>
      </c>
      <c r="Z399" s="4">
        <v>16.704093131784099</v>
      </c>
      <c r="AA399" s="4">
        <v>16.761938126419199</v>
      </c>
      <c r="AB399" s="4">
        <f t="shared" si="27"/>
        <v>16.704054410874296</v>
      </c>
      <c r="AK399" s="1"/>
      <c r="AM399" s="4" t="s">
        <v>4531</v>
      </c>
    </row>
    <row r="400" spans="2:39" x14ac:dyDescent="0.2">
      <c r="B400" s="4" t="s">
        <v>3577</v>
      </c>
      <c r="C400" s="4">
        <v>17.039100000000001</v>
      </c>
      <c r="D400" s="4">
        <v>16.744599999999998</v>
      </c>
      <c r="E400" s="4">
        <v>16.767900000000001</v>
      </c>
      <c r="F400" s="4">
        <f t="shared" si="24"/>
        <v>16.850533333333331</v>
      </c>
      <c r="I400" s="4" t="s">
        <v>1835</v>
      </c>
      <c r="J400" s="4">
        <v>17.3201</v>
      </c>
      <c r="K400" s="4">
        <v>16.290700000000001</v>
      </c>
      <c r="L400" s="4">
        <v>17.205300000000001</v>
      </c>
      <c r="M400" s="4">
        <f t="shared" si="25"/>
        <v>16.938700000000001</v>
      </c>
      <c r="Q400" s="43" t="s">
        <v>1761</v>
      </c>
      <c r="R400" s="4">
        <v>17.146226640306701</v>
      </c>
      <c r="S400" s="4">
        <v>16.449790365217901</v>
      </c>
      <c r="T400" s="4">
        <v>16.605440880465501</v>
      </c>
      <c r="U400" s="4">
        <f t="shared" si="26"/>
        <v>16.733819295330033</v>
      </c>
      <c r="X400" s="43" t="s">
        <v>2389</v>
      </c>
      <c r="Y400" s="4">
        <v>16.693832017443299</v>
      </c>
      <c r="Z400" s="4">
        <v>16.7649583911411</v>
      </c>
      <c r="AA400" s="4">
        <v>16.6449145012275</v>
      </c>
      <c r="AB400" s="4">
        <f t="shared" si="27"/>
        <v>16.7012349699373</v>
      </c>
      <c r="AK400" s="1"/>
      <c r="AM400" s="4" t="s">
        <v>4091</v>
      </c>
    </row>
    <row r="401" spans="2:39" x14ac:dyDescent="0.2">
      <c r="B401" s="4" t="s">
        <v>567</v>
      </c>
      <c r="C401" s="4">
        <v>16.4925</v>
      </c>
      <c r="D401" s="4">
        <v>16.8399</v>
      </c>
      <c r="E401" s="4">
        <v>17.191400000000002</v>
      </c>
      <c r="F401" s="4">
        <f t="shared" si="24"/>
        <v>16.841266666666666</v>
      </c>
      <c r="I401" s="4" t="s">
        <v>1464</v>
      </c>
      <c r="J401" s="4">
        <v>16.930599999999998</v>
      </c>
      <c r="K401" s="4">
        <v>16.997900000000001</v>
      </c>
      <c r="L401" s="4">
        <v>16.885899999999999</v>
      </c>
      <c r="M401" s="4">
        <f t="shared" si="25"/>
        <v>16.938133333333333</v>
      </c>
      <c r="Q401" s="43" t="s">
        <v>2631</v>
      </c>
      <c r="R401" s="4">
        <v>16.918337190096999</v>
      </c>
      <c r="S401" s="4">
        <v>16.660238803637402</v>
      </c>
      <c r="T401" s="4">
        <v>16.5732796170849</v>
      </c>
      <c r="U401" s="4">
        <f t="shared" si="26"/>
        <v>16.717285203606433</v>
      </c>
      <c r="X401" s="43" t="s">
        <v>2652</v>
      </c>
      <c r="Y401" s="4">
        <v>16.714866778446002</v>
      </c>
      <c r="Z401" s="4">
        <v>16.607898739998699</v>
      </c>
      <c r="AA401" s="4">
        <v>16.780205140115999</v>
      </c>
      <c r="AB401" s="4">
        <f t="shared" si="27"/>
        <v>16.700990219520232</v>
      </c>
      <c r="AK401" s="1"/>
      <c r="AM401" s="4" t="s">
        <v>4561</v>
      </c>
    </row>
    <row r="402" spans="2:39" x14ac:dyDescent="0.2">
      <c r="B402" s="4" t="s">
        <v>775</v>
      </c>
      <c r="C402" s="4">
        <v>16.940200000000001</v>
      </c>
      <c r="D402" s="4">
        <v>16.829000000000001</v>
      </c>
      <c r="E402" s="4">
        <v>16.748899999999999</v>
      </c>
      <c r="F402" s="4">
        <f t="shared" si="24"/>
        <v>16.839366666666667</v>
      </c>
      <c r="I402" s="4" t="s">
        <v>1663</v>
      </c>
      <c r="J402" s="4">
        <v>17.2043</v>
      </c>
      <c r="K402" s="4">
        <v>16.415800000000001</v>
      </c>
      <c r="L402" s="4">
        <v>17.1892</v>
      </c>
      <c r="M402" s="4">
        <f t="shared" si="25"/>
        <v>16.936433333333333</v>
      </c>
      <c r="Q402" s="43" t="s">
        <v>1776</v>
      </c>
      <c r="R402" s="4">
        <v>16.600373075767799</v>
      </c>
      <c r="S402" s="4">
        <v>16.711299108309699</v>
      </c>
      <c r="T402" s="4">
        <v>16.836238349031401</v>
      </c>
      <c r="U402" s="4">
        <f t="shared" si="26"/>
        <v>16.715970177702967</v>
      </c>
      <c r="X402" s="43" t="s">
        <v>1671</v>
      </c>
      <c r="Y402" s="4">
        <v>16.7180468575473</v>
      </c>
      <c r="Z402" s="4">
        <v>16.7352485009615</v>
      </c>
      <c r="AA402" s="4">
        <v>16.635205740659099</v>
      </c>
      <c r="AB402" s="4">
        <f t="shared" si="27"/>
        <v>16.696167033055968</v>
      </c>
      <c r="AK402" s="1"/>
      <c r="AM402" s="4" t="s">
        <v>4509</v>
      </c>
    </row>
    <row r="403" spans="2:39" x14ac:dyDescent="0.2">
      <c r="B403" s="4" t="s">
        <v>2250</v>
      </c>
      <c r="C403" s="4">
        <v>16.936900000000001</v>
      </c>
      <c r="D403" s="4">
        <v>16.8611</v>
      </c>
      <c r="E403" s="4">
        <v>16.6968</v>
      </c>
      <c r="F403" s="4">
        <f t="shared" si="24"/>
        <v>16.831599999999998</v>
      </c>
      <c r="I403" s="4" t="s">
        <v>654</v>
      </c>
      <c r="J403" s="4">
        <v>16.815899999999999</v>
      </c>
      <c r="K403" s="4">
        <v>17.0289</v>
      </c>
      <c r="L403" s="4">
        <v>16.959299999999999</v>
      </c>
      <c r="M403" s="4">
        <f t="shared" si="25"/>
        <v>16.934699999999999</v>
      </c>
      <c r="Q403" s="43" t="s">
        <v>2857</v>
      </c>
      <c r="R403" s="4">
        <v>16.941275381431801</v>
      </c>
      <c r="S403" s="4">
        <v>16.559895000445302</v>
      </c>
      <c r="T403" s="4">
        <v>16.645211855470102</v>
      </c>
      <c r="U403" s="4">
        <f t="shared" si="26"/>
        <v>16.715460745782401</v>
      </c>
      <c r="X403" s="43" t="s">
        <v>15</v>
      </c>
      <c r="Y403" s="4">
        <v>16.633527677557499</v>
      </c>
      <c r="Z403" s="4">
        <v>16.8039308771307</v>
      </c>
      <c r="AA403" s="4">
        <v>16.647104103625999</v>
      </c>
      <c r="AB403" s="4">
        <f t="shared" si="27"/>
        <v>16.694854219438067</v>
      </c>
      <c r="AK403" s="1"/>
      <c r="AM403" s="6" t="s">
        <v>877</v>
      </c>
    </row>
    <row r="404" spans="2:39" x14ac:dyDescent="0.2">
      <c r="B404" s="4" t="s">
        <v>1849</v>
      </c>
      <c r="C404" s="4">
        <v>16.6568</v>
      </c>
      <c r="D404" s="4">
        <v>17.0519</v>
      </c>
      <c r="E404" s="4">
        <v>16.778199999999998</v>
      </c>
      <c r="F404" s="4">
        <f t="shared" si="24"/>
        <v>16.828966666666666</v>
      </c>
      <c r="I404" s="4" t="s">
        <v>2189</v>
      </c>
      <c r="J404" s="4">
        <v>16.965800000000002</v>
      </c>
      <c r="K404" s="4">
        <v>16.647300000000001</v>
      </c>
      <c r="L404" s="4">
        <v>17.1709</v>
      </c>
      <c r="M404" s="4">
        <f t="shared" si="25"/>
        <v>16.928000000000001</v>
      </c>
      <c r="Q404" s="43" t="s">
        <v>964</v>
      </c>
      <c r="R404" s="4">
        <v>17.168933343279001</v>
      </c>
      <c r="S404" s="4">
        <v>16.188671198588501</v>
      </c>
      <c r="T404" s="4">
        <v>16.778972710388899</v>
      </c>
      <c r="U404" s="4">
        <f t="shared" si="26"/>
        <v>16.712192417418802</v>
      </c>
      <c r="X404" s="43" t="s">
        <v>2779</v>
      </c>
      <c r="Y404" s="4">
        <v>16.690329310581301</v>
      </c>
      <c r="Z404" s="4">
        <v>16.789209159734799</v>
      </c>
      <c r="AA404" s="4">
        <v>16.598380299177499</v>
      </c>
      <c r="AB404" s="4">
        <f t="shared" si="27"/>
        <v>16.692639589831199</v>
      </c>
      <c r="AK404" s="1"/>
      <c r="AM404" s="6" t="s">
        <v>800</v>
      </c>
    </row>
    <row r="405" spans="2:39" x14ac:dyDescent="0.2">
      <c r="B405" s="4" t="s">
        <v>1427</v>
      </c>
      <c r="C405" s="4">
        <v>16.630099999999999</v>
      </c>
      <c r="D405" s="4">
        <v>16.483699999999999</v>
      </c>
      <c r="E405" s="4">
        <v>17.371400000000001</v>
      </c>
      <c r="F405" s="4">
        <f t="shared" si="24"/>
        <v>16.828399999999998</v>
      </c>
      <c r="I405" s="4" t="s">
        <v>225</v>
      </c>
      <c r="J405" s="4">
        <v>16.8416</v>
      </c>
      <c r="K405" s="4">
        <v>17.089200000000002</v>
      </c>
      <c r="L405" s="4">
        <v>16.846299999999999</v>
      </c>
      <c r="M405" s="4">
        <f t="shared" si="25"/>
        <v>16.925700000000003</v>
      </c>
      <c r="Q405" s="43" t="s">
        <v>1221</v>
      </c>
      <c r="R405" s="4">
        <v>16.767710868494301</v>
      </c>
      <c r="S405" s="4">
        <v>16.710428318300199</v>
      </c>
      <c r="T405" s="4">
        <v>16.649597811077001</v>
      </c>
      <c r="U405" s="4">
        <f t="shared" si="26"/>
        <v>16.709245665957166</v>
      </c>
      <c r="X405" s="43" t="s">
        <v>839</v>
      </c>
      <c r="Y405" s="4">
        <v>16.739291879631701</v>
      </c>
      <c r="Z405" s="4">
        <v>16.6138762157583</v>
      </c>
      <c r="AA405" s="4">
        <v>16.7171411655182</v>
      </c>
      <c r="AB405" s="4">
        <f t="shared" si="27"/>
        <v>16.690103086969401</v>
      </c>
      <c r="AK405" s="1"/>
      <c r="AM405" s="4" t="s">
        <v>4275</v>
      </c>
    </row>
    <row r="406" spans="2:39" x14ac:dyDescent="0.2">
      <c r="B406" s="4" t="s">
        <v>1218</v>
      </c>
      <c r="C406" s="4">
        <v>16.5883</v>
      </c>
      <c r="D406" s="4">
        <v>16.881499999999999</v>
      </c>
      <c r="E406" s="4">
        <v>16.9696</v>
      </c>
      <c r="F406" s="4">
        <f t="shared" si="24"/>
        <v>16.813133333333333</v>
      </c>
      <c r="I406" s="4" t="s">
        <v>600</v>
      </c>
      <c r="J406" s="4">
        <v>17.053699999999999</v>
      </c>
      <c r="K406" s="4">
        <v>16.654399999999999</v>
      </c>
      <c r="L406" s="4">
        <v>17.068200000000001</v>
      </c>
      <c r="M406" s="4">
        <f t="shared" si="25"/>
        <v>16.925433333333334</v>
      </c>
      <c r="Q406" s="43" t="s">
        <v>3733</v>
      </c>
      <c r="R406" s="4">
        <v>16.924355164440101</v>
      </c>
      <c r="S406" s="4">
        <v>16.6511701213234</v>
      </c>
      <c r="T406" s="4">
        <v>16.546601925877201</v>
      </c>
      <c r="U406" s="4">
        <f t="shared" si="26"/>
        <v>16.707375737213567</v>
      </c>
      <c r="X406" s="43" t="s">
        <v>2402</v>
      </c>
      <c r="Y406" s="4">
        <v>16.8523254730529</v>
      </c>
      <c r="Z406" s="4">
        <v>16.6973594177427</v>
      </c>
      <c r="AA406" s="4">
        <v>16.503904946087001</v>
      </c>
      <c r="AB406" s="4">
        <f t="shared" si="27"/>
        <v>16.684529945627535</v>
      </c>
      <c r="AK406" s="1"/>
      <c r="AM406" s="4" t="s">
        <v>4408</v>
      </c>
    </row>
    <row r="407" spans="2:39" x14ac:dyDescent="0.2">
      <c r="B407" s="4" t="s">
        <v>3157</v>
      </c>
      <c r="C407" s="4">
        <v>17.0136</v>
      </c>
      <c r="D407" s="4">
        <v>16.805900000000001</v>
      </c>
      <c r="E407" s="4">
        <v>16.598099999999999</v>
      </c>
      <c r="F407" s="4">
        <f t="shared" si="24"/>
        <v>16.80586666666667</v>
      </c>
      <c r="I407" s="4" t="s">
        <v>3198</v>
      </c>
      <c r="J407" s="4">
        <v>16.9558</v>
      </c>
      <c r="K407" s="4">
        <v>16.867899999999999</v>
      </c>
      <c r="L407" s="4">
        <v>16.894600000000001</v>
      </c>
      <c r="M407" s="4">
        <f t="shared" si="25"/>
        <v>16.906099999999999</v>
      </c>
      <c r="Q407" s="43" t="s">
        <v>375</v>
      </c>
      <c r="R407" s="4">
        <v>16.779695794052401</v>
      </c>
      <c r="S407" s="4">
        <v>16.6780694208555</v>
      </c>
      <c r="T407" s="4">
        <v>16.639535825093098</v>
      </c>
      <c r="U407" s="4">
        <f t="shared" si="26"/>
        <v>16.699100346666999</v>
      </c>
      <c r="X407" s="43" t="s">
        <v>2503</v>
      </c>
      <c r="Y407" s="4">
        <v>16.886399931867</v>
      </c>
      <c r="Z407" s="4">
        <v>16.8604036049645</v>
      </c>
      <c r="AA407" s="4">
        <v>16.300989406374001</v>
      </c>
      <c r="AB407" s="4">
        <f t="shared" si="27"/>
        <v>16.682597647735168</v>
      </c>
      <c r="AK407" s="1"/>
      <c r="AM407" s="4" t="s">
        <v>4090</v>
      </c>
    </row>
    <row r="408" spans="2:39" x14ac:dyDescent="0.2">
      <c r="B408" s="4" t="s">
        <v>2650</v>
      </c>
      <c r="C408" s="4">
        <v>16.996300000000002</v>
      </c>
      <c r="D408" s="4">
        <v>16.780200000000001</v>
      </c>
      <c r="E408" s="4">
        <v>16.635000000000002</v>
      </c>
      <c r="F408" s="4">
        <f t="shared" si="24"/>
        <v>16.803833333333333</v>
      </c>
      <c r="I408" s="4" t="s">
        <v>695</v>
      </c>
      <c r="J408" s="4">
        <v>16.801100000000002</v>
      </c>
      <c r="K408" s="4">
        <v>17.519100000000002</v>
      </c>
      <c r="L408" s="4">
        <v>16.39</v>
      </c>
      <c r="M408" s="4">
        <f t="shared" si="25"/>
        <v>16.903400000000001</v>
      </c>
      <c r="Q408" s="43" t="s">
        <v>3987</v>
      </c>
      <c r="R408" s="4">
        <v>16.9379524262466</v>
      </c>
      <c r="S408" s="4">
        <v>16.565884560120999</v>
      </c>
      <c r="T408" s="4">
        <v>16.5631474066663</v>
      </c>
      <c r="U408" s="4">
        <f t="shared" si="26"/>
        <v>16.688994797677967</v>
      </c>
      <c r="X408" s="43" t="s">
        <v>1478</v>
      </c>
      <c r="Y408" s="4">
        <v>16.856061769662698</v>
      </c>
      <c r="Z408" s="4">
        <v>16.541364262611001</v>
      </c>
      <c r="AA408" s="4">
        <v>16.596725336068499</v>
      </c>
      <c r="AB408" s="4">
        <f t="shared" si="27"/>
        <v>16.664717122780733</v>
      </c>
      <c r="AK408" s="1"/>
      <c r="AM408" s="4" t="s">
        <v>4203</v>
      </c>
    </row>
    <row r="409" spans="2:39" x14ac:dyDescent="0.2">
      <c r="B409" s="4" t="s">
        <v>1715</v>
      </c>
      <c r="C409" s="4">
        <v>16.821899999999999</v>
      </c>
      <c r="D409" s="4">
        <v>16.763500000000001</v>
      </c>
      <c r="E409" s="4">
        <v>16.823799999999999</v>
      </c>
      <c r="F409" s="4">
        <f t="shared" si="24"/>
        <v>16.803066666666666</v>
      </c>
      <c r="I409" s="4" t="s">
        <v>3267</v>
      </c>
      <c r="J409" s="4">
        <v>16.927499999999998</v>
      </c>
      <c r="K409" s="4">
        <v>16.7697</v>
      </c>
      <c r="L409" s="4">
        <v>17.000599999999999</v>
      </c>
      <c r="M409" s="4">
        <f t="shared" si="25"/>
        <v>16.899266666666666</v>
      </c>
      <c r="Q409" s="43" t="s">
        <v>3360</v>
      </c>
      <c r="R409" s="4">
        <v>16.716158840733101</v>
      </c>
      <c r="S409" s="4">
        <v>16.674599832347202</v>
      </c>
      <c r="T409" s="4">
        <v>16.640336456816399</v>
      </c>
      <c r="U409" s="4">
        <f t="shared" si="26"/>
        <v>16.677031709965565</v>
      </c>
      <c r="X409" s="43" t="s">
        <v>446</v>
      </c>
      <c r="Y409" s="4">
        <v>16.499170973208699</v>
      </c>
      <c r="Z409" s="4">
        <v>16.628798960198399</v>
      </c>
      <c r="AA409" s="4">
        <v>16.834406791212299</v>
      </c>
      <c r="AB409" s="4">
        <f t="shared" si="27"/>
        <v>16.654125574873134</v>
      </c>
      <c r="AK409" s="1"/>
      <c r="AM409" s="4" t="s">
        <v>4431</v>
      </c>
    </row>
    <row r="410" spans="2:39" x14ac:dyDescent="0.2">
      <c r="B410" s="4" t="s">
        <v>659</v>
      </c>
      <c r="C410" s="4">
        <v>16.477900000000002</v>
      </c>
      <c r="D410" s="4">
        <v>16.726900000000001</v>
      </c>
      <c r="E410" s="4">
        <v>17.201699999999999</v>
      </c>
      <c r="F410" s="4">
        <f t="shared" si="24"/>
        <v>16.802166666666668</v>
      </c>
      <c r="I410" s="4" t="s">
        <v>2125</v>
      </c>
      <c r="J410" s="4">
        <v>17.157499999999999</v>
      </c>
      <c r="K410" s="4">
        <v>16.590900000000001</v>
      </c>
      <c r="L410" s="4">
        <v>16.9132</v>
      </c>
      <c r="M410" s="4">
        <f t="shared" si="25"/>
        <v>16.887200000000004</v>
      </c>
      <c r="Q410" s="43" t="s">
        <v>3210</v>
      </c>
      <c r="R410" s="4">
        <v>16.664484376541601</v>
      </c>
      <c r="S410" s="4">
        <v>16.832795611580899</v>
      </c>
      <c r="T410" s="4">
        <v>16.5175486925359</v>
      </c>
      <c r="U410" s="4">
        <f t="shared" si="26"/>
        <v>16.671609560219466</v>
      </c>
      <c r="X410" s="43" t="s">
        <v>1244</v>
      </c>
      <c r="Y410" s="4">
        <v>16.624074913097601</v>
      </c>
      <c r="Z410" s="4">
        <v>16.7590663559861</v>
      </c>
      <c r="AA410" s="4">
        <v>16.564761516735398</v>
      </c>
      <c r="AB410" s="4">
        <f t="shared" si="27"/>
        <v>16.649300928606365</v>
      </c>
      <c r="AK410" s="1"/>
      <c r="AM410" s="4" t="s">
        <v>4222</v>
      </c>
    </row>
    <row r="411" spans="2:39" x14ac:dyDescent="0.2">
      <c r="B411" s="4" t="s">
        <v>1812</v>
      </c>
      <c r="C411" s="4">
        <v>17.1295</v>
      </c>
      <c r="D411" s="4">
        <v>16.747199999999999</v>
      </c>
      <c r="E411" s="4">
        <v>16.5291</v>
      </c>
      <c r="F411" s="4">
        <f t="shared" si="24"/>
        <v>16.801933333333334</v>
      </c>
      <c r="I411" s="4" t="s">
        <v>1189</v>
      </c>
      <c r="J411" s="4">
        <v>16.810600000000001</v>
      </c>
      <c r="K411" s="4">
        <v>16.794499999999999</v>
      </c>
      <c r="L411" s="4">
        <v>17.0398</v>
      </c>
      <c r="M411" s="4">
        <f t="shared" si="25"/>
        <v>16.881633333333333</v>
      </c>
      <c r="Q411" s="43" t="s">
        <v>2338</v>
      </c>
      <c r="R411" s="4">
        <v>16.983942415184401</v>
      </c>
      <c r="S411" s="4">
        <v>16.469050734797101</v>
      </c>
      <c r="T411" s="4">
        <v>16.556075015718001</v>
      </c>
      <c r="U411" s="4">
        <f t="shared" si="26"/>
        <v>16.6696893885665</v>
      </c>
      <c r="X411" s="43" t="s">
        <v>911</v>
      </c>
      <c r="Y411" s="4">
        <v>16.586283193593999</v>
      </c>
      <c r="Z411" s="4">
        <v>16.8459722363176</v>
      </c>
      <c r="AA411" s="4">
        <v>16.505504350433</v>
      </c>
      <c r="AB411" s="4">
        <f t="shared" si="27"/>
        <v>16.645919926781534</v>
      </c>
      <c r="AK411" s="1"/>
      <c r="AM411" s="4" t="s">
        <v>976</v>
      </c>
    </row>
    <row r="412" spans="2:39" x14ac:dyDescent="0.2">
      <c r="B412" s="4" t="s">
        <v>326</v>
      </c>
      <c r="C412" s="4">
        <v>17.278700000000001</v>
      </c>
      <c r="D412" s="4">
        <v>16.495799999999999</v>
      </c>
      <c r="E412" s="4">
        <v>16.578199999999999</v>
      </c>
      <c r="F412" s="4">
        <f t="shared" si="24"/>
        <v>16.784233333333333</v>
      </c>
      <c r="I412" s="4" t="s">
        <v>122</v>
      </c>
      <c r="J412" s="4">
        <v>16.841699999999999</v>
      </c>
      <c r="K412" s="4">
        <v>16.8871</v>
      </c>
      <c r="L412" s="4">
        <v>16.841200000000001</v>
      </c>
      <c r="M412" s="4">
        <f t="shared" si="25"/>
        <v>16.856666666666666</v>
      </c>
      <c r="Q412" s="43" t="s">
        <v>2779</v>
      </c>
      <c r="R412" s="4">
        <v>16.714088222913201</v>
      </c>
      <c r="S412" s="4">
        <v>16.6831567925156</v>
      </c>
      <c r="T412" s="4">
        <v>16.6072868466077</v>
      </c>
      <c r="U412" s="4">
        <f t="shared" si="26"/>
        <v>16.6681772873455</v>
      </c>
      <c r="X412" s="43" t="s">
        <v>2155</v>
      </c>
      <c r="Y412" s="4">
        <v>16.565949800313501</v>
      </c>
      <c r="Z412" s="4">
        <v>16.638318977009501</v>
      </c>
      <c r="AA412" s="4">
        <v>16.732246603227999</v>
      </c>
      <c r="AB412" s="4">
        <f t="shared" si="27"/>
        <v>16.645505126850335</v>
      </c>
      <c r="AK412" s="1"/>
      <c r="AM412" s="4" t="s">
        <v>908</v>
      </c>
    </row>
    <row r="413" spans="2:39" x14ac:dyDescent="0.2">
      <c r="B413" s="4" t="s">
        <v>802</v>
      </c>
      <c r="C413" s="4">
        <v>16.9177</v>
      </c>
      <c r="D413" s="4">
        <v>16.8339</v>
      </c>
      <c r="E413" s="4">
        <v>16.5733</v>
      </c>
      <c r="F413" s="4">
        <f t="shared" si="24"/>
        <v>16.774966666666668</v>
      </c>
      <c r="I413" s="4" t="s">
        <v>3230</v>
      </c>
      <c r="J413" s="4">
        <v>16.644100000000002</v>
      </c>
      <c r="K413" s="4">
        <v>17.367100000000001</v>
      </c>
      <c r="L413" s="4">
        <v>16.5534</v>
      </c>
      <c r="M413" s="4">
        <f t="shared" si="25"/>
        <v>16.854866666666666</v>
      </c>
      <c r="Q413" s="43" t="s">
        <v>1370</v>
      </c>
      <c r="R413" s="4">
        <v>16.770728607030598</v>
      </c>
      <c r="S413" s="4">
        <v>16.560168674541899</v>
      </c>
      <c r="T413" s="4">
        <v>16.624393757174001</v>
      </c>
      <c r="U413" s="4">
        <f t="shared" si="26"/>
        <v>16.651763679582164</v>
      </c>
      <c r="X413" s="43" t="s">
        <v>1745</v>
      </c>
      <c r="Y413" s="4">
        <v>16.8299528609225</v>
      </c>
      <c r="Z413" s="4">
        <v>16.607132335969201</v>
      </c>
      <c r="AA413" s="4">
        <v>16.429053248920699</v>
      </c>
      <c r="AB413" s="4">
        <f t="shared" si="27"/>
        <v>16.622046148604131</v>
      </c>
      <c r="AK413" s="1"/>
      <c r="AM413" s="4" t="s">
        <v>4291</v>
      </c>
    </row>
    <row r="414" spans="2:39" x14ac:dyDescent="0.2">
      <c r="B414" s="4" t="s">
        <v>4071</v>
      </c>
      <c r="C414" s="4">
        <v>16.890799999999999</v>
      </c>
      <c r="D414" s="4">
        <v>16.824200000000001</v>
      </c>
      <c r="E414" s="4">
        <v>16.604199999999999</v>
      </c>
      <c r="F414" s="4">
        <f t="shared" si="24"/>
        <v>16.773066666666669</v>
      </c>
      <c r="I414" s="4" t="s">
        <v>349</v>
      </c>
      <c r="J414" s="4">
        <v>16.902799999999999</v>
      </c>
      <c r="K414" s="4">
        <v>16.787199999999999</v>
      </c>
      <c r="L414" s="4">
        <v>16.871600000000001</v>
      </c>
      <c r="M414" s="4">
        <f t="shared" si="25"/>
        <v>16.853866666666665</v>
      </c>
      <c r="Q414" s="43" t="s">
        <v>3999</v>
      </c>
      <c r="R414" s="4">
        <v>16.886658683651898</v>
      </c>
      <c r="S414" s="4">
        <v>16.523606625838699</v>
      </c>
      <c r="T414" s="4">
        <v>16.540469928369099</v>
      </c>
      <c r="U414" s="4">
        <f t="shared" si="26"/>
        <v>16.650245079286567</v>
      </c>
      <c r="X414" s="43" t="s">
        <v>353</v>
      </c>
      <c r="Y414" s="4">
        <v>16.646558101802</v>
      </c>
      <c r="Z414" s="4">
        <v>16.692576595502999</v>
      </c>
      <c r="AA414" s="4">
        <v>16.484830260172</v>
      </c>
      <c r="AB414" s="4">
        <f t="shared" si="27"/>
        <v>16.607988319159002</v>
      </c>
      <c r="AK414" s="1"/>
      <c r="AM414" s="4" t="s">
        <v>983</v>
      </c>
    </row>
    <row r="415" spans="2:39" x14ac:dyDescent="0.2">
      <c r="B415" s="4" t="s">
        <v>1657</v>
      </c>
      <c r="C415" s="4">
        <v>16.849799999999998</v>
      </c>
      <c r="D415" s="4">
        <v>16.686599999999999</v>
      </c>
      <c r="E415" s="4">
        <v>16.763400000000001</v>
      </c>
      <c r="F415" s="4">
        <f t="shared" si="24"/>
        <v>16.7666</v>
      </c>
      <c r="I415" s="4" t="s">
        <v>1690</v>
      </c>
      <c r="J415" s="4">
        <v>16.8446</v>
      </c>
      <c r="K415" s="4">
        <v>16.7606</v>
      </c>
      <c r="L415" s="4">
        <v>16.946200000000001</v>
      </c>
      <c r="M415" s="4">
        <f t="shared" si="25"/>
        <v>16.850466666666666</v>
      </c>
      <c r="Q415" s="43" t="s">
        <v>4378</v>
      </c>
      <c r="R415" s="4">
        <v>16.992255877938501</v>
      </c>
      <c r="S415" s="4">
        <v>16.3832546876381</v>
      </c>
      <c r="T415" s="4">
        <v>16.5701937373241</v>
      </c>
      <c r="U415" s="4">
        <f t="shared" si="26"/>
        <v>16.648568100966902</v>
      </c>
      <c r="X415" s="43" t="s">
        <v>1892</v>
      </c>
      <c r="Y415" s="4">
        <v>16.606923992104601</v>
      </c>
      <c r="Z415" s="4">
        <v>16.724141568683901</v>
      </c>
      <c r="AA415" s="4">
        <v>16.491926249568799</v>
      </c>
      <c r="AB415" s="4">
        <f t="shared" si="27"/>
        <v>16.607663936785766</v>
      </c>
      <c r="AK415" s="1"/>
      <c r="AM415" s="4" t="s">
        <v>4089</v>
      </c>
    </row>
    <row r="416" spans="2:39" x14ac:dyDescent="0.2">
      <c r="B416" s="4" t="s">
        <v>3536</v>
      </c>
      <c r="C416" s="4">
        <v>16.378</v>
      </c>
      <c r="D416" s="4">
        <v>16.976500000000001</v>
      </c>
      <c r="E416" s="4">
        <v>16.939900000000002</v>
      </c>
      <c r="F416" s="4">
        <f t="shared" si="24"/>
        <v>16.764800000000001</v>
      </c>
      <c r="I416" s="4" t="s">
        <v>458</v>
      </c>
      <c r="J416" s="4">
        <v>17.095700000000001</v>
      </c>
      <c r="K416" s="4">
        <v>16.392600000000002</v>
      </c>
      <c r="L416" s="4">
        <v>17.0626</v>
      </c>
      <c r="M416" s="4">
        <f t="shared" si="25"/>
        <v>16.850300000000001</v>
      </c>
      <c r="Q416" s="43" t="s">
        <v>1493</v>
      </c>
      <c r="R416" s="4">
        <v>16.747760842629202</v>
      </c>
      <c r="S416" s="4">
        <v>16.6448544606199</v>
      </c>
      <c r="T416" s="4">
        <v>16.527673077679399</v>
      </c>
      <c r="U416" s="4">
        <f t="shared" si="26"/>
        <v>16.640096126976164</v>
      </c>
      <c r="X416" s="43" t="s">
        <v>657</v>
      </c>
      <c r="Y416" s="4">
        <v>16.813620826587801</v>
      </c>
      <c r="Z416" s="4">
        <v>16.9643434078653</v>
      </c>
      <c r="AA416" s="4">
        <v>16.034038978870999</v>
      </c>
      <c r="AB416" s="4">
        <f t="shared" si="27"/>
        <v>16.604001071108033</v>
      </c>
      <c r="AK416" s="1"/>
      <c r="AM416" s="4" t="s">
        <v>4577</v>
      </c>
    </row>
    <row r="417" spans="2:39" x14ac:dyDescent="0.2">
      <c r="B417" s="4" t="s">
        <v>1771</v>
      </c>
      <c r="C417" s="4">
        <v>16.7056</v>
      </c>
      <c r="D417" s="4">
        <v>16.9026</v>
      </c>
      <c r="E417" s="4">
        <v>16.670300000000001</v>
      </c>
      <c r="F417" s="4">
        <f t="shared" si="24"/>
        <v>16.759499999999999</v>
      </c>
      <c r="I417" s="4" t="s">
        <v>133</v>
      </c>
      <c r="J417" s="4">
        <v>17.05</v>
      </c>
      <c r="K417" s="4">
        <v>16.657800000000002</v>
      </c>
      <c r="L417" s="4">
        <v>16.8142</v>
      </c>
      <c r="M417" s="4">
        <f t="shared" si="25"/>
        <v>16.840666666666667</v>
      </c>
      <c r="Q417" s="43" t="s">
        <v>453</v>
      </c>
      <c r="R417" s="4">
        <v>17.0819350054038</v>
      </c>
      <c r="S417" s="4">
        <v>16.465253086820201</v>
      </c>
      <c r="T417" s="4">
        <v>16.357440608049998</v>
      </c>
      <c r="U417" s="4">
        <f t="shared" si="26"/>
        <v>16.634876233424666</v>
      </c>
      <c r="X417" s="43" t="s">
        <v>2138</v>
      </c>
      <c r="Y417" s="4">
        <v>16.569634517204801</v>
      </c>
      <c r="Z417" s="4">
        <v>16.628238393278401</v>
      </c>
      <c r="AA417" s="4">
        <v>16.613104273604399</v>
      </c>
      <c r="AB417" s="4">
        <f t="shared" si="27"/>
        <v>16.603659061362531</v>
      </c>
      <c r="AK417" s="1"/>
      <c r="AM417" s="6" t="s">
        <v>841</v>
      </c>
    </row>
    <row r="418" spans="2:39" x14ac:dyDescent="0.2">
      <c r="B418" s="4" t="s">
        <v>3839</v>
      </c>
      <c r="C418" s="4">
        <v>16.3353</v>
      </c>
      <c r="D418" s="4">
        <v>16.810199999999998</v>
      </c>
      <c r="E418" s="4">
        <v>17.128900000000002</v>
      </c>
      <c r="F418" s="4">
        <f t="shared" si="24"/>
        <v>16.758133333333333</v>
      </c>
      <c r="I418" s="4" t="s">
        <v>2427</v>
      </c>
      <c r="J418" s="4">
        <v>17.192900000000002</v>
      </c>
      <c r="K418" s="4">
        <v>16.151399999999999</v>
      </c>
      <c r="L418" s="4">
        <v>17.175799999999999</v>
      </c>
      <c r="M418" s="4">
        <f t="shared" si="25"/>
        <v>16.840033333333334</v>
      </c>
      <c r="Q418" s="43" t="s">
        <v>1654</v>
      </c>
      <c r="R418" s="4">
        <v>16.535030451113499</v>
      </c>
      <c r="S418" s="4">
        <v>16.7172477140418</v>
      </c>
      <c r="T418" s="4">
        <v>16.600401353945202</v>
      </c>
      <c r="U418" s="4">
        <f t="shared" si="26"/>
        <v>16.617559839700167</v>
      </c>
      <c r="X418" s="43" t="s">
        <v>3011</v>
      </c>
      <c r="Y418" s="4">
        <v>16.713016898127002</v>
      </c>
      <c r="Z418" s="4">
        <v>16.643518162248</v>
      </c>
      <c r="AA418" s="4">
        <v>16.452982175622399</v>
      </c>
      <c r="AB418" s="4">
        <f t="shared" si="27"/>
        <v>16.603172411999136</v>
      </c>
      <c r="AK418" s="1"/>
      <c r="AM418" s="4" t="s">
        <v>4212</v>
      </c>
    </row>
    <row r="419" spans="2:39" x14ac:dyDescent="0.2">
      <c r="B419" s="4" t="s">
        <v>481</v>
      </c>
      <c r="C419" s="4">
        <v>17.154499999999999</v>
      </c>
      <c r="D419" s="4">
        <v>16.723800000000001</v>
      </c>
      <c r="E419" s="4">
        <v>16.3931</v>
      </c>
      <c r="F419" s="4">
        <f t="shared" si="24"/>
        <v>16.757133333333332</v>
      </c>
      <c r="I419" s="4" t="s">
        <v>1517</v>
      </c>
      <c r="J419" s="4">
        <v>16.299199999999999</v>
      </c>
      <c r="K419" s="4">
        <v>17.465499999999999</v>
      </c>
      <c r="L419" s="4">
        <v>16.685300000000002</v>
      </c>
      <c r="M419" s="4">
        <f t="shared" si="25"/>
        <v>16.816666666666666</v>
      </c>
      <c r="Q419" s="43" t="s">
        <v>166</v>
      </c>
      <c r="R419" s="4">
        <v>16.440050425328099</v>
      </c>
      <c r="S419" s="4">
        <v>16.8929153679519</v>
      </c>
      <c r="T419" s="4">
        <v>16.473630839845601</v>
      </c>
      <c r="U419" s="4">
        <f t="shared" si="26"/>
        <v>16.602198877708531</v>
      </c>
      <c r="X419" s="43" t="s">
        <v>20</v>
      </c>
      <c r="Y419" s="4">
        <v>16.628021577149301</v>
      </c>
      <c r="Z419" s="4">
        <v>16.699950910790701</v>
      </c>
      <c r="AA419" s="4">
        <v>16.430783937392501</v>
      </c>
      <c r="AB419" s="4">
        <f t="shared" si="27"/>
        <v>16.586252141777504</v>
      </c>
      <c r="AK419" s="1"/>
      <c r="AM419" s="4" t="s">
        <v>4462</v>
      </c>
    </row>
    <row r="420" spans="2:39" x14ac:dyDescent="0.2">
      <c r="B420" s="4" t="s">
        <v>1513</v>
      </c>
      <c r="C420" s="4">
        <v>16.4649</v>
      </c>
      <c r="D420" s="4">
        <v>16.718900000000001</v>
      </c>
      <c r="E420" s="4">
        <v>17.084700000000002</v>
      </c>
      <c r="F420" s="4">
        <f t="shared" si="24"/>
        <v>16.756166666666669</v>
      </c>
      <c r="I420" s="4" t="s">
        <v>1235</v>
      </c>
      <c r="J420" s="4">
        <v>17.022600000000001</v>
      </c>
      <c r="K420" s="4">
        <v>16.517099999999999</v>
      </c>
      <c r="L420" s="4">
        <v>16.884799999999998</v>
      </c>
      <c r="M420" s="4">
        <f t="shared" si="25"/>
        <v>16.808166666666665</v>
      </c>
      <c r="Q420" s="43" t="s">
        <v>3982</v>
      </c>
      <c r="R420" s="4">
        <v>16.648678048353599</v>
      </c>
      <c r="S420" s="4">
        <v>16.540641147767001</v>
      </c>
      <c r="T420" s="4">
        <v>16.582340661817</v>
      </c>
      <c r="U420" s="4">
        <f t="shared" si="26"/>
        <v>16.590553285979201</v>
      </c>
      <c r="X420" s="43" t="s">
        <v>3119</v>
      </c>
      <c r="Y420" s="4">
        <v>16.493411198251099</v>
      </c>
      <c r="Z420" s="4">
        <v>16.542558470160401</v>
      </c>
      <c r="AA420" s="4">
        <v>16.709439663464799</v>
      </c>
      <c r="AB420" s="4">
        <f t="shared" si="27"/>
        <v>16.581803110625433</v>
      </c>
      <c r="AK420" s="1"/>
      <c r="AM420" s="4" t="s">
        <v>4197</v>
      </c>
    </row>
    <row r="421" spans="2:39" x14ac:dyDescent="0.2">
      <c r="B421" s="4" t="s">
        <v>3849</v>
      </c>
      <c r="C421" s="4">
        <v>16.670400000000001</v>
      </c>
      <c r="D421" s="4">
        <v>16.704000000000001</v>
      </c>
      <c r="E421" s="4">
        <v>16.8827</v>
      </c>
      <c r="F421" s="4">
        <f t="shared" si="24"/>
        <v>16.752366666666667</v>
      </c>
      <c r="I421" s="4" t="s">
        <v>2886</v>
      </c>
      <c r="J421" s="4">
        <v>17.167999999999999</v>
      </c>
      <c r="K421" s="4">
        <v>16.7302</v>
      </c>
      <c r="L421" s="4">
        <v>16.5212</v>
      </c>
      <c r="M421" s="4">
        <f t="shared" si="25"/>
        <v>16.806466666666669</v>
      </c>
      <c r="Q421" s="43" t="s">
        <v>1884</v>
      </c>
      <c r="R421" s="4">
        <v>16.777413415998002</v>
      </c>
      <c r="S421" s="4">
        <v>16.663154429165399</v>
      </c>
      <c r="T421" s="4">
        <v>16.314763927553098</v>
      </c>
      <c r="U421" s="4">
        <f t="shared" si="26"/>
        <v>16.585110590905501</v>
      </c>
      <c r="X421" s="43" t="s">
        <v>2160</v>
      </c>
      <c r="Y421" s="4">
        <v>16.5314150453728</v>
      </c>
      <c r="Z421" s="4">
        <v>16.569401995285698</v>
      </c>
      <c r="AA421" s="4">
        <v>16.6243273536438</v>
      </c>
      <c r="AB421" s="4">
        <f t="shared" si="27"/>
        <v>16.575048131434098</v>
      </c>
      <c r="AK421" s="1"/>
      <c r="AM421" s="4" t="s">
        <v>4476</v>
      </c>
    </row>
    <row r="422" spans="2:39" x14ac:dyDescent="0.2">
      <c r="B422" s="4" t="s">
        <v>3373</v>
      </c>
      <c r="C422" s="4">
        <v>16.793500000000002</v>
      </c>
      <c r="D422" s="4">
        <v>16.585100000000001</v>
      </c>
      <c r="E422" s="4">
        <v>16.878</v>
      </c>
      <c r="F422" s="4">
        <f t="shared" si="24"/>
        <v>16.752200000000002</v>
      </c>
      <c r="I422" s="4" t="s">
        <v>1563</v>
      </c>
      <c r="J422" s="4">
        <v>17.039100000000001</v>
      </c>
      <c r="K422" s="4">
        <v>16.284300000000002</v>
      </c>
      <c r="L422" s="4">
        <v>17.080100000000002</v>
      </c>
      <c r="M422" s="4">
        <f t="shared" si="25"/>
        <v>16.801166666666671</v>
      </c>
      <c r="Q422" s="43" t="s">
        <v>2930</v>
      </c>
      <c r="R422" s="4">
        <v>16.7899845773353</v>
      </c>
      <c r="S422" s="4">
        <v>16.437381122290301</v>
      </c>
      <c r="T422" s="4">
        <v>16.5015620936917</v>
      </c>
      <c r="U422" s="4">
        <f t="shared" si="26"/>
        <v>16.5763092644391</v>
      </c>
      <c r="X422" s="43" t="s">
        <v>713</v>
      </c>
      <c r="Y422" s="4">
        <v>16.4677234492389</v>
      </c>
      <c r="Z422" s="4">
        <v>16.708713265302599</v>
      </c>
      <c r="AA422" s="4">
        <v>16.546797555954399</v>
      </c>
      <c r="AB422" s="4">
        <f t="shared" si="27"/>
        <v>16.574411423498631</v>
      </c>
      <c r="AK422" s="1"/>
      <c r="AM422" s="4" t="s">
        <v>4143</v>
      </c>
    </row>
    <row r="423" spans="2:39" x14ac:dyDescent="0.2">
      <c r="B423" s="4" t="s">
        <v>2060</v>
      </c>
      <c r="C423" s="4">
        <v>16.691700000000001</v>
      </c>
      <c r="D423" s="4">
        <v>16.6341</v>
      </c>
      <c r="E423" s="4">
        <v>16.887599999999999</v>
      </c>
      <c r="F423" s="4">
        <f t="shared" si="24"/>
        <v>16.7378</v>
      </c>
      <c r="I423" s="4" t="s">
        <v>979</v>
      </c>
      <c r="J423" s="4">
        <v>16.8551</v>
      </c>
      <c r="K423" s="4">
        <v>16.767600000000002</v>
      </c>
      <c r="L423" s="4">
        <v>16.7776</v>
      </c>
      <c r="M423" s="4">
        <f t="shared" si="25"/>
        <v>16.8001</v>
      </c>
      <c r="Q423" s="43" t="s">
        <v>730</v>
      </c>
      <c r="R423" s="4">
        <v>16.934946781767302</v>
      </c>
      <c r="S423" s="4">
        <v>16.090123818046202</v>
      </c>
      <c r="T423" s="4">
        <v>16.684447233102699</v>
      </c>
      <c r="U423" s="4">
        <f t="shared" si="26"/>
        <v>16.569839277638735</v>
      </c>
      <c r="X423" s="43" t="s">
        <v>2776</v>
      </c>
      <c r="Y423" s="4">
        <v>16.313767019583398</v>
      </c>
      <c r="Z423" s="4">
        <v>16.662988029087501</v>
      </c>
      <c r="AA423" s="4">
        <v>16.734236679609801</v>
      </c>
      <c r="AB423" s="4">
        <f t="shared" si="27"/>
        <v>16.570330576093564</v>
      </c>
      <c r="AK423" s="1"/>
      <c r="AM423" s="4" t="s">
        <v>4464</v>
      </c>
    </row>
    <row r="424" spans="2:39" x14ac:dyDescent="0.2">
      <c r="B424" s="4" t="s">
        <v>3169</v>
      </c>
      <c r="C424" s="4">
        <v>16.757200000000001</v>
      </c>
      <c r="D424" s="4">
        <v>16.248899999999999</v>
      </c>
      <c r="E424" s="4">
        <v>17.1858</v>
      </c>
      <c r="F424" s="4">
        <f t="shared" si="24"/>
        <v>16.730633333333333</v>
      </c>
      <c r="I424" s="4" t="s">
        <v>317</v>
      </c>
      <c r="J424" s="4">
        <v>16.8294</v>
      </c>
      <c r="K424" s="4">
        <v>16.708200000000001</v>
      </c>
      <c r="L424" s="4">
        <v>16.858499999999999</v>
      </c>
      <c r="M424" s="4">
        <f t="shared" si="25"/>
        <v>16.7987</v>
      </c>
      <c r="Q424" s="43" t="s">
        <v>2444</v>
      </c>
      <c r="R424" s="4">
        <v>16.531690887755602</v>
      </c>
      <c r="S424" s="4">
        <v>16.624665427668798</v>
      </c>
      <c r="T424" s="4">
        <v>16.544913061142001</v>
      </c>
      <c r="U424" s="4">
        <f t="shared" si="26"/>
        <v>16.567089792188799</v>
      </c>
      <c r="X424" s="43" t="s">
        <v>1692</v>
      </c>
      <c r="Y424" s="4">
        <v>16.551297407984698</v>
      </c>
      <c r="Z424" s="4">
        <v>16.600779817727201</v>
      </c>
      <c r="AA424" s="4">
        <v>16.5402983159317</v>
      </c>
      <c r="AB424" s="4">
        <f t="shared" si="27"/>
        <v>16.564125180547865</v>
      </c>
      <c r="AK424" s="1"/>
      <c r="AM424" s="4" t="s">
        <v>4085</v>
      </c>
    </row>
    <row r="425" spans="2:39" x14ac:dyDescent="0.2">
      <c r="B425" s="4" t="s">
        <v>1699</v>
      </c>
      <c r="C425" s="4">
        <v>16.626799999999999</v>
      </c>
      <c r="D425" s="4">
        <v>16.811499999999999</v>
      </c>
      <c r="E425" s="4">
        <v>16.747499999999999</v>
      </c>
      <c r="F425" s="4">
        <f t="shared" si="24"/>
        <v>16.7286</v>
      </c>
      <c r="I425" s="4" t="s">
        <v>3791</v>
      </c>
      <c r="J425" s="4">
        <v>16.824999999999999</v>
      </c>
      <c r="K425" s="4">
        <v>16.7453</v>
      </c>
      <c r="L425" s="4">
        <v>16.786000000000001</v>
      </c>
      <c r="M425" s="4">
        <f t="shared" si="25"/>
        <v>16.785433333333334</v>
      </c>
      <c r="Q425" s="43" t="s">
        <v>2109</v>
      </c>
      <c r="R425" s="4">
        <v>16.9204479742837</v>
      </c>
      <c r="S425" s="4">
        <v>16.4716530799836</v>
      </c>
      <c r="T425" s="4">
        <v>16.300955772287999</v>
      </c>
      <c r="U425" s="4">
        <f t="shared" si="26"/>
        <v>16.564352275518434</v>
      </c>
      <c r="X425" s="43" t="s">
        <v>3273</v>
      </c>
      <c r="Y425" s="4">
        <v>16.6838993240173</v>
      </c>
      <c r="Z425" s="4">
        <v>16.561287564755101</v>
      </c>
      <c r="AA425" s="4">
        <v>16.3854437404169</v>
      </c>
      <c r="AB425" s="4">
        <f t="shared" si="27"/>
        <v>16.543543543063098</v>
      </c>
      <c r="AK425" s="1"/>
      <c r="AM425" s="4" t="s">
        <v>737</v>
      </c>
    </row>
    <row r="426" spans="2:39" x14ac:dyDescent="0.2">
      <c r="B426" s="4" t="s">
        <v>2647</v>
      </c>
      <c r="C426" s="4">
        <v>16.6511</v>
      </c>
      <c r="D426" s="4">
        <v>16.802499999999998</v>
      </c>
      <c r="E426" s="4">
        <v>16.7212</v>
      </c>
      <c r="F426" s="4">
        <f t="shared" si="24"/>
        <v>16.724933333333329</v>
      </c>
      <c r="I426" s="4" t="s">
        <v>1361</v>
      </c>
      <c r="J426" s="4">
        <v>16.959399999999999</v>
      </c>
      <c r="K426" s="4">
        <v>16.348600000000001</v>
      </c>
      <c r="L426" s="4">
        <v>17.0379</v>
      </c>
      <c r="M426" s="4">
        <f t="shared" si="25"/>
        <v>16.781966666666666</v>
      </c>
      <c r="Q426" s="43" t="s">
        <v>3637</v>
      </c>
      <c r="R426" s="4">
        <v>17.0201629281656</v>
      </c>
      <c r="S426" s="4">
        <v>16.276099667911399</v>
      </c>
      <c r="T426" s="4">
        <v>16.386905254826999</v>
      </c>
      <c r="U426" s="4">
        <f t="shared" si="26"/>
        <v>16.561055950301334</v>
      </c>
      <c r="X426" s="43" t="s">
        <v>3210</v>
      </c>
      <c r="Y426" s="4">
        <v>16.452522916132899</v>
      </c>
      <c r="Z426" s="4">
        <v>16.522265472997599</v>
      </c>
      <c r="AA426" s="4">
        <v>16.632512445753601</v>
      </c>
      <c r="AB426" s="4">
        <f t="shared" si="27"/>
        <v>16.535766944961367</v>
      </c>
      <c r="AK426" s="1"/>
      <c r="AM426" s="4" t="s">
        <v>4355</v>
      </c>
    </row>
    <row r="427" spans="2:39" x14ac:dyDescent="0.2">
      <c r="B427" s="4" t="s">
        <v>279</v>
      </c>
      <c r="C427" s="4">
        <v>16.756900000000002</v>
      </c>
      <c r="D427" s="4">
        <v>16.734300000000001</v>
      </c>
      <c r="E427" s="4">
        <v>16.6647</v>
      </c>
      <c r="F427" s="4">
        <f t="shared" si="24"/>
        <v>16.718633333333333</v>
      </c>
      <c r="I427" s="4" t="s">
        <v>1909</v>
      </c>
      <c r="J427" s="4">
        <v>16.756499999999999</v>
      </c>
      <c r="K427" s="4">
        <v>16.876200000000001</v>
      </c>
      <c r="L427" s="4">
        <v>16.6968</v>
      </c>
      <c r="M427" s="4">
        <f t="shared" si="25"/>
        <v>16.776499999999999</v>
      </c>
      <c r="Q427" s="43" t="s">
        <v>1430</v>
      </c>
      <c r="R427" s="4">
        <v>16.9436261861199</v>
      </c>
      <c r="S427" s="4">
        <v>16.221158616309001</v>
      </c>
      <c r="T427" s="4">
        <v>16.5002038281159</v>
      </c>
      <c r="U427" s="4">
        <f t="shared" si="26"/>
        <v>16.554996210181599</v>
      </c>
      <c r="X427" s="43" t="s">
        <v>1319</v>
      </c>
      <c r="Y427" s="4">
        <v>16.402203828947599</v>
      </c>
      <c r="Z427" s="4">
        <v>16.634658988256099</v>
      </c>
      <c r="AA427" s="4">
        <v>16.535567410026001</v>
      </c>
      <c r="AB427" s="4">
        <f t="shared" si="27"/>
        <v>16.524143409076569</v>
      </c>
      <c r="AK427" s="1"/>
      <c r="AM427" s="4" t="s">
        <v>972</v>
      </c>
    </row>
    <row r="428" spans="2:39" x14ac:dyDescent="0.2">
      <c r="B428" s="4" t="s">
        <v>2444</v>
      </c>
      <c r="C428" s="4">
        <v>16.651199999999999</v>
      </c>
      <c r="D428" s="4">
        <v>16.771799999999999</v>
      </c>
      <c r="E428" s="4">
        <v>16.719200000000001</v>
      </c>
      <c r="F428" s="4">
        <f t="shared" si="24"/>
        <v>16.714066666666668</v>
      </c>
      <c r="I428" s="4" t="s">
        <v>1626</v>
      </c>
      <c r="J428" s="4">
        <v>16.970700000000001</v>
      </c>
      <c r="K428" s="4">
        <v>16.615400000000001</v>
      </c>
      <c r="L428" s="4">
        <v>16.730699999999999</v>
      </c>
      <c r="M428" s="4">
        <f t="shared" si="25"/>
        <v>16.772266666666667</v>
      </c>
      <c r="Q428" s="43" t="s">
        <v>1671</v>
      </c>
      <c r="R428" s="4">
        <v>16.714605888948501</v>
      </c>
      <c r="S428" s="4">
        <v>16.474840775285902</v>
      </c>
      <c r="T428" s="4">
        <v>16.474147278460102</v>
      </c>
      <c r="U428" s="4">
        <f t="shared" si="26"/>
        <v>16.5545313142315</v>
      </c>
      <c r="X428" s="43" t="s">
        <v>2300</v>
      </c>
      <c r="Y428" s="4">
        <v>16.641869894157299</v>
      </c>
      <c r="Z428" s="4">
        <v>16.374231161772499</v>
      </c>
      <c r="AA428" s="4">
        <v>16.5492633680803</v>
      </c>
      <c r="AB428" s="4">
        <f t="shared" si="27"/>
        <v>16.5217881413367</v>
      </c>
      <c r="AK428" s="1"/>
      <c r="AM428" s="4" t="s">
        <v>4417</v>
      </c>
    </row>
    <row r="429" spans="2:39" x14ac:dyDescent="0.2">
      <c r="B429" s="4" t="s">
        <v>2863</v>
      </c>
      <c r="C429" s="4">
        <v>16.842300000000002</v>
      </c>
      <c r="D429" s="4">
        <v>16.6784</v>
      </c>
      <c r="E429" s="4">
        <v>16.604399999999998</v>
      </c>
      <c r="F429" s="4">
        <f t="shared" si="24"/>
        <v>16.708366666666667</v>
      </c>
      <c r="I429" s="4" t="s">
        <v>130</v>
      </c>
      <c r="J429" s="4">
        <v>16.741199999999999</v>
      </c>
      <c r="K429" s="4">
        <v>16.725200000000001</v>
      </c>
      <c r="L429" s="4">
        <v>16.8367</v>
      </c>
      <c r="M429" s="4">
        <f t="shared" si="25"/>
        <v>16.767700000000001</v>
      </c>
      <c r="Q429" s="43" t="s">
        <v>3858</v>
      </c>
      <c r="R429" s="4">
        <v>16.412863325774001</v>
      </c>
      <c r="S429" s="4">
        <v>16.621309785625598</v>
      </c>
      <c r="T429" s="4">
        <v>16.5828363567297</v>
      </c>
      <c r="U429" s="4">
        <f t="shared" si="26"/>
        <v>16.539003156043098</v>
      </c>
      <c r="X429" s="43" t="s">
        <v>600</v>
      </c>
      <c r="Y429" s="4">
        <v>16.462854839716101</v>
      </c>
      <c r="Z429" s="4">
        <v>16.620092790702301</v>
      </c>
      <c r="AA429" s="4">
        <v>16.4789364918324</v>
      </c>
      <c r="AB429" s="4">
        <f t="shared" si="27"/>
        <v>16.520628040750267</v>
      </c>
      <c r="AK429" s="1"/>
      <c r="AM429" s="4" t="s">
        <v>4421</v>
      </c>
    </row>
    <row r="430" spans="2:39" x14ac:dyDescent="0.2">
      <c r="B430" s="4" t="s">
        <v>2278</v>
      </c>
      <c r="C430" s="4">
        <v>16.828800000000001</v>
      </c>
      <c r="D430" s="4">
        <v>16.845300000000002</v>
      </c>
      <c r="E430" s="4">
        <v>16.445699999999999</v>
      </c>
      <c r="F430" s="4">
        <f t="shared" si="24"/>
        <v>16.706599999999998</v>
      </c>
      <c r="I430" s="4" t="s">
        <v>2250</v>
      </c>
      <c r="J430" s="4">
        <v>17.041799999999999</v>
      </c>
      <c r="K430" s="4">
        <v>16.4222</v>
      </c>
      <c r="L430" s="4">
        <v>16.832699999999999</v>
      </c>
      <c r="M430" s="4">
        <f t="shared" si="25"/>
        <v>16.765566666666668</v>
      </c>
      <c r="Q430" s="43" t="s">
        <v>3513</v>
      </c>
      <c r="R430" s="4">
        <v>16.7230752347775</v>
      </c>
      <c r="S430" s="4">
        <v>16.369994589887799</v>
      </c>
      <c r="T430" s="4">
        <v>16.512912278802698</v>
      </c>
      <c r="U430" s="4">
        <f t="shared" si="26"/>
        <v>16.535327367822664</v>
      </c>
      <c r="X430" s="43" t="s">
        <v>2476</v>
      </c>
      <c r="Y430" s="4">
        <v>16.418422085739699</v>
      </c>
      <c r="Z430" s="4">
        <v>16.706812602053901</v>
      </c>
      <c r="AA430" s="4">
        <v>16.423031661830201</v>
      </c>
      <c r="AB430" s="4">
        <f t="shared" si="27"/>
        <v>16.516088783207934</v>
      </c>
      <c r="AK430" s="1"/>
      <c r="AM430" s="4" t="s">
        <v>3333</v>
      </c>
    </row>
    <row r="431" spans="2:39" x14ac:dyDescent="0.2">
      <c r="B431" s="4" t="s">
        <v>1220</v>
      </c>
      <c r="C431" s="4">
        <v>16.689900000000002</v>
      </c>
      <c r="D431" s="4">
        <v>16.6904</v>
      </c>
      <c r="E431" s="4">
        <v>16.712800000000001</v>
      </c>
      <c r="F431" s="4">
        <f t="shared" si="24"/>
        <v>16.697700000000001</v>
      </c>
      <c r="I431" s="4" t="s">
        <v>3956</v>
      </c>
      <c r="J431" s="4">
        <v>16.706499999999998</v>
      </c>
      <c r="K431" s="4">
        <v>17.316299999999998</v>
      </c>
      <c r="L431" s="4">
        <v>16.263400000000001</v>
      </c>
      <c r="M431" s="4">
        <f t="shared" si="25"/>
        <v>16.762066666666666</v>
      </c>
      <c r="Q431" s="43" t="s">
        <v>3399</v>
      </c>
      <c r="R431" s="4">
        <v>16.261699870550299</v>
      </c>
      <c r="S431" s="4">
        <v>16.414160771691702</v>
      </c>
      <c r="T431" s="4">
        <v>16.9072938498662</v>
      </c>
      <c r="U431" s="4">
        <f t="shared" si="26"/>
        <v>16.527718164036067</v>
      </c>
      <c r="X431" s="43" t="s">
        <v>3487</v>
      </c>
      <c r="Y431" s="4">
        <v>16.437522502782699</v>
      </c>
      <c r="Z431" s="4">
        <v>16.569672337137401</v>
      </c>
      <c r="AA431" s="4">
        <v>16.531108947461799</v>
      </c>
      <c r="AB431" s="4">
        <f t="shared" si="27"/>
        <v>16.512767929127303</v>
      </c>
      <c r="AK431" s="1"/>
      <c r="AM431" s="4" t="s">
        <v>3923</v>
      </c>
    </row>
    <row r="432" spans="2:39" x14ac:dyDescent="0.2">
      <c r="B432" s="4" t="s">
        <v>684</v>
      </c>
      <c r="C432" s="4">
        <v>15.942399999999999</v>
      </c>
      <c r="D432" s="4">
        <v>16.7117</v>
      </c>
      <c r="E432" s="4">
        <v>17.433800000000002</v>
      </c>
      <c r="F432" s="4">
        <f t="shared" si="24"/>
        <v>16.695966666666667</v>
      </c>
      <c r="I432" s="4" t="s">
        <v>169</v>
      </c>
      <c r="J432" s="4">
        <v>16.896999999999998</v>
      </c>
      <c r="K432" s="4">
        <v>16.489799999999999</v>
      </c>
      <c r="L432" s="4">
        <v>16.8767</v>
      </c>
      <c r="M432" s="4">
        <f t="shared" si="25"/>
        <v>16.754499999999997</v>
      </c>
      <c r="Q432" s="43" t="s">
        <v>2907</v>
      </c>
      <c r="R432" s="4">
        <v>16.662353948203801</v>
      </c>
      <c r="S432" s="4">
        <v>16.41955706221</v>
      </c>
      <c r="T432" s="4">
        <v>16.493494758439802</v>
      </c>
      <c r="U432" s="4">
        <f t="shared" si="26"/>
        <v>16.525135256284536</v>
      </c>
      <c r="X432" s="43" t="s">
        <v>228</v>
      </c>
      <c r="Y432" s="4">
        <v>16.5261864502489</v>
      </c>
      <c r="Z432" s="4">
        <v>16.579295794796401</v>
      </c>
      <c r="AA432" s="4">
        <v>16.432351229734198</v>
      </c>
      <c r="AB432" s="4">
        <f t="shared" si="27"/>
        <v>16.512611158259833</v>
      </c>
      <c r="AK432" s="1"/>
      <c r="AM432" s="4" t="s">
        <v>1927</v>
      </c>
    </row>
    <row r="433" spans="2:39" x14ac:dyDescent="0.2">
      <c r="B433" s="4" t="s">
        <v>3180</v>
      </c>
      <c r="C433" s="4">
        <v>16.812000000000001</v>
      </c>
      <c r="D433" s="4">
        <v>16.721599999999999</v>
      </c>
      <c r="E433" s="4">
        <v>16.549700000000001</v>
      </c>
      <c r="F433" s="4">
        <f t="shared" si="24"/>
        <v>16.694433333333333</v>
      </c>
      <c r="I433" s="4" t="s">
        <v>3579</v>
      </c>
      <c r="J433" s="4">
        <v>16.882899999999999</v>
      </c>
      <c r="K433" s="4">
        <v>16.481200000000001</v>
      </c>
      <c r="L433" s="4">
        <v>16.898199999999999</v>
      </c>
      <c r="M433" s="4">
        <f t="shared" si="25"/>
        <v>16.754099999999998</v>
      </c>
      <c r="Q433" s="43" t="s">
        <v>2375</v>
      </c>
      <c r="R433" s="4">
        <v>16.632332335626501</v>
      </c>
      <c r="S433" s="4">
        <v>16.401798701203798</v>
      </c>
      <c r="T433" s="4">
        <v>16.516837681895002</v>
      </c>
      <c r="U433" s="4">
        <f t="shared" si="26"/>
        <v>16.516989572908432</v>
      </c>
      <c r="X433" s="43" t="s">
        <v>973</v>
      </c>
      <c r="Y433" s="4">
        <v>16.5303250773811</v>
      </c>
      <c r="Z433" s="4">
        <v>16.611196063118602</v>
      </c>
      <c r="AA433" s="4">
        <v>16.375442811568099</v>
      </c>
      <c r="AB433" s="4">
        <f t="shared" si="27"/>
        <v>16.505654650689269</v>
      </c>
      <c r="AK433" s="1"/>
      <c r="AM433" s="4" t="s">
        <v>4414</v>
      </c>
    </row>
    <row r="434" spans="2:39" x14ac:dyDescent="0.2">
      <c r="B434" s="4" t="s">
        <v>2242</v>
      </c>
      <c r="C434" s="4">
        <v>16.7651</v>
      </c>
      <c r="D434" s="4">
        <v>16.752500000000001</v>
      </c>
      <c r="E434" s="4">
        <v>16.524000000000001</v>
      </c>
      <c r="F434" s="4">
        <f t="shared" si="24"/>
        <v>16.680533333333333</v>
      </c>
      <c r="I434" s="4" t="s">
        <v>3858</v>
      </c>
      <c r="J434" s="4">
        <v>16.8828</v>
      </c>
      <c r="K434" s="4">
        <v>16.5139</v>
      </c>
      <c r="L434" s="4">
        <v>16.86</v>
      </c>
      <c r="M434" s="4">
        <f t="shared" si="25"/>
        <v>16.752233333333333</v>
      </c>
      <c r="Q434" s="43" t="s">
        <v>1462</v>
      </c>
      <c r="R434" s="4">
        <v>16.6037369007188</v>
      </c>
      <c r="S434" s="4">
        <v>16.4063657000722</v>
      </c>
      <c r="T434" s="4">
        <v>16.5203435237249</v>
      </c>
      <c r="U434" s="4">
        <f t="shared" si="26"/>
        <v>16.510148708171968</v>
      </c>
      <c r="X434" s="43" t="s">
        <v>3049</v>
      </c>
      <c r="Y434" s="4">
        <v>16.542371906149601</v>
      </c>
      <c r="Z434" s="4">
        <v>16.355603869136001</v>
      </c>
      <c r="AA434" s="4">
        <v>16.592400491924099</v>
      </c>
      <c r="AB434" s="4">
        <f t="shared" si="27"/>
        <v>16.496792089069899</v>
      </c>
      <c r="AK434" s="1"/>
      <c r="AM434" s="4" t="s">
        <v>4512</v>
      </c>
    </row>
    <row r="435" spans="2:39" x14ac:dyDescent="0.2">
      <c r="B435" s="4" t="s">
        <v>1624</v>
      </c>
      <c r="C435" s="4">
        <v>16.808900000000001</v>
      </c>
      <c r="D435" s="4">
        <v>16.645700000000001</v>
      </c>
      <c r="E435" s="4">
        <v>16.584099999999999</v>
      </c>
      <c r="F435" s="4">
        <f t="shared" si="24"/>
        <v>16.679566666666666</v>
      </c>
      <c r="I435" s="4" t="s">
        <v>2720</v>
      </c>
      <c r="J435" s="4">
        <v>15.5677</v>
      </c>
      <c r="K435" s="4">
        <v>19.522600000000001</v>
      </c>
      <c r="L435" s="4">
        <v>15.1396</v>
      </c>
      <c r="M435" s="4">
        <f t="shared" si="25"/>
        <v>16.743300000000001</v>
      </c>
      <c r="Q435" s="43" t="s">
        <v>2654</v>
      </c>
      <c r="R435" s="4">
        <v>16.888159129282698</v>
      </c>
      <c r="S435" s="4">
        <v>16.3112550932617</v>
      </c>
      <c r="T435" s="4">
        <v>16.3239733254205</v>
      </c>
      <c r="U435" s="4">
        <f t="shared" si="26"/>
        <v>16.507795849321635</v>
      </c>
      <c r="X435" s="43" t="s">
        <v>1502</v>
      </c>
      <c r="Y435" s="4">
        <v>16.703474822887301</v>
      </c>
      <c r="Z435" s="4">
        <v>16.361463437151201</v>
      </c>
      <c r="AA435" s="4">
        <v>16.423777744855801</v>
      </c>
      <c r="AB435" s="4">
        <f t="shared" si="27"/>
        <v>16.496238668298101</v>
      </c>
      <c r="AK435" s="1"/>
      <c r="AM435" s="4" t="s">
        <v>499</v>
      </c>
    </row>
    <row r="436" spans="2:39" x14ac:dyDescent="0.2">
      <c r="B436" s="4" t="s">
        <v>3487</v>
      </c>
      <c r="C436" s="4">
        <v>16.559100000000001</v>
      </c>
      <c r="D436" s="4">
        <v>16.5442</v>
      </c>
      <c r="E436" s="4">
        <v>16.933900000000001</v>
      </c>
      <c r="F436" s="4">
        <f t="shared" si="24"/>
        <v>16.679066666666667</v>
      </c>
      <c r="I436" s="4" t="s">
        <v>1057</v>
      </c>
      <c r="J436" s="4">
        <v>16.640999999999998</v>
      </c>
      <c r="K436" s="4">
        <v>16.441400000000002</v>
      </c>
      <c r="L436" s="4">
        <v>17.135400000000001</v>
      </c>
      <c r="M436" s="4">
        <f t="shared" si="25"/>
        <v>16.739266666666666</v>
      </c>
      <c r="Q436" s="43" t="s">
        <v>1692</v>
      </c>
      <c r="R436" s="4">
        <v>16.415077719110499</v>
      </c>
      <c r="S436" s="4">
        <v>16.529417462127999</v>
      </c>
      <c r="T436" s="4">
        <v>16.5386518229936</v>
      </c>
      <c r="U436" s="4">
        <f t="shared" si="26"/>
        <v>16.494382334744031</v>
      </c>
      <c r="X436" s="43" t="s">
        <v>858</v>
      </c>
      <c r="Y436" s="4">
        <v>16.420301881204399</v>
      </c>
      <c r="Z436" s="4">
        <v>16.582492295561099</v>
      </c>
      <c r="AA436" s="4">
        <v>16.473336763698001</v>
      </c>
      <c r="AB436" s="4">
        <f t="shared" si="27"/>
        <v>16.492043646821166</v>
      </c>
      <c r="AK436" s="1"/>
      <c r="AM436" s="4" t="s">
        <v>4549</v>
      </c>
    </row>
    <row r="437" spans="2:39" x14ac:dyDescent="0.2">
      <c r="B437" s="4" t="s">
        <v>3516</v>
      </c>
      <c r="C437" s="4">
        <v>16.972999999999999</v>
      </c>
      <c r="D437" s="4">
        <v>16.285599999999999</v>
      </c>
      <c r="E437" s="4">
        <v>16.7699</v>
      </c>
      <c r="F437" s="4">
        <f t="shared" si="24"/>
        <v>16.676166666666667</v>
      </c>
      <c r="I437" s="4" t="s">
        <v>3423</v>
      </c>
      <c r="J437" s="4">
        <v>16.658200000000001</v>
      </c>
      <c r="K437" s="4">
        <v>16.822099999999999</v>
      </c>
      <c r="L437" s="4">
        <v>16.7363</v>
      </c>
      <c r="M437" s="4">
        <f t="shared" si="25"/>
        <v>16.738866666666667</v>
      </c>
      <c r="Q437" s="43" t="s">
        <v>3911</v>
      </c>
      <c r="R437" s="4">
        <v>16.447845123177</v>
      </c>
      <c r="S437" s="4">
        <v>16.581940390158699</v>
      </c>
      <c r="T437" s="4">
        <v>16.430606967250299</v>
      </c>
      <c r="U437" s="4">
        <f t="shared" si="26"/>
        <v>16.486797493528666</v>
      </c>
      <c r="X437" s="43" t="s">
        <v>1679</v>
      </c>
      <c r="Y437" s="4">
        <v>16.332572098623299</v>
      </c>
      <c r="Z437" s="4">
        <v>16.626267364478299</v>
      </c>
      <c r="AA437" s="4">
        <v>16.506360811511598</v>
      </c>
      <c r="AB437" s="4">
        <f t="shared" si="27"/>
        <v>16.488400091537731</v>
      </c>
      <c r="AK437" s="1"/>
      <c r="AM437" s="4" t="s">
        <v>4571</v>
      </c>
    </row>
    <row r="438" spans="2:39" x14ac:dyDescent="0.2">
      <c r="B438" s="4" t="s">
        <v>1091</v>
      </c>
      <c r="C438" s="4">
        <v>16.618500000000001</v>
      </c>
      <c r="D438" s="4">
        <v>16.679600000000001</v>
      </c>
      <c r="E438" s="4">
        <v>16.7287</v>
      </c>
      <c r="F438" s="4">
        <f t="shared" si="24"/>
        <v>16.675600000000003</v>
      </c>
      <c r="I438" s="4" t="s">
        <v>1232</v>
      </c>
      <c r="J438" s="4">
        <v>17.0382</v>
      </c>
      <c r="K438" s="4">
        <v>16.120699999999999</v>
      </c>
      <c r="L438" s="4">
        <v>17.048200000000001</v>
      </c>
      <c r="M438" s="4">
        <f t="shared" si="25"/>
        <v>16.735700000000001</v>
      </c>
      <c r="Q438" s="43" t="s">
        <v>2380</v>
      </c>
      <c r="R438" s="4">
        <v>16.367806656832201</v>
      </c>
      <c r="S438" s="4">
        <v>16.620161300395502</v>
      </c>
      <c r="T438" s="4">
        <v>16.4630058407893</v>
      </c>
      <c r="U438" s="4">
        <f t="shared" si="26"/>
        <v>16.483657932672333</v>
      </c>
      <c r="X438" s="43" t="s">
        <v>3392</v>
      </c>
      <c r="Y438" s="4">
        <v>16.365424387427399</v>
      </c>
      <c r="Z438" s="4">
        <v>16.494559438964</v>
      </c>
      <c r="AA438" s="4">
        <v>16.602230281569099</v>
      </c>
      <c r="AB438" s="4">
        <f t="shared" si="27"/>
        <v>16.4874047026535</v>
      </c>
      <c r="AK438" s="1"/>
      <c r="AM438" s="4" t="s">
        <v>4199</v>
      </c>
    </row>
    <row r="439" spans="2:39" x14ac:dyDescent="0.2">
      <c r="B439" s="4" t="s">
        <v>2737</v>
      </c>
      <c r="C439" s="4">
        <v>17.441099999999999</v>
      </c>
      <c r="D439" s="4">
        <v>16.790099999999999</v>
      </c>
      <c r="E439" s="4">
        <v>15.7889</v>
      </c>
      <c r="F439" s="4">
        <f t="shared" si="24"/>
        <v>16.673366666666666</v>
      </c>
      <c r="I439" s="4" t="s">
        <v>409</v>
      </c>
      <c r="J439" s="4">
        <v>16.584700000000002</v>
      </c>
      <c r="K439" s="4">
        <v>16.698</v>
      </c>
      <c r="L439" s="4">
        <v>16.9087</v>
      </c>
      <c r="M439" s="4">
        <f t="shared" si="25"/>
        <v>16.730466666666668</v>
      </c>
      <c r="Q439" s="43" t="s">
        <v>3791</v>
      </c>
      <c r="R439" s="4">
        <v>16.786554320450598</v>
      </c>
      <c r="S439" s="4">
        <v>16.325406953518101</v>
      </c>
      <c r="T439" s="4">
        <v>16.322805504182799</v>
      </c>
      <c r="U439" s="4">
        <f t="shared" si="26"/>
        <v>16.478255592717165</v>
      </c>
      <c r="X439" s="43" t="s">
        <v>2248</v>
      </c>
      <c r="Y439" s="4">
        <v>16.400020748789199</v>
      </c>
      <c r="Z439" s="4">
        <v>16.528351084952501</v>
      </c>
      <c r="AA439" s="4">
        <v>16.521959941830701</v>
      </c>
      <c r="AB439" s="4">
        <f t="shared" si="27"/>
        <v>16.483443925190802</v>
      </c>
      <c r="AK439" s="1"/>
      <c r="AM439" s="4" t="s">
        <v>4451</v>
      </c>
    </row>
    <row r="440" spans="2:39" x14ac:dyDescent="0.2">
      <c r="B440" s="4" t="s">
        <v>3771</v>
      </c>
      <c r="C440" s="4">
        <v>16.5077</v>
      </c>
      <c r="D440" s="4">
        <v>16.7715</v>
      </c>
      <c r="E440" s="4">
        <v>16.735600000000002</v>
      </c>
      <c r="F440" s="4">
        <f t="shared" si="24"/>
        <v>16.671600000000002</v>
      </c>
      <c r="I440" s="4" t="s">
        <v>3401</v>
      </c>
      <c r="J440" s="4">
        <v>16.858899999999998</v>
      </c>
      <c r="K440" s="4">
        <v>16.649999999999999</v>
      </c>
      <c r="L440" s="4">
        <v>16.664200000000001</v>
      </c>
      <c r="M440" s="4">
        <f t="shared" si="25"/>
        <v>16.724366666666665</v>
      </c>
      <c r="Q440" s="43" t="s">
        <v>2669</v>
      </c>
      <c r="R440" s="4">
        <v>16.474308221168901</v>
      </c>
      <c r="S440" s="4">
        <v>16.462979770630401</v>
      </c>
      <c r="T440" s="4">
        <v>16.4916537245591</v>
      </c>
      <c r="U440" s="4">
        <f t="shared" si="26"/>
        <v>16.476313905452802</v>
      </c>
      <c r="X440" s="43" t="s">
        <v>4541</v>
      </c>
      <c r="Y440" s="4">
        <v>16.380619987324099</v>
      </c>
      <c r="Z440" s="4">
        <v>16.593703731009001</v>
      </c>
      <c r="AA440" s="4">
        <v>16.460755271326299</v>
      </c>
      <c r="AB440" s="4">
        <f t="shared" si="27"/>
        <v>16.478359663219798</v>
      </c>
      <c r="AK440" s="1"/>
      <c r="AM440" s="4" t="s">
        <v>4163</v>
      </c>
    </row>
    <row r="441" spans="2:39" x14ac:dyDescent="0.2">
      <c r="B441" s="4" t="s">
        <v>3417</v>
      </c>
      <c r="C441" s="4">
        <v>16.5458</v>
      </c>
      <c r="D441" s="4">
        <v>16.525200000000002</v>
      </c>
      <c r="E441" s="4">
        <v>16.935099999999998</v>
      </c>
      <c r="F441" s="4">
        <f t="shared" si="24"/>
        <v>16.668699999999998</v>
      </c>
      <c r="I441" s="4" t="s">
        <v>3938</v>
      </c>
      <c r="J441" s="4">
        <v>16.951000000000001</v>
      </c>
      <c r="K441" s="4">
        <v>16.4041</v>
      </c>
      <c r="L441" s="4">
        <v>16.815799999999999</v>
      </c>
      <c r="M441" s="4">
        <f t="shared" si="25"/>
        <v>16.723633333333336</v>
      </c>
      <c r="Q441" s="43" t="s">
        <v>1496</v>
      </c>
      <c r="R441" s="4">
        <v>16.719723151297799</v>
      </c>
      <c r="S441" s="4">
        <v>16.3740241503574</v>
      </c>
      <c r="T441" s="4">
        <v>16.331817797623302</v>
      </c>
      <c r="U441" s="4">
        <f t="shared" si="26"/>
        <v>16.475188366426167</v>
      </c>
      <c r="X441" s="43" t="s">
        <v>2669</v>
      </c>
      <c r="Y441" s="4">
        <v>16.442181762669101</v>
      </c>
      <c r="Z441" s="4">
        <v>16.668690807953499</v>
      </c>
      <c r="AA441" s="4">
        <v>16.315257027360801</v>
      </c>
      <c r="AB441" s="4">
        <f t="shared" si="27"/>
        <v>16.475376532661134</v>
      </c>
      <c r="AK441" s="1"/>
      <c r="AM441" s="4" t="s">
        <v>4537</v>
      </c>
    </row>
    <row r="442" spans="2:39" x14ac:dyDescent="0.2">
      <c r="B442" s="4" t="s">
        <v>702</v>
      </c>
      <c r="C442" s="4">
        <v>16.602399999999999</v>
      </c>
      <c r="D442" s="4">
        <v>16.6587</v>
      </c>
      <c r="E442" s="4">
        <v>16.744499999999999</v>
      </c>
      <c r="F442" s="4">
        <f t="shared" si="24"/>
        <v>16.668533333333333</v>
      </c>
      <c r="I442" s="4" t="s">
        <v>2060</v>
      </c>
      <c r="J442" s="4">
        <v>16.8933</v>
      </c>
      <c r="K442" s="4">
        <v>16.516500000000001</v>
      </c>
      <c r="L442" s="4">
        <v>16.760200000000001</v>
      </c>
      <c r="M442" s="4">
        <f t="shared" si="25"/>
        <v>16.723333333333333</v>
      </c>
      <c r="Q442" s="43" t="s">
        <v>2331</v>
      </c>
      <c r="R442" s="4">
        <v>16.8537684313835</v>
      </c>
      <c r="S442" s="4">
        <v>16.262322169194899</v>
      </c>
      <c r="T442" s="4">
        <v>16.294685901397301</v>
      </c>
      <c r="U442" s="4">
        <f t="shared" si="26"/>
        <v>16.470258833991902</v>
      </c>
      <c r="X442" s="43" t="s">
        <v>3875</v>
      </c>
      <c r="Y442" s="4">
        <v>16.4453459595479</v>
      </c>
      <c r="Z442" s="4">
        <v>16.3059467476522</v>
      </c>
      <c r="AA442" s="4">
        <v>16.668290468578299</v>
      </c>
      <c r="AB442" s="4">
        <f t="shared" si="27"/>
        <v>16.473194391926132</v>
      </c>
      <c r="AK442" s="1"/>
      <c r="AM442" s="4" t="s">
        <v>4148</v>
      </c>
    </row>
    <row r="443" spans="2:39" x14ac:dyDescent="0.2">
      <c r="B443" s="4" t="s">
        <v>3394</v>
      </c>
      <c r="C443" s="4">
        <v>16.842199999999998</v>
      </c>
      <c r="D443" s="4">
        <v>16.728999999999999</v>
      </c>
      <c r="E443" s="4">
        <v>16.424800000000001</v>
      </c>
      <c r="F443" s="4">
        <f t="shared" si="24"/>
        <v>16.665333333333333</v>
      </c>
      <c r="I443" s="4" t="s">
        <v>3969</v>
      </c>
      <c r="J443" s="4">
        <v>16.7606</v>
      </c>
      <c r="K443" s="4">
        <v>16.563800000000001</v>
      </c>
      <c r="L443" s="4">
        <v>16.8446</v>
      </c>
      <c r="M443" s="4">
        <f t="shared" si="25"/>
        <v>16.722999999999999</v>
      </c>
      <c r="Q443" s="43" t="s">
        <v>2160</v>
      </c>
      <c r="R443" s="4">
        <v>16.438939302050802</v>
      </c>
      <c r="S443" s="4">
        <v>16.475456101398301</v>
      </c>
      <c r="T443" s="4">
        <v>16.479931222823001</v>
      </c>
      <c r="U443" s="4">
        <f t="shared" si="26"/>
        <v>16.464775542090702</v>
      </c>
      <c r="X443" s="43" t="s">
        <v>1202</v>
      </c>
      <c r="Y443" s="4">
        <v>16.4015535149057</v>
      </c>
      <c r="Z443" s="4">
        <v>16.940278870724502</v>
      </c>
      <c r="AA443" s="4">
        <v>16.0558908401248</v>
      </c>
      <c r="AB443" s="4">
        <f t="shared" si="27"/>
        <v>16.465907741918333</v>
      </c>
      <c r="AK443" s="1"/>
      <c r="AM443" s="4" t="s">
        <v>1129</v>
      </c>
    </row>
    <row r="444" spans="2:39" x14ac:dyDescent="0.2">
      <c r="B444" s="4" t="s">
        <v>1147</v>
      </c>
      <c r="C444" s="4">
        <v>15.9236</v>
      </c>
      <c r="D444" s="4">
        <v>16.996500000000001</v>
      </c>
      <c r="E444" s="4">
        <v>17.0732</v>
      </c>
      <c r="F444" s="4">
        <f t="shared" si="24"/>
        <v>16.664433333333335</v>
      </c>
      <c r="I444" s="4" t="s">
        <v>2205</v>
      </c>
      <c r="J444" s="4">
        <v>16.9678</v>
      </c>
      <c r="K444" s="4">
        <v>16.1722</v>
      </c>
      <c r="L444" s="4">
        <v>17.023</v>
      </c>
      <c r="M444" s="4">
        <f t="shared" si="25"/>
        <v>16.721</v>
      </c>
      <c r="Q444" s="43" t="s">
        <v>3392</v>
      </c>
      <c r="R444" s="4">
        <v>16.4427593560122</v>
      </c>
      <c r="S444" s="4">
        <v>16.447553614553701</v>
      </c>
      <c r="T444" s="4">
        <v>16.498401418557201</v>
      </c>
      <c r="U444" s="4">
        <f t="shared" si="26"/>
        <v>16.462904796374367</v>
      </c>
      <c r="X444" s="43" t="s">
        <v>284</v>
      </c>
      <c r="Y444" s="4">
        <v>16.4000702069692</v>
      </c>
      <c r="Z444" s="4">
        <v>16.505721110659099</v>
      </c>
      <c r="AA444" s="4">
        <v>16.488242104731299</v>
      </c>
      <c r="AB444" s="4">
        <f t="shared" si="27"/>
        <v>16.464677807453199</v>
      </c>
      <c r="AK444" s="1"/>
      <c r="AM444" s="4" t="s">
        <v>4581</v>
      </c>
    </row>
    <row r="445" spans="2:39" x14ac:dyDescent="0.2">
      <c r="B445" s="4" t="s">
        <v>3966</v>
      </c>
      <c r="C445" s="4">
        <v>16.775099999999998</v>
      </c>
      <c r="D445" s="4">
        <v>16.421500000000002</v>
      </c>
      <c r="E445" s="4">
        <v>16.795300000000001</v>
      </c>
      <c r="F445" s="4">
        <f t="shared" si="24"/>
        <v>16.663966666666667</v>
      </c>
      <c r="I445" s="4" t="s">
        <v>2879</v>
      </c>
      <c r="J445" s="4">
        <v>16.815999999999999</v>
      </c>
      <c r="K445" s="4">
        <v>16.401399999999999</v>
      </c>
      <c r="L445" s="4">
        <v>16.942599999999999</v>
      </c>
      <c r="M445" s="4">
        <f t="shared" si="25"/>
        <v>16.72</v>
      </c>
      <c r="Q445" s="43" t="s">
        <v>1696</v>
      </c>
      <c r="R445" s="4">
        <v>16.732585067176601</v>
      </c>
      <c r="S445" s="4">
        <v>16.274766055758899</v>
      </c>
      <c r="T445" s="4">
        <v>16.3773755529553</v>
      </c>
      <c r="U445" s="4">
        <f t="shared" si="26"/>
        <v>16.461575558630269</v>
      </c>
      <c r="X445" s="43" t="s">
        <v>279</v>
      </c>
      <c r="Y445" s="4">
        <v>16.354622578637599</v>
      </c>
      <c r="Z445" s="4">
        <v>16.570239049609601</v>
      </c>
      <c r="AA445" s="4">
        <v>16.459334316170501</v>
      </c>
      <c r="AB445" s="4">
        <f t="shared" si="27"/>
        <v>16.461398648139234</v>
      </c>
      <c r="AK445" s="1"/>
      <c r="AM445" s="4" t="s">
        <v>4243</v>
      </c>
    </row>
    <row r="446" spans="2:39" x14ac:dyDescent="0.2">
      <c r="B446" s="4" t="s">
        <v>3399</v>
      </c>
      <c r="C446" s="4">
        <v>16.496200000000002</v>
      </c>
      <c r="D446" s="4">
        <v>16.921399999999998</v>
      </c>
      <c r="E446" s="4">
        <v>16.571999999999999</v>
      </c>
      <c r="F446" s="4">
        <f t="shared" si="24"/>
        <v>16.6632</v>
      </c>
      <c r="I446" s="4" t="s">
        <v>607</v>
      </c>
      <c r="J446" s="4">
        <v>16.866099999999999</v>
      </c>
      <c r="K446" s="4">
        <v>16.683299999999999</v>
      </c>
      <c r="L446" s="4">
        <v>16.5901</v>
      </c>
      <c r="M446" s="4">
        <f t="shared" si="25"/>
        <v>16.713166666666666</v>
      </c>
      <c r="Q446" s="43" t="s">
        <v>906</v>
      </c>
      <c r="R446" s="4">
        <v>16.170367871487901</v>
      </c>
      <c r="S446" s="4">
        <v>16.4740192291301</v>
      </c>
      <c r="T446" s="4">
        <v>16.734654988761601</v>
      </c>
      <c r="U446" s="4">
        <f t="shared" si="26"/>
        <v>16.45968069645987</v>
      </c>
      <c r="X446" s="43" t="s">
        <v>130</v>
      </c>
      <c r="Y446" s="4">
        <v>16.591205639022</v>
      </c>
      <c r="Z446" s="4">
        <v>16.323102755470199</v>
      </c>
      <c r="AA446" s="4">
        <v>16.4614701385911</v>
      </c>
      <c r="AB446" s="4">
        <f t="shared" si="27"/>
        <v>16.458592844361096</v>
      </c>
      <c r="AK446" s="1"/>
      <c r="AM446" s="4" t="s">
        <v>4434</v>
      </c>
    </row>
    <row r="447" spans="2:39" x14ac:dyDescent="0.2">
      <c r="B447" s="4" t="s">
        <v>1025</v>
      </c>
      <c r="C447" s="4">
        <v>16.893799999999999</v>
      </c>
      <c r="D447" s="4">
        <v>16.930399999999999</v>
      </c>
      <c r="E447" s="4">
        <v>16.151800000000001</v>
      </c>
      <c r="F447" s="4">
        <f t="shared" si="24"/>
        <v>16.658666666666665</v>
      </c>
      <c r="I447" s="4" t="s">
        <v>1891</v>
      </c>
      <c r="J447" s="4">
        <v>16.754799999999999</v>
      </c>
      <c r="K447" s="4">
        <v>16.521799999999999</v>
      </c>
      <c r="L447" s="4">
        <v>16.8628</v>
      </c>
      <c r="M447" s="4">
        <f t="shared" si="25"/>
        <v>16.713133333333335</v>
      </c>
      <c r="Q447" s="43" t="s">
        <v>227</v>
      </c>
      <c r="R447" s="4">
        <v>16.4044582657577</v>
      </c>
      <c r="S447" s="4">
        <v>16.634298027684999</v>
      </c>
      <c r="T447" s="4">
        <v>16.319019255922498</v>
      </c>
      <c r="U447" s="4">
        <f t="shared" si="26"/>
        <v>16.452591849788401</v>
      </c>
      <c r="X447" s="43" t="s">
        <v>2380</v>
      </c>
      <c r="Y447" s="4">
        <v>16.555136670533699</v>
      </c>
      <c r="Z447" s="4">
        <v>16.490333297356798</v>
      </c>
      <c r="AA447" s="4">
        <v>16.301649532591298</v>
      </c>
      <c r="AB447" s="4">
        <f t="shared" si="27"/>
        <v>16.449039833493931</v>
      </c>
      <c r="AK447" s="1"/>
      <c r="AM447" s="4" t="s">
        <v>1041</v>
      </c>
    </row>
    <row r="448" spans="2:39" x14ac:dyDescent="0.2">
      <c r="B448" s="4" t="s">
        <v>2205</v>
      </c>
      <c r="C448" s="4">
        <v>16.750299999999999</v>
      </c>
      <c r="D448" s="4">
        <v>16.6905</v>
      </c>
      <c r="E448" s="4">
        <v>16.524899999999999</v>
      </c>
      <c r="F448" s="4">
        <f t="shared" si="24"/>
        <v>16.655233333333332</v>
      </c>
      <c r="I448" s="4" t="s">
        <v>2202</v>
      </c>
      <c r="J448" s="4">
        <v>16.691500000000001</v>
      </c>
      <c r="K448" s="4">
        <v>17.051100000000002</v>
      </c>
      <c r="L448" s="4">
        <v>16.3965</v>
      </c>
      <c r="M448" s="4">
        <f t="shared" si="25"/>
        <v>16.713033333333332</v>
      </c>
      <c r="Q448" s="43" t="s">
        <v>2291</v>
      </c>
      <c r="R448" s="4">
        <v>16.5030612761505</v>
      </c>
      <c r="S448" s="4">
        <v>16.350522713632898</v>
      </c>
      <c r="T448" s="4">
        <v>16.5008542832425</v>
      </c>
      <c r="U448" s="4">
        <f t="shared" si="26"/>
        <v>16.451479424341969</v>
      </c>
      <c r="X448" s="43" t="s">
        <v>3586</v>
      </c>
      <c r="Y448" s="4">
        <v>16.625531514219901</v>
      </c>
      <c r="Z448" s="4">
        <v>16.2896034689524</v>
      </c>
      <c r="AA448" s="4">
        <v>16.4196306852843</v>
      </c>
      <c r="AB448" s="4">
        <f t="shared" si="27"/>
        <v>16.444921889485531</v>
      </c>
      <c r="AK448" s="1"/>
      <c r="AM448" s="4" t="s">
        <v>1632</v>
      </c>
    </row>
    <row r="449" spans="2:39" x14ac:dyDescent="0.2">
      <c r="B449" s="4" t="s">
        <v>2202</v>
      </c>
      <c r="C449" s="4">
        <v>16.638300000000001</v>
      </c>
      <c r="D449" s="4">
        <v>16.323</v>
      </c>
      <c r="E449" s="4">
        <v>16.988299999999999</v>
      </c>
      <c r="F449" s="4">
        <f t="shared" si="24"/>
        <v>16.649866666666668</v>
      </c>
      <c r="I449" s="4" t="s">
        <v>3060</v>
      </c>
      <c r="J449" s="4">
        <v>16.896799999999999</v>
      </c>
      <c r="K449" s="4">
        <v>16.214400000000001</v>
      </c>
      <c r="L449" s="4">
        <v>17.017600000000002</v>
      </c>
      <c r="M449" s="4">
        <f t="shared" si="25"/>
        <v>16.709599999999998</v>
      </c>
      <c r="Q449" s="43" t="s">
        <v>3633</v>
      </c>
      <c r="R449" s="4">
        <v>16.464931611979502</v>
      </c>
      <c r="S449" s="4">
        <v>16.391295436716302</v>
      </c>
      <c r="T449" s="4">
        <v>16.486846284228498</v>
      </c>
      <c r="U449" s="4">
        <f t="shared" si="26"/>
        <v>16.447691110974766</v>
      </c>
      <c r="X449" s="43" t="s">
        <v>62</v>
      </c>
      <c r="Y449" s="4">
        <v>16.327278819611902</v>
      </c>
      <c r="Z449" s="4">
        <v>16.443210852646001</v>
      </c>
      <c r="AA449" s="4">
        <v>16.559959423502001</v>
      </c>
      <c r="AB449" s="4">
        <f t="shared" si="27"/>
        <v>16.443483031919968</v>
      </c>
      <c r="AK449" s="1"/>
      <c r="AM449" s="4" t="s">
        <v>4613</v>
      </c>
    </row>
    <row r="450" spans="2:39" x14ac:dyDescent="0.2">
      <c r="B450" s="4" t="s">
        <v>3244</v>
      </c>
      <c r="C450" s="4">
        <v>16.682700000000001</v>
      </c>
      <c r="D450" s="4">
        <v>16.788799999999998</v>
      </c>
      <c r="E450" s="4">
        <v>16.473199999999999</v>
      </c>
      <c r="F450" s="4">
        <f t="shared" ref="F450:F513" si="28">(C450+D450+E450)/3</f>
        <v>16.648233333333334</v>
      </c>
      <c r="I450" s="4" t="s">
        <v>1091</v>
      </c>
      <c r="J450" s="4">
        <v>16.888200000000001</v>
      </c>
      <c r="K450" s="4">
        <v>16.344000000000001</v>
      </c>
      <c r="L450" s="4">
        <v>16.883400000000002</v>
      </c>
      <c r="M450" s="4">
        <f t="shared" ref="M450:M513" si="29">(J450+K450+L450)/3</f>
        <v>16.705200000000001</v>
      </c>
      <c r="Q450" s="43" t="s">
        <v>785</v>
      </c>
      <c r="R450" s="4">
        <v>16.6053158717712</v>
      </c>
      <c r="S450" s="4">
        <v>16.0367836669393</v>
      </c>
      <c r="T450" s="4">
        <v>16.687700002457301</v>
      </c>
      <c r="U450" s="4">
        <f t="shared" ref="U450:U513" si="30">(R450+S450+T450)/3</f>
        <v>16.443266513722602</v>
      </c>
      <c r="X450" s="43" t="s">
        <v>1744</v>
      </c>
      <c r="Y450" s="4">
        <v>16.6888264593549</v>
      </c>
      <c r="Z450" s="4">
        <v>16.331514457051799</v>
      </c>
      <c r="AA450" s="4">
        <v>16.292342088670299</v>
      </c>
      <c r="AB450" s="4">
        <f t="shared" ref="AB450:AB513" si="31">(Y450+Z450+AA450)/3</f>
        <v>16.43756100169233</v>
      </c>
      <c r="AK450" s="1"/>
      <c r="AM450" s="4" t="s">
        <v>2499</v>
      </c>
    </row>
    <row r="451" spans="2:39" x14ac:dyDescent="0.2">
      <c r="B451" s="4" t="s">
        <v>759</v>
      </c>
      <c r="C451" s="4">
        <v>16.624199999999998</v>
      </c>
      <c r="D451" s="4">
        <v>16.4635</v>
      </c>
      <c r="E451" s="4">
        <v>16.8413</v>
      </c>
      <c r="F451" s="4">
        <f t="shared" si="28"/>
        <v>16.643000000000001</v>
      </c>
      <c r="I451" s="4" t="s">
        <v>3102</v>
      </c>
      <c r="J451" s="4">
        <v>16.633299999999998</v>
      </c>
      <c r="K451" s="4">
        <v>16.7593</v>
      </c>
      <c r="L451" s="4">
        <v>16.722200000000001</v>
      </c>
      <c r="M451" s="4">
        <f t="shared" si="29"/>
        <v>16.704933333333333</v>
      </c>
      <c r="Q451" s="43" t="s">
        <v>763</v>
      </c>
      <c r="R451" s="4">
        <v>16.4173142470211</v>
      </c>
      <c r="S451" s="4">
        <v>16.518763191393599</v>
      </c>
      <c r="T451" s="4">
        <v>16.385324124956998</v>
      </c>
      <c r="U451" s="4">
        <f t="shared" si="30"/>
        <v>16.440467187790563</v>
      </c>
      <c r="X451" s="43" t="s">
        <v>586</v>
      </c>
      <c r="Y451" s="4">
        <v>16.3035639393735</v>
      </c>
      <c r="Z451" s="4">
        <v>16.3760977807049</v>
      </c>
      <c r="AA451" s="4">
        <v>16.609595915447301</v>
      </c>
      <c r="AB451" s="4">
        <f t="shared" si="31"/>
        <v>16.429752545175234</v>
      </c>
      <c r="AK451" s="1"/>
      <c r="AM451" s="4" t="s">
        <v>988</v>
      </c>
    </row>
    <row r="452" spans="2:39" x14ac:dyDescent="0.2">
      <c r="B452" s="4" t="s">
        <v>2632</v>
      </c>
      <c r="C452" s="4">
        <v>16.4984</v>
      </c>
      <c r="D452" s="4">
        <v>16.6645</v>
      </c>
      <c r="E452" s="4">
        <v>16.745999999999999</v>
      </c>
      <c r="F452" s="4">
        <f t="shared" si="28"/>
        <v>16.636300000000002</v>
      </c>
      <c r="I452" s="4" t="s">
        <v>3982</v>
      </c>
      <c r="J452" s="4">
        <v>16.676200000000001</v>
      </c>
      <c r="K452" s="4">
        <v>16.6935</v>
      </c>
      <c r="L452" s="4">
        <v>16.7422</v>
      </c>
      <c r="M452" s="4">
        <f t="shared" si="29"/>
        <v>16.70396666666667</v>
      </c>
      <c r="Q452" s="43" t="s">
        <v>3244</v>
      </c>
      <c r="R452" s="4">
        <v>16.755217498175298</v>
      </c>
      <c r="S452" s="4">
        <v>16.2577183706324</v>
      </c>
      <c r="T452" s="4">
        <v>16.306097628292399</v>
      </c>
      <c r="U452" s="4">
        <f t="shared" si="30"/>
        <v>16.439677832366701</v>
      </c>
      <c r="X452" s="43" t="s">
        <v>692</v>
      </c>
      <c r="Y452" s="4">
        <v>16.541071138449201</v>
      </c>
      <c r="Z452" s="4">
        <v>16.270406595347001</v>
      </c>
      <c r="AA452" s="4">
        <v>16.472642064587099</v>
      </c>
      <c r="AB452" s="4">
        <f t="shared" si="31"/>
        <v>16.428039932794434</v>
      </c>
      <c r="AK452" s="1"/>
      <c r="AM452" s="4" t="s">
        <v>4532</v>
      </c>
    </row>
    <row r="453" spans="2:39" x14ac:dyDescent="0.2">
      <c r="B453" s="4" t="s">
        <v>3887</v>
      </c>
      <c r="C453" s="4">
        <v>16.463000000000001</v>
      </c>
      <c r="D453" s="4">
        <v>16.667100000000001</v>
      </c>
      <c r="E453" s="4">
        <v>16.776800000000001</v>
      </c>
      <c r="F453" s="4">
        <f t="shared" si="28"/>
        <v>16.635633333333335</v>
      </c>
      <c r="I453" s="4" t="s">
        <v>1248</v>
      </c>
      <c r="J453" s="4">
        <v>16.9208</v>
      </c>
      <c r="K453" s="4">
        <v>16.239699999999999</v>
      </c>
      <c r="L453" s="4">
        <v>16.950199999999999</v>
      </c>
      <c r="M453" s="4">
        <f t="shared" si="29"/>
        <v>16.703566666666664</v>
      </c>
      <c r="Q453" s="43" t="s">
        <v>537</v>
      </c>
      <c r="R453" s="4">
        <v>16.4037511866361</v>
      </c>
      <c r="S453" s="4">
        <v>16.215349689524398</v>
      </c>
      <c r="T453" s="4">
        <v>16.6728531648162</v>
      </c>
      <c r="U453" s="4">
        <f t="shared" si="30"/>
        <v>16.430651346992235</v>
      </c>
      <c r="X453" s="43" t="s">
        <v>2096</v>
      </c>
      <c r="Y453" s="4">
        <v>16.404305855477599</v>
      </c>
      <c r="Z453" s="4">
        <v>16.4146592002656</v>
      </c>
      <c r="AA453" s="4">
        <v>16.462048291482901</v>
      </c>
      <c r="AB453" s="4">
        <f t="shared" si="31"/>
        <v>16.427004449075365</v>
      </c>
      <c r="AK453" s="1"/>
      <c r="AM453" s="4" t="s">
        <v>4320</v>
      </c>
    </row>
    <row r="454" spans="2:39" x14ac:dyDescent="0.2">
      <c r="B454" s="4" t="s">
        <v>1339</v>
      </c>
      <c r="C454" s="4">
        <v>16.684100000000001</v>
      </c>
      <c r="D454" s="4">
        <v>15.991400000000001</v>
      </c>
      <c r="E454" s="4">
        <v>17.213100000000001</v>
      </c>
      <c r="F454" s="4">
        <f t="shared" si="28"/>
        <v>16.629533333333331</v>
      </c>
      <c r="I454" s="4" t="s">
        <v>3392</v>
      </c>
      <c r="J454" s="4">
        <v>16.921399999999998</v>
      </c>
      <c r="K454" s="4">
        <v>16.334499999999998</v>
      </c>
      <c r="L454" s="4">
        <v>16.849699999999999</v>
      </c>
      <c r="M454" s="4">
        <f t="shared" si="29"/>
        <v>16.701866666666664</v>
      </c>
      <c r="Q454" s="43" t="s">
        <v>1334</v>
      </c>
      <c r="R454" s="4">
        <v>16.860454231102</v>
      </c>
      <c r="S454" s="4">
        <v>16.003737178830502</v>
      </c>
      <c r="T454" s="4">
        <v>16.414835242847001</v>
      </c>
      <c r="U454" s="4">
        <f t="shared" si="30"/>
        <v>16.42634221759317</v>
      </c>
      <c r="X454" s="43" t="s">
        <v>3420</v>
      </c>
      <c r="Y454" s="4">
        <v>16.4338349659259</v>
      </c>
      <c r="Z454" s="4">
        <v>16.402408024409201</v>
      </c>
      <c r="AA454" s="4">
        <v>16.4421722442702</v>
      </c>
      <c r="AB454" s="4">
        <f t="shared" si="31"/>
        <v>16.426138411535103</v>
      </c>
      <c r="AK454" s="1"/>
      <c r="AM454" s="4" t="s">
        <v>4129</v>
      </c>
    </row>
    <row r="455" spans="2:39" x14ac:dyDescent="0.2">
      <c r="B455" s="4" t="s">
        <v>3198</v>
      </c>
      <c r="C455" s="4">
        <v>16.650200000000002</v>
      </c>
      <c r="D455" s="4">
        <v>16.749600000000001</v>
      </c>
      <c r="E455" s="4">
        <v>16.4876</v>
      </c>
      <c r="F455" s="4">
        <f t="shared" si="28"/>
        <v>16.629133333333332</v>
      </c>
      <c r="I455" s="4" t="s">
        <v>2989</v>
      </c>
      <c r="J455" s="4">
        <v>16.9602</v>
      </c>
      <c r="K455" s="4">
        <v>16.109200000000001</v>
      </c>
      <c r="L455" s="4">
        <v>17.031600000000001</v>
      </c>
      <c r="M455" s="4">
        <f t="shared" si="29"/>
        <v>16.700333333333333</v>
      </c>
      <c r="Q455" s="43" t="s">
        <v>916</v>
      </c>
      <c r="R455" s="4">
        <v>16.334605019339701</v>
      </c>
      <c r="S455" s="4">
        <v>16.2991974761775</v>
      </c>
      <c r="T455" s="4">
        <v>16.625511953340101</v>
      </c>
      <c r="U455" s="4">
        <f t="shared" si="30"/>
        <v>16.419771482952434</v>
      </c>
      <c r="X455" s="43" t="s">
        <v>4317</v>
      </c>
      <c r="Y455" s="4">
        <v>16.446281920712099</v>
      </c>
      <c r="Z455" s="4">
        <v>16.2881668692145</v>
      </c>
      <c r="AA455" s="4">
        <v>16.508361071932999</v>
      </c>
      <c r="AB455" s="4">
        <f t="shared" si="31"/>
        <v>16.414269953953198</v>
      </c>
      <c r="AK455" s="1"/>
      <c r="AM455" s="4" t="s">
        <v>517</v>
      </c>
    </row>
    <row r="456" spans="2:39" x14ac:dyDescent="0.2">
      <c r="B456" s="4" t="s">
        <v>1066</v>
      </c>
      <c r="C456" s="4">
        <v>15.8353</v>
      </c>
      <c r="D456" s="4">
        <v>16.945799999999998</v>
      </c>
      <c r="E456" s="4">
        <v>17.093699999999998</v>
      </c>
      <c r="F456" s="4">
        <f t="shared" si="28"/>
        <v>16.624933333333331</v>
      </c>
      <c r="I456" s="4" t="s">
        <v>2655</v>
      </c>
      <c r="J456" s="4">
        <v>16.938800000000001</v>
      </c>
      <c r="K456" s="4">
        <v>16.233599999999999</v>
      </c>
      <c r="L456" s="4">
        <v>16.927499999999998</v>
      </c>
      <c r="M456" s="4">
        <f t="shared" si="29"/>
        <v>16.699966666666665</v>
      </c>
      <c r="Q456" s="43" t="s">
        <v>2155</v>
      </c>
      <c r="R456" s="4">
        <v>16.362171690020901</v>
      </c>
      <c r="S456" s="4">
        <v>16.4459015314373</v>
      </c>
      <c r="T456" s="4">
        <v>16.442988677564699</v>
      </c>
      <c r="U456" s="4">
        <f t="shared" si="30"/>
        <v>16.417020633007635</v>
      </c>
      <c r="X456" s="43" t="s">
        <v>3771</v>
      </c>
      <c r="Y456" s="4">
        <v>16.2476999483772</v>
      </c>
      <c r="Z456" s="4">
        <v>16.573724105456801</v>
      </c>
      <c r="AA456" s="4">
        <v>16.419862599997298</v>
      </c>
      <c r="AB456" s="4">
        <f t="shared" si="31"/>
        <v>16.413762217943766</v>
      </c>
      <c r="AK456" s="1"/>
      <c r="AM456" s="4" t="s">
        <v>4107</v>
      </c>
    </row>
    <row r="457" spans="2:39" x14ac:dyDescent="0.2">
      <c r="B457" s="4" t="s">
        <v>3723</v>
      </c>
      <c r="C457" s="4">
        <v>16.234999999999999</v>
      </c>
      <c r="D457" s="4">
        <v>16.7898</v>
      </c>
      <c r="E457" s="4">
        <v>16.84</v>
      </c>
      <c r="F457" s="4">
        <f t="shared" si="28"/>
        <v>16.621600000000001</v>
      </c>
      <c r="I457" s="4" t="s">
        <v>3633</v>
      </c>
      <c r="J457" s="4">
        <v>16.778700000000001</v>
      </c>
      <c r="K457" s="4">
        <v>16.653600000000001</v>
      </c>
      <c r="L457" s="4">
        <v>16.6663</v>
      </c>
      <c r="M457" s="4">
        <f t="shared" si="29"/>
        <v>16.699533333333331</v>
      </c>
      <c r="Q457" s="43" t="s">
        <v>2935</v>
      </c>
      <c r="R457" s="4">
        <v>16.5090719614679</v>
      </c>
      <c r="S457" s="4">
        <v>16.513360524278099</v>
      </c>
      <c r="T457" s="4">
        <v>16.224907284351101</v>
      </c>
      <c r="U457" s="4">
        <f t="shared" si="30"/>
        <v>16.415779923365701</v>
      </c>
      <c r="X457" s="43" t="s">
        <v>1654</v>
      </c>
      <c r="Y457" s="4">
        <v>16.350683737939701</v>
      </c>
      <c r="Z457" s="4">
        <v>16.194949472901701</v>
      </c>
      <c r="AA457" s="4">
        <v>16.681856421280798</v>
      </c>
      <c r="AB457" s="4">
        <f t="shared" si="31"/>
        <v>16.409163210707401</v>
      </c>
      <c r="AK457" s="1"/>
      <c r="AM457" s="4" t="s">
        <v>4234</v>
      </c>
    </row>
    <row r="458" spans="2:39" x14ac:dyDescent="0.2">
      <c r="B458" s="4" t="s">
        <v>1256</v>
      </c>
      <c r="C458" s="4">
        <v>16.487100000000002</v>
      </c>
      <c r="D458" s="4">
        <v>16.555299999999999</v>
      </c>
      <c r="E458" s="4">
        <v>16.815799999999999</v>
      </c>
      <c r="F458" s="4">
        <f t="shared" si="28"/>
        <v>16.619399999999999</v>
      </c>
      <c r="I458" s="4" t="s">
        <v>2831</v>
      </c>
      <c r="J458" s="4">
        <v>16.843499999999999</v>
      </c>
      <c r="K458" s="4">
        <v>16.242999999999999</v>
      </c>
      <c r="L458" s="4">
        <v>17.010000000000002</v>
      </c>
      <c r="M458" s="4">
        <f t="shared" si="29"/>
        <v>16.698833333333337</v>
      </c>
      <c r="Q458" s="43" t="s">
        <v>3273</v>
      </c>
      <c r="R458" s="4">
        <v>16.455682595364198</v>
      </c>
      <c r="S458" s="4">
        <v>16.511806303306901</v>
      </c>
      <c r="T458" s="4">
        <v>16.252968435972001</v>
      </c>
      <c r="U458" s="4">
        <f t="shared" si="30"/>
        <v>16.406819111547701</v>
      </c>
      <c r="X458" s="43" t="s">
        <v>3060</v>
      </c>
      <c r="Y458" s="4">
        <v>16.228291526726402</v>
      </c>
      <c r="Z458" s="4">
        <v>16.584969819911802</v>
      </c>
      <c r="AA458" s="4">
        <v>16.406333001902301</v>
      </c>
      <c r="AB458" s="4">
        <f t="shared" si="31"/>
        <v>16.406531449513498</v>
      </c>
      <c r="AK458" s="1"/>
      <c r="AM458" s="4" t="s">
        <v>4611</v>
      </c>
    </row>
    <row r="459" spans="2:39" x14ac:dyDescent="0.2">
      <c r="B459" s="4" t="s">
        <v>42</v>
      </c>
      <c r="C459" s="4">
        <v>16.302199999999999</v>
      </c>
      <c r="D459" s="4">
        <v>16.867799999999999</v>
      </c>
      <c r="E459" s="4">
        <v>16.681799999999999</v>
      </c>
      <c r="F459" s="4">
        <f t="shared" si="28"/>
        <v>16.617266666666666</v>
      </c>
      <c r="I459" s="4" t="s">
        <v>3170</v>
      </c>
      <c r="J459" s="4">
        <v>16.832599999999999</v>
      </c>
      <c r="K459" s="4">
        <v>16.547699999999999</v>
      </c>
      <c r="L459" s="4">
        <v>16.706800000000001</v>
      </c>
      <c r="M459" s="4">
        <f t="shared" si="29"/>
        <v>16.695699999999999</v>
      </c>
      <c r="Q459" s="43" t="s">
        <v>3704</v>
      </c>
      <c r="R459" s="4">
        <v>16.219476869660198</v>
      </c>
      <c r="S459" s="4">
        <v>16.360943389369801</v>
      </c>
      <c r="T459" s="4">
        <v>16.612572033841701</v>
      </c>
      <c r="U459" s="4">
        <f t="shared" si="30"/>
        <v>16.397664097623899</v>
      </c>
      <c r="X459" s="43" t="s">
        <v>267</v>
      </c>
      <c r="Y459" s="4">
        <v>16.370145584041399</v>
      </c>
      <c r="Z459" s="4">
        <v>16.4647763340847</v>
      </c>
      <c r="AA459" s="4">
        <v>16.371012077286199</v>
      </c>
      <c r="AB459" s="4">
        <f t="shared" si="31"/>
        <v>16.401977998470766</v>
      </c>
      <c r="AK459" s="1"/>
      <c r="AM459" s="4" t="s">
        <v>4473</v>
      </c>
    </row>
    <row r="460" spans="2:39" x14ac:dyDescent="0.2">
      <c r="B460" s="4" t="s">
        <v>3985</v>
      </c>
      <c r="C460" s="4">
        <v>16.594799999999999</v>
      </c>
      <c r="D460" s="4">
        <v>16.587499999999999</v>
      </c>
      <c r="E460" s="4">
        <v>16.640699999999999</v>
      </c>
      <c r="F460" s="4">
        <f t="shared" si="28"/>
        <v>16.607666666666663</v>
      </c>
      <c r="I460" s="4" t="s">
        <v>2515</v>
      </c>
      <c r="J460" s="4">
        <v>16.671700000000001</v>
      </c>
      <c r="K460" s="4">
        <v>16.9846</v>
      </c>
      <c r="L460" s="4">
        <v>16.4297</v>
      </c>
      <c r="M460" s="4">
        <f t="shared" si="29"/>
        <v>16.695333333333334</v>
      </c>
      <c r="Q460" s="43" t="s">
        <v>1248</v>
      </c>
      <c r="R460" s="4">
        <v>16.481888129351798</v>
      </c>
      <c r="S460" s="4">
        <v>16.239489996683801</v>
      </c>
      <c r="T460" s="4">
        <v>16.4664002468974</v>
      </c>
      <c r="U460" s="4">
        <f t="shared" si="30"/>
        <v>16.395926124311</v>
      </c>
      <c r="X460" s="43" t="s">
        <v>3401</v>
      </c>
      <c r="Y460" s="4">
        <v>16.374363709584902</v>
      </c>
      <c r="Z460" s="4">
        <v>16.526319170186699</v>
      </c>
      <c r="AA460" s="4">
        <v>16.295374854807601</v>
      </c>
      <c r="AB460" s="4">
        <f t="shared" si="31"/>
        <v>16.3986859115264</v>
      </c>
      <c r="AK460" s="1"/>
      <c r="AM460" s="4" t="s">
        <v>1141</v>
      </c>
    </row>
    <row r="461" spans="2:39" x14ac:dyDescent="0.2">
      <c r="B461" s="4" t="s">
        <v>2579</v>
      </c>
      <c r="C461" s="4">
        <v>16.7545</v>
      </c>
      <c r="D461" s="4">
        <v>16.714300000000001</v>
      </c>
      <c r="E461" s="4">
        <v>16.349399999999999</v>
      </c>
      <c r="F461" s="4">
        <f t="shared" si="28"/>
        <v>16.606066666666667</v>
      </c>
      <c r="I461" s="4" t="s">
        <v>148</v>
      </c>
      <c r="J461" s="4">
        <v>16.8141</v>
      </c>
      <c r="K461" s="4">
        <v>16.6905</v>
      </c>
      <c r="L461" s="4">
        <v>16.5441</v>
      </c>
      <c r="M461" s="4">
        <f t="shared" si="29"/>
        <v>16.6829</v>
      </c>
      <c r="Q461" s="43" t="s">
        <v>3851</v>
      </c>
      <c r="R461" s="4">
        <v>16.390188582761301</v>
      </c>
      <c r="S461" s="4">
        <v>16.563195966555998</v>
      </c>
      <c r="T461" s="4">
        <v>16.219435040821601</v>
      </c>
      <c r="U461" s="4">
        <f t="shared" si="30"/>
        <v>16.390939863379632</v>
      </c>
      <c r="X461" s="43" t="s">
        <v>1365</v>
      </c>
      <c r="Y461" s="4">
        <v>16.2687328347488</v>
      </c>
      <c r="Z461" s="4">
        <v>16.4912042673573</v>
      </c>
      <c r="AA461" s="4">
        <v>16.4312245218415</v>
      </c>
      <c r="AB461" s="4">
        <f t="shared" si="31"/>
        <v>16.397053874649199</v>
      </c>
      <c r="AK461" s="1"/>
      <c r="AM461" s="4" t="s">
        <v>1497</v>
      </c>
    </row>
    <row r="462" spans="2:39" x14ac:dyDescent="0.2">
      <c r="B462" s="4" t="s">
        <v>1950</v>
      </c>
      <c r="C462" s="4">
        <v>16.467199999999998</v>
      </c>
      <c r="D462" s="4">
        <v>16.619399999999999</v>
      </c>
      <c r="E462" s="4">
        <v>16.726600000000001</v>
      </c>
      <c r="F462" s="4">
        <f t="shared" si="28"/>
        <v>16.604399999999998</v>
      </c>
      <c r="I462" s="4" t="s">
        <v>1636</v>
      </c>
      <c r="J462" s="4">
        <v>16.665500000000002</v>
      </c>
      <c r="K462" s="4">
        <v>16.434899999999999</v>
      </c>
      <c r="L462" s="4">
        <v>16.942399999999999</v>
      </c>
      <c r="M462" s="4">
        <f t="shared" si="29"/>
        <v>16.680933333333332</v>
      </c>
      <c r="Q462" s="43" t="s">
        <v>1712</v>
      </c>
      <c r="R462" s="4">
        <v>16.3682854449358</v>
      </c>
      <c r="S462" s="4">
        <v>16.3376909332076</v>
      </c>
      <c r="T462" s="4">
        <v>16.462264654552001</v>
      </c>
      <c r="U462" s="4">
        <f t="shared" si="30"/>
        <v>16.389413677565134</v>
      </c>
      <c r="X462" s="43" t="s">
        <v>2529</v>
      </c>
      <c r="Y462" s="4">
        <v>16.279742507157</v>
      </c>
      <c r="Z462" s="4">
        <v>16.611866398067399</v>
      </c>
      <c r="AA462" s="4">
        <v>16.298589398798502</v>
      </c>
      <c r="AB462" s="4">
        <f t="shared" si="31"/>
        <v>16.396732768007634</v>
      </c>
      <c r="AK462" s="1"/>
      <c r="AM462" s="4" t="s">
        <v>4236</v>
      </c>
    </row>
    <row r="463" spans="2:39" x14ac:dyDescent="0.2">
      <c r="B463" s="4" t="s">
        <v>2529</v>
      </c>
      <c r="C463" s="4">
        <v>16.4483</v>
      </c>
      <c r="D463" s="4">
        <v>16.610600000000002</v>
      </c>
      <c r="E463" s="4">
        <v>16.745799999999999</v>
      </c>
      <c r="F463" s="4">
        <f t="shared" si="28"/>
        <v>16.601566666666667</v>
      </c>
      <c r="I463" s="4" t="s">
        <v>781</v>
      </c>
      <c r="J463" s="4">
        <v>16.8735</v>
      </c>
      <c r="K463" s="4">
        <v>16.493400000000001</v>
      </c>
      <c r="L463" s="4">
        <v>16.659400000000002</v>
      </c>
      <c r="M463" s="4">
        <f t="shared" si="29"/>
        <v>16.675433333333334</v>
      </c>
      <c r="Q463" s="43" t="s">
        <v>3006</v>
      </c>
      <c r="R463" s="4">
        <v>16.411543601561799</v>
      </c>
      <c r="S463" s="4">
        <v>16.320669804149301</v>
      </c>
      <c r="T463" s="4">
        <v>16.4349067627561</v>
      </c>
      <c r="U463" s="4">
        <f t="shared" si="30"/>
        <v>16.389040056155732</v>
      </c>
      <c r="X463" s="43" t="s">
        <v>275</v>
      </c>
      <c r="Y463" s="4">
        <v>16.528862627048401</v>
      </c>
      <c r="Z463" s="4">
        <v>16.362224011431501</v>
      </c>
      <c r="AA463" s="4">
        <v>16.297186431045301</v>
      </c>
      <c r="AB463" s="4">
        <f t="shared" si="31"/>
        <v>16.396091023175071</v>
      </c>
      <c r="AK463" s="1"/>
      <c r="AM463" s="4" t="s">
        <v>4133</v>
      </c>
    </row>
    <row r="464" spans="2:39" x14ac:dyDescent="0.2">
      <c r="B464" s="4" t="s">
        <v>1543</v>
      </c>
      <c r="C464" s="4">
        <v>16.589200000000002</v>
      </c>
      <c r="D464" s="4">
        <v>16.619499999999999</v>
      </c>
      <c r="E464" s="4">
        <v>16.57</v>
      </c>
      <c r="F464" s="4">
        <f t="shared" si="28"/>
        <v>16.5929</v>
      </c>
      <c r="I464" s="4" t="s">
        <v>1657</v>
      </c>
      <c r="J464" s="4">
        <v>16.926500000000001</v>
      </c>
      <c r="K464" s="4">
        <v>16.254000000000001</v>
      </c>
      <c r="L464" s="4">
        <v>16.798100000000002</v>
      </c>
      <c r="M464" s="4">
        <f t="shared" si="29"/>
        <v>16.659533333333332</v>
      </c>
      <c r="Q464" s="43" t="s">
        <v>1510</v>
      </c>
      <c r="R464" s="4">
        <v>15.7984783988651</v>
      </c>
      <c r="S464" s="4">
        <v>15.5392374249016</v>
      </c>
      <c r="T464" s="4">
        <v>17.8160431689031</v>
      </c>
      <c r="U464" s="4">
        <f t="shared" si="30"/>
        <v>16.384586330889935</v>
      </c>
      <c r="X464" s="43" t="s">
        <v>565</v>
      </c>
      <c r="Y464" s="4">
        <v>16.358461524430702</v>
      </c>
      <c r="Z464" s="4">
        <v>16.409035571071701</v>
      </c>
      <c r="AA464" s="4">
        <v>16.420759447809399</v>
      </c>
      <c r="AB464" s="4">
        <f t="shared" si="31"/>
        <v>16.396085514437271</v>
      </c>
      <c r="AK464" s="1"/>
      <c r="AM464" s="4" t="s">
        <v>2948</v>
      </c>
    </row>
    <row r="465" spans="2:39" x14ac:dyDescent="0.2">
      <c r="B465" s="4" t="s">
        <v>590</v>
      </c>
      <c r="C465" s="4">
        <v>16.3172</v>
      </c>
      <c r="D465" s="4">
        <v>16.2989</v>
      </c>
      <c r="E465" s="4">
        <v>17.1449</v>
      </c>
      <c r="F465" s="4">
        <f t="shared" si="28"/>
        <v>16.587</v>
      </c>
      <c r="I465" s="4" t="s">
        <v>1208</v>
      </c>
      <c r="J465" s="4">
        <v>16.695699999999999</v>
      </c>
      <c r="K465" s="4">
        <v>16.561399999999999</v>
      </c>
      <c r="L465" s="4">
        <v>16.702200000000001</v>
      </c>
      <c r="M465" s="4">
        <f t="shared" si="29"/>
        <v>16.653099999999998</v>
      </c>
      <c r="Q465" s="43" t="s">
        <v>3522</v>
      </c>
      <c r="R465" s="4">
        <v>16.4041158842908</v>
      </c>
      <c r="S465" s="4">
        <v>16.488751566223499</v>
      </c>
      <c r="T465" s="4">
        <v>16.258079028028099</v>
      </c>
      <c r="U465" s="4">
        <f t="shared" si="30"/>
        <v>16.383648826180799</v>
      </c>
      <c r="X465" s="43" t="s">
        <v>3346</v>
      </c>
      <c r="Y465" s="4">
        <v>16.556791547489201</v>
      </c>
      <c r="Z465" s="4">
        <v>16.372012075930101</v>
      </c>
      <c r="AA465" s="4">
        <v>16.2529886397935</v>
      </c>
      <c r="AB465" s="4">
        <f t="shared" si="31"/>
        <v>16.393930754404266</v>
      </c>
      <c r="AK465" s="1"/>
      <c r="AM465" s="4" t="s">
        <v>901</v>
      </c>
    </row>
    <row r="466" spans="2:39" x14ac:dyDescent="0.2">
      <c r="B466" s="4" t="s">
        <v>3224</v>
      </c>
      <c r="C466" s="4">
        <v>16.683900000000001</v>
      </c>
      <c r="D466" s="4">
        <v>16.377600000000001</v>
      </c>
      <c r="E466" s="4">
        <v>16.6905</v>
      </c>
      <c r="F466" s="4">
        <f t="shared" si="28"/>
        <v>16.584</v>
      </c>
      <c r="I466" s="4" t="s">
        <v>62</v>
      </c>
      <c r="J466" s="4">
        <v>16.793600000000001</v>
      </c>
      <c r="K466" s="4">
        <v>16.335100000000001</v>
      </c>
      <c r="L466" s="4">
        <v>16.822299999999998</v>
      </c>
      <c r="M466" s="4">
        <f t="shared" si="29"/>
        <v>16.650333333333332</v>
      </c>
      <c r="Q466" s="43" t="s">
        <v>1212</v>
      </c>
      <c r="R466" s="4">
        <v>16.601048908693102</v>
      </c>
      <c r="S466" s="4">
        <v>16.231071822173501</v>
      </c>
      <c r="T466" s="4">
        <v>16.307557672035699</v>
      </c>
      <c r="U466" s="4">
        <f t="shared" si="30"/>
        <v>16.379892800967436</v>
      </c>
      <c r="X466" s="43" t="s">
        <v>1775</v>
      </c>
      <c r="Y466" s="4">
        <v>16.5564151717873</v>
      </c>
      <c r="Z466" s="4">
        <v>16.342063045257198</v>
      </c>
      <c r="AA466" s="4">
        <v>16.258555826530301</v>
      </c>
      <c r="AB466" s="4">
        <f t="shared" si="31"/>
        <v>16.385678014524931</v>
      </c>
      <c r="AK466" s="1"/>
      <c r="AM466" s="4" t="s">
        <v>4221</v>
      </c>
    </row>
    <row r="467" spans="2:39" x14ac:dyDescent="0.2">
      <c r="B467" s="4" t="s">
        <v>2945</v>
      </c>
      <c r="C467" s="4">
        <v>16.689599999999999</v>
      </c>
      <c r="D467" s="4">
        <v>17.203199999999999</v>
      </c>
      <c r="E467" s="4">
        <v>15.846</v>
      </c>
      <c r="F467" s="4">
        <f t="shared" si="28"/>
        <v>16.579599999999999</v>
      </c>
      <c r="I467" s="4" t="s">
        <v>1014</v>
      </c>
      <c r="J467" s="4">
        <v>15.5565</v>
      </c>
      <c r="K467" s="4">
        <v>17.4529</v>
      </c>
      <c r="L467" s="4">
        <v>16.935400000000001</v>
      </c>
      <c r="M467" s="4">
        <f t="shared" si="29"/>
        <v>16.648266666666668</v>
      </c>
      <c r="Q467" s="43" t="s">
        <v>1025</v>
      </c>
      <c r="R467" s="4">
        <v>16.733409258046098</v>
      </c>
      <c r="S467" s="4">
        <v>16.141839551275599</v>
      </c>
      <c r="T467" s="4">
        <v>16.2626673117508</v>
      </c>
      <c r="U467" s="4">
        <f t="shared" si="30"/>
        <v>16.37930537369083</v>
      </c>
      <c r="X467" s="43" t="s">
        <v>1321</v>
      </c>
      <c r="Y467" s="4">
        <v>16.3382635807247</v>
      </c>
      <c r="Z467" s="4">
        <v>16.4286248490858</v>
      </c>
      <c r="AA467" s="4">
        <v>16.3333956229786</v>
      </c>
      <c r="AB467" s="4">
        <f t="shared" si="31"/>
        <v>16.3667613509297</v>
      </c>
      <c r="AK467" s="1"/>
      <c r="AM467" s="4" t="s">
        <v>1187</v>
      </c>
    </row>
    <row r="468" spans="2:39" x14ac:dyDescent="0.2">
      <c r="B468" s="4" t="s">
        <v>3206</v>
      </c>
      <c r="C468" s="4">
        <v>16.583600000000001</v>
      </c>
      <c r="D468" s="4">
        <v>16.583500000000001</v>
      </c>
      <c r="E468" s="4">
        <v>16.57</v>
      </c>
      <c r="F468" s="4">
        <f t="shared" si="28"/>
        <v>16.579033333333335</v>
      </c>
      <c r="I468" s="4" t="s">
        <v>383</v>
      </c>
      <c r="J468" s="4">
        <v>16.148499999999999</v>
      </c>
      <c r="K468" s="4">
        <v>17.704699999999999</v>
      </c>
      <c r="L468" s="4">
        <v>16.0869</v>
      </c>
      <c r="M468" s="4">
        <f t="shared" si="29"/>
        <v>16.646699999999999</v>
      </c>
      <c r="Q468" s="43" t="s">
        <v>1714</v>
      </c>
      <c r="R468" s="4">
        <v>16.695577301148099</v>
      </c>
      <c r="S468" s="4">
        <v>15.8749682808561</v>
      </c>
      <c r="T468" s="4">
        <v>16.563500412489802</v>
      </c>
      <c r="U468" s="4">
        <f t="shared" si="30"/>
        <v>16.378015331498002</v>
      </c>
      <c r="X468" s="43" t="s">
        <v>2907</v>
      </c>
      <c r="Y468" s="4">
        <v>16.317079544685701</v>
      </c>
      <c r="Z468" s="4">
        <v>16.390968215535601</v>
      </c>
      <c r="AA468" s="4">
        <v>16.384881255187199</v>
      </c>
      <c r="AB468" s="4">
        <f t="shared" si="31"/>
        <v>16.364309671802832</v>
      </c>
      <c r="AK468" s="1"/>
      <c r="AM468" s="4" t="s">
        <v>4192</v>
      </c>
    </row>
    <row r="469" spans="2:39" x14ac:dyDescent="0.2">
      <c r="B469" s="4" t="s">
        <v>1282</v>
      </c>
      <c r="C469" s="4">
        <v>16.9419</v>
      </c>
      <c r="D469" s="4">
        <v>16.201499999999999</v>
      </c>
      <c r="E469" s="4">
        <v>16.5915</v>
      </c>
      <c r="F469" s="4">
        <f t="shared" si="28"/>
        <v>16.578299999999999</v>
      </c>
      <c r="I469" s="4" t="s">
        <v>742</v>
      </c>
      <c r="J469" s="4">
        <v>16.093599999999999</v>
      </c>
      <c r="K469" s="4">
        <v>17.258900000000001</v>
      </c>
      <c r="L469" s="4">
        <v>16.586600000000001</v>
      </c>
      <c r="M469" s="4">
        <f t="shared" si="29"/>
        <v>16.646366666666665</v>
      </c>
      <c r="Q469" s="43" t="s">
        <v>3831</v>
      </c>
      <c r="R469" s="4">
        <v>16.6831792756577</v>
      </c>
      <c r="S469" s="4">
        <v>16.215085889090801</v>
      </c>
      <c r="T469" s="4">
        <v>16.218229738746999</v>
      </c>
      <c r="U469" s="4">
        <f t="shared" si="30"/>
        <v>16.372164967831832</v>
      </c>
      <c r="X469" s="43" t="s">
        <v>3465</v>
      </c>
      <c r="Y469" s="4">
        <v>16.397183010363399</v>
      </c>
      <c r="Z469" s="4">
        <v>16.347333593206699</v>
      </c>
      <c r="AA469" s="4">
        <v>16.3414973767626</v>
      </c>
      <c r="AB469" s="4">
        <f t="shared" si="31"/>
        <v>16.362004660110898</v>
      </c>
      <c r="AK469" s="1"/>
      <c r="AM469" s="4" t="s">
        <v>756</v>
      </c>
    </row>
    <row r="470" spans="2:39" x14ac:dyDescent="0.2">
      <c r="B470" s="4" t="s">
        <v>1712</v>
      </c>
      <c r="C470" s="4">
        <v>16.701899999999998</v>
      </c>
      <c r="D470" s="4">
        <v>16.567499999999999</v>
      </c>
      <c r="E470" s="4">
        <v>16.452000000000002</v>
      </c>
      <c r="F470" s="4">
        <f t="shared" si="28"/>
        <v>16.573800000000002</v>
      </c>
      <c r="I470" s="4" t="s">
        <v>3805</v>
      </c>
      <c r="J470" s="4">
        <v>16.666399999999999</v>
      </c>
      <c r="K470" s="4">
        <v>16.682500000000001</v>
      </c>
      <c r="L470" s="4">
        <v>16.59</v>
      </c>
      <c r="M470" s="4">
        <f t="shared" si="29"/>
        <v>16.6463</v>
      </c>
      <c r="Q470" s="43" t="s">
        <v>2863</v>
      </c>
      <c r="R470" s="4">
        <v>16.215596481359501</v>
      </c>
      <c r="S470" s="4">
        <v>16.268282756942799</v>
      </c>
      <c r="T470" s="4">
        <v>16.629712575387298</v>
      </c>
      <c r="U470" s="4">
        <f t="shared" si="30"/>
        <v>16.371197271229864</v>
      </c>
      <c r="X470" s="43" t="s">
        <v>1951</v>
      </c>
      <c r="Y470" s="4">
        <v>16.4019851440822</v>
      </c>
      <c r="Z470" s="4">
        <v>16.397002448146701</v>
      </c>
      <c r="AA470" s="4">
        <v>16.2737806784436</v>
      </c>
      <c r="AB470" s="4">
        <f t="shared" si="31"/>
        <v>16.357589423557499</v>
      </c>
      <c r="AK470" s="1"/>
      <c r="AM470" s="4" t="s">
        <v>4353</v>
      </c>
    </row>
    <row r="471" spans="2:39" x14ac:dyDescent="0.2">
      <c r="B471" s="4" t="s">
        <v>3493</v>
      </c>
      <c r="C471" s="4">
        <v>16.808199999999999</v>
      </c>
      <c r="D471" s="4">
        <v>16.595400000000001</v>
      </c>
      <c r="E471" s="4">
        <v>16.3062</v>
      </c>
      <c r="F471" s="4">
        <f t="shared" si="28"/>
        <v>16.569933333333335</v>
      </c>
      <c r="I471" s="4" t="s">
        <v>1373</v>
      </c>
      <c r="J471" s="4">
        <v>16.856400000000001</v>
      </c>
      <c r="K471" s="4">
        <v>16.2498</v>
      </c>
      <c r="L471" s="4">
        <v>16.831199999999999</v>
      </c>
      <c r="M471" s="4">
        <f t="shared" si="29"/>
        <v>16.645799999999998</v>
      </c>
      <c r="Q471" s="43" t="s">
        <v>2652</v>
      </c>
      <c r="R471" s="4">
        <v>16.192672551810599</v>
      </c>
      <c r="S471" s="4">
        <v>16.382361214777099</v>
      </c>
      <c r="T471" s="4">
        <v>16.5241090354588</v>
      </c>
      <c r="U471" s="4">
        <f t="shared" si="30"/>
        <v>16.366380934015499</v>
      </c>
      <c r="X471" s="43" t="s">
        <v>1645</v>
      </c>
      <c r="Y471" s="4">
        <v>16.367883642831099</v>
      </c>
      <c r="Z471" s="4">
        <v>16.398106238258499</v>
      </c>
      <c r="AA471" s="4">
        <v>16.285643615074498</v>
      </c>
      <c r="AB471" s="4">
        <f t="shared" si="31"/>
        <v>16.350544498721366</v>
      </c>
      <c r="AK471" s="1"/>
      <c r="AM471" s="4" t="s">
        <v>1779</v>
      </c>
    </row>
    <row r="472" spans="2:39" x14ac:dyDescent="0.2">
      <c r="B472" s="4" t="s">
        <v>3074</v>
      </c>
      <c r="C472" s="4">
        <v>16.413</v>
      </c>
      <c r="D472" s="4">
        <v>16.633900000000001</v>
      </c>
      <c r="E472" s="4">
        <v>16.658300000000001</v>
      </c>
      <c r="F472" s="4">
        <f t="shared" si="28"/>
        <v>16.5684</v>
      </c>
      <c r="I472" s="4" t="s">
        <v>384</v>
      </c>
      <c r="J472" s="4">
        <v>16.670100000000001</v>
      </c>
      <c r="K472" s="4">
        <v>16.900300000000001</v>
      </c>
      <c r="L472" s="4">
        <v>16.366700000000002</v>
      </c>
      <c r="M472" s="4">
        <f t="shared" si="29"/>
        <v>16.645700000000001</v>
      </c>
      <c r="Q472" s="43" t="s">
        <v>1647</v>
      </c>
      <c r="R472" s="4">
        <v>16.331910352464501</v>
      </c>
      <c r="S472" s="4">
        <v>16.393344934961799</v>
      </c>
      <c r="T472" s="4">
        <v>16.364690178706802</v>
      </c>
      <c r="U472" s="4">
        <f t="shared" si="30"/>
        <v>16.363315155377702</v>
      </c>
      <c r="X472" s="43" t="s">
        <v>1484</v>
      </c>
      <c r="Y472" s="4">
        <v>16.284281761565399</v>
      </c>
      <c r="Z472" s="4">
        <v>16.316343540599199</v>
      </c>
      <c r="AA472" s="4">
        <v>16.438349756105499</v>
      </c>
      <c r="AB472" s="4">
        <f t="shared" si="31"/>
        <v>16.346325019423364</v>
      </c>
      <c r="AK472" s="1"/>
      <c r="AM472" s="4" t="s">
        <v>4598</v>
      </c>
    </row>
    <row r="473" spans="2:39" x14ac:dyDescent="0.2">
      <c r="B473" s="4" t="s">
        <v>4025</v>
      </c>
      <c r="C473" s="4">
        <v>16.435600000000001</v>
      </c>
      <c r="D473" s="4">
        <v>16.562899999999999</v>
      </c>
      <c r="E473" s="4">
        <v>16.706700000000001</v>
      </c>
      <c r="F473" s="4">
        <f t="shared" si="28"/>
        <v>16.5684</v>
      </c>
      <c r="I473" s="4" t="s">
        <v>47</v>
      </c>
      <c r="J473" s="4">
        <v>16.865300000000001</v>
      </c>
      <c r="K473" s="4">
        <v>16.307600000000001</v>
      </c>
      <c r="L473" s="4">
        <v>16.753399999999999</v>
      </c>
      <c r="M473" s="4">
        <f t="shared" si="29"/>
        <v>16.642099999999999</v>
      </c>
      <c r="Q473" s="43" t="s">
        <v>1189</v>
      </c>
      <c r="R473" s="4">
        <v>16.4262023611447</v>
      </c>
      <c r="S473" s="4">
        <v>16.157453626952599</v>
      </c>
      <c r="T473" s="4">
        <v>16.484357449319099</v>
      </c>
      <c r="U473" s="4">
        <f t="shared" si="30"/>
        <v>16.3560044791388</v>
      </c>
      <c r="X473" s="43" t="s">
        <v>403</v>
      </c>
      <c r="Y473" s="4">
        <v>16.401775418327901</v>
      </c>
      <c r="Z473" s="4">
        <v>16.3935371602483</v>
      </c>
      <c r="AA473" s="4">
        <v>16.240310016715899</v>
      </c>
      <c r="AB473" s="4">
        <f t="shared" si="31"/>
        <v>16.345207531764032</v>
      </c>
      <c r="AK473" s="1"/>
      <c r="AM473" s="4" t="s">
        <v>1858</v>
      </c>
    </row>
    <row r="474" spans="2:39" x14ac:dyDescent="0.2">
      <c r="B474" s="4" t="s">
        <v>4064</v>
      </c>
      <c r="C474" s="4">
        <v>16.564299999999999</v>
      </c>
      <c r="D474" s="4">
        <v>16.507899999999999</v>
      </c>
      <c r="E474" s="4">
        <v>16.628399999999999</v>
      </c>
      <c r="F474" s="4">
        <f t="shared" si="28"/>
        <v>16.566866666666666</v>
      </c>
      <c r="I474" s="4" t="s">
        <v>348</v>
      </c>
      <c r="J474" s="4">
        <v>16.603300000000001</v>
      </c>
      <c r="K474" s="4">
        <v>16.882899999999999</v>
      </c>
      <c r="L474" s="4">
        <v>16.4254</v>
      </c>
      <c r="M474" s="4">
        <f t="shared" si="29"/>
        <v>16.637199999999996</v>
      </c>
      <c r="Q474" s="43" t="s">
        <v>3011</v>
      </c>
      <c r="R474" s="4">
        <v>16.390063568539901</v>
      </c>
      <c r="S474" s="4">
        <v>16.4568373158505</v>
      </c>
      <c r="T474" s="4">
        <v>16.212020514825699</v>
      </c>
      <c r="U474" s="4">
        <f t="shared" si="30"/>
        <v>16.352973799738702</v>
      </c>
      <c r="X474" s="43" t="s">
        <v>2291</v>
      </c>
      <c r="Y474" s="4">
        <v>16.343319420794099</v>
      </c>
      <c r="Z474" s="4">
        <v>16.347294351812</v>
      </c>
      <c r="AA474" s="4">
        <v>16.3445830845919</v>
      </c>
      <c r="AB474" s="4">
        <f t="shared" si="31"/>
        <v>16.345065619066002</v>
      </c>
      <c r="AK474" s="1"/>
      <c r="AM474" s="4" t="s">
        <v>4206</v>
      </c>
    </row>
    <row r="475" spans="2:39" x14ac:dyDescent="0.2">
      <c r="B475" s="4" t="s">
        <v>876</v>
      </c>
      <c r="C475" s="4">
        <v>16.509599999999999</v>
      </c>
      <c r="D475" s="4">
        <v>16.575099999999999</v>
      </c>
      <c r="E475" s="4">
        <v>16.6035</v>
      </c>
      <c r="F475" s="4">
        <f t="shared" si="28"/>
        <v>16.56273333333333</v>
      </c>
      <c r="I475" s="4" t="s">
        <v>3464</v>
      </c>
      <c r="J475" s="4">
        <v>16.4085</v>
      </c>
      <c r="K475" s="4">
        <v>17.248899999999999</v>
      </c>
      <c r="L475" s="4">
        <v>16.250900000000001</v>
      </c>
      <c r="M475" s="4">
        <f t="shared" si="29"/>
        <v>16.636099999999999</v>
      </c>
      <c r="Q475" s="43" t="s">
        <v>298</v>
      </c>
      <c r="R475" s="4">
        <v>16.210158872534102</v>
      </c>
      <c r="S475" s="4">
        <v>16.402083055393099</v>
      </c>
      <c r="T475" s="4">
        <v>16.446151149362301</v>
      </c>
      <c r="U475" s="4">
        <f t="shared" si="30"/>
        <v>16.352797692429835</v>
      </c>
      <c r="X475" s="43" t="s">
        <v>188</v>
      </c>
      <c r="Y475" s="4">
        <v>16.3775410820692</v>
      </c>
      <c r="Z475" s="4">
        <v>16.376045990603899</v>
      </c>
      <c r="AA475" s="4">
        <v>16.2529490154683</v>
      </c>
      <c r="AB475" s="4">
        <f t="shared" si="31"/>
        <v>16.335512029380467</v>
      </c>
      <c r="AK475" s="1"/>
      <c r="AM475" s="4" t="s">
        <v>594</v>
      </c>
    </row>
    <row r="476" spans="2:39" x14ac:dyDescent="0.2">
      <c r="B476" s="4" t="s">
        <v>1762</v>
      </c>
      <c r="C476" s="4">
        <v>16.437799999999999</v>
      </c>
      <c r="D476" s="4">
        <v>16.926200000000001</v>
      </c>
      <c r="E476" s="4">
        <v>16.3216</v>
      </c>
      <c r="F476" s="4">
        <f t="shared" si="28"/>
        <v>16.561866666666671</v>
      </c>
      <c r="I476" s="4" t="s">
        <v>2650</v>
      </c>
      <c r="J476" s="4">
        <v>16.858799999999999</v>
      </c>
      <c r="K476" s="4">
        <v>16.2425</v>
      </c>
      <c r="L476" s="4">
        <v>16.769200000000001</v>
      </c>
      <c r="M476" s="4">
        <f t="shared" si="29"/>
        <v>16.623499999999996</v>
      </c>
      <c r="Q476" s="43" t="s">
        <v>2099</v>
      </c>
      <c r="R476" s="4">
        <v>16.648504322343701</v>
      </c>
      <c r="S476" s="4">
        <v>16.220452305249101</v>
      </c>
      <c r="T476" s="4">
        <v>16.184953859383899</v>
      </c>
      <c r="U476" s="4">
        <f t="shared" si="30"/>
        <v>16.3513034956589</v>
      </c>
      <c r="X476" s="43" t="s">
        <v>1063</v>
      </c>
      <c r="Y476" s="4">
        <v>16.175932841437501</v>
      </c>
      <c r="Z476" s="4">
        <v>17.289395578728001</v>
      </c>
      <c r="AA476" s="4">
        <v>15.530981461717801</v>
      </c>
      <c r="AB476" s="4">
        <f t="shared" si="31"/>
        <v>16.332103293961101</v>
      </c>
      <c r="AK476" s="1"/>
      <c r="AM476" s="4" t="s">
        <v>4605</v>
      </c>
    </row>
    <row r="477" spans="2:39" x14ac:dyDescent="0.2">
      <c r="B477" s="4" t="s">
        <v>2248</v>
      </c>
      <c r="C477" s="4">
        <v>16.698699999999999</v>
      </c>
      <c r="D477" s="4">
        <v>16.584800000000001</v>
      </c>
      <c r="E477" s="4">
        <v>16.394300000000001</v>
      </c>
      <c r="F477" s="4">
        <f t="shared" si="28"/>
        <v>16.559266666666669</v>
      </c>
      <c r="I477" s="4" t="s">
        <v>2242</v>
      </c>
      <c r="J477" s="4">
        <v>16.8291</v>
      </c>
      <c r="K477" s="4">
        <v>16.338699999999999</v>
      </c>
      <c r="L477" s="4">
        <v>16.693100000000001</v>
      </c>
      <c r="M477" s="4">
        <f t="shared" si="29"/>
        <v>16.6203</v>
      </c>
      <c r="Q477" s="43" t="s">
        <v>2513</v>
      </c>
      <c r="R477" s="4">
        <v>16.258154560941701</v>
      </c>
      <c r="S477" s="4">
        <v>16.287170157005299</v>
      </c>
      <c r="T477" s="4">
        <v>16.503783797617601</v>
      </c>
      <c r="U477" s="4">
        <f t="shared" si="30"/>
        <v>16.349702838521534</v>
      </c>
      <c r="X477" s="43" t="s">
        <v>2181</v>
      </c>
      <c r="Y477" s="4">
        <v>16.2087062898954</v>
      </c>
      <c r="Z477" s="4">
        <v>16.427608548155401</v>
      </c>
      <c r="AA477" s="4">
        <v>16.3566168063549</v>
      </c>
      <c r="AB477" s="4">
        <f t="shared" si="31"/>
        <v>16.330977214801901</v>
      </c>
      <c r="AK477" s="1"/>
      <c r="AM477" s="4" t="s">
        <v>4603</v>
      </c>
    </row>
    <row r="478" spans="2:39" x14ac:dyDescent="0.2">
      <c r="B478" s="4" t="s">
        <v>665</v>
      </c>
      <c r="C478" s="4">
        <v>17.732900000000001</v>
      </c>
      <c r="D478" s="4">
        <v>16.294699999999999</v>
      </c>
      <c r="E478" s="4">
        <v>15.6441</v>
      </c>
      <c r="F478" s="4">
        <f t="shared" si="28"/>
        <v>16.557233333333333</v>
      </c>
      <c r="I478" s="4" t="s">
        <v>2603</v>
      </c>
      <c r="J478" s="4">
        <v>15.7799</v>
      </c>
      <c r="K478" s="4">
        <v>18.738299999999999</v>
      </c>
      <c r="L478" s="4">
        <v>15.3393</v>
      </c>
      <c r="M478" s="4">
        <f t="shared" si="29"/>
        <v>16.619166666666668</v>
      </c>
      <c r="Q478" s="43" t="s">
        <v>3146</v>
      </c>
      <c r="R478" s="4">
        <v>16.340670640280301</v>
      </c>
      <c r="S478" s="4">
        <v>16.345197878962001</v>
      </c>
      <c r="T478" s="4">
        <v>16.3619808664949</v>
      </c>
      <c r="U478" s="4">
        <f t="shared" si="30"/>
        <v>16.349283128579071</v>
      </c>
      <c r="X478" s="43" t="s">
        <v>316</v>
      </c>
      <c r="Y478" s="4">
        <v>16.4205529657958</v>
      </c>
      <c r="Z478" s="4">
        <v>16.263548352012201</v>
      </c>
      <c r="AA478" s="4">
        <v>16.298243001591601</v>
      </c>
      <c r="AB478" s="4">
        <f t="shared" si="31"/>
        <v>16.327448106466534</v>
      </c>
      <c r="AK478" s="1"/>
      <c r="AM478" s="4" t="s">
        <v>536</v>
      </c>
    </row>
    <row r="479" spans="2:39" x14ac:dyDescent="0.2">
      <c r="B479" s="4" t="s">
        <v>415</v>
      </c>
      <c r="C479" s="4">
        <v>16.368600000000001</v>
      </c>
      <c r="D479" s="4">
        <v>16.543800000000001</v>
      </c>
      <c r="E479" s="4">
        <v>16.709900000000001</v>
      </c>
      <c r="F479" s="4">
        <f t="shared" si="28"/>
        <v>16.54076666666667</v>
      </c>
      <c r="I479" s="4" t="s">
        <v>3131</v>
      </c>
      <c r="J479" s="4">
        <v>16.790500000000002</v>
      </c>
      <c r="K479" s="4">
        <v>16.311399999999999</v>
      </c>
      <c r="L479" s="4">
        <v>16.747499999999999</v>
      </c>
      <c r="M479" s="4">
        <f t="shared" si="29"/>
        <v>16.616466666666668</v>
      </c>
      <c r="Q479" s="43" t="s">
        <v>506</v>
      </c>
      <c r="R479" s="4">
        <v>16.5391422161603</v>
      </c>
      <c r="S479" s="4">
        <v>16.314528663113499</v>
      </c>
      <c r="T479" s="4">
        <v>16.1898844148606</v>
      </c>
      <c r="U479" s="4">
        <f t="shared" si="30"/>
        <v>16.347851764711468</v>
      </c>
      <c r="X479" s="43" t="s">
        <v>1251</v>
      </c>
      <c r="Y479" s="4">
        <v>16.3763974396823</v>
      </c>
      <c r="Z479" s="4">
        <v>16.376459257891501</v>
      </c>
      <c r="AA479" s="4">
        <v>16.167381896876201</v>
      </c>
      <c r="AB479" s="4">
        <f t="shared" si="31"/>
        <v>16.306746198150002</v>
      </c>
      <c r="AK479" s="1"/>
      <c r="AM479" s="4" t="s">
        <v>4200</v>
      </c>
    </row>
    <row r="480" spans="2:39" x14ac:dyDescent="0.2">
      <c r="B480" s="4" t="s">
        <v>979</v>
      </c>
      <c r="C480" s="4">
        <v>16.733699999999999</v>
      </c>
      <c r="D480" s="4">
        <v>16.506699999999999</v>
      </c>
      <c r="E480" s="4">
        <v>16.376000000000001</v>
      </c>
      <c r="F480" s="4">
        <f t="shared" si="28"/>
        <v>16.538799999999998</v>
      </c>
      <c r="I480" s="4" t="s">
        <v>2566</v>
      </c>
      <c r="J480" s="4">
        <v>16.728400000000001</v>
      </c>
      <c r="K480" s="4">
        <v>16.3642</v>
      </c>
      <c r="L480" s="4">
        <v>16.755199999999999</v>
      </c>
      <c r="M480" s="4">
        <f t="shared" si="29"/>
        <v>16.615933333333334</v>
      </c>
      <c r="Q480" s="43" t="s">
        <v>1039</v>
      </c>
      <c r="R480" s="4">
        <v>16.443140404472398</v>
      </c>
      <c r="S480" s="4">
        <v>16.155929307922101</v>
      </c>
      <c r="T480" s="4">
        <v>16.4390971744292</v>
      </c>
      <c r="U480" s="4">
        <f t="shared" si="30"/>
        <v>16.346055628941233</v>
      </c>
      <c r="X480" s="43" t="s">
        <v>3516</v>
      </c>
      <c r="Y480" s="4">
        <v>16.403809499085099</v>
      </c>
      <c r="Z480" s="4">
        <v>16.4556926735399</v>
      </c>
      <c r="AA480" s="4">
        <v>16.059018610827401</v>
      </c>
      <c r="AB480" s="4">
        <f t="shared" si="31"/>
        <v>16.306173594484132</v>
      </c>
      <c r="AK480" s="1"/>
      <c r="AM480" s="4" t="s">
        <v>1930</v>
      </c>
    </row>
    <row r="481" spans="2:39" x14ac:dyDescent="0.2">
      <c r="B481" s="4" t="s">
        <v>2515</v>
      </c>
      <c r="C481" s="4">
        <v>16.931699999999999</v>
      </c>
      <c r="D481" s="4">
        <v>16.2014</v>
      </c>
      <c r="E481" s="4">
        <v>16.4785</v>
      </c>
      <c r="F481" s="4">
        <f t="shared" si="28"/>
        <v>16.537199999999999</v>
      </c>
      <c r="I481" s="4" t="s">
        <v>3670</v>
      </c>
      <c r="J481" s="4">
        <v>16.460699999999999</v>
      </c>
      <c r="K481" s="4">
        <v>17.041399999999999</v>
      </c>
      <c r="L481" s="4">
        <v>16.345099999999999</v>
      </c>
      <c r="M481" s="4">
        <f t="shared" si="29"/>
        <v>16.615733333333335</v>
      </c>
      <c r="Q481" s="43" t="s">
        <v>3809</v>
      </c>
      <c r="R481" s="4">
        <v>16.551564508018998</v>
      </c>
      <c r="S481" s="4">
        <v>16.335807242014798</v>
      </c>
      <c r="T481" s="4">
        <v>16.144571017082399</v>
      </c>
      <c r="U481" s="4">
        <f t="shared" si="30"/>
        <v>16.343980922372065</v>
      </c>
      <c r="X481" s="43" t="s">
        <v>2244</v>
      </c>
      <c r="Y481" s="4">
        <v>16.3851867812708</v>
      </c>
      <c r="Z481" s="4">
        <v>16.4521214796608</v>
      </c>
      <c r="AA481" s="4">
        <v>16.0369937962042</v>
      </c>
      <c r="AB481" s="4">
        <f t="shared" si="31"/>
        <v>16.291434019045266</v>
      </c>
      <c r="AK481" s="1"/>
      <c r="AM481" s="4" t="s">
        <v>1539</v>
      </c>
    </row>
    <row r="482" spans="2:39" x14ac:dyDescent="0.2">
      <c r="B482" s="4" t="s">
        <v>1222</v>
      </c>
      <c r="C482" s="4">
        <v>16.691600000000001</v>
      </c>
      <c r="D482" s="4">
        <v>16.406099999999999</v>
      </c>
      <c r="E482" s="4">
        <v>16.4739</v>
      </c>
      <c r="F482" s="4">
        <f t="shared" si="28"/>
        <v>16.523866666666667</v>
      </c>
      <c r="I482" s="4" t="s">
        <v>661</v>
      </c>
      <c r="J482" s="4">
        <v>16.6967</v>
      </c>
      <c r="K482" s="4">
        <v>16.592400000000001</v>
      </c>
      <c r="L482" s="4">
        <v>16.556100000000001</v>
      </c>
      <c r="M482" s="4">
        <f t="shared" si="29"/>
        <v>16.615066666666667</v>
      </c>
      <c r="Q482" s="43" t="s">
        <v>1234</v>
      </c>
      <c r="R482" s="4">
        <v>16.3055191742279</v>
      </c>
      <c r="S482" s="4">
        <v>16.302664623599199</v>
      </c>
      <c r="T482" s="4">
        <v>16.376755714915401</v>
      </c>
      <c r="U482" s="4">
        <f t="shared" si="30"/>
        <v>16.328313170914168</v>
      </c>
      <c r="X482" s="43" t="s">
        <v>3858</v>
      </c>
      <c r="Y482" s="4">
        <v>16.2620938602557</v>
      </c>
      <c r="Z482" s="4">
        <v>16.212210156557401</v>
      </c>
      <c r="AA482" s="4">
        <v>16.399798475163699</v>
      </c>
      <c r="AB482" s="4">
        <f t="shared" si="31"/>
        <v>16.291367497325599</v>
      </c>
      <c r="AK482" s="1"/>
      <c r="AM482" s="4" t="s">
        <v>4602</v>
      </c>
    </row>
    <row r="483" spans="2:39" x14ac:dyDescent="0.2">
      <c r="B483" s="4" t="s">
        <v>3602</v>
      </c>
      <c r="C483" s="4">
        <v>16.508700000000001</v>
      </c>
      <c r="D483" s="4">
        <v>16.5639</v>
      </c>
      <c r="E483" s="4">
        <v>16.472100000000001</v>
      </c>
      <c r="F483" s="4">
        <f t="shared" si="28"/>
        <v>16.514900000000001</v>
      </c>
      <c r="I483" s="4" t="s">
        <v>524</v>
      </c>
      <c r="J483" s="4">
        <v>16.5015</v>
      </c>
      <c r="K483" s="4">
        <v>16.628499999999999</v>
      </c>
      <c r="L483" s="4">
        <v>16.709800000000001</v>
      </c>
      <c r="M483" s="4">
        <f t="shared" si="29"/>
        <v>16.613266666666664</v>
      </c>
      <c r="Q483" s="43" t="s">
        <v>2377</v>
      </c>
      <c r="R483" s="4">
        <v>16.631570664196399</v>
      </c>
      <c r="S483" s="4">
        <v>16.096880911939799</v>
      </c>
      <c r="T483" s="4">
        <v>16.256475003885399</v>
      </c>
      <c r="U483" s="4">
        <f t="shared" si="30"/>
        <v>16.328308860007198</v>
      </c>
      <c r="X483" s="43" t="s">
        <v>2820</v>
      </c>
      <c r="Y483" s="4">
        <v>16.364618282447601</v>
      </c>
      <c r="Z483" s="4">
        <v>16.221662229044</v>
      </c>
      <c r="AA483" s="4">
        <v>16.285289025536599</v>
      </c>
      <c r="AB483" s="4">
        <f t="shared" si="31"/>
        <v>16.290523179009401</v>
      </c>
      <c r="AK483" s="1"/>
      <c r="AM483" s="4" t="s">
        <v>4548</v>
      </c>
    </row>
    <row r="484" spans="2:39" x14ac:dyDescent="0.2">
      <c r="B484" s="4" t="s">
        <v>670</v>
      </c>
      <c r="C484" s="4">
        <v>16.787600000000001</v>
      </c>
      <c r="D484" s="4">
        <v>16.928999999999998</v>
      </c>
      <c r="E484" s="4">
        <v>15.8081</v>
      </c>
      <c r="F484" s="4">
        <f t="shared" si="28"/>
        <v>16.508233333333333</v>
      </c>
      <c r="I484" s="4" t="s">
        <v>2248</v>
      </c>
      <c r="J484" s="4">
        <v>16.645600000000002</v>
      </c>
      <c r="K484" s="4">
        <v>16.557500000000001</v>
      </c>
      <c r="L484" s="4">
        <v>16.633500000000002</v>
      </c>
      <c r="M484" s="4">
        <f t="shared" si="29"/>
        <v>16.612200000000001</v>
      </c>
      <c r="Q484" s="43" t="s">
        <v>2671</v>
      </c>
      <c r="R484" s="4">
        <v>16.532331914456702</v>
      </c>
      <c r="S484" s="4">
        <v>16.1801541141261</v>
      </c>
      <c r="T484" s="4">
        <v>16.2592854738553</v>
      </c>
      <c r="U484" s="4">
        <f t="shared" si="30"/>
        <v>16.323923834146033</v>
      </c>
      <c r="X484" s="43" t="s">
        <v>1373</v>
      </c>
      <c r="Y484" s="4">
        <v>16.274165693448399</v>
      </c>
      <c r="Z484" s="4">
        <v>16.369702942481201</v>
      </c>
      <c r="AA484" s="4">
        <v>16.224220759236498</v>
      </c>
      <c r="AB484" s="4">
        <f t="shared" si="31"/>
        <v>16.28936313172203</v>
      </c>
      <c r="AK484" s="1"/>
      <c r="AM484" s="6" t="s">
        <v>855</v>
      </c>
    </row>
    <row r="485" spans="2:39" x14ac:dyDescent="0.2">
      <c r="B485" s="4" t="s">
        <v>3179</v>
      </c>
      <c r="C485" s="4">
        <v>15.9747</v>
      </c>
      <c r="D485" s="4">
        <v>16.566700000000001</v>
      </c>
      <c r="E485" s="4">
        <v>16.982700000000001</v>
      </c>
      <c r="F485" s="4">
        <f t="shared" si="28"/>
        <v>16.508033333333334</v>
      </c>
      <c r="I485" s="4" t="s">
        <v>3098</v>
      </c>
      <c r="J485" s="4">
        <v>16.520299999999999</v>
      </c>
      <c r="K485" s="4">
        <v>16.580200000000001</v>
      </c>
      <c r="L485" s="4">
        <v>16.732900000000001</v>
      </c>
      <c r="M485" s="4">
        <f t="shared" si="29"/>
        <v>16.611133333333331</v>
      </c>
      <c r="Q485" s="43" t="s">
        <v>2335</v>
      </c>
      <c r="R485" s="4">
        <v>16.471800662622901</v>
      </c>
      <c r="S485" s="4">
        <v>16.280738917430501</v>
      </c>
      <c r="T485" s="4">
        <v>16.212088993523398</v>
      </c>
      <c r="U485" s="4">
        <f t="shared" si="30"/>
        <v>16.321542857858933</v>
      </c>
      <c r="X485" s="43" t="s">
        <v>1431</v>
      </c>
      <c r="Y485" s="4">
        <v>16.447643942935802</v>
      </c>
      <c r="Z485" s="4">
        <v>16.1639163796746</v>
      </c>
      <c r="AA485" s="4">
        <v>16.256052339181899</v>
      </c>
      <c r="AB485" s="4">
        <f t="shared" si="31"/>
        <v>16.289204220597433</v>
      </c>
      <c r="AK485" s="1"/>
      <c r="AM485" s="4" t="s">
        <v>4287</v>
      </c>
    </row>
    <row r="486" spans="2:39" x14ac:dyDescent="0.2">
      <c r="B486" s="4" t="s">
        <v>1478</v>
      </c>
      <c r="C486" s="4">
        <v>16.457599999999999</v>
      </c>
      <c r="D486" s="4">
        <v>16.4085</v>
      </c>
      <c r="E486" s="4">
        <v>16.653400000000001</v>
      </c>
      <c r="F486" s="4">
        <f t="shared" si="28"/>
        <v>16.506500000000003</v>
      </c>
      <c r="I486" s="4" t="s">
        <v>1711</v>
      </c>
      <c r="J486" s="4">
        <v>16.295200000000001</v>
      </c>
      <c r="K486" s="4">
        <v>17.117100000000001</v>
      </c>
      <c r="L486" s="4">
        <v>16.4191</v>
      </c>
      <c r="M486" s="4">
        <f t="shared" si="29"/>
        <v>16.610466666666667</v>
      </c>
      <c r="Q486" s="43" t="s">
        <v>415</v>
      </c>
      <c r="R486" s="4">
        <v>16.2600200581827</v>
      </c>
      <c r="S486" s="4">
        <v>16.623491323471601</v>
      </c>
      <c r="T486" s="4">
        <v>16.076577860214901</v>
      </c>
      <c r="U486" s="4">
        <f t="shared" si="30"/>
        <v>16.320029747289734</v>
      </c>
      <c r="X486" s="43" t="s">
        <v>3733</v>
      </c>
      <c r="Y486" s="4">
        <v>16.2181124737664</v>
      </c>
      <c r="Z486" s="4">
        <v>16.443695847615299</v>
      </c>
      <c r="AA486" s="4">
        <v>16.1918599063637</v>
      </c>
      <c r="AB486" s="4">
        <f t="shared" si="31"/>
        <v>16.284556075915134</v>
      </c>
      <c r="AK486" s="1"/>
      <c r="AM486" s="4" t="s">
        <v>1037</v>
      </c>
    </row>
    <row r="487" spans="2:39" x14ac:dyDescent="0.2">
      <c r="B487" s="4" t="s">
        <v>1909</v>
      </c>
      <c r="C487" s="4">
        <v>16.053999999999998</v>
      </c>
      <c r="D487" s="4">
        <v>16.5731</v>
      </c>
      <c r="E487" s="4">
        <v>16.890999999999998</v>
      </c>
      <c r="F487" s="4">
        <f t="shared" si="28"/>
        <v>16.506033333333331</v>
      </c>
      <c r="I487" s="4" t="s">
        <v>1812</v>
      </c>
      <c r="J487" s="4">
        <v>16.892299999999999</v>
      </c>
      <c r="K487" s="4">
        <v>16.3047</v>
      </c>
      <c r="L487" s="4">
        <v>16.625699999999998</v>
      </c>
      <c r="M487" s="4">
        <f t="shared" si="29"/>
        <v>16.607566666666667</v>
      </c>
      <c r="Q487" s="43" t="s">
        <v>901</v>
      </c>
      <c r="R487" s="4">
        <v>16.125153885424101</v>
      </c>
      <c r="S487" s="4">
        <v>16.215629180582098</v>
      </c>
      <c r="T487" s="4">
        <v>16.6145695236861</v>
      </c>
      <c r="U487" s="4">
        <f t="shared" si="30"/>
        <v>16.318450863230765</v>
      </c>
      <c r="X487" s="43" t="s">
        <v>876</v>
      </c>
      <c r="Y487" s="4">
        <v>16.213770969153899</v>
      </c>
      <c r="Z487" s="4">
        <v>16.377298449136301</v>
      </c>
      <c r="AA487" s="4">
        <v>16.257174535201301</v>
      </c>
      <c r="AB487" s="4">
        <f t="shared" si="31"/>
        <v>16.282747984497167</v>
      </c>
      <c r="AK487" s="1"/>
      <c r="AM487" s="4" t="s">
        <v>4595</v>
      </c>
    </row>
    <row r="488" spans="2:39" x14ac:dyDescent="0.2">
      <c r="B488" s="4" t="s">
        <v>1014</v>
      </c>
      <c r="C488" s="4">
        <v>16.1616</v>
      </c>
      <c r="D488" s="4">
        <v>16.111599999999999</v>
      </c>
      <c r="E488" s="4">
        <v>17.228999999999999</v>
      </c>
      <c r="F488" s="4">
        <f t="shared" si="28"/>
        <v>16.500733333333333</v>
      </c>
      <c r="I488" s="4" t="s">
        <v>2278</v>
      </c>
      <c r="J488" s="4">
        <v>16.343499999999999</v>
      </c>
      <c r="K488" s="4">
        <v>17.3127</v>
      </c>
      <c r="L488" s="4">
        <v>16.1343</v>
      </c>
      <c r="M488" s="4">
        <f t="shared" si="29"/>
        <v>16.596833333333333</v>
      </c>
      <c r="Q488" s="43" t="s">
        <v>1723</v>
      </c>
      <c r="R488" s="4">
        <v>16.290937198787599</v>
      </c>
      <c r="S488" s="4">
        <v>16.234502386773499</v>
      </c>
      <c r="T488" s="4">
        <v>16.424437986729401</v>
      </c>
      <c r="U488" s="4">
        <f t="shared" si="30"/>
        <v>16.316625857430168</v>
      </c>
      <c r="X488" s="43" t="s">
        <v>2468</v>
      </c>
      <c r="Y488" s="4">
        <v>16.414553156454801</v>
      </c>
      <c r="Z488" s="4">
        <v>16.227533067727201</v>
      </c>
      <c r="AA488" s="4">
        <v>16.1963285117046</v>
      </c>
      <c r="AB488" s="4">
        <f t="shared" si="31"/>
        <v>16.279471578628868</v>
      </c>
      <c r="AK488" s="1"/>
      <c r="AM488" s="4" t="s">
        <v>4569</v>
      </c>
    </row>
    <row r="489" spans="2:39" x14ac:dyDescent="0.2">
      <c r="B489" s="4" t="s">
        <v>2655</v>
      </c>
      <c r="C489" s="4">
        <v>16.250299999999999</v>
      </c>
      <c r="D489" s="4">
        <v>16.5533</v>
      </c>
      <c r="E489" s="4">
        <v>16.685300000000002</v>
      </c>
      <c r="F489" s="4">
        <f t="shared" si="28"/>
        <v>16.496300000000002</v>
      </c>
      <c r="I489" s="4" t="s">
        <v>173</v>
      </c>
      <c r="J489" s="4">
        <v>16.5687</v>
      </c>
      <c r="K489" s="4">
        <v>16.6617</v>
      </c>
      <c r="L489" s="4">
        <v>16.555599999999998</v>
      </c>
      <c r="M489" s="4">
        <f t="shared" si="29"/>
        <v>16.595333333333333</v>
      </c>
      <c r="Q489" s="43" t="s">
        <v>2467</v>
      </c>
      <c r="R489" s="4">
        <v>16.276519818777398</v>
      </c>
      <c r="S489" s="4">
        <v>16.338693557065401</v>
      </c>
      <c r="T489" s="4">
        <v>16.331040904547901</v>
      </c>
      <c r="U489" s="4">
        <f t="shared" si="30"/>
        <v>16.315418093463567</v>
      </c>
      <c r="X489" s="43" t="s">
        <v>2185</v>
      </c>
      <c r="Y489" s="4">
        <v>16.285262903833399</v>
      </c>
      <c r="Z489" s="4">
        <v>16.504112613495401</v>
      </c>
      <c r="AA489" s="4">
        <v>16.043961573394601</v>
      </c>
      <c r="AB489" s="4">
        <f t="shared" si="31"/>
        <v>16.277779030241135</v>
      </c>
      <c r="AK489" s="1"/>
      <c r="AM489" s="4" t="s">
        <v>4615</v>
      </c>
    </row>
    <row r="490" spans="2:39" x14ac:dyDescent="0.2">
      <c r="B490" s="4" t="s">
        <v>797</v>
      </c>
      <c r="C490" s="4">
        <v>16.517399999999999</v>
      </c>
      <c r="D490" s="4">
        <v>16.535299999999999</v>
      </c>
      <c r="E490" s="4">
        <v>16.4133</v>
      </c>
      <c r="F490" s="4">
        <f t="shared" si="28"/>
        <v>16.488666666666667</v>
      </c>
      <c r="I490" s="4" t="s">
        <v>2935</v>
      </c>
      <c r="J490" s="4">
        <v>16.8596</v>
      </c>
      <c r="K490" s="4">
        <v>16.009599999999999</v>
      </c>
      <c r="L490" s="4">
        <v>16.912199999999999</v>
      </c>
      <c r="M490" s="4">
        <f t="shared" si="29"/>
        <v>16.593799999999998</v>
      </c>
      <c r="Q490" s="43" t="s">
        <v>374</v>
      </c>
      <c r="R490" s="4">
        <v>16.0140536859817</v>
      </c>
      <c r="S490" s="4">
        <v>16.532429555213898</v>
      </c>
      <c r="T490" s="4">
        <v>16.3985492851522</v>
      </c>
      <c r="U490" s="4">
        <f t="shared" si="30"/>
        <v>16.315010842115935</v>
      </c>
      <c r="X490" s="43" t="s">
        <v>2618</v>
      </c>
      <c r="Y490" s="4">
        <v>16.1463328232139</v>
      </c>
      <c r="Z490" s="4">
        <v>16.2410763163303</v>
      </c>
      <c r="AA490" s="4">
        <v>16.4008483791537</v>
      </c>
      <c r="AB490" s="4">
        <f t="shared" si="31"/>
        <v>16.262752506232633</v>
      </c>
      <c r="AK490" s="1"/>
      <c r="AM490" s="4" t="s">
        <v>4592</v>
      </c>
    </row>
    <row r="491" spans="2:39" x14ac:dyDescent="0.2">
      <c r="B491" s="4" t="s">
        <v>2879</v>
      </c>
      <c r="C491" s="4">
        <v>16.369900000000001</v>
      </c>
      <c r="D491" s="4">
        <v>16.476099999999999</v>
      </c>
      <c r="E491" s="4">
        <v>16.6189</v>
      </c>
      <c r="F491" s="4">
        <f t="shared" si="28"/>
        <v>16.488299999999999</v>
      </c>
      <c r="I491" s="4" t="s">
        <v>1241</v>
      </c>
      <c r="J491" s="4">
        <v>16.674199999999999</v>
      </c>
      <c r="K491" s="4">
        <v>16.595400000000001</v>
      </c>
      <c r="L491" s="4">
        <v>16.499099999999999</v>
      </c>
      <c r="M491" s="4">
        <f t="shared" si="29"/>
        <v>16.589566666666666</v>
      </c>
      <c r="Q491" s="43" t="s">
        <v>1202</v>
      </c>
      <c r="R491" s="4">
        <v>16.654810772957099</v>
      </c>
      <c r="S491" s="4">
        <v>16.194558122095501</v>
      </c>
      <c r="T491" s="4">
        <v>16.082101727321799</v>
      </c>
      <c r="U491" s="4">
        <f t="shared" si="30"/>
        <v>16.310490207458134</v>
      </c>
      <c r="X491" s="43" t="s">
        <v>506</v>
      </c>
      <c r="Y491" s="4">
        <v>16.291136542865999</v>
      </c>
      <c r="Z491" s="4">
        <v>16.254841002558599</v>
      </c>
      <c r="AA491" s="4">
        <v>16.238271296401699</v>
      </c>
      <c r="AB491" s="4">
        <f t="shared" si="31"/>
        <v>16.261416280608767</v>
      </c>
      <c r="AK491" s="1"/>
      <c r="AM491" s="4" t="s">
        <v>4144</v>
      </c>
    </row>
    <row r="492" spans="2:39" x14ac:dyDescent="0.2">
      <c r="B492" s="4" t="s">
        <v>2110</v>
      </c>
      <c r="C492" s="4">
        <v>16.718800000000002</v>
      </c>
      <c r="D492" s="4">
        <v>16.4693</v>
      </c>
      <c r="E492" s="4">
        <v>16.274699999999999</v>
      </c>
      <c r="F492" s="4">
        <f t="shared" si="28"/>
        <v>16.4876</v>
      </c>
      <c r="I492" s="4" t="s">
        <v>2187</v>
      </c>
      <c r="J492" s="4">
        <v>16.173400000000001</v>
      </c>
      <c r="K492" s="4">
        <v>17.656400000000001</v>
      </c>
      <c r="L492" s="4">
        <v>15.9308</v>
      </c>
      <c r="M492" s="4">
        <f t="shared" si="29"/>
        <v>16.586866666666669</v>
      </c>
      <c r="Q492" s="43" t="s">
        <v>3365</v>
      </c>
      <c r="R492" s="4">
        <v>16.517873891198299</v>
      </c>
      <c r="S492" s="4">
        <v>16.089093074249298</v>
      </c>
      <c r="T492" s="4">
        <v>16.3170140106647</v>
      </c>
      <c r="U492" s="4">
        <f t="shared" si="30"/>
        <v>16.307993658704099</v>
      </c>
      <c r="X492" s="43" t="s">
        <v>2631</v>
      </c>
      <c r="Y492" s="4">
        <v>16.2718664829228</v>
      </c>
      <c r="Z492" s="4">
        <v>16.436673395277602</v>
      </c>
      <c r="AA492" s="4">
        <v>16.0750477553511</v>
      </c>
      <c r="AB492" s="4">
        <f t="shared" si="31"/>
        <v>16.261195877850501</v>
      </c>
      <c r="AK492" s="1"/>
      <c r="AM492" s="4" t="s">
        <v>4142</v>
      </c>
    </row>
    <row r="493" spans="2:39" x14ac:dyDescent="0.2">
      <c r="B493" s="4" t="s">
        <v>2566</v>
      </c>
      <c r="C493" s="4">
        <v>16.596800000000002</v>
      </c>
      <c r="D493" s="4">
        <v>16.473600000000001</v>
      </c>
      <c r="E493" s="4">
        <v>16.3841</v>
      </c>
      <c r="F493" s="4">
        <f t="shared" si="28"/>
        <v>16.484833333333338</v>
      </c>
      <c r="I493" s="4" t="s">
        <v>3684</v>
      </c>
      <c r="J493" s="4">
        <v>16.739000000000001</v>
      </c>
      <c r="K493" s="4">
        <v>16.4101</v>
      </c>
      <c r="L493" s="4">
        <v>16.610600000000002</v>
      </c>
      <c r="M493" s="4">
        <f t="shared" si="29"/>
        <v>16.58656666666667</v>
      </c>
      <c r="Q493" s="43" t="s">
        <v>2776</v>
      </c>
      <c r="R493" s="4">
        <v>16.504779975252799</v>
      </c>
      <c r="S493" s="4">
        <v>16.191758143256099</v>
      </c>
      <c r="T493" s="4">
        <v>16.220184268331899</v>
      </c>
      <c r="U493" s="4">
        <f t="shared" si="30"/>
        <v>16.305574128946933</v>
      </c>
      <c r="X493" s="43" t="s">
        <v>6</v>
      </c>
      <c r="Y493" s="4">
        <v>16.077002006291799</v>
      </c>
      <c r="Z493" s="4">
        <v>16.2892415806208</v>
      </c>
      <c r="AA493" s="4">
        <v>16.401654236005701</v>
      </c>
      <c r="AB493" s="4">
        <f t="shared" si="31"/>
        <v>16.255965940972768</v>
      </c>
      <c r="AK493" s="1"/>
      <c r="AM493" s="4" t="s">
        <v>4256</v>
      </c>
    </row>
    <row r="494" spans="2:39" x14ac:dyDescent="0.2">
      <c r="B494" s="4" t="s">
        <v>2187</v>
      </c>
      <c r="C494" s="4">
        <v>16.886399999999998</v>
      </c>
      <c r="D494" s="4">
        <v>16.3612</v>
      </c>
      <c r="E494" s="4">
        <v>16.197900000000001</v>
      </c>
      <c r="F494" s="4">
        <f t="shared" si="28"/>
        <v>16.481833333333331</v>
      </c>
      <c r="I494" s="4" t="s">
        <v>2444</v>
      </c>
      <c r="J494" s="4">
        <v>16.8095</v>
      </c>
      <c r="K494" s="4">
        <v>16.0731</v>
      </c>
      <c r="L494" s="4">
        <v>16.854399999999998</v>
      </c>
      <c r="M494" s="4">
        <f t="shared" si="29"/>
        <v>16.578999999999997</v>
      </c>
      <c r="Q494" s="43" t="s">
        <v>2524</v>
      </c>
      <c r="R494" s="4">
        <v>16.3507882464021</v>
      </c>
      <c r="S494" s="4">
        <v>16.380271290106499</v>
      </c>
      <c r="T494" s="4">
        <v>16.1587417621027</v>
      </c>
      <c r="U494" s="4">
        <f t="shared" si="30"/>
        <v>16.296600432870431</v>
      </c>
      <c r="X494" s="43" t="s">
        <v>2250</v>
      </c>
      <c r="Y494" s="4">
        <v>16.278712580713599</v>
      </c>
      <c r="Z494" s="4">
        <v>16.2887418936354</v>
      </c>
      <c r="AA494" s="4">
        <v>16.1957202335525</v>
      </c>
      <c r="AB494" s="4">
        <f t="shared" si="31"/>
        <v>16.254391569300498</v>
      </c>
      <c r="AK494" s="1"/>
      <c r="AM494" s="4" t="s">
        <v>4552</v>
      </c>
    </row>
    <row r="495" spans="2:39" x14ac:dyDescent="0.2">
      <c r="B495" s="4" t="s">
        <v>763</v>
      </c>
      <c r="C495" s="4">
        <v>16.5412</v>
      </c>
      <c r="D495" s="4">
        <v>16.532900000000001</v>
      </c>
      <c r="E495" s="4">
        <v>16.3568</v>
      </c>
      <c r="F495" s="4">
        <f t="shared" si="28"/>
        <v>16.476966666666666</v>
      </c>
      <c r="I495" s="4" t="s">
        <v>1347</v>
      </c>
      <c r="J495" s="4">
        <v>16.627300000000002</v>
      </c>
      <c r="K495" s="4">
        <v>16.162500000000001</v>
      </c>
      <c r="L495" s="4">
        <v>16.8873</v>
      </c>
      <c r="M495" s="4">
        <f t="shared" si="29"/>
        <v>16.559033333333332</v>
      </c>
      <c r="Q495" s="43" t="s">
        <v>3915</v>
      </c>
      <c r="R495" s="4">
        <v>16.407238759750001</v>
      </c>
      <c r="S495" s="4">
        <v>16.131015962807702</v>
      </c>
      <c r="T495" s="4">
        <v>16.3479073241975</v>
      </c>
      <c r="U495" s="4">
        <f t="shared" si="30"/>
        <v>16.2953873489184</v>
      </c>
      <c r="X495" s="43" t="s">
        <v>869</v>
      </c>
      <c r="Y495" s="4">
        <v>16.025937856837</v>
      </c>
      <c r="Z495" s="4">
        <v>16.509460705189099</v>
      </c>
      <c r="AA495" s="4">
        <v>16.226188501013102</v>
      </c>
      <c r="AB495" s="4">
        <f t="shared" si="31"/>
        <v>16.253862354346399</v>
      </c>
      <c r="AK495" s="1"/>
      <c r="AM495" s="4" t="s">
        <v>939</v>
      </c>
    </row>
    <row r="496" spans="2:39" x14ac:dyDescent="0.2">
      <c r="B496" s="4" t="s">
        <v>725</v>
      </c>
      <c r="C496" s="4">
        <v>15.4049</v>
      </c>
      <c r="D496" s="4">
        <v>16.020700000000001</v>
      </c>
      <c r="E496" s="4">
        <v>17.995899999999999</v>
      </c>
      <c r="F496" s="4">
        <f t="shared" si="28"/>
        <v>16.473833333333335</v>
      </c>
      <c r="I496" s="4" t="s">
        <v>880</v>
      </c>
      <c r="J496" s="4">
        <v>16.4238</v>
      </c>
      <c r="K496" s="4">
        <v>17.0459</v>
      </c>
      <c r="L496" s="4">
        <v>16.195699999999999</v>
      </c>
      <c r="M496" s="4">
        <f t="shared" si="29"/>
        <v>16.555133333333334</v>
      </c>
      <c r="Q496" s="43" t="s">
        <v>2200</v>
      </c>
      <c r="R496" s="4">
        <v>16.330342294829901</v>
      </c>
      <c r="S496" s="4">
        <v>16.372225532546999</v>
      </c>
      <c r="T496" s="4">
        <v>16.1623593285323</v>
      </c>
      <c r="U496" s="4">
        <f t="shared" si="30"/>
        <v>16.288309051969733</v>
      </c>
      <c r="X496" s="43" t="s">
        <v>1146</v>
      </c>
      <c r="Y496" s="4">
        <v>16.131293109737001</v>
      </c>
      <c r="Z496" s="4">
        <v>16.572570815079001</v>
      </c>
      <c r="AA496" s="4">
        <v>16.053777274888098</v>
      </c>
      <c r="AB496" s="4">
        <f t="shared" si="31"/>
        <v>16.252547066568034</v>
      </c>
      <c r="AK496" s="1"/>
      <c r="AM496" s="4" t="s">
        <v>4587</v>
      </c>
    </row>
    <row r="497" spans="2:39" x14ac:dyDescent="0.2">
      <c r="B497" s="4" t="s">
        <v>3830</v>
      </c>
      <c r="C497" s="4">
        <v>16.530100000000001</v>
      </c>
      <c r="D497" s="4">
        <v>16.4359</v>
      </c>
      <c r="E497" s="4">
        <v>16.4377</v>
      </c>
      <c r="F497" s="4">
        <f t="shared" si="28"/>
        <v>16.4679</v>
      </c>
      <c r="I497" s="4" t="s">
        <v>1557</v>
      </c>
      <c r="J497" s="4">
        <v>16.776</v>
      </c>
      <c r="K497" s="4">
        <v>16.0962</v>
      </c>
      <c r="L497" s="4">
        <v>16.785900000000002</v>
      </c>
      <c r="M497" s="4">
        <f t="shared" si="29"/>
        <v>16.552700000000002</v>
      </c>
      <c r="Q497" s="43" t="s">
        <v>4541</v>
      </c>
      <c r="R497" s="4">
        <v>16.150553765721501</v>
      </c>
      <c r="S497" s="4">
        <v>16.237315417913301</v>
      </c>
      <c r="T497" s="4">
        <v>16.4349635169776</v>
      </c>
      <c r="U497" s="4">
        <f t="shared" si="30"/>
        <v>16.274277566870804</v>
      </c>
      <c r="X497" s="43" t="s">
        <v>3952</v>
      </c>
      <c r="Y497" s="4">
        <v>16.164893370099001</v>
      </c>
      <c r="Z497" s="4">
        <v>16.3946202648449</v>
      </c>
      <c r="AA497" s="4">
        <v>16.197546608094999</v>
      </c>
      <c r="AB497" s="4">
        <f t="shared" si="31"/>
        <v>16.252353414346299</v>
      </c>
      <c r="AK497" s="1"/>
      <c r="AM497" s="4" t="s">
        <v>4542</v>
      </c>
    </row>
    <row r="498" spans="2:39" x14ac:dyDescent="0.2">
      <c r="B498" s="4" t="s">
        <v>2160</v>
      </c>
      <c r="C498" s="4">
        <v>16.4499</v>
      </c>
      <c r="D498" s="4">
        <v>16.415400000000002</v>
      </c>
      <c r="E498" s="4">
        <v>16.529299999999999</v>
      </c>
      <c r="F498" s="4">
        <f t="shared" si="28"/>
        <v>16.464866666666669</v>
      </c>
      <c r="I498" s="4" t="s">
        <v>2605</v>
      </c>
      <c r="J498" s="4">
        <v>16.556100000000001</v>
      </c>
      <c r="K498" s="4">
        <v>16.380199999999999</v>
      </c>
      <c r="L498" s="4">
        <v>16.682700000000001</v>
      </c>
      <c r="M498" s="4">
        <f t="shared" si="29"/>
        <v>16.539666666666665</v>
      </c>
      <c r="Q498" s="43" t="s">
        <v>4485</v>
      </c>
      <c r="R498" s="4">
        <v>16.402668034541499</v>
      </c>
      <c r="S498" s="4">
        <v>16.2395878387123</v>
      </c>
      <c r="T498" s="4">
        <v>16.171677231042299</v>
      </c>
      <c r="U498" s="4">
        <f t="shared" si="30"/>
        <v>16.271311034765365</v>
      </c>
      <c r="X498" s="43" t="s">
        <v>970</v>
      </c>
      <c r="Y498" s="4">
        <v>16.349439644549399</v>
      </c>
      <c r="Z498" s="4">
        <v>16.284887343403401</v>
      </c>
      <c r="AA498" s="4">
        <v>16.112409759160801</v>
      </c>
      <c r="AB498" s="4">
        <f t="shared" si="31"/>
        <v>16.248912249037868</v>
      </c>
      <c r="AK498" s="1"/>
      <c r="AM498" s="4" t="s">
        <v>1354</v>
      </c>
    </row>
    <row r="499" spans="2:39" x14ac:dyDescent="0.2">
      <c r="B499" s="4" t="s">
        <v>267</v>
      </c>
      <c r="C499" s="4">
        <v>16.096800000000002</v>
      </c>
      <c r="D499" s="4">
        <v>16.637799999999999</v>
      </c>
      <c r="E499" s="4">
        <v>16.638999999999999</v>
      </c>
      <c r="F499" s="4">
        <f t="shared" si="28"/>
        <v>16.457866666666664</v>
      </c>
      <c r="I499" s="4" t="s">
        <v>3564</v>
      </c>
      <c r="J499" s="4">
        <v>16.699100000000001</v>
      </c>
      <c r="K499" s="4">
        <v>16.126300000000001</v>
      </c>
      <c r="L499" s="4">
        <v>16.791</v>
      </c>
      <c r="M499" s="4">
        <f t="shared" si="29"/>
        <v>16.538799999999998</v>
      </c>
      <c r="Q499" s="43" t="s">
        <v>3060</v>
      </c>
      <c r="R499" s="4">
        <v>16.3337815516064</v>
      </c>
      <c r="S499" s="4">
        <v>16.222871787880401</v>
      </c>
      <c r="T499" s="4">
        <v>16.232090925569199</v>
      </c>
      <c r="U499" s="4">
        <f t="shared" si="30"/>
        <v>16.262914755018667</v>
      </c>
      <c r="X499" s="43" t="s">
        <v>2314</v>
      </c>
      <c r="Y499" s="4">
        <v>16.243223565352402</v>
      </c>
      <c r="Z499" s="4">
        <v>16.329086028300001</v>
      </c>
      <c r="AA499" s="4">
        <v>16.161971783975101</v>
      </c>
      <c r="AB499" s="4">
        <f t="shared" si="31"/>
        <v>16.244760459209171</v>
      </c>
      <c r="AK499" s="1"/>
      <c r="AM499" s="4" t="s">
        <v>4553</v>
      </c>
    </row>
    <row r="500" spans="2:39" x14ac:dyDescent="0.2">
      <c r="B500" s="4" t="s">
        <v>3084</v>
      </c>
      <c r="C500" s="4">
        <v>16.3489</v>
      </c>
      <c r="D500" s="4">
        <v>16.5898</v>
      </c>
      <c r="E500" s="4">
        <v>16.417100000000001</v>
      </c>
      <c r="F500" s="4">
        <f t="shared" si="28"/>
        <v>16.451933333333333</v>
      </c>
      <c r="I500" s="4" t="s">
        <v>2513</v>
      </c>
      <c r="J500" s="4">
        <v>15.6027</v>
      </c>
      <c r="K500" s="4">
        <v>18.191700000000001</v>
      </c>
      <c r="L500" s="4">
        <v>15.814299999999999</v>
      </c>
      <c r="M500" s="4">
        <f t="shared" si="29"/>
        <v>16.536233333333332</v>
      </c>
      <c r="Q500" s="43" t="s">
        <v>3629</v>
      </c>
      <c r="R500" s="4">
        <v>16.3116645825821</v>
      </c>
      <c r="S500" s="4">
        <v>16.200206074711701</v>
      </c>
      <c r="T500" s="4">
        <v>16.274817510889399</v>
      </c>
      <c r="U500" s="4">
        <f t="shared" si="30"/>
        <v>16.262229389394399</v>
      </c>
      <c r="X500" s="43" t="s">
        <v>2063</v>
      </c>
      <c r="Y500" s="4">
        <v>16.211002878130898</v>
      </c>
      <c r="Z500" s="4">
        <v>16.338691941791701</v>
      </c>
      <c r="AA500" s="4">
        <v>16.178931630738301</v>
      </c>
      <c r="AB500" s="4">
        <f t="shared" si="31"/>
        <v>16.242875483553632</v>
      </c>
      <c r="AK500" s="1"/>
      <c r="AM500" s="4" t="s">
        <v>4168</v>
      </c>
    </row>
    <row r="501" spans="2:39" x14ac:dyDescent="0.2">
      <c r="B501" s="4" t="s">
        <v>436</v>
      </c>
      <c r="C501" s="4">
        <v>16.713100000000001</v>
      </c>
      <c r="D501" s="4">
        <v>16.293900000000001</v>
      </c>
      <c r="E501" s="4">
        <v>16.3428</v>
      </c>
      <c r="F501" s="4">
        <f t="shared" si="28"/>
        <v>16.449933333333334</v>
      </c>
      <c r="I501" s="4" t="s">
        <v>2110</v>
      </c>
      <c r="J501" s="4">
        <v>16.357500000000002</v>
      </c>
      <c r="K501" s="4">
        <v>16.933</v>
      </c>
      <c r="L501" s="4">
        <v>16.2746</v>
      </c>
      <c r="M501" s="4">
        <f t="shared" si="29"/>
        <v>16.521699999999999</v>
      </c>
      <c r="Q501" s="43" t="s">
        <v>1484</v>
      </c>
      <c r="R501" s="4">
        <v>16.3218201761795</v>
      </c>
      <c r="S501" s="4">
        <v>16.221969351896799</v>
      </c>
      <c r="T501" s="4">
        <v>16.2132819012079</v>
      </c>
      <c r="U501" s="4">
        <f t="shared" si="30"/>
        <v>16.252357143094734</v>
      </c>
      <c r="X501" s="43" t="s">
        <v>295</v>
      </c>
      <c r="Y501" s="4">
        <v>16.2184029198018</v>
      </c>
      <c r="Z501" s="4">
        <v>16.1551636315675</v>
      </c>
      <c r="AA501" s="4">
        <v>16.353194637416902</v>
      </c>
      <c r="AB501" s="4">
        <f t="shared" si="31"/>
        <v>16.242253729595401</v>
      </c>
      <c r="AK501" s="1"/>
      <c r="AM501" s="4" t="s">
        <v>4566</v>
      </c>
    </row>
    <row r="502" spans="2:39" x14ac:dyDescent="0.2">
      <c r="B502" s="4" t="s">
        <v>2831</v>
      </c>
      <c r="C502" s="4">
        <v>16.5154</v>
      </c>
      <c r="D502" s="4">
        <v>16.4772</v>
      </c>
      <c r="E502" s="4">
        <v>16.3491</v>
      </c>
      <c r="F502" s="4">
        <f t="shared" si="28"/>
        <v>16.447233333333333</v>
      </c>
      <c r="I502" s="4" t="s">
        <v>3720</v>
      </c>
      <c r="J502" s="4">
        <v>16.303100000000001</v>
      </c>
      <c r="K502" s="4">
        <v>17.21</v>
      </c>
      <c r="L502" s="4">
        <v>16.0334</v>
      </c>
      <c r="M502" s="4">
        <f t="shared" si="29"/>
        <v>16.515499999999999</v>
      </c>
      <c r="Q502" s="43" t="s">
        <v>128</v>
      </c>
      <c r="R502" s="4">
        <v>16.439761199085101</v>
      </c>
      <c r="S502" s="4">
        <v>16.097671720174599</v>
      </c>
      <c r="T502" s="4">
        <v>16.212906001038402</v>
      </c>
      <c r="U502" s="4">
        <f t="shared" si="30"/>
        <v>16.250112973432703</v>
      </c>
      <c r="X502" s="43" t="s">
        <v>2467</v>
      </c>
      <c r="Y502" s="4">
        <v>16.221599000964101</v>
      </c>
      <c r="Z502" s="4">
        <v>16.284882328020402</v>
      </c>
      <c r="AA502" s="4">
        <v>16.211427805839602</v>
      </c>
      <c r="AB502" s="4">
        <f t="shared" si="31"/>
        <v>16.239303044941369</v>
      </c>
      <c r="AK502" s="1"/>
      <c r="AM502" s="4" t="s">
        <v>4525</v>
      </c>
    </row>
    <row r="503" spans="2:39" x14ac:dyDescent="0.2">
      <c r="B503" s="4" t="s">
        <v>2209</v>
      </c>
      <c r="C503" s="4">
        <v>16.650600000000001</v>
      </c>
      <c r="D503" s="4">
        <v>16.462700000000002</v>
      </c>
      <c r="E503" s="4">
        <v>16.224799999999998</v>
      </c>
      <c r="F503" s="4">
        <f t="shared" si="28"/>
        <v>16.446033333333332</v>
      </c>
      <c r="I503" s="4" t="s">
        <v>951</v>
      </c>
      <c r="J503" s="4">
        <v>16.625800000000002</v>
      </c>
      <c r="K503" s="4">
        <v>16.293600000000001</v>
      </c>
      <c r="L503" s="4">
        <v>16.621500000000001</v>
      </c>
      <c r="M503" s="4">
        <f t="shared" si="29"/>
        <v>16.513633333333335</v>
      </c>
      <c r="Q503" s="43" t="s">
        <v>1333</v>
      </c>
      <c r="R503" s="4">
        <v>16.382386207337099</v>
      </c>
      <c r="S503" s="4">
        <v>16.112688111864902</v>
      </c>
      <c r="T503" s="4">
        <v>16.246551862093401</v>
      </c>
      <c r="U503" s="4">
        <f t="shared" si="30"/>
        <v>16.247208727098467</v>
      </c>
      <c r="X503" s="43" t="s">
        <v>3340</v>
      </c>
      <c r="Y503" s="4">
        <v>16.119613118628099</v>
      </c>
      <c r="Z503" s="4">
        <v>16.389733229414102</v>
      </c>
      <c r="AA503" s="4">
        <v>16.196715919365801</v>
      </c>
      <c r="AB503" s="4">
        <f t="shared" si="31"/>
        <v>16.235354089135999</v>
      </c>
      <c r="AK503" s="1"/>
      <c r="AM503" s="4" t="s">
        <v>4545</v>
      </c>
    </row>
    <row r="504" spans="2:39" x14ac:dyDescent="0.2">
      <c r="B504" s="4" t="s">
        <v>1720</v>
      </c>
      <c r="C504" s="4">
        <v>16.416599999999999</v>
      </c>
      <c r="D504" s="4">
        <v>16.4312</v>
      </c>
      <c r="E504" s="4">
        <v>16.482700000000001</v>
      </c>
      <c r="F504" s="4">
        <f t="shared" si="28"/>
        <v>16.4435</v>
      </c>
      <c r="I504" s="4" t="s">
        <v>2389</v>
      </c>
      <c r="J504" s="4">
        <v>16.646000000000001</v>
      </c>
      <c r="K504" s="4">
        <v>16.238600000000002</v>
      </c>
      <c r="L504" s="4">
        <v>16.652699999999999</v>
      </c>
      <c r="M504" s="4">
        <f t="shared" si="29"/>
        <v>16.512433333333334</v>
      </c>
      <c r="Q504" s="43" t="s">
        <v>3732</v>
      </c>
      <c r="R504" s="4">
        <v>16.312735107840499</v>
      </c>
      <c r="S504" s="4">
        <v>16.217612616174002</v>
      </c>
      <c r="T504" s="4">
        <v>16.2057488035828</v>
      </c>
      <c r="U504" s="4">
        <f t="shared" si="30"/>
        <v>16.2453655091991</v>
      </c>
      <c r="X504" s="43" t="s">
        <v>211</v>
      </c>
      <c r="Y504" s="4">
        <v>16.327542322403101</v>
      </c>
      <c r="Z504" s="4">
        <v>16.337686685585101</v>
      </c>
      <c r="AA504" s="4">
        <v>16.035465906006198</v>
      </c>
      <c r="AB504" s="4">
        <f t="shared" si="31"/>
        <v>16.233564971331464</v>
      </c>
      <c r="AK504" s="1"/>
      <c r="AM504" s="4" t="s">
        <v>193</v>
      </c>
    </row>
    <row r="505" spans="2:39" x14ac:dyDescent="0.2">
      <c r="B505" s="4" t="s">
        <v>2365</v>
      </c>
      <c r="C505" s="4">
        <v>16.511099999999999</v>
      </c>
      <c r="D505" s="4">
        <v>16.5093</v>
      </c>
      <c r="E505" s="4">
        <v>16.287400000000002</v>
      </c>
      <c r="F505" s="4">
        <f t="shared" si="28"/>
        <v>16.435933333333335</v>
      </c>
      <c r="I505" s="4" t="s">
        <v>2160</v>
      </c>
      <c r="J505" s="4">
        <v>16.7499</v>
      </c>
      <c r="K505" s="4">
        <v>16.071400000000001</v>
      </c>
      <c r="L505" s="4">
        <v>16.709599999999998</v>
      </c>
      <c r="M505" s="4">
        <f t="shared" si="29"/>
        <v>16.510300000000001</v>
      </c>
      <c r="Q505" s="43" t="s">
        <v>938</v>
      </c>
      <c r="R505" s="4">
        <v>15.5577441179129</v>
      </c>
      <c r="S505" s="4">
        <v>16.835004352644798</v>
      </c>
      <c r="T505" s="4">
        <v>16.334354724782699</v>
      </c>
      <c r="U505" s="4">
        <f t="shared" si="30"/>
        <v>16.242367731780131</v>
      </c>
      <c r="X505" s="43" t="s">
        <v>1259</v>
      </c>
      <c r="Y505" s="4">
        <v>16.278726697747601</v>
      </c>
      <c r="Z505" s="4">
        <v>16.2267204863745</v>
      </c>
      <c r="AA505" s="4">
        <v>16.1878372313951</v>
      </c>
      <c r="AB505" s="4">
        <f t="shared" si="31"/>
        <v>16.2310948051724</v>
      </c>
      <c r="AK505" s="1"/>
      <c r="AM505" s="4" t="s">
        <v>1940</v>
      </c>
    </row>
    <row r="506" spans="2:39" x14ac:dyDescent="0.2">
      <c r="B506" s="4" t="s">
        <v>1516</v>
      </c>
      <c r="C506" s="4">
        <v>15.4046</v>
      </c>
      <c r="D506" s="4">
        <v>16.466200000000001</v>
      </c>
      <c r="E506" s="4">
        <v>17.436299999999999</v>
      </c>
      <c r="F506" s="4">
        <f t="shared" si="28"/>
        <v>16.435700000000001</v>
      </c>
      <c r="I506" s="4" t="s">
        <v>2647</v>
      </c>
      <c r="J506" s="4">
        <v>16.725100000000001</v>
      </c>
      <c r="K506" s="4">
        <v>15.9308</v>
      </c>
      <c r="L506" s="4">
        <v>16.873999999999999</v>
      </c>
      <c r="M506" s="4">
        <f t="shared" si="29"/>
        <v>16.509966666666667</v>
      </c>
      <c r="Q506" s="43" t="s">
        <v>798</v>
      </c>
      <c r="R506" s="4">
        <v>16.039560951750602</v>
      </c>
      <c r="S506" s="4">
        <v>16.278060097480999</v>
      </c>
      <c r="T506" s="4">
        <v>16.408768010461301</v>
      </c>
      <c r="U506" s="4">
        <f t="shared" si="30"/>
        <v>16.242129686564301</v>
      </c>
      <c r="X506" s="43" t="s">
        <v>233</v>
      </c>
      <c r="Y506" s="4">
        <v>16.228186159220201</v>
      </c>
      <c r="Z506" s="4">
        <v>16.2623934099365</v>
      </c>
      <c r="AA506" s="4">
        <v>16.1906652237851</v>
      </c>
      <c r="AB506" s="4">
        <f t="shared" si="31"/>
        <v>16.227081597647267</v>
      </c>
      <c r="AK506" s="1"/>
      <c r="AM506" s="4" t="s">
        <v>1867</v>
      </c>
    </row>
    <row r="507" spans="2:39" x14ac:dyDescent="0.2">
      <c r="B507" s="4" t="s">
        <v>1676</v>
      </c>
      <c r="C507" s="4">
        <v>17.2485</v>
      </c>
      <c r="D507" s="4">
        <v>16.4694</v>
      </c>
      <c r="E507" s="4">
        <v>15.587199999999999</v>
      </c>
      <c r="F507" s="4">
        <f t="shared" si="28"/>
        <v>16.435033333333333</v>
      </c>
      <c r="I507" s="4" t="s">
        <v>3312</v>
      </c>
      <c r="J507" s="4">
        <v>16.579899999999999</v>
      </c>
      <c r="K507" s="4">
        <v>16.563199999999998</v>
      </c>
      <c r="L507" s="4">
        <v>16.375</v>
      </c>
      <c r="M507" s="4">
        <f t="shared" si="29"/>
        <v>16.506033333333331</v>
      </c>
      <c r="Q507" s="43" t="s">
        <v>1235</v>
      </c>
      <c r="R507" s="4">
        <v>16.180505040261899</v>
      </c>
      <c r="S507" s="4">
        <v>16.2968821696982</v>
      </c>
      <c r="T507" s="4">
        <v>16.232882771625299</v>
      </c>
      <c r="U507" s="4">
        <f t="shared" si="30"/>
        <v>16.236756660528467</v>
      </c>
      <c r="X507" s="43" t="s">
        <v>3753</v>
      </c>
      <c r="Y507" s="4">
        <v>16.2254758345636</v>
      </c>
      <c r="Z507" s="4">
        <v>16.263875164933101</v>
      </c>
      <c r="AA507" s="4">
        <v>16.188482919932401</v>
      </c>
      <c r="AB507" s="4">
        <f t="shared" si="31"/>
        <v>16.2259446398097</v>
      </c>
      <c r="AK507" s="1"/>
      <c r="AM507" s="4" t="s">
        <v>4119</v>
      </c>
    </row>
    <row r="508" spans="2:39" x14ac:dyDescent="0.2">
      <c r="B508" s="4" t="s">
        <v>1428</v>
      </c>
      <c r="C508" s="4">
        <v>16.461600000000001</v>
      </c>
      <c r="D508" s="4">
        <v>16.554099999999998</v>
      </c>
      <c r="E508" s="4">
        <v>16.2821</v>
      </c>
      <c r="F508" s="4">
        <f t="shared" si="28"/>
        <v>16.432599999999997</v>
      </c>
      <c r="I508" s="4" t="s">
        <v>731</v>
      </c>
      <c r="J508" s="4">
        <v>16.1128</v>
      </c>
      <c r="K508" s="4">
        <v>17.176200000000001</v>
      </c>
      <c r="L508" s="4">
        <v>16.227</v>
      </c>
      <c r="M508" s="4">
        <f t="shared" si="29"/>
        <v>16.505333333333336</v>
      </c>
      <c r="Q508" s="43" t="s">
        <v>2707</v>
      </c>
      <c r="R508" s="4">
        <v>16.191577662250602</v>
      </c>
      <c r="S508" s="4">
        <v>16.233681528575602</v>
      </c>
      <c r="T508" s="4">
        <v>16.284124851260401</v>
      </c>
      <c r="U508" s="4">
        <f t="shared" si="30"/>
        <v>16.236461347362201</v>
      </c>
      <c r="X508" s="43" t="s">
        <v>3267</v>
      </c>
      <c r="Y508" s="4">
        <v>16.191915934333601</v>
      </c>
      <c r="Z508" s="4">
        <v>16.3331914439445</v>
      </c>
      <c r="AA508" s="4">
        <v>16.144854227787999</v>
      </c>
      <c r="AB508" s="4">
        <f t="shared" si="31"/>
        <v>16.223320535355366</v>
      </c>
      <c r="AK508" s="1"/>
      <c r="AM508" s="6" t="s">
        <v>871</v>
      </c>
    </row>
    <row r="509" spans="2:39" x14ac:dyDescent="0.2">
      <c r="B509" s="4" t="s">
        <v>879</v>
      </c>
      <c r="C509" s="4">
        <v>16.427</v>
      </c>
      <c r="D509" s="4">
        <v>16.477699999999999</v>
      </c>
      <c r="E509" s="4">
        <v>16.369800000000001</v>
      </c>
      <c r="F509" s="4">
        <f t="shared" si="28"/>
        <v>16.424833333333336</v>
      </c>
      <c r="I509" s="4" t="s">
        <v>3691</v>
      </c>
      <c r="J509" s="4">
        <v>16.689900000000002</v>
      </c>
      <c r="K509" s="4">
        <v>16.258900000000001</v>
      </c>
      <c r="L509" s="4">
        <v>16.563099999999999</v>
      </c>
      <c r="M509" s="4">
        <f t="shared" si="29"/>
        <v>16.503966666666667</v>
      </c>
      <c r="Q509" s="43" t="s">
        <v>3456</v>
      </c>
      <c r="R509" s="4">
        <v>16.282829926272701</v>
      </c>
      <c r="S509" s="4">
        <v>16.058642519700602</v>
      </c>
      <c r="T509" s="4">
        <v>16.354666239617799</v>
      </c>
      <c r="U509" s="4">
        <f t="shared" si="30"/>
        <v>16.232046228530368</v>
      </c>
      <c r="X509" s="43" t="s">
        <v>3801</v>
      </c>
      <c r="Y509" s="4">
        <v>16.125605795917799</v>
      </c>
      <c r="Z509" s="4">
        <v>16.2094454663245</v>
      </c>
      <c r="AA509" s="4">
        <v>16.317395299237699</v>
      </c>
      <c r="AB509" s="4">
        <f t="shared" si="31"/>
        <v>16.217482187160002</v>
      </c>
      <c r="AK509" s="1"/>
      <c r="AM509" s="4" t="s">
        <v>4317</v>
      </c>
    </row>
    <row r="510" spans="2:39" x14ac:dyDescent="0.2">
      <c r="B510" s="4" t="s">
        <v>3230</v>
      </c>
      <c r="C510" s="4">
        <v>16.439399999999999</v>
      </c>
      <c r="D510" s="4">
        <v>16.267800000000001</v>
      </c>
      <c r="E510" s="4">
        <v>16.560500000000001</v>
      </c>
      <c r="F510" s="4">
        <f t="shared" si="28"/>
        <v>16.422566666666668</v>
      </c>
      <c r="I510" s="4" t="s">
        <v>1699</v>
      </c>
      <c r="J510" s="4">
        <v>16.402100000000001</v>
      </c>
      <c r="K510" s="4">
        <v>16.619900000000001</v>
      </c>
      <c r="L510" s="4">
        <v>16.4742</v>
      </c>
      <c r="M510" s="4">
        <f t="shared" si="29"/>
        <v>16.498733333333334</v>
      </c>
      <c r="Q510" s="43" t="s">
        <v>2181</v>
      </c>
      <c r="R510" s="4">
        <v>16.295477468892301</v>
      </c>
      <c r="S510" s="4">
        <v>16.1042898875959</v>
      </c>
      <c r="T510" s="4">
        <v>16.2684802101939</v>
      </c>
      <c r="U510" s="4">
        <f t="shared" si="30"/>
        <v>16.222749188894031</v>
      </c>
      <c r="X510" s="43" t="s">
        <v>3942</v>
      </c>
      <c r="Y510" s="4">
        <v>16.158882780751998</v>
      </c>
      <c r="Z510" s="4">
        <v>16.319399056749901</v>
      </c>
      <c r="AA510" s="4">
        <v>16.167475024101599</v>
      </c>
      <c r="AB510" s="4">
        <f t="shared" si="31"/>
        <v>16.215252287201164</v>
      </c>
      <c r="AK510" s="1"/>
      <c r="AM510" s="4" t="s">
        <v>4371</v>
      </c>
    </row>
    <row r="511" spans="2:39" x14ac:dyDescent="0.2">
      <c r="B511" s="4" t="s">
        <v>970</v>
      </c>
      <c r="C511" s="4">
        <v>16.444900000000001</v>
      </c>
      <c r="D511" s="4">
        <v>16.471699999999998</v>
      </c>
      <c r="E511" s="4">
        <v>16.3475</v>
      </c>
      <c r="F511" s="4">
        <f t="shared" si="28"/>
        <v>16.421366666666668</v>
      </c>
      <c r="I511" s="4" t="s">
        <v>3275</v>
      </c>
      <c r="J511" s="4">
        <v>16.777699999999999</v>
      </c>
      <c r="K511" s="4">
        <v>15.6639</v>
      </c>
      <c r="L511" s="4">
        <v>17.044599999999999</v>
      </c>
      <c r="M511" s="4">
        <f t="shared" si="29"/>
        <v>16.4954</v>
      </c>
      <c r="Q511" s="43" t="s">
        <v>1686</v>
      </c>
      <c r="R511" s="4">
        <v>16.311157991080101</v>
      </c>
      <c r="S511" s="4">
        <v>16.278732296940799</v>
      </c>
      <c r="T511" s="4">
        <v>16.069990951822199</v>
      </c>
      <c r="U511" s="4">
        <f t="shared" si="30"/>
        <v>16.219960413281033</v>
      </c>
      <c r="X511" s="43" t="s">
        <v>1884</v>
      </c>
      <c r="Y511" s="4">
        <v>16.068488679321799</v>
      </c>
      <c r="Z511" s="4">
        <v>16.676148370458399</v>
      </c>
      <c r="AA511" s="4">
        <v>15.892778561978799</v>
      </c>
      <c r="AB511" s="4">
        <f t="shared" si="31"/>
        <v>16.212471870586331</v>
      </c>
      <c r="AK511" s="1"/>
      <c r="AM511" s="4" t="s">
        <v>4135</v>
      </c>
    </row>
    <row r="512" spans="2:39" x14ac:dyDescent="0.2">
      <c r="B512" s="4" t="s">
        <v>2389</v>
      </c>
      <c r="C512" s="4">
        <v>16.490500000000001</v>
      </c>
      <c r="D512" s="4">
        <v>16.5181</v>
      </c>
      <c r="E512" s="4">
        <v>16.2531</v>
      </c>
      <c r="F512" s="4">
        <f t="shared" si="28"/>
        <v>16.420566666666669</v>
      </c>
      <c r="I512" s="4" t="s">
        <v>3465</v>
      </c>
      <c r="J512" s="4">
        <v>16.707899999999999</v>
      </c>
      <c r="K512" s="4">
        <v>16.201499999999999</v>
      </c>
      <c r="L512" s="4">
        <v>16.575900000000001</v>
      </c>
      <c r="M512" s="4">
        <f t="shared" si="29"/>
        <v>16.495099999999997</v>
      </c>
      <c r="Q512" s="43" t="s">
        <v>2218</v>
      </c>
      <c r="R512" s="4">
        <v>16.466043070830999</v>
      </c>
      <c r="S512" s="4">
        <v>16.106904874803899</v>
      </c>
      <c r="T512" s="4">
        <v>16.0810420200729</v>
      </c>
      <c r="U512" s="4">
        <f t="shared" si="30"/>
        <v>16.217996655235932</v>
      </c>
      <c r="X512" s="43" t="s">
        <v>1621</v>
      </c>
      <c r="Y512" s="4">
        <v>16.1906322217209</v>
      </c>
      <c r="Z512" s="4">
        <v>16.267095583620002</v>
      </c>
      <c r="AA512" s="4">
        <v>16.169316424439099</v>
      </c>
      <c r="AB512" s="4">
        <f t="shared" si="31"/>
        <v>16.209014743259999</v>
      </c>
      <c r="AK512" s="1"/>
      <c r="AM512" s="4" t="s">
        <v>4319</v>
      </c>
    </row>
    <row r="513" spans="2:39" x14ac:dyDescent="0.2">
      <c r="B513" s="4" t="s">
        <v>22</v>
      </c>
      <c r="C513" s="4">
        <v>16.494</v>
      </c>
      <c r="D513" s="4">
        <v>16.316500000000001</v>
      </c>
      <c r="E513" s="4">
        <v>16.451000000000001</v>
      </c>
      <c r="F513" s="4">
        <f t="shared" si="28"/>
        <v>16.420500000000001</v>
      </c>
      <c r="I513" s="4" t="s">
        <v>2209</v>
      </c>
      <c r="J513" s="4">
        <v>16.5214</v>
      </c>
      <c r="K513" s="4">
        <v>16.407</v>
      </c>
      <c r="L513" s="4">
        <v>16.554200000000002</v>
      </c>
      <c r="M513" s="4">
        <f t="shared" si="29"/>
        <v>16.494199999999999</v>
      </c>
      <c r="Q513" s="43" t="s">
        <v>3206</v>
      </c>
      <c r="R513" s="4">
        <v>16.153581504572699</v>
      </c>
      <c r="S513" s="4">
        <v>15.9529641934935</v>
      </c>
      <c r="T513" s="4">
        <v>16.520405751955</v>
      </c>
      <c r="U513" s="4">
        <f t="shared" si="30"/>
        <v>16.208983816673733</v>
      </c>
      <c r="X513" s="43" t="s">
        <v>3087</v>
      </c>
      <c r="Y513" s="4">
        <v>16.3902732283583</v>
      </c>
      <c r="Z513" s="4">
        <v>16.155094630772801</v>
      </c>
      <c r="AA513" s="4">
        <v>16.069831781325199</v>
      </c>
      <c r="AB513" s="4">
        <f t="shared" si="31"/>
        <v>16.205066546818767</v>
      </c>
      <c r="AK513" s="1"/>
      <c r="AM513" s="4" t="s">
        <v>4470</v>
      </c>
    </row>
    <row r="514" spans="2:39" x14ac:dyDescent="0.2">
      <c r="B514" s="4" t="s">
        <v>2124</v>
      </c>
      <c r="C514" s="4">
        <v>16.296399999999998</v>
      </c>
      <c r="D514" s="4">
        <v>16.4574</v>
      </c>
      <c r="E514" s="4">
        <v>16.503699999999998</v>
      </c>
      <c r="F514" s="4">
        <f t="shared" ref="F514:F577" si="32">(C514+D514+E514)/3</f>
        <v>16.419166666666666</v>
      </c>
      <c r="I514" s="4" t="s">
        <v>3769</v>
      </c>
      <c r="J514" s="4">
        <v>16.6081</v>
      </c>
      <c r="K514" s="4">
        <v>16.588799999999999</v>
      </c>
      <c r="L514" s="4">
        <v>16.269600000000001</v>
      </c>
      <c r="M514" s="4">
        <f t="shared" ref="M514:M577" si="33">(J514+K514+L514)/3</f>
        <v>16.488833333333332</v>
      </c>
      <c r="Q514" s="43" t="s">
        <v>2874</v>
      </c>
      <c r="R514" s="4">
        <v>16.2617892366498</v>
      </c>
      <c r="S514" s="4">
        <v>16.234544408201501</v>
      </c>
      <c r="T514" s="4">
        <v>16.1140978841179</v>
      </c>
      <c r="U514" s="4">
        <f t="shared" ref="U514:U577" si="34">(R514+S514+T514)/3</f>
        <v>16.203477176323066</v>
      </c>
      <c r="X514" s="43" t="s">
        <v>3531</v>
      </c>
      <c r="Y514" s="4">
        <v>16.263046490335</v>
      </c>
      <c r="Z514" s="4">
        <v>16.100554372791599</v>
      </c>
      <c r="AA514" s="4">
        <v>16.248044610216802</v>
      </c>
      <c r="AB514" s="4">
        <f t="shared" ref="AB514:AB577" si="35">(Y514+Z514+AA514)/3</f>
        <v>16.203881824447802</v>
      </c>
      <c r="AK514" s="1"/>
      <c r="AM514" s="4" t="s">
        <v>4411</v>
      </c>
    </row>
    <row r="515" spans="2:39" x14ac:dyDescent="0.2">
      <c r="B515" s="4" t="s">
        <v>2213</v>
      </c>
      <c r="C515" s="4">
        <v>16.300699999999999</v>
      </c>
      <c r="D515" s="4">
        <v>16.296500000000002</v>
      </c>
      <c r="E515" s="4">
        <v>16.656199999999998</v>
      </c>
      <c r="F515" s="4">
        <f t="shared" si="32"/>
        <v>16.4178</v>
      </c>
      <c r="I515" s="4" t="s">
        <v>316</v>
      </c>
      <c r="J515" s="4">
        <v>16.470199999999998</v>
      </c>
      <c r="K515" s="4">
        <v>16.4621</v>
      </c>
      <c r="L515" s="4">
        <v>16.533899999999999</v>
      </c>
      <c r="M515" s="4">
        <f t="shared" si="33"/>
        <v>16.488733333333332</v>
      </c>
      <c r="Q515" s="43" t="s">
        <v>2827</v>
      </c>
      <c r="R515" s="4">
        <v>16.3688603240814</v>
      </c>
      <c r="S515" s="4">
        <v>16.1345613187294</v>
      </c>
      <c r="T515" s="4">
        <v>16.092623384761598</v>
      </c>
      <c r="U515" s="4">
        <f t="shared" si="34"/>
        <v>16.198681675857468</v>
      </c>
      <c r="X515" s="43" t="s">
        <v>2065</v>
      </c>
      <c r="Y515" s="4">
        <v>16.186756458991798</v>
      </c>
      <c r="Z515" s="4">
        <v>16.379490237007499</v>
      </c>
      <c r="AA515" s="4">
        <v>16.042035914030201</v>
      </c>
      <c r="AB515" s="4">
        <f t="shared" si="35"/>
        <v>16.202760870009833</v>
      </c>
      <c r="AK515" s="1"/>
      <c r="AM515" s="4" t="s">
        <v>2491</v>
      </c>
    </row>
    <row r="516" spans="2:39" x14ac:dyDescent="0.2">
      <c r="B516" s="4" t="s">
        <v>3814</v>
      </c>
      <c r="C516" s="4">
        <v>16.520700000000001</v>
      </c>
      <c r="D516" s="4">
        <v>16.3886</v>
      </c>
      <c r="E516" s="4">
        <v>16.343599999999999</v>
      </c>
      <c r="F516" s="4">
        <f t="shared" si="32"/>
        <v>16.417633333333331</v>
      </c>
      <c r="I516" s="4" t="s">
        <v>3572</v>
      </c>
      <c r="J516" s="4">
        <v>16.147300000000001</v>
      </c>
      <c r="K516" s="4">
        <v>16.803100000000001</v>
      </c>
      <c r="L516" s="4">
        <v>16.509599999999999</v>
      </c>
      <c r="M516" s="4">
        <f t="shared" si="33"/>
        <v>16.486666666666668</v>
      </c>
      <c r="Q516" s="43" t="s">
        <v>589</v>
      </c>
      <c r="R516" s="4">
        <v>16.0568044863859</v>
      </c>
      <c r="S516" s="4">
        <v>16.254109444352</v>
      </c>
      <c r="T516" s="4">
        <v>16.253675585027199</v>
      </c>
      <c r="U516" s="4">
        <f t="shared" si="34"/>
        <v>16.188196505255032</v>
      </c>
      <c r="X516" s="43" t="s">
        <v>3146</v>
      </c>
      <c r="Y516" s="4">
        <v>16.1311509708705</v>
      </c>
      <c r="Z516" s="4">
        <v>16.2594895136539</v>
      </c>
      <c r="AA516" s="4">
        <v>16.2063099540999</v>
      </c>
      <c r="AB516" s="4">
        <f t="shared" si="35"/>
        <v>16.198983479541432</v>
      </c>
      <c r="AK516" s="1"/>
      <c r="AM516" s="4" t="s">
        <v>1054</v>
      </c>
    </row>
    <row r="517" spans="2:39" x14ac:dyDescent="0.2">
      <c r="B517" s="4" t="s">
        <v>3170</v>
      </c>
      <c r="C517" s="4">
        <v>16.521899999999999</v>
      </c>
      <c r="D517" s="4">
        <v>16.411799999999999</v>
      </c>
      <c r="E517" s="4">
        <v>16.313099999999999</v>
      </c>
      <c r="F517" s="4">
        <f t="shared" si="32"/>
        <v>16.415600000000001</v>
      </c>
      <c r="I517" s="4" t="s">
        <v>129</v>
      </c>
      <c r="J517" s="4">
        <v>16.578399999999998</v>
      </c>
      <c r="K517" s="4">
        <v>16.186900000000001</v>
      </c>
      <c r="L517" s="4">
        <v>16.6937</v>
      </c>
      <c r="M517" s="4">
        <f t="shared" si="33"/>
        <v>16.486333333333331</v>
      </c>
      <c r="Q517" s="43" t="s">
        <v>2185</v>
      </c>
      <c r="R517" s="4">
        <v>16.255309350349702</v>
      </c>
      <c r="S517" s="4">
        <v>16.071747552602901</v>
      </c>
      <c r="T517" s="4">
        <v>16.235475635314199</v>
      </c>
      <c r="U517" s="4">
        <f t="shared" si="34"/>
        <v>16.187510846088937</v>
      </c>
      <c r="X517" s="43" t="s">
        <v>293</v>
      </c>
      <c r="Y517" s="4">
        <v>16.189193647502002</v>
      </c>
      <c r="Z517" s="4">
        <v>16.1945632691043</v>
      </c>
      <c r="AA517" s="4">
        <v>16.2099109655042</v>
      </c>
      <c r="AB517" s="4">
        <f t="shared" si="35"/>
        <v>16.197889294036834</v>
      </c>
      <c r="AK517" s="1"/>
      <c r="AM517" s="4" t="s">
        <v>4516</v>
      </c>
    </row>
    <row r="518" spans="2:39" x14ac:dyDescent="0.2">
      <c r="B518" s="4" t="s">
        <v>2944</v>
      </c>
      <c r="C518" s="4">
        <v>16.443100000000001</v>
      </c>
      <c r="D518" s="4">
        <v>16.509699999999999</v>
      </c>
      <c r="E518" s="4">
        <v>16.293900000000001</v>
      </c>
      <c r="F518" s="4">
        <f t="shared" si="32"/>
        <v>16.415566666666667</v>
      </c>
      <c r="I518" s="4" t="s">
        <v>2213</v>
      </c>
      <c r="J518" s="4">
        <v>16.2165</v>
      </c>
      <c r="K518" s="4">
        <v>16.937799999999999</v>
      </c>
      <c r="L518" s="4">
        <v>16.296600000000002</v>
      </c>
      <c r="M518" s="4">
        <f t="shared" si="33"/>
        <v>16.483633333333334</v>
      </c>
      <c r="Q518" s="43" t="s">
        <v>1679</v>
      </c>
      <c r="R518" s="4">
        <v>16.212786194155701</v>
      </c>
      <c r="S518" s="4">
        <v>16.1595490371149</v>
      </c>
      <c r="T518" s="4">
        <v>16.190182906609401</v>
      </c>
      <c r="U518" s="4">
        <f t="shared" si="34"/>
        <v>16.187506045959999</v>
      </c>
      <c r="X518" s="43" t="s">
        <v>2650</v>
      </c>
      <c r="Y518" s="4">
        <v>16.182406432462201</v>
      </c>
      <c r="Z518" s="4">
        <v>16.182336605015301</v>
      </c>
      <c r="AA518" s="4">
        <v>16.2139333952485</v>
      </c>
      <c r="AB518" s="4">
        <f t="shared" si="35"/>
        <v>16.192892144241998</v>
      </c>
      <c r="AK518" s="1"/>
      <c r="AM518" s="2"/>
    </row>
    <row r="519" spans="2:39" x14ac:dyDescent="0.2">
      <c r="B519" s="4" t="s">
        <v>305</v>
      </c>
      <c r="C519" s="4">
        <v>16.019400000000001</v>
      </c>
      <c r="D519" s="4">
        <v>16.613</v>
      </c>
      <c r="E519" s="4">
        <v>16.599599999999999</v>
      </c>
      <c r="F519" s="4">
        <f t="shared" si="32"/>
        <v>16.410666666666668</v>
      </c>
      <c r="I519" s="4" t="s">
        <v>2529</v>
      </c>
      <c r="J519" s="4">
        <v>16.543299999999999</v>
      </c>
      <c r="K519" s="4">
        <v>16.2088</v>
      </c>
      <c r="L519" s="4">
        <v>16.670200000000001</v>
      </c>
      <c r="M519" s="4">
        <f t="shared" si="33"/>
        <v>16.4741</v>
      </c>
      <c r="Q519" s="43" t="s">
        <v>1365</v>
      </c>
      <c r="R519" s="4">
        <v>16.501406721256298</v>
      </c>
      <c r="S519" s="4">
        <v>15.7396587402249</v>
      </c>
      <c r="T519" s="4">
        <v>16.3172586242572</v>
      </c>
      <c r="U519" s="4">
        <f t="shared" si="34"/>
        <v>16.186108028579465</v>
      </c>
      <c r="X519" s="43" t="s">
        <v>3810</v>
      </c>
      <c r="Y519" s="4">
        <v>16.200642406055099</v>
      </c>
      <c r="Z519" s="4">
        <v>16.221107122183099</v>
      </c>
      <c r="AA519" s="4">
        <v>16.140494373870201</v>
      </c>
      <c r="AB519" s="4">
        <f t="shared" si="35"/>
        <v>16.187414634036131</v>
      </c>
      <c r="AK519" s="1"/>
      <c r="AM519" s="2"/>
    </row>
    <row r="520" spans="2:39" x14ac:dyDescent="0.2">
      <c r="B520" s="4" t="s">
        <v>3423</v>
      </c>
      <c r="C520" s="4">
        <v>16.4682</v>
      </c>
      <c r="D520" s="4">
        <v>16.4283</v>
      </c>
      <c r="E520" s="4">
        <v>16.296099999999999</v>
      </c>
      <c r="F520" s="4">
        <f t="shared" si="32"/>
        <v>16.397533333333332</v>
      </c>
      <c r="I520" s="4" t="s">
        <v>3456</v>
      </c>
      <c r="J520" s="4">
        <v>16.566500000000001</v>
      </c>
      <c r="K520" s="4">
        <v>16.299299999999999</v>
      </c>
      <c r="L520" s="4">
        <v>16.5565</v>
      </c>
      <c r="M520" s="4">
        <f t="shared" si="33"/>
        <v>16.4741</v>
      </c>
      <c r="Q520" s="43" t="s">
        <v>2879</v>
      </c>
      <c r="R520" s="4">
        <v>16.181697591076102</v>
      </c>
      <c r="S520" s="4">
        <v>16.116474029606898</v>
      </c>
      <c r="T520" s="4">
        <v>16.260104780846198</v>
      </c>
      <c r="U520" s="4">
        <f t="shared" si="34"/>
        <v>16.186092133843065</v>
      </c>
      <c r="X520" s="43" t="s">
        <v>852</v>
      </c>
      <c r="Y520" s="4">
        <v>16.133419856901199</v>
      </c>
      <c r="Z520" s="4">
        <v>16.195407898902701</v>
      </c>
      <c r="AA520" s="4">
        <v>16.213980446860901</v>
      </c>
      <c r="AB520" s="4">
        <f t="shared" si="35"/>
        <v>16.180936067554935</v>
      </c>
      <c r="AK520" s="1"/>
      <c r="AM520" s="2"/>
    </row>
    <row r="521" spans="2:39" x14ac:dyDescent="0.2">
      <c r="B521" s="4" t="s">
        <v>3772</v>
      </c>
      <c r="C521" s="4">
        <v>16.2697</v>
      </c>
      <c r="D521" s="4">
        <v>16.481300000000001</v>
      </c>
      <c r="E521" s="4">
        <v>16.4251</v>
      </c>
      <c r="F521" s="4">
        <f t="shared" si="32"/>
        <v>16.392033333333334</v>
      </c>
      <c r="I521" s="4" t="s">
        <v>1695</v>
      </c>
      <c r="J521" s="4">
        <v>16.630700000000001</v>
      </c>
      <c r="K521" s="4">
        <v>16.154900000000001</v>
      </c>
      <c r="L521" s="4">
        <v>16.610700000000001</v>
      </c>
      <c r="M521" s="4">
        <f t="shared" si="33"/>
        <v>16.465433333333333</v>
      </c>
      <c r="Q521" s="43" t="s">
        <v>3049</v>
      </c>
      <c r="R521" s="4">
        <v>16.0683822235322</v>
      </c>
      <c r="S521" s="4">
        <v>16.1533618416866</v>
      </c>
      <c r="T521" s="4">
        <v>16.336273079416099</v>
      </c>
      <c r="U521" s="4">
        <f t="shared" si="34"/>
        <v>16.186005714878302</v>
      </c>
      <c r="X521" s="43" t="s">
        <v>1904</v>
      </c>
      <c r="Y521" s="4">
        <v>16.118830720136501</v>
      </c>
      <c r="Z521" s="4">
        <v>16.328942997377698</v>
      </c>
      <c r="AA521" s="4">
        <v>16.085186787619499</v>
      </c>
      <c r="AB521" s="4">
        <f t="shared" si="35"/>
        <v>16.17765350171123</v>
      </c>
      <c r="AK521" s="1"/>
      <c r="AM521" s="2"/>
    </row>
    <row r="522" spans="2:39" x14ac:dyDescent="0.2">
      <c r="B522" s="4" t="s">
        <v>1214</v>
      </c>
      <c r="C522" s="4">
        <v>16.2805</v>
      </c>
      <c r="D522" s="4">
        <v>16.281400000000001</v>
      </c>
      <c r="E522" s="4">
        <v>16.605499999999999</v>
      </c>
      <c r="F522" s="4">
        <f t="shared" si="32"/>
        <v>16.389133333333334</v>
      </c>
      <c r="I522" s="4" t="s">
        <v>2632</v>
      </c>
      <c r="J522" s="4">
        <v>16.638300000000001</v>
      </c>
      <c r="K522" s="4">
        <v>16.056799999999999</v>
      </c>
      <c r="L522" s="4">
        <v>16.696100000000001</v>
      </c>
      <c r="M522" s="4">
        <f t="shared" si="33"/>
        <v>16.463733333333334</v>
      </c>
      <c r="Q522" s="43" t="s">
        <v>1047</v>
      </c>
      <c r="R522" s="4">
        <v>16.337421095974602</v>
      </c>
      <c r="S522" s="4">
        <v>16.0053322458457</v>
      </c>
      <c r="T522" s="4">
        <v>16.206452321304901</v>
      </c>
      <c r="U522" s="4">
        <f t="shared" si="34"/>
        <v>16.183068554375065</v>
      </c>
      <c r="X522" s="43" t="s">
        <v>3957</v>
      </c>
      <c r="Y522" s="4">
        <v>16.165751458801399</v>
      </c>
      <c r="Z522" s="4">
        <v>16.2432053407396</v>
      </c>
      <c r="AA522" s="4">
        <v>16.119863960895898</v>
      </c>
      <c r="AB522" s="4">
        <f t="shared" si="35"/>
        <v>16.1762735868123</v>
      </c>
      <c r="AK522" s="1"/>
      <c r="AM522" s="2"/>
    </row>
    <row r="523" spans="2:39" x14ac:dyDescent="0.2">
      <c r="B523" s="4" t="s">
        <v>1933</v>
      </c>
      <c r="C523" s="4">
        <v>16.162099999999999</v>
      </c>
      <c r="D523" s="4">
        <v>16.178100000000001</v>
      </c>
      <c r="E523" s="4">
        <v>16.822500000000002</v>
      </c>
      <c r="F523" s="4">
        <f t="shared" si="32"/>
        <v>16.387566666666668</v>
      </c>
      <c r="I523" s="4" t="s">
        <v>3611</v>
      </c>
      <c r="J523" s="4">
        <v>16.599499999999999</v>
      </c>
      <c r="K523" s="4">
        <v>16.240300000000001</v>
      </c>
      <c r="L523" s="4">
        <v>16.539300000000001</v>
      </c>
      <c r="M523" s="4">
        <f t="shared" si="33"/>
        <v>16.459699999999998</v>
      </c>
      <c r="Q523" s="43" t="s">
        <v>3810</v>
      </c>
      <c r="R523" s="4">
        <v>16.146513851932902</v>
      </c>
      <c r="S523" s="4">
        <v>16.053835358401699</v>
      </c>
      <c r="T523" s="4">
        <v>16.347742196475899</v>
      </c>
      <c r="U523" s="4">
        <f t="shared" si="34"/>
        <v>16.182697135603501</v>
      </c>
      <c r="X523" s="43" t="s">
        <v>1333</v>
      </c>
      <c r="Y523" s="4">
        <v>16.106403920754499</v>
      </c>
      <c r="Z523" s="4">
        <v>16.038274469521099</v>
      </c>
      <c r="AA523" s="4">
        <v>16.3790872103448</v>
      </c>
      <c r="AB523" s="4">
        <f t="shared" si="35"/>
        <v>16.174588533540135</v>
      </c>
      <c r="AK523" s="1"/>
      <c r="AM523" s="2"/>
    </row>
    <row r="524" spans="2:39" x14ac:dyDescent="0.2">
      <c r="B524" s="4" t="s">
        <v>2605</v>
      </c>
      <c r="C524" s="4">
        <v>16.072700000000001</v>
      </c>
      <c r="D524" s="4">
        <v>16.571999999999999</v>
      </c>
      <c r="E524" s="4">
        <v>16.515999999999998</v>
      </c>
      <c r="F524" s="4">
        <f t="shared" si="32"/>
        <v>16.386900000000001</v>
      </c>
      <c r="I524" s="4" t="s">
        <v>3725</v>
      </c>
      <c r="J524" s="4">
        <v>16.0426</v>
      </c>
      <c r="K524" s="4">
        <v>16.436</v>
      </c>
      <c r="L524" s="4">
        <v>16.899799999999999</v>
      </c>
      <c r="M524" s="4">
        <f t="shared" si="33"/>
        <v>16.459466666666668</v>
      </c>
      <c r="Q524" s="43" t="s">
        <v>4020</v>
      </c>
      <c r="R524" s="4">
        <v>16.611553588037602</v>
      </c>
      <c r="S524" s="4">
        <v>15.922754213584801</v>
      </c>
      <c r="T524" s="4">
        <v>16.013505932233901</v>
      </c>
      <c r="U524" s="4">
        <f t="shared" si="34"/>
        <v>16.182604577952102</v>
      </c>
      <c r="X524" s="43" t="s">
        <v>2954</v>
      </c>
      <c r="Y524" s="4">
        <v>16.1768085498692</v>
      </c>
      <c r="Z524" s="4">
        <v>16.263553117212201</v>
      </c>
      <c r="AA524" s="4">
        <v>16.065421741028299</v>
      </c>
      <c r="AB524" s="4">
        <f t="shared" si="35"/>
        <v>16.168594469369904</v>
      </c>
      <c r="AK524" s="1"/>
      <c r="AM524" s="2"/>
    </row>
    <row r="525" spans="2:39" x14ac:dyDescent="0.2">
      <c r="B525" s="4" t="s">
        <v>3401</v>
      </c>
      <c r="C525" s="4">
        <v>16.413499999999999</v>
      </c>
      <c r="D525" s="4">
        <v>16.307600000000001</v>
      </c>
      <c r="E525" s="4">
        <v>16.433700000000002</v>
      </c>
      <c r="F525" s="4">
        <f t="shared" si="32"/>
        <v>16.384933333333333</v>
      </c>
      <c r="I525" s="4" t="s">
        <v>207</v>
      </c>
      <c r="J525" s="4">
        <v>16.6172</v>
      </c>
      <c r="K525" s="4">
        <v>16.1554</v>
      </c>
      <c r="L525" s="4">
        <v>16.597999999999999</v>
      </c>
      <c r="M525" s="4">
        <f t="shared" si="33"/>
        <v>16.456866666666667</v>
      </c>
      <c r="Q525" s="43" t="s">
        <v>2937</v>
      </c>
      <c r="R525" s="4">
        <v>16.228893492428</v>
      </c>
      <c r="S525" s="4">
        <v>16.204077107417099</v>
      </c>
      <c r="T525" s="4">
        <v>16.1031219382557</v>
      </c>
      <c r="U525" s="4">
        <f t="shared" si="34"/>
        <v>16.178697512700268</v>
      </c>
      <c r="X525" s="43" t="s">
        <v>3723</v>
      </c>
      <c r="Y525" s="4">
        <v>16.097426577539501</v>
      </c>
      <c r="Z525" s="4">
        <v>16.146054248644099</v>
      </c>
      <c r="AA525" s="4">
        <v>16.242865062903402</v>
      </c>
      <c r="AB525" s="4">
        <f t="shared" si="35"/>
        <v>16.162115296362334</v>
      </c>
      <c r="AK525" s="1"/>
      <c r="AM525" s="2"/>
    </row>
    <row r="526" spans="2:39" x14ac:dyDescent="0.2">
      <c r="B526" s="4" t="s">
        <v>3531</v>
      </c>
      <c r="C526" s="4">
        <v>16.616399999999999</v>
      </c>
      <c r="D526" s="4">
        <v>16.606999999999999</v>
      </c>
      <c r="E526" s="4">
        <v>15.9307</v>
      </c>
      <c r="F526" s="4">
        <f t="shared" si="32"/>
        <v>16.384699999999999</v>
      </c>
      <c r="I526" s="4" t="s">
        <v>2395</v>
      </c>
      <c r="J526" s="4">
        <v>16.604299999999999</v>
      </c>
      <c r="K526" s="4">
        <v>16.364799999999999</v>
      </c>
      <c r="L526" s="4">
        <v>16.3935</v>
      </c>
      <c r="M526" s="4">
        <f t="shared" si="33"/>
        <v>16.4542</v>
      </c>
      <c r="Q526" s="43" t="s">
        <v>1762</v>
      </c>
      <c r="R526" s="4">
        <v>16.301534521999798</v>
      </c>
      <c r="S526" s="4">
        <v>16.0535006813416</v>
      </c>
      <c r="T526" s="4">
        <v>16.1792490965897</v>
      </c>
      <c r="U526" s="4">
        <f t="shared" si="34"/>
        <v>16.178094766643699</v>
      </c>
      <c r="X526" s="43" t="s">
        <v>2242</v>
      </c>
      <c r="Y526" s="4">
        <v>16.129228396687601</v>
      </c>
      <c r="Z526" s="4">
        <v>16.176417404774501</v>
      </c>
      <c r="AA526" s="4">
        <v>16.175860340645801</v>
      </c>
      <c r="AB526" s="4">
        <f t="shared" si="35"/>
        <v>16.160502047369302</v>
      </c>
      <c r="AK526" s="1"/>
      <c r="AM526" s="2"/>
    </row>
    <row r="527" spans="2:39" x14ac:dyDescent="0.2">
      <c r="B527" s="4" t="s">
        <v>3102</v>
      </c>
      <c r="C527" s="4">
        <v>16.641999999999999</v>
      </c>
      <c r="D527" s="4">
        <v>16.506699999999999</v>
      </c>
      <c r="E527" s="4">
        <v>16.0015</v>
      </c>
      <c r="F527" s="4">
        <f t="shared" si="32"/>
        <v>16.383399999999998</v>
      </c>
      <c r="I527" s="4" t="s">
        <v>2124</v>
      </c>
      <c r="J527" s="4">
        <v>16.5807</v>
      </c>
      <c r="K527" s="4">
        <v>16.0931</v>
      </c>
      <c r="L527" s="4">
        <v>16.684799999999999</v>
      </c>
      <c r="M527" s="4">
        <f t="shared" si="33"/>
        <v>16.452866666666665</v>
      </c>
      <c r="Q527" s="43" t="s">
        <v>4288</v>
      </c>
      <c r="R527" s="4">
        <v>16.415726406363401</v>
      </c>
      <c r="S527" s="4">
        <v>15.9279473283058</v>
      </c>
      <c r="T527" s="4">
        <v>16.1613746126724</v>
      </c>
      <c r="U527" s="4">
        <f t="shared" si="34"/>
        <v>16.168349449113865</v>
      </c>
      <c r="X527" s="43" t="s">
        <v>678</v>
      </c>
      <c r="Y527" s="4">
        <v>16.314567796044201</v>
      </c>
      <c r="Z527" s="4">
        <v>16.1607302508624</v>
      </c>
      <c r="AA527" s="4">
        <v>16.004011262317398</v>
      </c>
      <c r="AB527" s="4">
        <f t="shared" si="35"/>
        <v>16.159769769741334</v>
      </c>
      <c r="AK527" s="1"/>
      <c r="AM527" s="2"/>
    </row>
    <row r="528" spans="2:39" x14ac:dyDescent="0.2">
      <c r="B528" s="4" t="s">
        <v>1636</v>
      </c>
      <c r="C528" s="4">
        <v>16.5185</v>
      </c>
      <c r="D528" s="4">
        <v>16.3414</v>
      </c>
      <c r="E528" s="4">
        <v>16.28</v>
      </c>
      <c r="F528" s="4">
        <f t="shared" si="32"/>
        <v>16.379966666666665</v>
      </c>
      <c r="I528" s="4" t="s">
        <v>3467</v>
      </c>
      <c r="J528" s="4">
        <v>16.318200000000001</v>
      </c>
      <c r="K528" s="4">
        <v>16.351400000000002</v>
      </c>
      <c r="L528" s="4">
        <v>16.6816</v>
      </c>
      <c r="M528" s="4">
        <f t="shared" si="33"/>
        <v>16.450400000000002</v>
      </c>
      <c r="Q528" s="43" t="s">
        <v>2820</v>
      </c>
      <c r="R528" s="4">
        <v>16.138111144127802</v>
      </c>
      <c r="S528" s="4">
        <v>16.100039470525001</v>
      </c>
      <c r="T528" s="4">
        <v>16.264017957629001</v>
      </c>
      <c r="U528" s="4">
        <f t="shared" si="34"/>
        <v>16.167389524093934</v>
      </c>
      <c r="X528" s="43" t="s">
        <v>3769</v>
      </c>
      <c r="Y528" s="4">
        <v>16.204453643849199</v>
      </c>
      <c r="Z528" s="4">
        <v>16.3714021756583</v>
      </c>
      <c r="AA528" s="4">
        <v>15.9017633272474</v>
      </c>
      <c r="AB528" s="4">
        <f t="shared" si="35"/>
        <v>16.159206382251632</v>
      </c>
      <c r="AK528" s="1"/>
      <c r="AM528" s="2"/>
    </row>
    <row r="529" spans="2:39" x14ac:dyDescent="0.2">
      <c r="B529" s="4" t="s">
        <v>2122</v>
      </c>
      <c r="C529" s="4">
        <v>16.3628</v>
      </c>
      <c r="D529" s="4">
        <v>16.4483</v>
      </c>
      <c r="E529" s="4">
        <v>16.3186</v>
      </c>
      <c r="F529" s="4">
        <f t="shared" si="32"/>
        <v>16.376566666666665</v>
      </c>
      <c r="I529" s="4" t="s">
        <v>3002</v>
      </c>
      <c r="J529" s="4">
        <v>15.743600000000001</v>
      </c>
      <c r="K529" s="4">
        <v>17.0976</v>
      </c>
      <c r="L529" s="4">
        <v>16.4907</v>
      </c>
      <c r="M529" s="4">
        <f t="shared" si="33"/>
        <v>16.443966666666668</v>
      </c>
      <c r="Q529" s="43" t="s">
        <v>2571</v>
      </c>
      <c r="R529" s="4">
        <v>16.266392383300801</v>
      </c>
      <c r="S529" s="4">
        <v>16.109109381668699</v>
      </c>
      <c r="T529" s="4">
        <v>16.125015622091802</v>
      </c>
      <c r="U529" s="4">
        <f t="shared" si="34"/>
        <v>16.166839129020435</v>
      </c>
      <c r="X529" s="43" t="s">
        <v>1590</v>
      </c>
      <c r="Y529" s="4">
        <v>16.270348352749998</v>
      </c>
      <c r="Z529" s="4">
        <v>16.2605267557005</v>
      </c>
      <c r="AA529" s="4">
        <v>15.935436731846</v>
      </c>
      <c r="AB529" s="4">
        <f t="shared" si="35"/>
        <v>16.155437280098834</v>
      </c>
      <c r="AK529" s="1"/>
      <c r="AM529" s="2"/>
    </row>
    <row r="530" spans="2:39" x14ac:dyDescent="0.2">
      <c r="B530" s="4" t="s">
        <v>1564</v>
      </c>
      <c r="C530" s="4">
        <v>16.200399999999998</v>
      </c>
      <c r="D530" s="4">
        <v>16.067599999999999</v>
      </c>
      <c r="E530" s="4">
        <v>16.839099999999998</v>
      </c>
      <c r="F530" s="4">
        <f t="shared" si="32"/>
        <v>16.369033333333334</v>
      </c>
      <c r="I530" s="4" t="s">
        <v>1220</v>
      </c>
      <c r="J530" s="4">
        <v>16.3246</v>
      </c>
      <c r="K530" s="4">
        <v>16.763500000000001</v>
      </c>
      <c r="L530" s="4">
        <v>16.2407</v>
      </c>
      <c r="M530" s="4">
        <f t="shared" si="33"/>
        <v>16.442933333333333</v>
      </c>
      <c r="Q530" s="43" t="s">
        <v>73</v>
      </c>
      <c r="R530" s="4">
        <v>16.0314217763014</v>
      </c>
      <c r="S530" s="4">
        <v>16.4300867901446</v>
      </c>
      <c r="T530" s="4">
        <v>16.038789022203801</v>
      </c>
      <c r="U530" s="4">
        <f t="shared" si="34"/>
        <v>16.166765862883267</v>
      </c>
      <c r="X530" s="43" t="s">
        <v>2647</v>
      </c>
      <c r="Y530" s="4">
        <v>16.050819274889498</v>
      </c>
      <c r="Z530" s="4">
        <v>16.276355664362899</v>
      </c>
      <c r="AA530" s="4">
        <v>16.1298045773061</v>
      </c>
      <c r="AB530" s="4">
        <f t="shared" si="35"/>
        <v>16.1523265055195</v>
      </c>
      <c r="AK530" s="1"/>
      <c r="AM530" s="2"/>
    </row>
    <row r="531" spans="2:39" x14ac:dyDescent="0.2">
      <c r="B531" s="4" t="s">
        <v>1919</v>
      </c>
      <c r="C531" s="4">
        <v>16.4756</v>
      </c>
      <c r="D531" s="4">
        <v>16.328600000000002</v>
      </c>
      <c r="E531" s="4">
        <v>16.2989</v>
      </c>
      <c r="F531" s="4">
        <f t="shared" si="32"/>
        <v>16.367699999999999</v>
      </c>
      <c r="I531" s="4" t="s">
        <v>3157</v>
      </c>
      <c r="J531" s="4">
        <v>16.6449</v>
      </c>
      <c r="K531" s="4">
        <v>16.057300000000001</v>
      </c>
      <c r="L531" s="4">
        <v>16.620699999999999</v>
      </c>
      <c r="M531" s="4">
        <f t="shared" si="33"/>
        <v>16.440966666666668</v>
      </c>
      <c r="Q531" s="43" t="s">
        <v>2187</v>
      </c>
      <c r="R531" s="4">
        <v>16.836780123244601</v>
      </c>
      <c r="S531" s="4">
        <v>15.889209572624299</v>
      </c>
      <c r="T531" s="4">
        <v>15.759567366477899</v>
      </c>
      <c r="U531" s="4">
        <f t="shared" si="34"/>
        <v>16.161852354115599</v>
      </c>
      <c r="X531" s="43" t="s">
        <v>1723</v>
      </c>
      <c r="Y531" s="4">
        <v>16.048489984193601</v>
      </c>
      <c r="Z531" s="4">
        <v>16.1930480112953</v>
      </c>
      <c r="AA531" s="4">
        <v>16.212110264041101</v>
      </c>
      <c r="AB531" s="4">
        <f t="shared" si="35"/>
        <v>16.151216086510001</v>
      </c>
      <c r="AK531" s="1"/>
      <c r="AM531" s="2"/>
    </row>
    <row r="532" spans="2:39" x14ac:dyDescent="0.2">
      <c r="B532" s="4" t="s">
        <v>2395</v>
      </c>
      <c r="C532" s="4">
        <v>16.538</v>
      </c>
      <c r="D532" s="4">
        <v>16.4541</v>
      </c>
      <c r="E532" s="4">
        <v>16.095700000000001</v>
      </c>
      <c r="F532" s="4">
        <f t="shared" si="32"/>
        <v>16.3626</v>
      </c>
      <c r="I532" s="4" t="s">
        <v>565</v>
      </c>
      <c r="J532" s="4">
        <v>16.470500000000001</v>
      </c>
      <c r="K532" s="4">
        <v>16.569099999999999</v>
      </c>
      <c r="L532" s="4">
        <v>16.283000000000001</v>
      </c>
      <c r="M532" s="4">
        <f t="shared" si="33"/>
        <v>16.440866666666668</v>
      </c>
      <c r="Q532" s="43" t="s">
        <v>2449</v>
      </c>
      <c r="R532" s="4">
        <v>16.289392168629799</v>
      </c>
      <c r="S532" s="4">
        <v>15.848028461403199</v>
      </c>
      <c r="T532" s="4">
        <v>16.346367360128401</v>
      </c>
      <c r="U532" s="4">
        <f t="shared" si="34"/>
        <v>16.161262663387134</v>
      </c>
      <c r="X532" s="43" t="s">
        <v>1039</v>
      </c>
      <c r="Y532" s="4">
        <v>16.258712717873699</v>
      </c>
      <c r="Z532" s="4">
        <v>16.1063624829284</v>
      </c>
      <c r="AA532" s="4">
        <v>16.0807250314231</v>
      </c>
      <c r="AB532" s="4">
        <f t="shared" si="35"/>
        <v>16.1486000774084</v>
      </c>
      <c r="AK532" s="1"/>
      <c r="AM532" s="2"/>
    </row>
    <row r="533" spans="2:39" x14ac:dyDescent="0.2">
      <c r="B533" s="4" t="s">
        <v>1227</v>
      </c>
      <c r="C533" s="4">
        <v>16.3353</v>
      </c>
      <c r="D533" s="4">
        <v>16.281199999999998</v>
      </c>
      <c r="E533" s="4">
        <v>16.466100000000001</v>
      </c>
      <c r="F533" s="4">
        <f t="shared" si="32"/>
        <v>16.360866666666666</v>
      </c>
      <c r="I533" s="4" t="s">
        <v>1147</v>
      </c>
      <c r="J533" s="4">
        <v>16.5059</v>
      </c>
      <c r="K533" s="4">
        <v>16.312100000000001</v>
      </c>
      <c r="L533" s="4">
        <v>16.492799999999999</v>
      </c>
      <c r="M533" s="4">
        <f t="shared" si="33"/>
        <v>16.436933333333332</v>
      </c>
      <c r="Q533" s="43" t="s">
        <v>2615</v>
      </c>
      <c r="R533" s="4">
        <v>16.273605081048601</v>
      </c>
      <c r="S533" s="4">
        <v>16.080576787244301</v>
      </c>
      <c r="T533" s="4">
        <v>16.117272679647101</v>
      </c>
      <c r="U533" s="4">
        <f t="shared" si="34"/>
        <v>16.157151515980001</v>
      </c>
      <c r="X533" s="43" t="s">
        <v>3915</v>
      </c>
      <c r="Y533" s="4">
        <v>16.079064199460898</v>
      </c>
      <c r="Z533" s="4">
        <v>16.1553538044924</v>
      </c>
      <c r="AA533" s="4">
        <v>16.204761300346998</v>
      </c>
      <c r="AB533" s="4">
        <f t="shared" si="35"/>
        <v>16.146393101433432</v>
      </c>
      <c r="AK533" s="1"/>
      <c r="AM533" s="2"/>
    </row>
    <row r="534" spans="2:39" x14ac:dyDescent="0.2">
      <c r="B534" s="4" t="s">
        <v>1161</v>
      </c>
      <c r="C534" s="4">
        <v>16.298200000000001</v>
      </c>
      <c r="D534" s="4">
        <v>16.4084</v>
      </c>
      <c r="E534" s="4">
        <v>16.336200000000002</v>
      </c>
      <c r="F534" s="4">
        <f t="shared" si="32"/>
        <v>16.3476</v>
      </c>
      <c r="I534" s="4" t="s">
        <v>3577</v>
      </c>
      <c r="J534" s="4">
        <v>16.461300000000001</v>
      </c>
      <c r="K534" s="4">
        <v>16.476500000000001</v>
      </c>
      <c r="L534" s="4">
        <v>16.353000000000002</v>
      </c>
      <c r="M534" s="4">
        <f t="shared" si="33"/>
        <v>16.430266666666668</v>
      </c>
      <c r="Q534" s="43" t="s">
        <v>2468</v>
      </c>
      <c r="R534" s="4">
        <v>16.4670569990035</v>
      </c>
      <c r="S534" s="4">
        <v>16.003098447483001</v>
      </c>
      <c r="T534" s="4">
        <v>15.994946880971</v>
      </c>
      <c r="U534" s="4">
        <f t="shared" si="34"/>
        <v>16.155034109152499</v>
      </c>
      <c r="X534" s="43" t="s">
        <v>1942</v>
      </c>
      <c r="Y534" s="4">
        <v>16.087226109694399</v>
      </c>
      <c r="Z534" s="4">
        <v>16.1572557883926</v>
      </c>
      <c r="AA534" s="4">
        <v>16.192325375302399</v>
      </c>
      <c r="AB534" s="4">
        <f t="shared" si="35"/>
        <v>16.145602424463135</v>
      </c>
      <c r="AK534" s="1"/>
      <c r="AM534" s="2"/>
    </row>
    <row r="535" spans="2:39" x14ac:dyDescent="0.2">
      <c r="B535" s="4" t="s">
        <v>1365</v>
      </c>
      <c r="C535" s="4">
        <v>16.361599999999999</v>
      </c>
      <c r="D535" s="4">
        <v>15.9899</v>
      </c>
      <c r="E535" s="4">
        <v>16.620899999999999</v>
      </c>
      <c r="F535" s="4">
        <f t="shared" si="32"/>
        <v>16.324133333333332</v>
      </c>
      <c r="I535" s="4" t="s">
        <v>3785</v>
      </c>
      <c r="J535" s="4">
        <v>16.405200000000001</v>
      </c>
      <c r="K535" s="4">
        <v>16.008900000000001</v>
      </c>
      <c r="L535" s="4">
        <v>16.869399999999999</v>
      </c>
      <c r="M535" s="4">
        <f t="shared" si="33"/>
        <v>16.427833333333336</v>
      </c>
      <c r="Q535" s="43" t="s">
        <v>3487</v>
      </c>
      <c r="R535" s="4">
        <v>16.1061749152712</v>
      </c>
      <c r="S535" s="4">
        <v>15.984744448665801</v>
      </c>
      <c r="T535" s="4">
        <v>16.3737989073066</v>
      </c>
      <c r="U535" s="4">
        <f t="shared" si="34"/>
        <v>16.154906090414535</v>
      </c>
      <c r="X535" s="43" t="s">
        <v>1864</v>
      </c>
      <c r="Y535" s="4">
        <v>16.166293949933198</v>
      </c>
      <c r="Z535" s="4">
        <v>16.0641416184984</v>
      </c>
      <c r="AA535" s="4">
        <v>16.177814360319299</v>
      </c>
      <c r="AB535" s="4">
        <f t="shared" si="35"/>
        <v>16.136083309583636</v>
      </c>
      <c r="AK535" s="1"/>
      <c r="AM535" s="2"/>
    </row>
    <row r="536" spans="2:39" x14ac:dyDescent="0.2">
      <c r="B536" s="4" t="s">
        <v>3875</v>
      </c>
      <c r="C536" s="4">
        <v>16.3048</v>
      </c>
      <c r="D536" s="4">
        <v>16.332899999999999</v>
      </c>
      <c r="E536" s="4">
        <v>16.334099999999999</v>
      </c>
      <c r="F536" s="4">
        <f t="shared" si="32"/>
        <v>16.323933333333333</v>
      </c>
      <c r="I536" s="4" t="s">
        <v>3987</v>
      </c>
      <c r="J536" s="4">
        <v>16.331700000000001</v>
      </c>
      <c r="K536" s="4">
        <v>16.287199999999999</v>
      </c>
      <c r="L536" s="4">
        <v>16.653400000000001</v>
      </c>
      <c r="M536" s="4">
        <f t="shared" si="33"/>
        <v>16.424099999999999</v>
      </c>
      <c r="Q536" s="43" t="s">
        <v>3514</v>
      </c>
      <c r="R536" s="4">
        <v>16.4750903183354</v>
      </c>
      <c r="S536" s="4">
        <v>15.891390516503799</v>
      </c>
      <c r="T536" s="4">
        <v>16.042322693823699</v>
      </c>
      <c r="U536" s="4">
        <f t="shared" si="34"/>
        <v>16.136267842887634</v>
      </c>
      <c r="X536" s="43" t="s">
        <v>662</v>
      </c>
      <c r="Y536" s="4">
        <v>16.368100026981299</v>
      </c>
      <c r="Z536" s="4">
        <v>16.3429245286328</v>
      </c>
      <c r="AA536" s="4">
        <v>15.6904700095041</v>
      </c>
      <c r="AB536" s="4">
        <f t="shared" si="35"/>
        <v>16.133831521706067</v>
      </c>
      <c r="AK536" s="1"/>
      <c r="AM536" s="2"/>
    </row>
    <row r="537" spans="2:39" x14ac:dyDescent="0.2">
      <c r="B537" s="4" t="s">
        <v>1207</v>
      </c>
      <c r="C537" s="4">
        <v>16.319800000000001</v>
      </c>
      <c r="D537" s="4">
        <v>16.190899999999999</v>
      </c>
      <c r="E537" s="4">
        <v>16.4513</v>
      </c>
      <c r="F537" s="4">
        <f t="shared" si="32"/>
        <v>16.320666666666668</v>
      </c>
      <c r="I537" s="4" t="s">
        <v>3153</v>
      </c>
      <c r="J537" s="4">
        <v>16.7912</v>
      </c>
      <c r="K537" s="4">
        <v>16.003299999999999</v>
      </c>
      <c r="L537" s="4">
        <v>16.472300000000001</v>
      </c>
      <c r="M537" s="4">
        <f t="shared" si="33"/>
        <v>16.422266666666669</v>
      </c>
      <c r="Q537" s="43" t="s">
        <v>2203</v>
      </c>
      <c r="R537" s="4">
        <v>16.172520075583201</v>
      </c>
      <c r="S537" s="4">
        <v>16.158019266644299</v>
      </c>
      <c r="T537" s="4">
        <v>16.0767427858563</v>
      </c>
      <c r="U537" s="4">
        <f t="shared" si="34"/>
        <v>16.135760709361264</v>
      </c>
      <c r="X537" s="43" t="s">
        <v>3494</v>
      </c>
      <c r="Y537" s="4">
        <v>16.1420966974562</v>
      </c>
      <c r="Z537" s="4">
        <v>16.235383804177701</v>
      </c>
      <c r="AA537" s="4">
        <v>16.0080947552207</v>
      </c>
      <c r="AB537" s="4">
        <f t="shared" si="35"/>
        <v>16.128525085618197</v>
      </c>
      <c r="AM537" s="2"/>
    </row>
    <row r="538" spans="2:39" x14ac:dyDescent="0.2">
      <c r="B538" s="4" t="s">
        <v>1434</v>
      </c>
      <c r="C538" s="4">
        <v>16.3505</v>
      </c>
      <c r="D538" s="4">
        <v>16.182300000000001</v>
      </c>
      <c r="E538" s="4">
        <v>16.424900000000001</v>
      </c>
      <c r="F538" s="4">
        <f t="shared" si="32"/>
        <v>16.319233333333333</v>
      </c>
      <c r="I538" s="4" t="s">
        <v>1651</v>
      </c>
      <c r="J538" s="4">
        <v>16.594100000000001</v>
      </c>
      <c r="K538" s="4">
        <v>16.096399999999999</v>
      </c>
      <c r="L538" s="4">
        <v>16.571899999999999</v>
      </c>
      <c r="M538" s="4">
        <f t="shared" si="33"/>
        <v>16.4208</v>
      </c>
      <c r="Q538" s="43" t="s">
        <v>2529</v>
      </c>
      <c r="R538" s="4">
        <v>16.190744215214099</v>
      </c>
      <c r="S538" s="4">
        <v>16.031562957899901</v>
      </c>
      <c r="T538" s="4">
        <v>16.183204604310099</v>
      </c>
      <c r="U538" s="4">
        <f t="shared" si="34"/>
        <v>16.135170592474701</v>
      </c>
      <c r="X538" s="43" t="s">
        <v>3043</v>
      </c>
      <c r="Y538" s="4">
        <v>16.049663000058601</v>
      </c>
      <c r="Z538" s="4">
        <v>16.1674000942124</v>
      </c>
      <c r="AA538" s="4">
        <v>16.157891152691899</v>
      </c>
      <c r="AB538" s="4">
        <f t="shared" si="35"/>
        <v>16.124984748987632</v>
      </c>
      <c r="AM538" s="2"/>
    </row>
    <row r="539" spans="2:39" x14ac:dyDescent="0.2">
      <c r="B539" s="4" t="s">
        <v>3138</v>
      </c>
      <c r="C539" s="4">
        <v>16.553999999999998</v>
      </c>
      <c r="D539" s="4">
        <v>16.581499999999998</v>
      </c>
      <c r="E539" s="4">
        <v>15.811400000000001</v>
      </c>
      <c r="F539" s="4">
        <f t="shared" si="32"/>
        <v>16.315633333333331</v>
      </c>
      <c r="I539" s="4" t="s">
        <v>2122</v>
      </c>
      <c r="J539" s="4">
        <v>16.5685</v>
      </c>
      <c r="K539" s="4">
        <v>15.914300000000001</v>
      </c>
      <c r="L539" s="4">
        <v>16.762499999999999</v>
      </c>
      <c r="M539" s="4">
        <f t="shared" si="33"/>
        <v>16.415099999999999</v>
      </c>
      <c r="Q539" s="43" t="s">
        <v>824</v>
      </c>
      <c r="R539" s="4">
        <v>16.081924473451899</v>
      </c>
      <c r="S539" s="4">
        <v>15.755415220038399</v>
      </c>
      <c r="T539" s="4">
        <v>16.565918862037702</v>
      </c>
      <c r="U539" s="4">
        <f t="shared" si="34"/>
        <v>16.134419518509333</v>
      </c>
      <c r="X539" s="43" t="s">
        <v>42</v>
      </c>
      <c r="Y539" s="4">
        <v>15.946370182345399</v>
      </c>
      <c r="Z539" s="4">
        <v>16.1480968812821</v>
      </c>
      <c r="AA539" s="4">
        <v>16.2764462454792</v>
      </c>
      <c r="AB539" s="4">
        <f t="shared" si="35"/>
        <v>16.123637769702231</v>
      </c>
      <c r="AM539" s="2"/>
    </row>
    <row r="540" spans="2:39" x14ac:dyDescent="0.2">
      <c r="B540" s="4" t="s">
        <v>1253</v>
      </c>
      <c r="C540" s="4">
        <v>16.398099999999999</v>
      </c>
      <c r="D540" s="4">
        <v>16.3096</v>
      </c>
      <c r="E540" s="4">
        <v>16.235700000000001</v>
      </c>
      <c r="F540" s="4">
        <f t="shared" si="32"/>
        <v>16.314466666666668</v>
      </c>
      <c r="I540" s="4" t="s">
        <v>2954</v>
      </c>
      <c r="J540" s="4">
        <v>16.602</v>
      </c>
      <c r="K540" s="4">
        <v>15.9504</v>
      </c>
      <c r="L540" s="4">
        <v>16.6813</v>
      </c>
      <c r="M540" s="4">
        <f t="shared" si="33"/>
        <v>16.411233333333332</v>
      </c>
      <c r="Q540" s="43" t="s">
        <v>1063</v>
      </c>
      <c r="R540" s="4">
        <v>16.552694352831299</v>
      </c>
      <c r="S540" s="4">
        <v>15.5468051166365</v>
      </c>
      <c r="T540" s="4">
        <v>16.294445779626699</v>
      </c>
      <c r="U540" s="4">
        <f t="shared" si="34"/>
        <v>16.131315083031499</v>
      </c>
      <c r="X540" s="43" t="s">
        <v>938</v>
      </c>
      <c r="Y540" s="4">
        <v>16.269055647785098</v>
      </c>
      <c r="Z540" s="4">
        <v>16.279654833767999</v>
      </c>
      <c r="AA540" s="4">
        <v>15.7976816909103</v>
      </c>
      <c r="AB540" s="4">
        <f t="shared" si="35"/>
        <v>16.115464057487802</v>
      </c>
      <c r="AM540" s="2"/>
    </row>
    <row r="541" spans="2:39" x14ac:dyDescent="0.2">
      <c r="B541" s="4" t="s">
        <v>3131</v>
      </c>
      <c r="C541" s="4">
        <v>16.3794</v>
      </c>
      <c r="D541" s="4">
        <v>16.320599999999999</v>
      </c>
      <c r="E541" s="4">
        <v>16.234100000000002</v>
      </c>
      <c r="F541" s="4">
        <f t="shared" si="32"/>
        <v>16.311366666666668</v>
      </c>
      <c r="I541" s="4" t="s">
        <v>3705</v>
      </c>
      <c r="J541" s="4">
        <v>16.363199999999999</v>
      </c>
      <c r="K541" s="4">
        <v>16.114599999999999</v>
      </c>
      <c r="L541" s="4">
        <v>16.7196</v>
      </c>
      <c r="M541" s="4">
        <f t="shared" si="33"/>
        <v>16.399133333333335</v>
      </c>
      <c r="Q541" s="43" t="s">
        <v>3119</v>
      </c>
      <c r="R541" s="4">
        <v>16.2451977261331</v>
      </c>
      <c r="S541" s="4">
        <v>16.097684091931999</v>
      </c>
      <c r="T541" s="4">
        <v>16.049397555400201</v>
      </c>
      <c r="U541" s="4">
        <f t="shared" si="34"/>
        <v>16.1307597911551</v>
      </c>
      <c r="X541" s="43" t="s">
        <v>1040</v>
      </c>
      <c r="Y541" s="4">
        <v>15.931479505560899</v>
      </c>
      <c r="Z541" s="4">
        <v>16.426177769543301</v>
      </c>
      <c r="AA541" s="4">
        <v>15.9758297294744</v>
      </c>
      <c r="AB541" s="4">
        <f t="shared" si="35"/>
        <v>16.111162334859532</v>
      </c>
      <c r="AM541" s="2"/>
    </row>
    <row r="542" spans="2:39" x14ac:dyDescent="0.2">
      <c r="B542" s="4" t="s">
        <v>3634</v>
      </c>
      <c r="C542" s="4">
        <v>16.218900000000001</v>
      </c>
      <c r="D542" s="4">
        <v>16.105499999999999</v>
      </c>
      <c r="E542" s="4">
        <v>16.607199999999999</v>
      </c>
      <c r="F542" s="4">
        <f t="shared" si="32"/>
        <v>16.310533333333332</v>
      </c>
      <c r="I542" s="4" t="s">
        <v>3268</v>
      </c>
      <c r="J542" s="4">
        <v>16.5169</v>
      </c>
      <c r="K542" s="4">
        <v>16.113199999999999</v>
      </c>
      <c r="L542" s="4">
        <v>16.562100000000001</v>
      </c>
      <c r="M542" s="4">
        <f t="shared" si="33"/>
        <v>16.397400000000001</v>
      </c>
      <c r="Q542" s="43" t="s">
        <v>2559</v>
      </c>
      <c r="R542" s="4">
        <v>16.251175521131</v>
      </c>
      <c r="S542" s="4">
        <v>16.0946146169691</v>
      </c>
      <c r="T542" s="4">
        <v>16.018191901872001</v>
      </c>
      <c r="U542" s="4">
        <f t="shared" si="34"/>
        <v>16.121327346657367</v>
      </c>
      <c r="X542" s="43" t="s">
        <v>4295</v>
      </c>
      <c r="Y542" s="4">
        <v>16.0281903447617</v>
      </c>
      <c r="Z542" s="4">
        <v>16.159737519677499</v>
      </c>
      <c r="AA542" s="4">
        <v>16.126417521435801</v>
      </c>
      <c r="AB542" s="4">
        <f t="shared" si="35"/>
        <v>16.104781795291668</v>
      </c>
      <c r="AM542" s="2"/>
    </row>
    <row r="543" spans="2:39" x14ac:dyDescent="0.2">
      <c r="B543" s="4" t="s">
        <v>1070</v>
      </c>
      <c r="C543" s="4">
        <v>16.407599999999999</v>
      </c>
      <c r="D543" s="4">
        <v>16.207000000000001</v>
      </c>
      <c r="E543" s="4">
        <v>16.303899999999999</v>
      </c>
      <c r="F543" s="4">
        <f t="shared" si="32"/>
        <v>16.306166666666666</v>
      </c>
      <c r="I543" s="4" t="s">
        <v>1560</v>
      </c>
      <c r="J543" s="4">
        <v>15.9849</v>
      </c>
      <c r="K543" s="4">
        <v>16.969799999999999</v>
      </c>
      <c r="L543" s="4">
        <v>16.221499999999999</v>
      </c>
      <c r="M543" s="4">
        <f t="shared" si="33"/>
        <v>16.392066666666668</v>
      </c>
      <c r="Q543" s="43" t="s">
        <v>3041</v>
      </c>
      <c r="R543" s="4">
        <v>16.114921748036402</v>
      </c>
      <c r="S543" s="4">
        <v>16.125688948373</v>
      </c>
      <c r="T543" s="4">
        <v>16.118018568427502</v>
      </c>
      <c r="U543" s="4">
        <f t="shared" si="34"/>
        <v>16.11954308827897</v>
      </c>
      <c r="X543" s="43" t="s">
        <v>2210</v>
      </c>
      <c r="Y543" s="4">
        <v>16.079713715334801</v>
      </c>
      <c r="Z543" s="4">
        <v>16.084471567887899</v>
      </c>
      <c r="AA543" s="4">
        <v>16.137233069104099</v>
      </c>
      <c r="AB543" s="4">
        <f t="shared" si="35"/>
        <v>16.100472784108934</v>
      </c>
      <c r="AM543" s="2"/>
    </row>
    <row r="544" spans="2:39" x14ac:dyDescent="0.2">
      <c r="B544" s="4" t="s">
        <v>437</v>
      </c>
      <c r="C544" s="4">
        <v>16.329499999999999</v>
      </c>
      <c r="D544" s="4">
        <v>15.976699999999999</v>
      </c>
      <c r="E544" s="4">
        <v>16.606100000000001</v>
      </c>
      <c r="F544" s="4">
        <f t="shared" si="32"/>
        <v>16.304100000000002</v>
      </c>
      <c r="I544" s="4" t="s">
        <v>3856</v>
      </c>
      <c r="J544" s="4">
        <v>16.353000000000002</v>
      </c>
      <c r="K544" s="4">
        <v>16.019300000000001</v>
      </c>
      <c r="L544" s="4">
        <v>16.735099999999999</v>
      </c>
      <c r="M544" s="4">
        <f t="shared" si="33"/>
        <v>16.369133333333334</v>
      </c>
      <c r="Q544" s="43" t="s">
        <v>1685</v>
      </c>
      <c r="R544" s="4">
        <v>16.203327118474501</v>
      </c>
      <c r="S544" s="4">
        <v>16.155224301841599</v>
      </c>
      <c r="T544" s="4">
        <v>15.985163355281699</v>
      </c>
      <c r="U544" s="4">
        <f t="shared" si="34"/>
        <v>16.114571591865936</v>
      </c>
      <c r="X544" s="43" t="s">
        <v>1212</v>
      </c>
      <c r="Y544" s="4">
        <v>16.3334097740773</v>
      </c>
      <c r="Z544" s="4">
        <v>15.9129311527886</v>
      </c>
      <c r="AA544" s="4">
        <v>16.0547928807222</v>
      </c>
      <c r="AB544" s="4">
        <f t="shared" si="35"/>
        <v>16.100377935862699</v>
      </c>
      <c r="AM544" s="2"/>
    </row>
    <row r="545" spans="2:39" x14ac:dyDescent="0.2">
      <c r="B545" s="4" t="s">
        <v>3889</v>
      </c>
      <c r="C545" s="4">
        <v>16.361699999999999</v>
      </c>
      <c r="D545" s="4">
        <v>16.192</v>
      </c>
      <c r="E545" s="4">
        <v>16.354500000000002</v>
      </c>
      <c r="F545" s="4">
        <f t="shared" si="32"/>
        <v>16.302733333333332</v>
      </c>
      <c r="I545" s="4" t="s">
        <v>306</v>
      </c>
      <c r="J545" s="4">
        <v>16.478300000000001</v>
      </c>
      <c r="K545" s="4">
        <v>16.1389</v>
      </c>
      <c r="L545" s="4">
        <v>16.483899999999998</v>
      </c>
      <c r="M545" s="4">
        <f t="shared" si="33"/>
        <v>16.367033333333332</v>
      </c>
      <c r="Q545" s="43" t="s">
        <v>2954</v>
      </c>
      <c r="R545" s="4">
        <v>15.9721159989931</v>
      </c>
      <c r="S545" s="4">
        <v>16.172683619439098</v>
      </c>
      <c r="T545" s="4">
        <v>16.1962754777147</v>
      </c>
      <c r="U545" s="4">
        <f t="shared" si="34"/>
        <v>16.113691698715634</v>
      </c>
      <c r="X545" s="43" t="s">
        <v>2375</v>
      </c>
      <c r="Y545" s="4">
        <v>16.0366371271442</v>
      </c>
      <c r="Z545" s="4">
        <v>16.086244321119899</v>
      </c>
      <c r="AA545" s="4">
        <v>16.175936645988301</v>
      </c>
      <c r="AB545" s="4">
        <f t="shared" si="35"/>
        <v>16.099606031417466</v>
      </c>
      <c r="AM545" s="2"/>
    </row>
    <row r="546" spans="2:39" x14ac:dyDescent="0.2">
      <c r="B546" s="4" t="s">
        <v>1464</v>
      </c>
      <c r="C546" s="4">
        <v>15.680199999999999</v>
      </c>
      <c r="D546" s="4">
        <v>16.627600000000001</v>
      </c>
      <c r="E546" s="4">
        <v>16.567699999999999</v>
      </c>
      <c r="F546" s="4">
        <f t="shared" si="32"/>
        <v>16.291833333333333</v>
      </c>
      <c r="I546" s="4" t="s">
        <v>1950</v>
      </c>
      <c r="J546" s="4">
        <v>16.440899999999999</v>
      </c>
      <c r="K546" s="4">
        <v>16.1235</v>
      </c>
      <c r="L546" s="4">
        <v>16.5352</v>
      </c>
      <c r="M546" s="4">
        <f t="shared" si="33"/>
        <v>16.366533333333333</v>
      </c>
      <c r="Q546" s="43" t="s">
        <v>2124</v>
      </c>
      <c r="R546" s="4">
        <v>16.307563732811602</v>
      </c>
      <c r="S546" s="4">
        <v>16.044440948757401</v>
      </c>
      <c r="T546" s="4">
        <v>15.9878746481467</v>
      </c>
      <c r="U546" s="4">
        <f t="shared" si="34"/>
        <v>16.113293109905232</v>
      </c>
      <c r="X546" s="43" t="s">
        <v>2335</v>
      </c>
      <c r="Y546" s="4">
        <v>16.065369206556099</v>
      </c>
      <c r="Z546" s="4">
        <v>16.143710313303401</v>
      </c>
      <c r="AA546" s="4">
        <v>16.076001056344499</v>
      </c>
      <c r="AB546" s="4">
        <f t="shared" si="35"/>
        <v>16.095026858734666</v>
      </c>
      <c r="AM546" s="2"/>
    </row>
    <row r="547" spans="2:39" x14ac:dyDescent="0.2">
      <c r="B547" s="4" t="s">
        <v>1484</v>
      </c>
      <c r="C547" s="4">
        <v>16.471900000000002</v>
      </c>
      <c r="D547" s="4">
        <v>16.2499</v>
      </c>
      <c r="E547" s="4">
        <v>16.1448</v>
      </c>
      <c r="F547" s="4">
        <f t="shared" si="32"/>
        <v>16.288866666666667</v>
      </c>
      <c r="I547" s="4" t="s">
        <v>2172</v>
      </c>
      <c r="J547" s="4">
        <v>15.8041</v>
      </c>
      <c r="K547" s="4">
        <v>17.4498</v>
      </c>
      <c r="L547" s="4">
        <v>15.8307</v>
      </c>
      <c r="M547" s="4">
        <f t="shared" si="33"/>
        <v>16.361533333333334</v>
      </c>
      <c r="Q547" s="43" t="s">
        <v>1437</v>
      </c>
      <c r="R547" s="4">
        <v>16.4762994281704</v>
      </c>
      <c r="S547" s="4">
        <v>15.8314599873313</v>
      </c>
      <c r="T547" s="4">
        <v>16.0172957627526</v>
      </c>
      <c r="U547" s="4">
        <f t="shared" si="34"/>
        <v>16.108351726084766</v>
      </c>
      <c r="X547" s="43" t="s">
        <v>2305</v>
      </c>
      <c r="Y547" s="4">
        <v>15.967446861668099</v>
      </c>
      <c r="Z547" s="4">
        <v>16.132129515463699</v>
      </c>
      <c r="AA547" s="4">
        <v>16.174002636515301</v>
      </c>
      <c r="AB547" s="4">
        <f t="shared" si="35"/>
        <v>16.09119300454903</v>
      </c>
      <c r="AM547" s="2"/>
    </row>
    <row r="548" spans="2:39" x14ac:dyDescent="0.2">
      <c r="B548" s="4" t="s">
        <v>2300</v>
      </c>
      <c r="C548" s="4">
        <v>16.374700000000001</v>
      </c>
      <c r="D548" s="4">
        <v>16.4542</v>
      </c>
      <c r="E548" s="4">
        <v>16.029900000000001</v>
      </c>
      <c r="F548" s="4">
        <f t="shared" si="32"/>
        <v>16.286266666666666</v>
      </c>
      <c r="I548" s="4" t="s">
        <v>1623</v>
      </c>
      <c r="J548" s="4">
        <v>15.9628</v>
      </c>
      <c r="K548" s="4">
        <v>17.1967</v>
      </c>
      <c r="L548" s="4">
        <v>15.8988</v>
      </c>
      <c r="M548" s="4">
        <f t="shared" si="33"/>
        <v>16.352766666666668</v>
      </c>
      <c r="Q548" s="43" t="s">
        <v>2395</v>
      </c>
      <c r="R548" s="4">
        <v>16.0526931571858</v>
      </c>
      <c r="S548" s="4">
        <v>16.1095879927461</v>
      </c>
      <c r="T548" s="4">
        <v>16.155829200885002</v>
      </c>
      <c r="U548" s="4">
        <f t="shared" si="34"/>
        <v>16.106036783605635</v>
      </c>
      <c r="X548" s="43" t="s">
        <v>768</v>
      </c>
      <c r="Y548" s="4">
        <v>15.614492076323399</v>
      </c>
      <c r="Z548" s="4">
        <v>16.381127677919402</v>
      </c>
      <c r="AA548" s="4">
        <v>16.270423241762199</v>
      </c>
      <c r="AB548" s="4">
        <f t="shared" si="35"/>
        <v>16.088680998668334</v>
      </c>
      <c r="AM548" s="2"/>
    </row>
    <row r="549" spans="2:39" x14ac:dyDescent="0.2">
      <c r="B549" s="4" t="s">
        <v>1692</v>
      </c>
      <c r="C549" s="4">
        <v>16.2685</v>
      </c>
      <c r="D549" s="4">
        <v>16.364999999999998</v>
      </c>
      <c r="E549" s="4">
        <v>16.223400000000002</v>
      </c>
      <c r="F549" s="4">
        <f t="shared" si="32"/>
        <v>16.285633333333333</v>
      </c>
      <c r="I549" s="4" t="s">
        <v>162</v>
      </c>
      <c r="J549" s="4">
        <v>16.2438</v>
      </c>
      <c r="K549" s="4">
        <v>16.624500000000001</v>
      </c>
      <c r="L549" s="4">
        <v>16.178799999999999</v>
      </c>
      <c r="M549" s="4">
        <f t="shared" si="33"/>
        <v>16.349033333333335</v>
      </c>
      <c r="Q549" s="43" t="s">
        <v>802</v>
      </c>
      <c r="R549" s="4">
        <v>16.120415294573601</v>
      </c>
      <c r="S549" s="4">
        <v>16.137483899610299</v>
      </c>
      <c r="T549" s="4">
        <v>16.011030966883101</v>
      </c>
      <c r="U549" s="4">
        <f t="shared" si="34"/>
        <v>16.089643387022335</v>
      </c>
      <c r="X549" s="43" t="s">
        <v>525</v>
      </c>
      <c r="Y549" s="4">
        <v>16.047860582628399</v>
      </c>
      <c r="Z549" s="4">
        <v>16.065092481865399</v>
      </c>
      <c r="AA549" s="4">
        <v>16.1461815514695</v>
      </c>
      <c r="AB549" s="4">
        <f t="shared" si="35"/>
        <v>16.086378205321097</v>
      </c>
      <c r="AM549" s="2"/>
    </row>
    <row r="550" spans="2:39" x14ac:dyDescent="0.2">
      <c r="B550" s="4" t="s">
        <v>2442</v>
      </c>
      <c r="C550" s="4">
        <v>16.451599999999999</v>
      </c>
      <c r="D550" s="4">
        <v>16.3627</v>
      </c>
      <c r="E550" s="4">
        <v>16.033999999999999</v>
      </c>
      <c r="F550" s="4">
        <f t="shared" si="32"/>
        <v>16.282766666666667</v>
      </c>
      <c r="I550" s="4" t="s">
        <v>140</v>
      </c>
      <c r="J550" s="4">
        <v>16.656199999999998</v>
      </c>
      <c r="K550" s="4">
        <v>16.031500000000001</v>
      </c>
      <c r="L550" s="4">
        <v>16.355499999999999</v>
      </c>
      <c r="M550" s="4">
        <f t="shared" si="33"/>
        <v>16.347733333333334</v>
      </c>
      <c r="Q550" s="43" t="s">
        <v>1351</v>
      </c>
      <c r="R550" s="4">
        <v>16.3881560930974</v>
      </c>
      <c r="S550" s="4">
        <v>15.7238694374063</v>
      </c>
      <c r="T550" s="4">
        <v>16.127842036382699</v>
      </c>
      <c r="U550" s="4">
        <f t="shared" si="34"/>
        <v>16.0799558556288</v>
      </c>
      <c r="X550" s="43" t="s">
        <v>1948</v>
      </c>
      <c r="Y550" s="4">
        <v>16.054739681284399</v>
      </c>
      <c r="Z550" s="4">
        <v>16.175751385239899</v>
      </c>
      <c r="AA550" s="4">
        <v>16.022180400246999</v>
      </c>
      <c r="AB550" s="4">
        <f t="shared" si="35"/>
        <v>16.084223822257098</v>
      </c>
      <c r="AM550" s="2"/>
    </row>
    <row r="551" spans="2:39" x14ac:dyDescent="0.2">
      <c r="B551" s="4" t="s">
        <v>3392</v>
      </c>
      <c r="C551" s="4">
        <v>16.319600000000001</v>
      </c>
      <c r="D551" s="4">
        <v>16.317699999999999</v>
      </c>
      <c r="E551" s="4">
        <v>16.2088</v>
      </c>
      <c r="F551" s="4">
        <f t="shared" si="32"/>
        <v>16.282033333333331</v>
      </c>
      <c r="I551" s="4" t="s">
        <v>3944</v>
      </c>
      <c r="J551" s="4">
        <v>16.446899999999999</v>
      </c>
      <c r="K551" s="4">
        <v>16.391999999999999</v>
      </c>
      <c r="L551" s="4">
        <v>16.2042</v>
      </c>
      <c r="M551" s="4">
        <f t="shared" si="33"/>
        <v>16.3477</v>
      </c>
      <c r="Q551" s="43" t="s">
        <v>3031</v>
      </c>
      <c r="R551" s="4">
        <v>16.1614704356255</v>
      </c>
      <c r="S551" s="4">
        <v>16.0092438864225</v>
      </c>
      <c r="T551" s="4">
        <v>16.0635588471606</v>
      </c>
      <c r="U551" s="4">
        <f t="shared" si="34"/>
        <v>16.078091056402865</v>
      </c>
      <c r="X551" s="43" t="s">
        <v>227</v>
      </c>
      <c r="Y551" s="4">
        <v>16.095597846707399</v>
      </c>
      <c r="Z551" s="4">
        <v>16.221373662579602</v>
      </c>
      <c r="AA551" s="4">
        <v>15.9338483230358</v>
      </c>
      <c r="AB551" s="4">
        <f t="shared" si="35"/>
        <v>16.083606610774268</v>
      </c>
      <c r="AM551" s="2"/>
    </row>
    <row r="552" spans="2:39" x14ac:dyDescent="0.2">
      <c r="B552" s="4" t="s">
        <v>2666</v>
      </c>
      <c r="C552" s="4">
        <v>16.447099999999999</v>
      </c>
      <c r="D552" s="4">
        <v>16.248999999999999</v>
      </c>
      <c r="E552" s="4">
        <v>16.129300000000001</v>
      </c>
      <c r="F552" s="4">
        <f t="shared" si="32"/>
        <v>16.275133333333333</v>
      </c>
      <c r="I552" s="4" t="s">
        <v>2579</v>
      </c>
      <c r="J552" s="4">
        <v>16.2471</v>
      </c>
      <c r="K552" s="4">
        <v>17.1297</v>
      </c>
      <c r="L552" s="4">
        <v>15.6509</v>
      </c>
      <c r="M552" s="4">
        <f t="shared" si="33"/>
        <v>16.342566666666666</v>
      </c>
      <c r="Q552" s="43" t="s">
        <v>1892</v>
      </c>
      <c r="R552" s="4">
        <v>16.115152618994301</v>
      </c>
      <c r="S552" s="4">
        <v>16.132166754204</v>
      </c>
      <c r="T552" s="4">
        <v>15.980988890980701</v>
      </c>
      <c r="U552" s="4">
        <f t="shared" si="34"/>
        <v>16.076102754726335</v>
      </c>
      <c r="X552" s="43" t="s">
        <v>2857</v>
      </c>
      <c r="Y552" s="4">
        <v>16.2166492752302</v>
      </c>
      <c r="Z552" s="4">
        <v>15.988178601332301</v>
      </c>
      <c r="AA552" s="4">
        <v>16.045805437258299</v>
      </c>
      <c r="AB552" s="4">
        <f t="shared" si="35"/>
        <v>16.083544437940265</v>
      </c>
      <c r="AM552" s="2"/>
    </row>
    <row r="553" spans="2:39" x14ac:dyDescent="0.2">
      <c r="B553" s="4" t="s">
        <v>38</v>
      </c>
      <c r="C553" s="4">
        <v>16.322399999999998</v>
      </c>
      <c r="D553" s="4">
        <v>16.173100000000002</v>
      </c>
      <c r="E553" s="4">
        <v>16.314399999999999</v>
      </c>
      <c r="F553" s="4">
        <f t="shared" si="32"/>
        <v>16.269966666666665</v>
      </c>
      <c r="I553" s="4" t="s">
        <v>3244</v>
      </c>
      <c r="J553" s="4">
        <v>16.433700000000002</v>
      </c>
      <c r="K553" s="4">
        <v>16.367999999999999</v>
      </c>
      <c r="L553" s="4">
        <v>16.224499999999999</v>
      </c>
      <c r="M553" s="4">
        <f t="shared" si="33"/>
        <v>16.342066666666664</v>
      </c>
      <c r="Q553" s="43" t="s">
        <v>879</v>
      </c>
      <c r="R553" s="4">
        <v>16.0933437810478</v>
      </c>
      <c r="S553" s="4">
        <v>16.037816278739601</v>
      </c>
      <c r="T553" s="4">
        <v>16.093811397307402</v>
      </c>
      <c r="U553" s="4">
        <f t="shared" si="34"/>
        <v>16.074990485698269</v>
      </c>
      <c r="X553" s="43" t="s">
        <v>1945</v>
      </c>
      <c r="Y553" s="4">
        <v>16.032515557652101</v>
      </c>
      <c r="Z553" s="4">
        <v>16.2302752035014</v>
      </c>
      <c r="AA553" s="4">
        <v>15.986665607528201</v>
      </c>
      <c r="AB553" s="4">
        <f t="shared" si="35"/>
        <v>16.0831521228939</v>
      </c>
      <c r="AM553" s="2"/>
    </row>
    <row r="554" spans="2:39" x14ac:dyDescent="0.2">
      <c r="B554" s="4" t="s">
        <v>1964</v>
      </c>
      <c r="C554" s="4">
        <v>16.042200000000001</v>
      </c>
      <c r="D554" s="4">
        <v>16.405000000000001</v>
      </c>
      <c r="E554" s="4">
        <v>16.3566</v>
      </c>
      <c r="F554" s="4">
        <f t="shared" si="32"/>
        <v>16.267933333333335</v>
      </c>
      <c r="I554" s="4" t="s">
        <v>2365</v>
      </c>
      <c r="J554" s="4">
        <v>16.440100000000001</v>
      </c>
      <c r="K554" s="4">
        <v>15.987500000000001</v>
      </c>
      <c r="L554" s="4">
        <v>16.5962</v>
      </c>
      <c r="M554" s="4">
        <f t="shared" si="33"/>
        <v>16.341266666666666</v>
      </c>
      <c r="Q554" s="43" t="s">
        <v>301</v>
      </c>
      <c r="R554" s="4">
        <v>16.0948487259191</v>
      </c>
      <c r="S554" s="4">
        <v>16.238969020050199</v>
      </c>
      <c r="T554" s="4">
        <v>15.875927748295799</v>
      </c>
      <c r="U554" s="4">
        <f t="shared" si="34"/>
        <v>16.069915164755034</v>
      </c>
      <c r="X554" s="43" t="s">
        <v>3486</v>
      </c>
      <c r="Y554" s="4">
        <v>16.1546603909864</v>
      </c>
      <c r="Z554" s="4">
        <v>16.051801790918699</v>
      </c>
      <c r="AA554" s="4">
        <v>16.041150965280099</v>
      </c>
      <c r="AB554" s="4">
        <f t="shared" si="35"/>
        <v>16.082537715728396</v>
      </c>
      <c r="AM554" s="2"/>
    </row>
    <row r="555" spans="2:39" x14ac:dyDescent="0.2">
      <c r="B555" s="4" t="s">
        <v>3557</v>
      </c>
      <c r="C555" s="4">
        <v>16.305199999999999</v>
      </c>
      <c r="D555" s="4">
        <v>16.290800000000001</v>
      </c>
      <c r="E555" s="4">
        <v>16.200099999999999</v>
      </c>
      <c r="F555" s="4">
        <f t="shared" si="32"/>
        <v>16.265366666666669</v>
      </c>
      <c r="I555" s="4" t="s">
        <v>2900</v>
      </c>
      <c r="J555" s="4">
        <v>16.513000000000002</v>
      </c>
      <c r="K555" s="4">
        <v>16.0884</v>
      </c>
      <c r="L555" s="4">
        <v>16.416699999999999</v>
      </c>
      <c r="M555" s="4">
        <f t="shared" si="33"/>
        <v>16.339366666666667</v>
      </c>
      <c r="Q555" s="43" t="s">
        <v>4455</v>
      </c>
      <c r="R555" s="4">
        <v>16.7133111377834</v>
      </c>
      <c r="S555" s="4">
        <v>15.438623846764701</v>
      </c>
      <c r="T555" s="4">
        <v>16.052849087814899</v>
      </c>
      <c r="U555" s="4">
        <f t="shared" si="34"/>
        <v>16.068261357454332</v>
      </c>
      <c r="X555" s="43" t="s">
        <v>3360</v>
      </c>
      <c r="Y555" s="4">
        <v>16.047924460455601</v>
      </c>
      <c r="Z555" s="4">
        <v>16.131153107248601</v>
      </c>
      <c r="AA555" s="4">
        <v>16.061256906426099</v>
      </c>
      <c r="AB555" s="4">
        <f t="shared" si="35"/>
        <v>16.080111491376766</v>
      </c>
      <c r="AM555" s="2"/>
    </row>
    <row r="556" spans="2:39" x14ac:dyDescent="0.2">
      <c r="B556" s="4" t="s">
        <v>3240</v>
      </c>
      <c r="C556" s="4">
        <v>16.383099999999999</v>
      </c>
      <c r="D556" s="4">
        <v>15.9878</v>
      </c>
      <c r="E556" s="4">
        <v>16.4207</v>
      </c>
      <c r="F556" s="4">
        <f t="shared" si="32"/>
        <v>16.263866666666669</v>
      </c>
      <c r="I556" s="4" t="s">
        <v>1849</v>
      </c>
      <c r="J556" s="4">
        <v>16.551100000000002</v>
      </c>
      <c r="K556" s="4">
        <v>15.9003</v>
      </c>
      <c r="L556" s="4">
        <v>16.507899999999999</v>
      </c>
      <c r="M556" s="4">
        <f t="shared" si="33"/>
        <v>16.319766666666666</v>
      </c>
      <c r="Q556" s="43" t="s">
        <v>1273</v>
      </c>
      <c r="R556" s="4">
        <v>16.007825895916799</v>
      </c>
      <c r="S556" s="4">
        <v>16.245858295148899</v>
      </c>
      <c r="T556" s="4">
        <v>15.949209481680199</v>
      </c>
      <c r="U556" s="4">
        <f t="shared" si="34"/>
        <v>16.067631224248633</v>
      </c>
      <c r="X556" s="43" t="s">
        <v>1379</v>
      </c>
      <c r="Y556" s="4">
        <v>16.081527393751202</v>
      </c>
      <c r="Z556" s="4">
        <v>16.075789629353402</v>
      </c>
      <c r="AA556" s="4">
        <v>16.079873666041902</v>
      </c>
      <c r="AB556" s="4">
        <f t="shared" si="35"/>
        <v>16.079063563048834</v>
      </c>
      <c r="AM556" s="2"/>
    </row>
    <row r="557" spans="2:39" x14ac:dyDescent="0.2">
      <c r="B557" s="4" t="s">
        <v>2935</v>
      </c>
      <c r="C557" s="4">
        <v>16.1858</v>
      </c>
      <c r="D557" s="4">
        <v>16.306799999999999</v>
      </c>
      <c r="E557" s="4">
        <v>16.297599999999999</v>
      </c>
      <c r="F557" s="4">
        <f t="shared" si="32"/>
        <v>16.263400000000001</v>
      </c>
      <c r="I557" s="4" t="s">
        <v>3911</v>
      </c>
      <c r="J557" s="4">
        <v>16.142600000000002</v>
      </c>
      <c r="K557" s="4">
        <v>16.788499999999999</v>
      </c>
      <c r="L557" s="4">
        <v>16.027200000000001</v>
      </c>
      <c r="M557" s="4">
        <f t="shared" si="33"/>
        <v>16.319433333333333</v>
      </c>
      <c r="Q557" s="43" t="s">
        <v>164</v>
      </c>
      <c r="R557" s="4">
        <v>15.9953521080933</v>
      </c>
      <c r="S557" s="4">
        <v>16.259461711631801</v>
      </c>
      <c r="T557" s="4">
        <v>15.938037672758099</v>
      </c>
      <c r="U557" s="4">
        <f t="shared" si="34"/>
        <v>16.064283830827733</v>
      </c>
      <c r="X557" s="43" t="s">
        <v>2930</v>
      </c>
      <c r="Y557" s="4">
        <v>16.143669576785101</v>
      </c>
      <c r="Z557" s="4">
        <v>16.027789577118501</v>
      </c>
      <c r="AA557" s="4">
        <v>16.048954983648802</v>
      </c>
      <c r="AB557" s="4">
        <f t="shared" si="35"/>
        <v>16.073471379184131</v>
      </c>
      <c r="AM557" s="2"/>
    </row>
    <row r="558" spans="2:39" x14ac:dyDescent="0.2">
      <c r="B558" s="4" t="s">
        <v>2172</v>
      </c>
      <c r="C558" s="4">
        <v>16.244299999999999</v>
      </c>
      <c r="D558" s="4">
        <v>15.910399999999999</v>
      </c>
      <c r="E558" s="4">
        <v>16.634399999999999</v>
      </c>
      <c r="F558" s="4">
        <f t="shared" si="32"/>
        <v>16.263033333333333</v>
      </c>
      <c r="I558" s="4" t="s">
        <v>9</v>
      </c>
      <c r="J558" s="4">
        <v>16.5564</v>
      </c>
      <c r="K558" s="4">
        <v>15.98</v>
      </c>
      <c r="L558" s="4">
        <v>16.421700000000001</v>
      </c>
      <c r="M558" s="4">
        <f t="shared" si="33"/>
        <v>16.319366666666667</v>
      </c>
      <c r="Q558" s="43" t="s">
        <v>2096</v>
      </c>
      <c r="R558" s="4">
        <v>16.218601716000698</v>
      </c>
      <c r="S558" s="4">
        <v>15.9410352860959</v>
      </c>
      <c r="T558" s="4">
        <v>16.0072903151882</v>
      </c>
      <c r="U558" s="4">
        <f t="shared" si="34"/>
        <v>16.055642439094935</v>
      </c>
      <c r="X558" s="43" t="s">
        <v>4288</v>
      </c>
      <c r="Y558" s="4">
        <v>16.086989214967598</v>
      </c>
      <c r="Z558" s="4">
        <v>16.063880950873902</v>
      </c>
      <c r="AA558" s="4">
        <v>16.069186676485302</v>
      </c>
      <c r="AB558" s="4">
        <f t="shared" si="35"/>
        <v>16.073352280775598</v>
      </c>
      <c r="AM558" s="2"/>
    </row>
    <row r="559" spans="2:39" x14ac:dyDescent="0.2">
      <c r="B559" s="4" t="s">
        <v>3784</v>
      </c>
      <c r="C559" s="4">
        <v>16.295000000000002</v>
      </c>
      <c r="D559" s="4">
        <v>16.239999999999998</v>
      </c>
      <c r="E559" s="4">
        <v>16.253900000000002</v>
      </c>
      <c r="F559" s="4">
        <f t="shared" si="32"/>
        <v>16.262966666666667</v>
      </c>
      <c r="I559" s="4" t="s">
        <v>101</v>
      </c>
      <c r="J559" s="4">
        <v>16.510200000000001</v>
      </c>
      <c r="K559" s="4">
        <v>16.295100000000001</v>
      </c>
      <c r="L559" s="4">
        <v>16.1477</v>
      </c>
      <c r="M559" s="4">
        <f t="shared" si="33"/>
        <v>16.317666666666668</v>
      </c>
      <c r="Q559" s="43" t="s">
        <v>775</v>
      </c>
      <c r="R559" s="4">
        <v>16.089752569588999</v>
      </c>
      <c r="S559" s="4">
        <v>16.083970613429699</v>
      </c>
      <c r="T559" s="4">
        <v>15.987446733709801</v>
      </c>
      <c r="U559" s="4">
        <f t="shared" si="34"/>
        <v>16.053723305576167</v>
      </c>
      <c r="X559" s="43" t="s">
        <v>2935</v>
      </c>
      <c r="Y559" s="4">
        <v>15.991000161338301</v>
      </c>
      <c r="Z559" s="4">
        <v>16.117377354335801</v>
      </c>
      <c r="AA559" s="4">
        <v>16.1073165785043</v>
      </c>
      <c r="AB559" s="4">
        <f t="shared" si="35"/>
        <v>16.071898031392802</v>
      </c>
      <c r="AM559" s="2"/>
    </row>
    <row r="560" spans="2:39" x14ac:dyDescent="0.2">
      <c r="B560" s="4" t="s">
        <v>1498</v>
      </c>
      <c r="C560" s="4">
        <v>16.0548</v>
      </c>
      <c r="D560" s="4">
        <v>15.872199999999999</v>
      </c>
      <c r="E560" s="4">
        <v>16.853400000000001</v>
      </c>
      <c r="F560" s="4">
        <f t="shared" si="32"/>
        <v>16.260133333333332</v>
      </c>
      <c r="I560" s="4" t="s">
        <v>3206</v>
      </c>
      <c r="J560" s="4">
        <v>16.3797</v>
      </c>
      <c r="K560" s="4">
        <v>16.2498</v>
      </c>
      <c r="L560" s="4">
        <v>16.312999999999999</v>
      </c>
      <c r="M560" s="4">
        <f t="shared" si="33"/>
        <v>16.314166666666665</v>
      </c>
      <c r="Q560" s="43" t="s">
        <v>1543</v>
      </c>
      <c r="R560" s="4">
        <v>16.143410733662702</v>
      </c>
      <c r="S560" s="4">
        <v>15.816736633401399</v>
      </c>
      <c r="T560" s="4">
        <v>16.1945614067278</v>
      </c>
      <c r="U560" s="4">
        <f t="shared" si="34"/>
        <v>16.051569591263966</v>
      </c>
      <c r="X560" s="43" t="s">
        <v>448</v>
      </c>
      <c r="Y560" s="4">
        <v>16.025053828987001</v>
      </c>
      <c r="Z560" s="4">
        <v>16.6114188619418</v>
      </c>
      <c r="AA560" s="4">
        <v>15.571687229852101</v>
      </c>
      <c r="AB560" s="4">
        <f t="shared" si="35"/>
        <v>16.069386640260301</v>
      </c>
      <c r="AM560" s="2"/>
    </row>
    <row r="561" spans="2:39" x14ac:dyDescent="0.2">
      <c r="B561" s="4" t="s">
        <v>699</v>
      </c>
      <c r="C561" s="4">
        <v>16.4925</v>
      </c>
      <c r="D561" s="4">
        <v>16.3475</v>
      </c>
      <c r="E561" s="4">
        <v>15.9352</v>
      </c>
      <c r="F561" s="4">
        <f t="shared" si="32"/>
        <v>16.258400000000002</v>
      </c>
      <c r="I561" s="4" t="s">
        <v>3865</v>
      </c>
      <c r="J561" s="4">
        <v>16.486999999999998</v>
      </c>
      <c r="K561" s="4">
        <v>15.7377</v>
      </c>
      <c r="L561" s="4">
        <v>16.692399999999999</v>
      </c>
      <c r="M561" s="4">
        <f t="shared" si="33"/>
        <v>16.305699999999998</v>
      </c>
      <c r="Q561" s="43" t="s">
        <v>2584</v>
      </c>
      <c r="R561" s="4">
        <v>16.307300843332602</v>
      </c>
      <c r="S561" s="4">
        <v>15.9154420933457</v>
      </c>
      <c r="T561" s="4">
        <v>15.930448267127399</v>
      </c>
      <c r="U561" s="4">
        <f t="shared" si="34"/>
        <v>16.0510637346019</v>
      </c>
      <c r="X561" s="43" t="s">
        <v>2632</v>
      </c>
      <c r="Y561" s="4">
        <v>16.033563710961801</v>
      </c>
      <c r="Z561" s="4">
        <v>16.182567218877701</v>
      </c>
      <c r="AA561" s="4">
        <v>15.987994641659601</v>
      </c>
      <c r="AB561" s="4">
        <f t="shared" si="35"/>
        <v>16.068041857166367</v>
      </c>
      <c r="AM561" s="2"/>
    </row>
    <row r="562" spans="2:39" x14ac:dyDescent="0.2">
      <c r="B562" s="4" t="s">
        <v>30</v>
      </c>
      <c r="C562" s="4">
        <v>16.497199999999999</v>
      </c>
      <c r="D562" s="4">
        <v>15.8611</v>
      </c>
      <c r="E562" s="4">
        <v>16.413799999999998</v>
      </c>
      <c r="F562" s="4">
        <f t="shared" si="32"/>
        <v>16.257366666666666</v>
      </c>
      <c r="I562" s="4" t="s">
        <v>3180</v>
      </c>
      <c r="J562" s="4">
        <v>16.440000000000001</v>
      </c>
      <c r="K562" s="4">
        <v>15.835900000000001</v>
      </c>
      <c r="L562" s="4">
        <v>16.627700000000001</v>
      </c>
      <c r="M562" s="4">
        <f t="shared" si="33"/>
        <v>16.301199999999998</v>
      </c>
      <c r="Q562" s="43" t="s">
        <v>223</v>
      </c>
      <c r="R562" s="4">
        <v>16.288921384670299</v>
      </c>
      <c r="S562" s="4">
        <v>15.946333004515999</v>
      </c>
      <c r="T562" s="4">
        <v>15.9056089038412</v>
      </c>
      <c r="U562" s="4">
        <f t="shared" si="34"/>
        <v>16.046954431009166</v>
      </c>
      <c r="X562" s="43" t="s">
        <v>3365</v>
      </c>
      <c r="Y562" s="4">
        <v>16.109531538370302</v>
      </c>
      <c r="Z562" s="4">
        <v>15.9754290148144</v>
      </c>
      <c r="AA562" s="4">
        <v>16.117576138989701</v>
      </c>
      <c r="AB562" s="4">
        <f t="shared" si="35"/>
        <v>16.067512230724802</v>
      </c>
      <c r="AM562" s="2"/>
    </row>
    <row r="563" spans="2:39" x14ac:dyDescent="0.2">
      <c r="B563" s="4" t="s">
        <v>1626</v>
      </c>
      <c r="C563" s="4">
        <v>16.368600000000001</v>
      </c>
      <c r="D563" s="4">
        <v>16.1798</v>
      </c>
      <c r="E563" s="4">
        <v>16.217700000000001</v>
      </c>
      <c r="F563" s="4">
        <f t="shared" si="32"/>
        <v>16.255366666666667</v>
      </c>
      <c r="I563" s="4" t="s">
        <v>3146</v>
      </c>
      <c r="J563" s="4">
        <v>16.381799999999998</v>
      </c>
      <c r="K563" s="4">
        <v>16.2194</v>
      </c>
      <c r="L563" s="4">
        <v>16.288699999999999</v>
      </c>
      <c r="M563" s="4">
        <f t="shared" si="33"/>
        <v>16.296633333333332</v>
      </c>
      <c r="Q563" s="43" t="s">
        <v>3375</v>
      </c>
      <c r="R563" s="4">
        <v>16.290038708099001</v>
      </c>
      <c r="S563" s="4">
        <v>15.934304282008201</v>
      </c>
      <c r="T563" s="4">
        <v>15.9160677233887</v>
      </c>
      <c r="U563" s="4">
        <f t="shared" si="34"/>
        <v>16.046803571165302</v>
      </c>
      <c r="X563" s="43" t="s">
        <v>1647</v>
      </c>
      <c r="Y563" s="4">
        <v>16.0875643180701</v>
      </c>
      <c r="Z563" s="4">
        <v>15.953752649183601</v>
      </c>
      <c r="AA563" s="4">
        <v>16.161207437383801</v>
      </c>
      <c r="AB563" s="4">
        <f t="shared" si="35"/>
        <v>16.067508134879166</v>
      </c>
      <c r="AM563" s="2"/>
    </row>
    <row r="564" spans="2:39" x14ac:dyDescent="0.2">
      <c r="B564" s="4" t="s">
        <v>1643</v>
      </c>
      <c r="C564" s="4">
        <v>16.166399999999999</v>
      </c>
      <c r="D564" s="4">
        <v>16.257999999999999</v>
      </c>
      <c r="E564" s="4">
        <v>16.340800000000002</v>
      </c>
      <c r="F564" s="4">
        <f t="shared" si="32"/>
        <v>16.255066666666668</v>
      </c>
      <c r="I564" s="4" t="s">
        <v>3957</v>
      </c>
      <c r="J564" s="4">
        <v>16.324200000000001</v>
      </c>
      <c r="K564" s="4">
        <v>15.9375</v>
      </c>
      <c r="L564" s="4">
        <v>16.624300000000002</v>
      </c>
      <c r="M564" s="4">
        <f t="shared" si="33"/>
        <v>16.295333333333335</v>
      </c>
      <c r="Q564" s="43" t="s">
        <v>2305</v>
      </c>
      <c r="R564" s="4">
        <v>16.081748508680899</v>
      </c>
      <c r="S564" s="4">
        <v>15.898387739350101</v>
      </c>
      <c r="T564" s="4">
        <v>16.158895641364602</v>
      </c>
      <c r="U564" s="4">
        <f t="shared" si="34"/>
        <v>16.046343963131868</v>
      </c>
      <c r="X564" s="43" t="s">
        <v>3522</v>
      </c>
      <c r="Y564" s="4">
        <v>16.106387582713101</v>
      </c>
      <c r="Z564" s="4">
        <v>16.126889548006599</v>
      </c>
      <c r="AA564" s="4">
        <v>15.931982172440099</v>
      </c>
      <c r="AB564" s="4">
        <f t="shared" si="35"/>
        <v>16.055086434386599</v>
      </c>
      <c r="AM564" s="2"/>
    </row>
    <row r="565" spans="2:39" x14ac:dyDescent="0.2">
      <c r="B565" s="4" t="s">
        <v>128</v>
      </c>
      <c r="C565" s="4">
        <v>15.7605</v>
      </c>
      <c r="D565" s="4">
        <v>16.094200000000001</v>
      </c>
      <c r="E565" s="4">
        <v>16.893000000000001</v>
      </c>
      <c r="F565" s="4">
        <f t="shared" si="32"/>
        <v>16.249233333333333</v>
      </c>
      <c r="I565" s="4" t="s">
        <v>4005</v>
      </c>
      <c r="J565" s="4">
        <v>16.393599999999999</v>
      </c>
      <c r="K565" s="4">
        <v>16.220400000000001</v>
      </c>
      <c r="L565" s="4">
        <v>16.271000000000001</v>
      </c>
      <c r="M565" s="4">
        <f t="shared" si="33"/>
        <v>16.295000000000002</v>
      </c>
      <c r="Q565" s="43" t="s">
        <v>911</v>
      </c>
      <c r="R565" s="4">
        <v>16.051529991332</v>
      </c>
      <c r="S565" s="4">
        <v>15.8727783446642</v>
      </c>
      <c r="T565" s="4">
        <v>16.2049172564755</v>
      </c>
      <c r="U565" s="4">
        <f t="shared" si="34"/>
        <v>16.043075197490566</v>
      </c>
      <c r="X565" s="43" t="s">
        <v>2064</v>
      </c>
      <c r="Y565" s="4">
        <v>15.97653869633</v>
      </c>
      <c r="Z565" s="4">
        <v>16.199949192375801</v>
      </c>
      <c r="AA565" s="4">
        <v>15.9736654269383</v>
      </c>
      <c r="AB565" s="4">
        <f t="shared" si="35"/>
        <v>16.050051105214703</v>
      </c>
      <c r="AM565" s="2"/>
    </row>
    <row r="566" spans="2:39" x14ac:dyDescent="0.2">
      <c r="B566" s="4" t="s">
        <v>3848</v>
      </c>
      <c r="C566" s="4">
        <v>15.9458</v>
      </c>
      <c r="D566" s="4">
        <v>16.522300000000001</v>
      </c>
      <c r="E566" s="4">
        <v>16.254999999999999</v>
      </c>
      <c r="F566" s="4">
        <f t="shared" si="32"/>
        <v>16.241033333333334</v>
      </c>
      <c r="I566" s="4" t="s">
        <v>2788</v>
      </c>
      <c r="J566" s="4">
        <v>16.177099999999999</v>
      </c>
      <c r="K566" s="4">
        <v>16.797899999999998</v>
      </c>
      <c r="L566" s="4">
        <v>15.9076</v>
      </c>
      <c r="M566" s="4">
        <f t="shared" si="33"/>
        <v>16.2942</v>
      </c>
      <c r="Q566" s="43" t="s">
        <v>3320</v>
      </c>
      <c r="R566" s="4">
        <v>15.8624364959011</v>
      </c>
      <c r="S566" s="4">
        <v>16.042248391178301</v>
      </c>
      <c r="T566" s="4">
        <v>16.168510452418499</v>
      </c>
      <c r="U566" s="4">
        <f t="shared" si="34"/>
        <v>16.024398446499301</v>
      </c>
      <c r="X566" s="43" t="s">
        <v>1636</v>
      </c>
      <c r="Y566" s="4">
        <v>15.871332515761701</v>
      </c>
      <c r="Z566" s="4">
        <v>16.143887293721299</v>
      </c>
      <c r="AA566" s="4">
        <v>16.122463987314301</v>
      </c>
      <c r="AB566" s="4">
        <f t="shared" si="35"/>
        <v>16.045894598932435</v>
      </c>
      <c r="AM566" s="2"/>
    </row>
    <row r="567" spans="2:39" x14ac:dyDescent="0.2">
      <c r="B567" s="4" t="s">
        <v>2375</v>
      </c>
      <c r="C567" s="4">
        <v>16.127300000000002</v>
      </c>
      <c r="D567" s="4">
        <v>16.366099999999999</v>
      </c>
      <c r="E567" s="4">
        <v>16.198799999999999</v>
      </c>
      <c r="F567" s="4">
        <f t="shared" si="32"/>
        <v>16.230733333333333</v>
      </c>
      <c r="I567" s="4" t="s">
        <v>905</v>
      </c>
      <c r="J567" s="4">
        <v>15.6927</v>
      </c>
      <c r="K567" s="4">
        <v>17.219899999999999</v>
      </c>
      <c r="L567" s="4">
        <v>15.9605</v>
      </c>
      <c r="M567" s="4">
        <f t="shared" si="33"/>
        <v>16.291033333333331</v>
      </c>
      <c r="Q567" s="43" t="s">
        <v>3346</v>
      </c>
      <c r="R567" s="4">
        <v>15.918454027391</v>
      </c>
      <c r="S567" s="4">
        <v>16.235843779642</v>
      </c>
      <c r="T567" s="4">
        <v>15.918818287453901</v>
      </c>
      <c r="U567" s="4">
        <f t="shared" si="34"/>
        <v>16.024372031495634</v>
      </c>
      <c r="X567" s="43" t="s">
        <v>3607</v>
      </c>
      <c r="Y567" s="4">
        <v>16.059961818398602</v>
      </c>
      <c r="Z567" s="4">
        <v>16.170468389368999</v>
      </c>
      <c r="AA567" s="4">
        <v>15.8986626882399</v>
      </c>
      <c r="AB567" s="4">
        <f t="shared" si="35"/>
        <v>16.043030965335834</v>
      </c>
      <c r="AM567" s="2"/>
    </row>
    <row r="568" spans="2:39" x14ac:dyDescent="0.2">
      <c r="B568" s="4" t="s">
        <v>3791</v>
      </c>
      <c r="C568" s="4">
        <v>16.418900000000001</v>
      </c>
      <c r="D568" s="4">
        <v>16.2285</v>
      </c>
      <c r="E568" s="4">
        <v>16.035799999999998</v>
      </c>
      <c r="F568" s="4">
        <f t="shared" si="32"/>
        <v>16.227733333333333</v>
      </c>
      <c r="I568" s="4" t="s">
        <v>73</v>
      </c>
      <c r="J568" s="4">
        <v>16.1691</v>
      </c>
      <c r="K568" s="4">
        <v>16.604199999999999</v>
      </c>
      <c r="L568" s="4">
        <v>16.092199999999998</v>
      </c>
      <c r="M568" s="4">
        <f t="shared" si="33"/>
        <v>16.288499999999999</v>
      </c>
      <c r="Q568" s="43" t="s">
        <v>2314</v>
      </c>
      <c r="R568" s="4">
        <v>15.966516213583599</v>
      </c>
      <c r="S568" s="4">
        <v>15.996195695119701</v>
      </c>
      <c r="T568" s="4">
        <v>16.101161389538198</v>
      </c>
      <c r="U568" s="4">
        <f t="shared" si="34"/>
        <v>16.021291099413833</v>
      </c>
      <c r="X568" s="43" t="s">
        <v>1615</v>
      </c>
      <c r="Y568" s="4">
        <v>15.9599469333334</v>
      </c>
      <c r="Z568" s="4">
        <v>16.098861526139</v>
      </c>
      <c r="AA568" s="4">
        <v>16.067136744214402</v>
      </c>
      <c r="AB568" s="4">
        <f t="shared" si="35"/>
        <v>16.041981734562267</v>
      </c>
      <c r="AM568" s="2"/>
    </row>
    <row r="569" spans="2:39" x14ac:dyDescent="0.2">
      <c r="B569" s="4" t="s">
        <v>2602</v>
      </c>
      <c r="C569" s="4">
        <v>16.4923</v>
      </c>
      <c r="D569" s="4">
        <v>16.268000000000001</v>
      </c>
      <c r="E569" s="4">
        <v>15.9224</v>
      </c>
      <c r="F569" s="4">
        <f t="shared" si="32"/>
        <v>16.227566666666664</v>
      </c>
      <c r="I569" s="4" t="s">
        <v>1346</v>
      </c>
      <c r="J569" s="4">
        <v>16.519200000000001</v>
      </c>
      <c r="K569" s="4">
        <v>15.8194</v>
      </c>
      <c r="L569" s="4">
        <v>16.516100000000002</v>
      </c>
      <c r="M569" s="4">
        <f t="shared" si="33"/>
        <v>16.2849</v>
      </c>
      <c r="Q569" s="43" t="s">
        <v>2956</v>
      </c>
      <c r="R569" s="4">
        <v>16.441090528610601</v>
      </c>
      <c r="S569" s="4">
        <v>15.7819316078791</v>
      </c>
      <c r="T569" s="4">
        <v>15.8398473283541</v>
      </c>
      <c r="U569" s="4">
        <f t="shared" si="34"/>
        <v>16.020956488281268</v>
      </c>
      <c r="X569" s="43" t="s">
        <v>2203</v>
      </c>
      <c r="Y569" s="4">
        <v>16.009804735200898</v>
      </c>
      <c r="Z569" s="4">
        <v>16.105513606349</v>
      </c>
      <c r="AA569" s="4">
        <v>16.0079151178488</v>
      </c>
      <c r="AB569" s="4">
        <f t="shared" si="35"/>
        <v>16.041077819799565</v>
      </c>
      <c r="AM569" s="2"/>
    </row>
    <row r="570" spans="2:39" x14ac:dyDescent="0.2">
      <c r="B570" s="4" t="s">
        <v>2331</v>
      </c>
      <c r="C570" s="4">
        <v>16.272600000000001</v>
      </c>
      <c r="D570" s="4">
        <v>16.203700000000001</v>
      </c>
      <c r="E570" s="4">
        <v>16.1783</v>
      </c>
      <c r="F570" s="4">
        <f t="shared" si="32"/>
        <v>16.2182</v>
      </c>
      <c r="I570" s="4" t="s">
        <v>1965</v>
      </c>
      <c r="J570" s="4">
        <v>16.418299999999999</v>
      </c>
      <c r="K570" s="4">
        <v>16.072299999999998</v>
      </c>
      <c r="L570" s="4">
        <v>16.351500000000001</v>
      </c>
      <c r="M570" s="4">
        <f t="shared" si="33"/>
        <v>16.2807</v>
      </c>
      <c r="Q570" s="43" t="s">
        <v>2540</v>
      </c>
      <c r="R570" s="4">
        <v>15.9924887849143</v>
      </c>
      <c r="S570" s="4">
        <v>15.976348878432001</v>
      </c>
      <c r="T570" s="4">
        <v>16.0676991766931</v>
      </c>
      <c r="U570" s="4">
        <f t="shared" si="34"/>
        <v>16.0121789466798</v>
      </c>
      <c r="X570" s="43" t="s">
        <v>2365</v>
      </c>
      <c r="Y570" s="4">
        <v>15.9488038375539</v>
      </c>
      <c r="Z570" s="4">
        <v>16.213018051177201</v>
      </c>
      <c r="AA570" s="4">
        <v>15.949794996827199</v>
      </c>
      <c r="AB570" s="4">
        <f t="shared" si="35"/>
        <v>16.037205628519434</v>
      </c>
      <c r="AM570" s="2"/>
    </row>
    <row r="571" spans="2:39" x14ac:dyDescent="0.2">
      <c r="B571" s="4" t="s">
        <v>3210</v>
      </c>
      <c r="C571" s="4">
        <v>16.002300000000002</v>
      </c>
      <c r="D571" s="4">
        <v>16.270800000000001</v>
      </c>
      <c r="E571" s="4">
        <v>16.3613</v>
      </c>
      <c r="F571" s="4">
        <f t="shared" si="32"/>
        <v>16.211466666666666</v>
      </c>
      <c r="I571" s="4" t="s">
        <v>687</v>
      </c>
      <c r="J571" s="4">
        <v>15.8688</v>
      </c>
      <c r="K571" s="4">
        <v>17.674299999999999</v>
      </c>
      <c r="L571" s="4">
        <v>15.275600000000001</v>
      </c>
      <c r="M571" s="4">
        <f t="shared" si="33"/>
        <v>16.272899999999996</v>
      </c>
      <c r="Q571" s="43" t="s">
        <v>3607</v>
      </c>
      <c r="R571" s="4">
        <v>16.1538774506549</v>
      </c>
      <c r="S571" s="4">
        <v>15.9468507806308</v>
      </c>
      <c r="T571" s="4">
        <v>15.912721012001301</v>
      </c>
      <c r="U571" s="4">
        <f t="shared" si="34"/>
        <v>16.004483081095668</v>
      </c>
      <c r="X571" s="43" t="s">
        <v>2597</v>
      </c>
      <c r="Y571" s="4">
        <v>16.138620252156802</v>
      </c>
      <c r="Z571" s="4">
        <v>16.2920504800496</v>
      </c>
      <c r="AA571" s="4">
        <v>15.677477888327401</v>
      </c>
      <c r="AB571" s="4">
        <f t="shared" si="35"/>
        <v>16.036049540177935</v>
      </c>
      <c r="AM571" s="2"/>
    </row>
    <row r="572" spans="2:39" x14ac:dyDescent="0.2">
      <c r="B572" s="4" t="s">
        <v>3701</v>
      </c>
      <c r="C572" s="4">
        <v>16.0947</v>
      </c>
      <c r="D572" s="4">
        <v>16.127700000000001</v>
      </c>
      <c r="E572" s="4">
        <v>16.400600000000001</v>
      </c>
      <c r="F572" s="4">
        <f t="shared" si="32"/>
        <v>16.207666666666668</v>
      </c>
      <c r="I572" s="4" t="s">
        <v>1629</v>
      </c>
      <c r="J572" s="4">
        <v>16.2544</v>
      </c>
      <c r="K572" s="4">
        <v>16.267600000000002</v>
      </c>
      <c r="L572" s="4">
        <v>16.278099999999998</v>
      </c>
      <c r="M572" s="4">
        <f t="shared" si="33"/>
        <v>16.2667</v>
      </c>
      <c r="Q572" s="43" t="s">
        <v>3981</v>
      </c>
      <c r="R572" s="4">
        <v>16.099830239152201</v>
      </c>
      <c r="S572" s="4">
        <v>16.072225234775502</v>
      </c>
      <c r="T572" s="4">
        <v>15.839543651845201</v>
      </c>
      <c r="U572" s="4">
        <f t="shared" si="34"/>
        <v>16.003866375257633</v>
      </c>
      <c r="X572" s="43" t="s">
        <v>458</v>
      </c>
      <c r="Y572" s="4">
        <v>15.969609861357799</v>
      </c>
      <c r="Z572" s="4">
        <v>16.1876096165511</v>
      </c>
      <c r="AA572" s="4">
        <v>15.938374830693</v>
      </c>
      <c r="AB572" s="4">
        <f t="shared" si="35"/>
        <v>16.031864769533964</v>
      </c>
      <c r="AM572" s="2"/>
    </row>
    <row r="573" spans="2:39" x14ac:dyDescent="0.2">
      <c r="B573" s="4" t="s">
        <v>689</v>
      </c>
      <c r="C573" s="4">
        <v>16.203299999999999</v>
      </c>
      <c r="D573" s="4">
        <v>16.240600000000001</v>
      </c>
      <c r="E573" s="4">
        <v>16.165500000000002</v>
      </c>
      <c r="F573" s="4">
        <f t="shared" si="32"/>
        <v>16.203133333333334</v>
      </c>
      <c r="I573" s="4" t="s">
        <v>2559</v>
      </c>
      <c r="J573" s="4">
        <v>16.495899999999999</v>
      </c>
      <c r="K573" s="4">
        <v>15.843</v>
      </c>
      <c r="L573" s="4">
        <v>16.457899999999999</v>
      </c>
      <c r="M573" s="4">
        <f t="shared" si="33"/>
        <v>16.265599999999996</v>
      </c>
      <c r="Q573" s="43" t="s">
        <v>3164</v>
      </c>
      <c r="R573" s="4">
        <v>16.195595572795899</v>
      </c>
      <c r="S573" s="4">
        <v>15.7622727455672</v>
      </c>
      <c r="T573" s="4">
        <v>16.042877665276801</v>
      </c>
      <c r="U573" s="4">
        <f t="shared" si="34"/>
        <v>16.000248661213302</v>
      </c>
      <c r="X573" s="43" t="s">
        <v>1273</v>
      </c>
      <c r="Y573" s="4">
        <v>15.978899330080299</v>
      </c>
      <c r="Z573" s="4">
        <v>16.036122009352599</v>
      </c>
      <c r="AA573" s="4">
        <v>16.063129359765899</v>
      </c>
      <c r="AB573" s="4">
        <f t="shared" si="35"/>
        <v>16.026050233066268</v>
      </c>
      <c r="AM573" s="2"/>
    </row>
    <row r="574" spans="2:39" x14ac:dyDescent="0.2">
      <c r="B574" s="4" t="s">
        <v>409</v>
      </c>
      <c r="C574" s="4">
        <v>15.6668</v>
      </c>
      <c r="D574" s="4">
        <v>16.140799999999999</v>
      </c>
      <c r="E574" s="4">
        <v>16.798300000000001</v>
      </c>
      <c r="F574" s="4">
        <f t="shared" si="32"/>
        <v>16.201966666666667</v>
      </c>
      <c r="I574" s="4" t="s">
        <v>744</v>
      </c>
      <c r="J574" s="4">
        <v>16.186800000000002</v>
      </c>
      <c r="K574" s="4">
        <v>16.799700000000001</v>
      </c>
      <c r="L574" s="4">
        <v>15.804500000000001</v>
      </c>
      <c r="M574" s="4">
        <f t="shared" si="33"/>
        <v>16.263666666666669</v>
      </c>
      <c r="Q574" s="43" t="s">
        <v>4616</v>
      </c>
      <c r="R574" s="4">
        <v>16.884674474825701</v>
      </c>
      <c r="S574" s="4">
        <v>15.8786381174734</v>
      </c>
      <c r="T574" s="4">
        <v>15.2313940967877</v>
      </c>
      <c r="U574" s="4">
        <f t="shared" si="34"/>
        <v>15.998235563028933</v>
      </c>
      <c r="X574" s="43" t="s">
        <v>2451</v>
      </c>
      <c r="Y574" s="4">
        <v>15.9752577380468</v>
      </c>
      <c r="Z574" s="4">
        <v>16.012088860445001</v>
      </c>
      <c r="AA574" s="4">
        <v>16.0831153223812</v>
      </c>
      <c r="AB574" s="4">
        <f t="shared" si="35"/>
        <v>16.023487306957666</v>
      </c>
      <c r="AM574" s="2"/>
    </row>
    <row r="575" spans="2:39" x14ac:dyDescent="0.2">
      <c r="B575" s="4" t="s">
        <v>1563</v>
      </c>
      <c r="C575" s="4">
        <v>15.9377</v>
      </c>
      <c r="D575" s="4">
        <v>16.254300000000001</v>
      </c>
      <c r="E575" s="4">
        <v>16.398599999999998</v>
      </c>
      <c r="F575" s="4">
        <f t="shared" si="32"/>
        <v>16.196866666666665</v>
      </c>
      <c r="I575" s="4" t="s">
        <v>692</v>
      </c>
      <c r="J575" s="4">
        <v>16.113399999999999</v>
      </c>
      <c r="K575" s="4">
        <v>16.513400000000001</v>
      </c>
      <c r="L575" s="4">
        <v>16.1615</v>
      </c>
      <c r="M575" s="4">
        <f t="shared" si="33"/>
        <v>16.262766666666668</v>
      </c>
      <c r="Q575" s="43" t="s">
        <v>2112</v>
      </c>
      <c r="R575" s="4">
        <v>16.130494613508301</v>
      </c>
      <c r="S575" s="4">
        <v>16.044448900745401</v>
      </c>
      <c r="T575" s="4">
        <v>15.814508397839299</v>
      </c>
      <c r="U575" s="4">
        <f t="shared" si="34"/>
        <v>15.996483970697666</v>
      </c>
      <c r="X575" s="43" t="s">
        <v>1351</v>
      </c>
      <c r="Y575" s="4">
        <v>15.9035337483829</v>
      </c>
      <c r="Z575" s="4">
        <v>16.364917495107999</v>
      </c>
      <c r="AA575" s="4">
        <v>15.801907513591701</v>
      </c>
      <c r="AB575" s="4">
        <f t="shared" si="35"/>
        <v>16.023452919027534</v>
      </c>
      <c r="AM575" s="2"/>
    </row>
    <row r="576" spans="2:39" x14ac:dyDescent="0.2">
      <c r="B576" s="4" t="s">
        <v>2707</v>
      </c>
      <c r="C576" s="4">
        <v>16.230899999999998</v>
      </c>
      <c r="D576" s="4">
        <v>16.170200000000001</v>
      </c>
      <c r="E576" s="4">
        <v>16.1844</v>
      </c>
      <c r="F576" s="4">
        <f t="shared" si="32"/>
        <v>16.195166666666665</v>
      </c>
      <c r="I576" s="4" t="s">
        <v>1556</v>
      </c>
      <c r="J576" s="4">
        <v>16.28</v>
      </c>
      <c r="K576" s="4">
        <v>15.8718</v>
      </c>
      <c r="L576" s="4">
        <v>16.625399999999999</v>
      </c>
      <c r="M576" s="4">
        <f t="shared" si="33"/>
        <v>16.259066666666666</v>
      </c>
      <c r="Q576" s="43" t="s">
        <v>3875</v>
      </c>
      <c r="R576" s="4">
        <v>15.9584969144616</v>
      </c>
      <c r="S576" s="4">
        <v>15.915584573169999</v>
      </c>
      <c r="T576" s="4">
        <v>16.0899842526632</v>
      </c>
      <c r="U576" s="4">
        <f t="shared" si="34"/>
        <v>15.9880219134316</v>
      </c>
      <c r="X576" s="43" t="s">
        <v>3514</v>
      </c>
      <c r="Y576" s="4">
        <v>15.864323766998501</v>
      </c>
      <c r="Z576" s="4">
        <v>15.9777474281123</v>
      </c>
      <c r="AA576" s="4">
        <v>16.222351329917299</v>
      </c>
      <c r="AB576" s="4">
        <f t="shared" si="35"/>
        <v>16.021474175009367</v>
      </c>
      <c r="AM576" s="2"/>
    </row>
    <row r="577" spans="2:39" x14ac:dyDescent="0.2">
      <c r="B577" s="4" t="s">
        <v>2093</v>
      </c>
      <c r="C577" s="4">
        <v>16.237500000000001</v>
      </c>
      <c r="D577" s="4">
        <v>16.214700000000001</v>
      </c>
      <c r="E577" s="4">
        <v>16.119</v>
      </c>
      <c r="F577" s="4">
        <f t="shared" si="32"/>
        <v>16.1904</v>
      </c>
      <c r="I577" s="4" t="s">
        <v>1714</v>
      </c>
      <c r="J577" s="4">
        <v>16.060600000000001</v>
      </c>
      <c r="K577" s="4">
        <v>16.8917</v>
      </c>
      <c r="L577" s="4">
        <v>15.818099999999999</v>
      </c>
      <c r="M577" s="4">
        <f t="shared" si="33"/>
        <v>16.256800000000002</v>
      </c>
      <c r="Q577" s="43" t="s">
        <v>4068</v>
      </c>
      <c r="R577" s="4">
        <v>16.132062826553401</v>
      </c>
      <c r="S577" s="4">
        <v>15.930650846644699</v>
      </c>
      <c r="T577" s="4">
        <v>15.9010563308006</v>
      </c>
      <c r="U577" s="4">
        <f t="shared" si="34"/>
        <v>15.987923334666235</v>
      </c>
      <c r="X577" s="43" t="s">
        <v>3851</v>
      </c>
      <c r="Y577" s="4">
        <v>15.9987971527206</v>
      </c>
      <c r="Z577" s="4">
        <v>16.203554711917899</v>
      </c>
      <c r="AA577" s="4">
        <v>15.8589661744087</v>
      </c>
      <c r="AB577" s="4">
        <f t="shared" si="35"/>
        <v>16.020439346349068</v>
      </c>
      <c r="AM577" s="2"/>
    </row>
    <row r="578" spans="2:39" x14ac:dyDescent="0.2">
      <c r="B578" s="4" t="s">
        <v>1656</v>
      </c>
      <c r="C578" s="4">
        <v>16.168199999999999</v>
      </c>
      <c r="D578" s="4">
        <v>16.335100000000001</v>
      </c>
      <c r="E578" s="4">
        <v>16.055</v>
      </c>
      <c r="F578" s="4">
        <f t="shared" ref="F578:F641" si="36">(C578+D578+E578)/3</f>
        <v>16.1861</v>
      </c>
      <c r="I578" s="4" t="s">
        <v>1964</v>
      </c>
      <c r="J578" s="4">
        <v>16.3705</v>
      </c>
      <c r="K578" s="4">
        <v>15.818</v>
      </c>
      <c r="L578" s="4">
        <v>16.566400000000002</v>
      </c>
      <c r="M578" s="4">
        <f t="shared" ref="M578:M641" si="37">(J578+K578+L578)/3</f>
        <v>16.251633333333334</v>
      </c>
      <c r="Q578" s="43" t="s">
        <v>3823</v>
      </c>
      <c r="R578" s="4">
        <v>16.169591965756599</v>
      </c>
      <c r="S578" s="4">
        <v>15.917550028982101</v>
      </c>
      <c r="T578" s="4">
        <v>15.8716574816746</v>
      </c>
      <c r="U578" s="4">
        <f t="shared" ref="U578:U641" si="38">(R578+S578+T578)/3</f>
        <v>15.986266492137768</v>
      </c>
      <c r="X578" s="43" t="s">
        <v>1464</v>
      </c>
      <c r="Y578" s="4">
        <v>15.7510310861951</v>
      </c>
      <c r="Z578" s="4">
        <v>16.2511023562598</v>
      </c>
      <c r="AA578" s="4">
        <v>16.0556469999778</v>
      </c>
      <c r="AB578" s="4">
        <f t="shared" ref="AB578:AB641" si="39">(Y578+Z578+AA578)/3</f>
        <v>16.019260147477567</v>
      </c>
      <c r="AM578" s="2"/>
    </row>
    <row r="579" spans="2:39" x14ac:dyDescent="0.2">
      <c r="B579" s="4" t="s">
        <v>166</v>
      </c>
      <c r="C579" s="4">
        <v>16.134399999999999</v>
      </c>
      <c r="D579" s="4">
        <v>16.215599999999998</v>
      </c>
      <c r="E579" s="4">
        <v>16.1997</v>
      </c>
      <c r="F579" s="4">
        <f t="shared" si="36"/>
        <v>16.18323333333333</v>
      </c>
      <c r="I579" s="4" t="s">
        <v>3536</v>
      </c>
      <c r="J579" s="4">
        <v>16.083300000000001</v>
      </c>
      <c r="K579" s="4">
        <v>16.409700000000001</v>
      </c>
      <c r="L579" s="4">
        <v>16.252099999999999</v>
      </c>
      <c r="M579" s="4">
        <f t="shared" si="37"/>
        <v>16.248366666666666</v>
      </c>
      <c r="Q579" s="43" t="s">
        <v>1525</v>
      </c>
      <c r="R579" s="4">
        <v>16.112360984360699</v>
      </c>
      <c r="S579" s="4">
        <v>15.7249991052671</v>
      </c>
      <c r="T579" s="4">
        <v>16.119964796151301</v>
      </c>
      <c r="U579" s="4">
        <f t="shared" si="38"/>
        <v>15.985774961926367</v>
      </c>
      <c r="X579" s="43" t="s">
        <v>3459</v>
      </c>
      <c r="Y579" s="4">
        <v>15.9630115470723</v>
      </c>
      <c r="Z579" s="4">
        <v>16.128356222455199</v>
      </c>
      <c r="AA579" s="4">
        <v>15.948341251167999</v>
      </c>
      <c r="AB579" s="4">
        <f t="shared" si="39"/>
        <v>16.013236340231831</v>
      </c>
      <c r="AM579" s="2"/>
    </row>
    <row r="580" spans="2:39" x14ac:dyDescent="0.2">
      <c r="B580" s="4" t="s">
        <v>2181</v>
      </c>
      <c r="C580" s="4">
        <v>16.179600000000001</v>
      </c>
      <c r="D580" s="4">
        <v>16.2683</v>
      </c>
      <c r="E580" s="4">
        <v>16.100300000000001</v>
      </c>
      <c r="F580" s="4">
        <f t="shared" si="36"/>
        <v>16.182733333333335</v>
      </c>
      <c r="I580" s="4" t="s">
        <v>65</v>
      </c>
      <c r="J580" s="4">
        <v>16.075299999999999</v>
      </c>
      <c r="K580" s="4">
        <v>16.730799999999999</v>
      </c>
      <c r="L580" s="4">
        <v>15.9389</v>
      </c>
      <c r="M580" s="4">
        <f t="shared" si="37"/>
        <v>16.248333333333335</v>
      </c>
      <c r="Q580" s="43" t="s">
        <v>1717</v>
      </c>
      <c r="R580" s="4">
        <v>16.163597333647299</v>
      </c>
      <c r="S580" s="4">
        <v>15.7185323405222</v>
      </c>
      <c r="T580" s="4">
        <v>16.0022928835388</v>
      </c>
      <c r="U580" s="4">
        <f t="shared" si="38"/>
        <v>15.961474185902766</v>
      </c>
      <c r="X580" s="43" t="s">
        <v>1881</v>
      </c>
      <c r="Y580" s="4">
        <v>16.037866706607101</v>
      </c>
      <c r="Z580" s="4">
        <v>16.386512595103699</v>
      </c>
      <c r="AA580" s="4">
        <v>15.6141206074303</v>
      </c>
      <c r="AB580" s="4">
        <f t="shared" si="39"/>
        <v>16.012833303047035</v>
      </c>
      <c r="AM580" s="2"/>
    </row>
    <row r="581" spans="2:39" x14ac:dyDescent="0.2">
      <c r="B581" s="4" t="s">
        <v>660</v>
      </c>
      <c r="C581" s="4">
        <v>16.0808</v>
      </c>
      <c r="D581" s="4">
        <v>16.3171</v>
      </c>
      <c r="E581" s="4">
        <v>16.146699999999999</v>
      </c>
      <c r="F581" s="4">
        <f t="shared" si="36"/>
        <v>16.181533333333334</v>
      </c>
      <c r="I581" s="4" t="s">
        <v>344</v>
      </c>
      <c r="J581" s="4">
        <v>16.186499999999999</v>
      </c>
      <c r="K581" s="4">
        <v>16.319600000000001</v>
      </c>
      <c r="L581" s="4">
        <v>16.238399999999999</v>
      </c>
      <c r="M581" s="4">
        <f t="shared" si="37"/>
        <v>16.248166666666666</v>
      </c>
      <c r="Q581" s="43" t="s">
        <v>607</v>
      </c>
      <c r="R581" s="4">
        <v>16.057820244015399</v>
      </c>
      <c r="S581" s="4">
        <v>15.771266861823699</v>
      </c>
      <c r="T581" s="4">
        <v>16.052086118952801</v>
      </c>
      <c r="U581" s="4">
        <f t="shared" si="38"/>
        <v>15.960391074930634</v>
      </c>
      <c r="X581" s="43" t="s">
        <v>2449</v>
      </c>
      <c r="Y581" s="4">
        <v>16.0347400347543</v>
      </c>
      <c r="Z581" s="4">
        <v>16.107077606226198</v>
      </c>
      <c r="AA581" s="4">
        <v>15.893119817160899</v>
      </c>
      <c r="AB581" s="4">
        <f t="shared" si="39"/>
        <v>16.011645819380465</v>
      </c>
      <c r="AM581" s="2"/>
    </row>
    <row r="582" spans="2:39" x14ac:dyDescent="0.2">
      <c r="B582" s="4" t="s">
        <v>3390</v>
      </c>
      <c r="C582" s="4">
        <v>15.9953</v>
      </c>
      <c r="D582" s="4">
        <v>16.119499999999999</v>
      </c>
      <c r="E582" s="4">
        <v>16.41</v>
      </c>
      <c r="F582" s="4">
        <f t="shared" si="36"/>
        <v>16.174933333333332</v>
      </c>
      <c r="I582" s="4" t="s">
        <v>1070</v>
      </c>
      <c r="J582" s="4">
        <v>16.162299999999998</v>
      </c>
      <c r="K582" s="4">
        <v>16.263000000000002</v>
      </c>
      <c r="L582" s="4">
        <v>16.2864</v>
      </c>
      <c r="M582" s="4">
        <f t="shared" si="37"/>
        <v>16.237233333333332</v>
      </c>
      <c r="Q582" s="43" t="s">
        <v>4486</v>
      </c>
      <c r="R582" s="4">
        <v>16.1776954172282</v>
      </c>
      <c r="S582" s="4">
        <v>16.0041670091234</v>
      </c>
      <c r="T582" s="4">
        <v>15.695888407612699</v>
      </c>
      <c r="U582" s="4">
        <f t="shared" si="38"/>
        <v>15.959250277988099</v>
      </c>
      <c r="X582" s="43" t="s">
        <v>1685</v>
      </c>
      <c r="Y582" s="4">
        <v>16.0534240516808</v>
      </c>
      <c r="Z582" s="4">
        <v>16.130700398323</v>
      </c>
      <c r="AA582" s="4">
        <v>15.8361388577763</v>
      </c>
      <c r="AB582" s="4">
        <f t="shared" si="39"/>
        <v>16.006754435926698</v>
      </c>
      <c r="AM582" s="2"/>
    </row>
    <row r="583" spans="2:39" x14ac:dyDescent="0.2">
      <c r="B583" s="4" t="s">
        <v>3294</v>
      </c>
      <c r="C583" s="4">
        <v>16.815000000000001</v>
      </c>
      <c r="D583" s="4">
        <v>16.119299999999999</v>
      </c>
      <c r="E583" s="4">
        <v>15.588699999999999</v>
      </c>
      <c r="F583" s="4">
        <f t="shared" si="36"/>
        <v>16.174333333333333</v>
      </c>
      <c r="I583" s="4" t="s">
        <v>1720</v>
      </c>
      <c r="J583" s="4">
        <v>16.395099999999999</v>
      </c>
      <c r="K583" s="4">
        <v>15.849399999999999</v>
      </c>
      <c r="L583" s="4">
        <v>16.4619</v>
      </c>
      <c r="M583" s="4">
        <f t="shared" si="37"/>
        <v>16.235466666666667</v>
      </c>
      <c r="Q583" s="43" t="s">
        <v>3504</v>
      </c>
      <c r="R583" s="4">
        <v>16.015500423242099</v>
      </c>
      <c r="S583" s="4">
        <v>15.997924540628</v>
      </c>
      <c r="T583" s="4">
        <v>15.842848032332901</v>
      </c>
      <c r="U583" s="4">
        <f t="shared" si="38"/>
        <v>15.952090998734334</v>
      </c>
      <c r="X583" s="43" t="s">
        <v>2543</v>
      </c>
      <c r="Y583" s="4">
        <v>15.9371727910279</v>
      </c>
      <c r="Z583" s="4">
        <v>15.848513662859601</v>
      </c>
      <c r="AA583" s="4">
        <v>16.233235314810202</v>
      </c>
      <c r="AB583" s="4">
        <f t="shared" si="39"/>
        <v>16.006307256232567</v>
      </c>
      <c r="AM583" s="2"/>
    </row>
    <row r="584" spans="2:39" x14ac:dyDescent="0.2">
      <c r="B584" s="4" t="s">
        <v>3065</v>
      </c>
      <c r="C584" s="4">
        <v>16.075299999999999</v>
      </c>
      <c r="D584" s="4">
        <v>15.7782</v>
      </c>
      <c r="E584" s="4">
        <v>16.656600000000001</v>
      </c>
      <c r="F584" s="4">
        <f t="shared" si="36"/>
        <v>16.170033333333333</v>
      </c>
      <c r="I584" s="4" t="s">
        <v>1516</v>
      </c>
      <c r="J584" s="4">
        <v>15.867100000000001</v>
      </c>
      <c r="K584" s="4">
        <v>16.391200000000001</v>
      </c>
      <c r="L584" s="4">
        <v>16.4251</v>
      </c>
      <c r="M584" s="4">
        <f t="shared" si="37"/>
        <v>16.227800000000002</v>
      </c>
      <c r="Q584" s="43" t="s">
        <v>2345</v>
      </c>
      <c r="R584" s="4">
        <v>15.869371985466801</v>
      </c>
      <c r="S584" s="4">
        <v>16.047857400578099</v>
      </c>
      <c r="T584" s="4">
        <v>15.922134447155299</v>
      </c>
      <c r="U584" s="4">
        <f t="shared" si="38"/>
        <v>15.946454611066734</v>
      </c>
      <c r="X584" s="43" t="s">
        <v>2879</v>
      </c>
      <c r="Y584" s="4">
        <v>15.898940063480101</v>
      </c>
      <c r="Z584" s="4">
        <v>16.133520005255001</v>
      </c>
      <c r="AA584" s="4">
        <v>15.976006526475601</v>
      </c>
      <c r="AB584" s="4">
        <f t="shared" si="39"/>
        <v>16.002822198403567</v>
      </c>
      <c r="AM584" s="2"/>
    </row>
    <row r="585" spans="2:39" x14ac:dyDescent="0.2">
      <c r="B585" s="4" t="s">
        <v>3420</v>
      </c>
      <c r="C585" s="4">
        <v>16.309799999999999</v>
      </c>
      <c r="D585" s="4">
        <v>16.2225</v>
      </c>
      <c r="E585" s="4">
        <v>15.9666</v>
      </c>
      <c r="F585" s="4">
        <f t="shared" si="36"/>
        <v>16.1663</v>
      </c>
      <c r="I585" s="4" t="s">
        <v>2181</v>
      </c>
      <c r="J585" s="4">
        <v>16.329899999999999</v>
      </c>
      <c r="K585" s="4">
        <v>16.028600000000001</v>
      </c>
      <c r="L585" s="4">
        <v>16.306899999999999</v>
      </c>
      <c r="M585" s="4">
        <f t="shared" si="37"/>
        <v>16.221799999999998</v>
      </c>
      <c r="Q585" s="43" t="s">
        <v>3415</v>
      </c>
      <c r="R585" s="4">
        <v>16.123055281756098</v>
      </c>
      <c r="S585" s="4">
        <v>15.888472491922199</v>
      </c>
      <c r="T585" s="4">
        <v>15.8267054058391</v>
      </c>
      <c r="U585" s="4">
        <f t="shared" si="38"/>
        <v>15.946077726505798</v>
      </c>
      <c r="X585" s="43" t="s">
        <v>785</v>
      </c>
      <c r="Y585" s="4">
        <v>16.138210814502699</v>
      </c>
      <c r="Z585" s="4">
        <v>16.048990494793198</v>
      </c>
      <c r="AA585" s="4">
        <v>15.802771584422301</v>
      </c>
      <c r="AB585" s="4">
        <f t="shared" si="39"/>
        <v>15.996657631239401</v>
      </c>
      <c r="AM585" s="2"/>
    </row>
    <row r="586" spans="2:39" x14ac:dyDescent="0.2">
      <c r="B586" s="4" t="s">
        <v>2402</v>
      </c>
      <c r="C586" s="4">
        <v>16.235399999999998</v>
      </c>
      <c r="D586" s="4">
        <v>16.5336</v>
      </c>
      <c r="E586" s="4">
        <v>15.7296</v>
      </c>
      <c r="F586" s="4">
        <f t="shared" si="36"/>
        <v>16.1662</v>
      </c>
      <c r="I586" s="4" t="s">
        <v>380</v>
      </c>
      <c r="J586" s="4">
        <v>16.207999999999998</v>
      </c>
      <c r="K586" s="4">
        <v>16.452200000000001</v>
      </c>
      <c r="L586" s="4">
        <v>16.0047</v>
      </c>
      <c r="M586" s="4">
        <f t="shared" si="37"/>
        <v>16.221633333333333</v>
      </c>
      <c r="Q586" s="43" t="s">
        <v>1375</v>
      </c>
      <c r="R586" s="4">
        <v>16.141208270843698</v>
      </c>
      <c r="S586" s="4">
        <v>15.8489973684456</v>
      </c>
      <c r="T586" s="4">
        <v>15.8440568535691</v>
      </c>
      <c r="U586" s="4">
        <f t="shared" si="38"/>
        <v>15.944754164286133</v>
      </c>
      <c r="X586" s="43" t="s">
        <v>2331</v>
      </c>
      <c r="Y586" s="4">
        <v>16.073782464892101</v>
      </c>
      <c r="Z586" s="4">
        <v>16.082164107994402</v>
      </c>
      <c r="AA586" s="4">
        <v>15.823243469241101</v>
      </c>
      <c r="AB586" s="4">
        <f t="shared" si="39"/>
        <v>15.993063347375868</v>
      </c>
      <c r="AM586" s="2"/>
    </row>
    <row r="587" spans="2:39" x14ac:dyDescent="0.2">
      <c r="B587" s="4" t="s">
        <v>2065</v>
      </c>
      <c r="C587" s="4">
        <v>16.176600000000001</v>
      </c>
      <c r="D587" s="4">
        <v>16.177800000000001</v>
      </c>
      <c r="E587" s="4">
        <v>16.112400000000001</v>
      </c>
      <c r="F587" s="4">
        <f t="shared" si="36"/>
        <v>16.1556</v>
      </c>
      <c r="I587" s="4" t="s">
        <v>1933</v>
      </c>
      <c r="J587" s="4">
        <v>16.164899999999999</v>
      </c>
      <c r="K587" s="4">
        <v>16.069800000000001</v>
      </c>
      <c r="L587" s="4">
        <v>16.422699999999999</v>
      </c>
      <c r="M587" s="4">
        <f t="shared" si="37"/>
        <v>16.219133333333335</v>
      </c>
      <c r="Q587" s="43" t="s">
        <v>1251</v>
      </c>
      <c r="R587" s="4">
        <v>15.8532352455198</v>
      </c>
      <c r="S587" s="4">
        <v>15.9693443939201</v>
      </c>
      <c r="T587" s="4">
        <v>16.0091591957063</v>
      </c>
      <c r="U587" s="4">
        <f t="shared" si="38"/>
        <v>15.943912945048732</v>
      </c>
      <c r="X587" s="43" t="s">
        <v>1655</v>
      </c>
      <c r="Y587" s="4">
        <v>15.917574046370101</v>
      </c>
      <c r="Z587" s="4">
        <v>16.072960219626999</v>
      </c>
      <c r="AA587" s="4">
        <v>15.9850935533951</v>
      </c>
      <c r="AB587" s="4">
        <f t="shared" si="39"/>
        <v>15.991875939797401</v>
      </c>
      <c r="AM587" s="2"/>
    </row>
    <row r="588" spans="2:39" x14ac:dyDescent="0.2">
      <c r="B588" s="4" t="s">
        <v>1760</v>
      </c>
      <c r="C588" s="4">
        <v>16.3355</v>
      </c>
      <c r="D588" s="4">
        <v>16.090900000000001</v>
      </c>
      <c r="E588" s="4">
        <v>16.034800000000001</v>
      </c>
      <c r="F588" s="4">
        <f t="shared" si="36"/>
        <v>16.153733333333335</v>
      </c>
      <c r="I588" s="4" t="s">
        <v>3050</v>
      </c>
      <c r="J588" s="4">
        <v>16.3538</v>
      </c>
      <c r="K588" s="4">
        <v>16.103100000000001</v>
      </c>
      <c r="L588" s="4">
        <v>16.1907</v>
      </c>
      <c r="M588" s="4">
        <f t="shared" si="37"/>
        <v>16.215866666666667</v>
      </c>
      <c r="Q588" s="43" t="s">
        <v>1718</v>
      </c>
      <c r="R588" s="4">
        <v>15.9978914058594</v>
      </c>
      <c r="S588" s="4">
        <v>15.775507157342799</v>
      </c>
      <c r="T588" s="4">
        <v>16.028724249061099</v>
      </c>
      <c r="U588" s="4">
        <f t="shared" si="38"/>
        <v>15.9340409374211</v>
      </c>
      <c r="X588" s="43" t="s">
        <v>666</v>
      </c>
      <c r="Y588" s="4">
        <v>15.8551349477051</v>
      </c>
      <c r="Z588" s="4">
        <v>16.114117522146099</v>
      </c>
      <c r="AA588" s="4">
        <v>15.9983830978304</v>
      </c>
      <c r="AB588" s="4">
        <f t="shared" si="39"/>
        <v>15.989211855893865</v>
      </c>
      <c r="AM588" s="2"/>
    </row>
    <row r="589" spans="2:39" x14ac:dyDescent="0.2">
      <c r="B589" s="4" t="s">
        <v>3353</v>
      </c>
      <c r="C589" s="4">
        <v>15.978999999999999</v>
      </c>
      <c r="D589" s="4">
        <v>16.043099999999999</v>
      </c>
      <c r="E589" s="4">
        <v>16.422999999999998</v>
      </c>
      <c r="F589" s="4">
        <f t="shared" si="36"/>
        <v>16.148366666666664</v>
      </c>
      <c r="I589" s="4" t="s">
        <v>2300</v>
      </c>
      <c r="J589" s="4">
        <v>16.3462</v>
      </c>
      <c r="K589" s="4">
        <v>16.267600000000002</v>
      </c>
      <c r="L589" s="4">
        <v>16.0321</v>
      </c>
      <c r="M589" s="4">
        <f t="shared" si="37"/>
        <v>16.215299999999999</v>
      </c>
      <c r="Q589" s="43" t="s">
        <v>2250</v>
      </c>
      <c r="R589" s="4">
        <v>15.7730835403657</v>
      </c>
      <c r="S589" s="4">
        <v>15.7730024302389</v>
      </c>
      <c r="T589" s="4">
        <v>16.245996901852902</v>
      </c>
      <c r="U589" s="4">
        <f t="shared" si="38"/>
        <v>15.930694290819167</v>
      </c>
      <c r="X589" s="43" t="s">
        <v>223</v>
      </c>
      <c r="Y589" s="4">
        <v>15.927175478850399</v>
      </c>
      <c r="Z589" s="4">
        <v>16.081025953764701</v>
      </c>
      <c r="AA589" s="4">
        <v>15.941102719800799</v>
      </c>
      <c r="AB589" s="4">
        <f t="shared" si="39"/>
        <v>15.983101384138635</v>
      </c>
      <c r="AM589" s="2"/>
    </row>
    <row r="590" spans="2:39" x14ac:dyDescent="0.2">
      <c r="B590" s="4" t="s">
        <v>3312</v>
      </c>
      <c r="C590" s="4">
        <v>15.898999999999999</v>
      </c>
      <c r="D590" s="4">
        <v>16.131599999999999</v>
      </c>
      <c r="E590" s="4">
        <v>16.4008</v>
      </c>
      <c r="F590" s="4">
        <f t="shared" si="36"/>
        <v>16.143799999999999</v>
      </c>
      <c r="I590" s="4" t="s">
        <v>876</v>
      </c>
      <c r="J590" s="4">
        <v>16.2562</v>
      </c>
      <c r="K590" s="4">
        <v>15.9589</v>
      </c>
      <c r="L590" s="4">
        <v>16.427499999999998</v>
      </c>
      <c r="M590" s="4">
        <f t="shared" si="37"/>
        <v>16.214200000000002</v>
      </c>
      <c r="Q590" s="43" t="s">
        <v>1942</v>
      </c>
      <c r="R590" s="4">
        <v>15.9643238553068</v>
      </c>
      <c r="S590" s="4">
        <v>15.897706394511699</v>
      </c>
      <c r="T590" s="4">
        <v>15.920161237878901</v>
      </c>
      <c r="U590" s="4">
        <f t="shared" si="38"/>
        <v>15.927397162565802</v>
      </c>
      <c r="X590" s="43" t="s">
        <v>3006</v>
      </c>
      <c r="Y590" s="4">
        <v>16.012698678292299</v>
      </c>
      <c r="Z590" s="4">
        <v>16.046385980963699</v>
      </c>
      <c r="AA590" s="4">
        <v>15.885125893499</v>
      </c>
      <c r="AB590" s="4">
        <f t="shared" si="39"/>
        <v>15.981403517585001</v>
      </c>
      <c r="AM590" s="2"/>
    </row>
    <row r="591" spans="2:39" x14ac:dyDescent="0.2">
      <c r="B591" s="4" t="s">
        <v>1570</v>
      </c>
      <c r="C591" s="4">
        <v>16.1525</v>
      </c>
      <c r="D591" s="4">
        <v>16.081800000000001</v>
      </c>
      <c r="E591" s="4">
        <v>16.183399999999999</v>
      </c>
      <c r="F591" s="4">
        <f t="shared" si="36"/>
        <v>16.139233333333333</v>
      </c>
      <c r="I591" s="4" t="s">
        <v>1692</v>
      </c>
      <c r="J591" s="4">
        <v>16.156300000000002</v>
      </c>
      <c r="K591" s="4">
        <v>16.152799999999999</v>
      </c>
      <c r="L591" s="4">
        <v>16.321000000000002</v>
      </c>
      <c r="M591" s="4">
        <f t="shared" si="37"/>
        <v>16.210033333333332</v>
      </c>
      <c r="Q591" s="43" t="s">
        <v>3753</v>
      </c>
      <c r="R591" s="4">
        <v>16.037510125791499</v>
      </c>
      <c r="S591" s="4">
        <v>15.872189251333699</v>
      </c>
      <c r="T591" s="4">
        <v>15.8548745971248</v>
      </c>
      <c r="U591" s="4">
        <f t="shared" si="38"/>
        <v>15.921524658083333</v>
      </c>
      <c r="X591" s="43" t="s">
        <v>2213</v>
      </c>
      <c r="Y591" s="4">
        <v>15.9713634876319</v>
      </c>
      <c r="Z591" s="4">
        <v>15.9883843762367</v>
      </c>
      <c r="AA591" s="4">
        <v>15.981681076350601</v>
      </c>
      <c r="AB591" s="4">
        <f t="shared" si="39"/>
        <v>15.980476313406399</v>
      </c>
      <c r="AM591" s="2"/>
    </row>
    <row r="592" spans="2:39" x14ac:dyDescent="0.2">
      <c r="B592" s="4" t="s">
        <v>2128</v>
      </c>
      <c r="C592" s="4">
        <v>16.048400000000001</v>
      </c>
      <c r="D592" s="4">
        <v>16.3018</v>
      </c>
      <c r="E592" s="4">
        <v>16.049600000000002</v>
      </c>
      <c r="F592" s="4">
        <f t="shared" si="36"/>
        <v>16.133266666666668</v>
      </c>
      <c r="I592" s="4" t="s">
        <v>3394</v>
      </c>
      <c r="J592" s="4">
        <v>16.171299999999999</v>
      </c>
      <c r="K592" s="4">
        <v>16.544599999999999</v>
      </c>
      <c r="L592" s="4">
        <v>15.9138</v>
      </c>
      <c r="M592" s="4">
        <f t="shared" si="37"/>
        <v>16.209900000000001</v>
      </c>
      <c r="Q592" s="43" t="s">
        <v>1529</v>
      </c>
      <c r="R592" s="4">
        <v>16.432411598960801</v>
      </c>
      <c r="S592" s="4">
        <v>15.5083806696656</v>
      </c>
      <c r="T592" s="4">
        <v>15.819475258352201</v>
      </c>
      <c r="U592" s="4">
        <f t="shared" si="38"/>
        <v>15.920089175659534</v>
      </c>
      <c r="X592" s="43" t="s">
        <v>2216</v>
      </c>
      <c r="Y592" s="4">
        <v>15.9897437941167</v>
      </c>
      <c r="Z592" s="4">
        <v>16.1210294123293</v>
      </c>
      <c r="AA592" s="4">
        <v>15.82159028535</v>
      </c>
      <c r="AB592" s="4">
        <f t="shared" si="39"/>
        <v>15.977454497265333</v>
      </c>
      <c r="AM592" s="2"/>
    </row>
    <row r="593" spans="2:39" x14ac:dyDescent="0.2">
      <c r="B593" s="4" t="s">
        <v>1617</v>
      </c>
      <c r="C593" s="4">
        <v>16.6126</v>
      </c>
      <c r="D593" s="4">
        <v>16.035900000000002</v>
      </c>
      <c r="E593" s="4">
        <v>15.7433</v>
      </c>
      <c r="F593" s="4">
        <f t="shared" si="36"/>
        <v>16.130599999999998</v>
      </c>
      <c r="I593" s="4" t="s">
        <v>1723</v>
      </c>
      <c r="J593" s="4">
        <v>16.148800000000001</v>
      </c>
      <c r="K593" s="4">
        <v>16.071200000000001</v>
      </c>
      <c r="L593" s="4">
        <v>16.4039</v>
      </c>
      <c r="M593" s="4">
        <f t="shared" si="37"/>
        <v>16.207966666666668</v>
      </c>
      <c r="Q593" s="43" t="s">
        <v>2242</v>
      </c>
      <c r="R593" s="4">
        <v>15.9278671017878</v>
      </c>
      <c r="S593" s="4">
        <v>15.9193345427057</v>
      </c>
      <c r="T593" s="4">
        <v>15.9045286473734</v>
      </c>
      <c r="U593" s="4">
        <f t="shared" si="38"/>
        <v>15.917243430622301</v>
      </c>
      <c r="X593" s="43" t="s">
        <v>979</v>
      </c>
      <c r="Y593" s="4">
        <v>15.9915546091429</v>
      </c>
      <c r="Z593" s="4">
        <v>16.085960057729601</v>
      </c>
      <c r="AA593" s="4">
        <v>15.852377807788701</v>
      </c>
      <c r="AB593" s="4">
        <f t="shared" si="39"/>
        <v>15.976630824887067</v>
      </c>
      <c r="AM593" s="2"/>
    </row>
    <row r="594" spans="2:39" x14ac:dyDescent="0.2">
      <c r="B594" s="4" t="s">
        <v>1864</v>
      </c>
      <c r="C594" s="4">
        <v>16.359400000000001</v>
      </c>
      <c r="D594" s="4">
        <v>16.113</v>
      </c>
      <c r="E594" s="4">
        <v>15.910299999999999</v>
      </c>
      <c r="F594" s="4">
        <f t="shared" si="36"/>
        <v>16.127566666666667</v>
      </c>
      <c r="I594" s="4" t="s">
        <v>2652</v>
      </c>
      <c r="J594" s="4">
        <v>16.223400000000002</v>
      </c>
      <c r="K594" s="4">
        <v>16.085599999999999</v>
      </c>
      <c r="L594" s="4">
        <v>16.305</v>
      </c>
      <c r="M594" s="4">
        <f t="shared" si="37"/>
        <v>16.204666666666665</v>
      </c>
      <c r="Q594" s="43" t="s">
        <v>3952</v>
      </c>
      <c r="R594" s="4">
        <v>16.046000106371</v>
      </c>
      <c r="S594" s="4">
        <v>15.9101806215065</v>
      </c>
      <c r="T594" s="4">
        <v>15.7932112389746</v>
      </c>
      <c r="U594" s="4">
        <f t="shared" si="38"/>
        <v>15.916463988950701</v>
      </c>
      <c r="X594" s="43" t="s">
        <v>2874</v>
      </c>
      <c r="Y594" s="4">
        <v>15.940332746177299</v>
      </c>
      <c r="Z594" s="4">
        <v>16.104168660461301</v>
      </c>
      <c r="AA594" s="4">
        <v>15.8808382903224</v>
      </c>
      <c r="AB594" s="4">
        <f t="shared" si="39"/>
        <v>15.975113232320334</v>
      </c>
      <c r="AM594" s="2"/>
    </row>
    <row r="595" spans="2:39" x14ac:dyDescent="0.2">
      <c r="B595" s="4" t="s">
        <v>2015</v>
      </c>
      <c r="C595" s="4">
        <v>16.074000000000002</v>
      </c>
      <c r="D595" s="4">
        <v>16.2271</v>
      </c>
      <c r="E595" s="4">
        <v>16.0792</v>
      </c>
      <c r="F595" s="4">
        <f t="shared" si="36"/>
        <v>16.126766666666668</v>
      </c>
      <c r="I595" s="4" t="s">
        <v>449</v>
      </c>
      <c r="J595" s="4">
        <v>16.223199999999999</v>
      </c>
      <c r="K595" s="4">
        <v>16.188400000000001</v>
      </c>
      <c r="L595" s="4">
        <v>16.197500000000002</v>
      </c>
      <c r="M595" s="4">
        <f t="shared" si="37"/>
        <v>16.203033333333334</v>
      </c>
      <c r="Q595" s="43" t="s">
        <v>1485</v>
      </c>
      <c r="R595" s="4">
        <v>16.150869283672002</v>
      </c>
      <c r="S595" s="4">
        <v>15.542382115493</v>
      </c>
      <c r="T595" s="4">
        <v>16.049190478329798</v>
      </c>
      <c r="U595" s="4">
        <f t="shared" si="38"/>
        <v>15.914147292498265</v>
      </c>
      <c r="X595" s="43" t="s">
        <v>524</v>
      </c>
      <c r="Y595" s="4">
        <v>15.931486300701501</v>
      </c>
      <c r="Z595" s="4">
        <v>16.094815795476102</v>
      </c>
      <c r="AA595" s="4">
        <v>15.890922742888399</v>
      </c>
      <c r="AB595" s="4">
        <f t="shared" si="39"/>
        <v>15.972408279688667</v>
      </c>
      <c r="AM595" s="2"/>
    </row>
    <row r="596" spans="2:39" x14ac:dyDescent="0.2">
      <c r="B596" s="4" t="s">
        <v>1053</v>
      </c>
      <c r="C596" s="4">
        <v>15.9597</v>
      </c>
      <c r="D596" s="4">
        <v>16.039300000000001</v>
      </c>
      <c r="E596" s="4">
        <v>16.370699999999999</v>
      </c>
      <c r="F596" s="4">
        <f t="shared" si="36"/>
        <v>16.123233333333335</v>
      </c>
      <c r="I596" s="4" t="s">
        <v>970</v>
      </c>
      <c r="J596" s="4">
        <v>16.457100000000001</v>
      </c>
      <c r="K596" s="4">
        <v>15.5175</v>
      </c>
      <c r="L596" s="4">
        <v>16.628900000000002</v>
      </c>
      <c r="M596" s="4">
        <f t="shared" si="37"/>
        <v>16.201166666666669</v>
      </c>
      <c r="Q596" s="43" t="s">
        <v>1379</v>
      </c>
      <c r="R596" s="4">
        <v>15.9945411183066</v>
      </c>
      <c r="S596" s="4">
        <v>15.8930312867792</v>
      </c>
      <c r="T596" s="4">
        <v>15.849160337072201</v>
      </c>
      <c r="U596" s="4">
        <f t="shared" si="38"/>
        <v>15.912244247385999</v>
      </c>
      <c r="X596" s="43" t="s">
        <v>3230</v>
      </c>
      <c r="Y596" s="4">
        <v>15.9311921388946</v>
      </c>
      <c r="Z596" s="4">
        <v>15.993334695046</v>
      </c>
      <c r="AA596" s="4">
        <v>15.9652137087807</v>
      </c>
      <c r="AB596" s="4">
        <f t="shared" si="39"/>
        <v>15.963246847573766</v>
      </c>
      <c r="AM596" s="2"/>
    </row>
    <row r="597" spans="2:39" x14ac:dyDescent="0.2">
      <c r="B597" s="4" t="s">
        <v>852</v>
      </c>
      <c r="C597" s="4">
        <v>16.375299999999999</v>
      </c>
      <c r="D597" s="4">
        <v>16.292999999999999</v>
      </c>
      <c r="E597" s="4">
        <v>15.678800000000001</v>
      </c>
      <c r="F597" s="4">
        <f t="shared" si="36"/>
        <v>16.1157</v>
      </c>
      <c r="I597" s="4" t="s">
        <v>1511</v>
      </c>
      <c r="J597" s="4">
        <v>15.589700000000001</v>
      </c>
      <c r="K597" s="4">
        <v>16.9986</v>
      </c>
      <c r="L597" s="4">
        <v>15.9983</v>
      </c>
      <c r="M597" s="4">
        <f t="shared" si="37"/>
        <v>16.195533333333334</v>
      </c>
      <c r="Q597" s="43" t="s">
        <v>2130</v>
      </c>
      <c r="R597" s="4">
        <v>15.6481864613794</v>
      </c>
      <c r="S597" s="4">
        <v>16.050566536778401</v>
      </c>
      <c r="T597" s="4">
        <v>16.036682090128998</v>
      </c>
      <c r="U597" s="4">
        <f t="shared" si="38"/>
        <v>15.911811696095599</v>
      </c>
      <c r="X597" s="43" t="s">
        <v>2166</v>
      </c>
      <c r="Y597" s="4">
        <v>16.708069170904398</v>
      </c>
      <c r="Z597" s="4">
        <v>15.913229129317999</v>
      </c>
      <c r="AA597" s="4">
        <v>15.255525870780099</v>
      </c>
      <c r="AB597" s="4">
        <f t="shared" si="39"/>
        <v>15.958941390334166</v>
      </c>
      <c r="AM597" s="2"/>
    </row>
    <row r="598" spans="2:39" x14ac:dyDescent="0.2">
      <c r="B598" s="4" t="s">
        <v>3805</v>
      </c>
      <c r="C598" s="4">
        <v>16.22</v>
      </c>
      <c r="D598" s="4">
        <v>16.147400000000001</v>
      </c>
      <c r="E598" s="4">
        <v>15.978999999999999</v>
      </c>
      <c r="F598" s="4">
        <f t="shared" si="36"/>
        <v>16.115466666666666</v>
      </c>
      <c r="I598" s="4" t="s">
        <v>2582</v>
      </c>
      <c r="J598" s="4">
        <v>16.235800000000001</v>
      </c>
      <c r="K598" s="4">
        <v>15.883100000000001</v>
      </c>
      <c r="L598" s="4">
        <v>16.456199999999999</v>
      </c>
      <c r="M598" s="4">
        <f t="shared" si="37"/>
        <v>16.191700000000001</v>
      </c>
      <c r="Q598" s="43" t="s">
        <v>3020</v>
      </c>
      <c r="R598" s="4">
        <v>16.210702361424701</v>
      </c>
      <c r="S598" s="4">
        <v>15.780568940236099</v>
      </c>
      <c r="T598" s="4">
        <v>15.7347543796223</v>
      </c>
      <c r="U598" s="4">
        <f t="shared" si="38"/>
        <v>15.908675227094369</v>
      </c>
      <c r="X598" s="43" t="s">
        <v>735</v>
      </c>
      <c r="Y598" s="4">
        <v>15.9940460612097</v>
      </c>
      <c r="Z598" s="4">
        <v>15.821053058559601</v>
      </c>
      <c r="AA598" s="4">
        <v>16.059515274914101</v>
      </c>
      <c r="AB598" s="4">
        <f t="shared" si="39"/>
        <v>15.958204798227802</v>
      </c>
      <c r="AM598" s="2"/>
    </row>
    <row r="599" spans="2:39" x14ac:dyDescent="0.2">
      <c r="B599" s="4" t="s">
        <v>2559</v>
      </c>
      <c r="C599" s="4">
        <v>16.186199999999999</v>
      </c>
      <c r="D599" s="4">
        <v>16.0351</v>
      </c>
      <c r="E599" s="4">
        <v>16.117699999999999</v>
      </c>
      <c r="F599" s="4">
        <f t="shared" si="36"/>
        <v>16.113</v>
      </c>
      <c r="I599" s="4" t="s">
        <v>436</v>
      </c>
      <c r="J599" s="4">
        <v>16.156400000000001</v>
      </c>
      <c r="K599" s="4">
        <v>16.113800000000001</v>
      </c>
      <c r="L599" s="4">
        <v>16.288599999999999</v>
      </c>
      <c r="M599" s="4">
        <f t="shared" si="37"/>
        <v>16.186266666666668</v>
      </c>
      <c r="Q599" s="43" t="s">
        <v>1147</v>
      </c>
      <c r="R599" s="4">
        <v>16.033401610681999</v>
      </c>
      <c r="S599" s="4">
        <v>15.9099030581081</v>
      </c>
      <c r="T599" s="4">
        <v>15.776414609826499</v>
      </c>
      <c r="U599" s="4">
        <f t="shared" si="38"/>
        <v>15.906573092872199</v>
      </c>
      <c r="X599" s="43" t="s">
        <v>1627</v>
      </c>
      <c r="Y599" s="4">
        <v>15.8261200375517</v>
      </c>
      <c r="Z599" s="4">
        <v>16.0599312269953</v>
      </c>
      <c r="AA599" s="4">
        <v>15.986015335726799</v>
      </c>
      <c r="AB599" s="4">
        <f t="shared" si="39"/>
        <v>15.957355533424598</v>
      </c>
      <c r="AM599" s="2"/>
    </row>
    <row r="600" spans="2:39" x14ac:dyDescent="0.2">
      <c r="B600" s="4" t="s">
        <v>3667</v>
      </c>
      <c r="C600" s="4">
        <v>15.9849</v>
      </c>
      <c r="D600" s="4">
        <v>16.0413</v>
      </c>
      <c r="E600" s="4">
        <v>16.3126</v>
      </c>
      <c r="F600" s="4">
        <f t="shared" si="36"/>
        <v>16.112933333333334</v>
      </c>
      <c r="I600" s="4" t="s">
        <v>3084</v>
      </c>
      <c r="J600" s="4">
        <v>16.2729</v>
      </c>
      <c r="K600" s="4">
        <v>15.9861</v>
      </c>
      <c r="L600" s="4">
        <v>16.2958</v>
      </c>
      <c r="M600" s="4">
        <f t="shared" si="37"/>
        <v>16.184933333333333</v>
      </c>
      <c r="Q600" s="43" t="s">
        <v>1645</v>
      </c>
      <c r="R600" s="4">
        <v>16.032000159694999</v>
      </c>
      <c r="S600" s="4">
        <v>15.8124050477188</v>
      </c>
      <c r="T600" s="4">
        <v>15.860436682844499</v>
      </c>
      <c r="U600" s="4">
        <f t="shared" si="38"/>
        <v>15.901613963419434</v>
      </c>
      <c r="X600" s="43" t="s">
        <v>3744</v>
      </c>
      <c r="Y600" s="4">
        <v>15.923758025381501</v>
      </c>
      <c r="Z600" s="4">
        <v>15.885725922120701</v>
      </c>
      <c r="AA600" s="4">
        <v>16.048537309164502</v>
      </c>
      <c r="AB600" s="4">
        <f t="shared" si="39"/>
        <v>15.952673752222234</v>
      </c>
      <c r="AM600" s="2"/>
    </row>
    <row r="601" spans="2:39" x14ac:dyDescent="0.2">
      <c r="B601" s="4" t="s">
        <v>3684</v>
      </c>
      <c r="C601" s="4">
        <v>16.109200000000001</v>
      </c>
      <c r="D601" s="4">
        <v>16.159199999999998</v>
      </c>
      <c r="E601" s="4">
        <v>16.062799999999999</v>
      </c>
      <c r="F601" s="4">
        <f t="shared" si="36"/>
        <v>16.110399999999998</v>
      </c>
      <c r="I601" s="4" t="s">
        <v>415</v>
      </c>
      <c r="J601" s="4">
        <v>16.1843</v>
      </c>
      <c r="K601" s="4">
        <v>16.174800000000001</v>
      </c>
      <c r="L601" s="4">
        <v>16.188400000000001</v>
      </c>
      <c r="M601" s="4">
        <f t="shared" si="37"/>
        <v>16.182500000000001</v>
      </c>
      <c r="Q601" s="43" t="s">
        <v>1635</v>
      </c>
      <c r="R601" s="4">
        <v>16.029119857935601</v>
      </c>
      <c r="S601" s="4">
        <v>15.8501959553815</v>
      </c>
      <c r="T601" s="4">
        <v>15.810529915598099</v>
      </c>
      <c r="U601" s="4">
        <f t="shared" si="38"/>
        <v>15.896615242971734</v>
      </c>
      <c r="X601" s="43" t="s">
        <v>1466</v>
      </c>
      <c r="Y601" s="4">
        <v>15.690766947611399</v>
      </c>
      <c r="Z601" s="4">
        <v>16.129142673824202</v>
      </c>
      <c r="AA601" s="4">
        <v>16.031539138929698</v>
      </c>
      <c r="AB601" s="4">
        <f t="shared" si="39"/>
        <v>15.950482920121766</v>
      </c>
      <c r="AM601" s="2"/>
    </row>
    <row r="602" spans="2:39" x14ac:dyDescent="0.2">
      <c r="B602" s="4" t="s">
        <v>1629</v>
      </c>
      <c r="C602" s="4">
        <v>16.209099999999999</v>
      </c>
      <c r="D602" s="4">
        <v>16.007100000000001</v>
      </c>
      <c r="E602" s="4">
        <v>16.112500000000001</v>
      </c>
      <c r="F602" s="4">
        <f t="shared" si="36"/>
        <v>16.109566666666666</v>
      </c>
      <c r="I602" s="4" t="s">
        <v>1486</v>
      </c>
      <c r="J602" s="4">
        <v>16.308299999999999</v>
      </c>
      <c r="K602" s="4">
        <v>16.357099999999999</v>
      </c>
      <c r="L602" s="4">
        <v>15.8604</v>
      </c>
      <c r="M602" s="4">
        <f t="shared" si="37"/>
        <v>16.175266666666666</v>
      </c>
      <c r="Q602" s="43" t="s">
        <v>481</v>
      </c>
      <c r="R602" s="4">
        <v>15.796697317604499</v>
      </c>
      <c r="S602" s="4">
        <v>15.8264877998595</v>
      </c>
      <c r="T602" s="4">
        <v>16.065750754574101</v>
      </c>
      <c r="U602" s="4">
        <f t="shared" si="38"/>
        <v>15.896311957346034</v>
      </c>
      <c r="X602" s="43" t="s">
        <v>705</v>
      </c>
      <c r="Y602" s="4">
        <v>16.063443549444798</v>
      </c>
      <c r="Z602" s="4">
        <v>15.809681935845701</v>
      </c>
      <c r="AA602" s="4">
        <v>15.975802205826501</v>
      </c>
      <c r="AB602" s="4">
        <f t="shared" si="39"/>
        <v>15.949642563705666</v>
      </c>
      <c r="AM602" s="2"/>
    </row>
    <row r="603" spans="2:39" x14ac:dyDescent="0.2">
      <c r="B603" s="4" t="s">
        <v>2954</v>
      </c>
      <c r="C603" s="4">
        <v>16.0122</v>
      </c>
      <c r="D603" s="4">
        <v>16.074400000000001</v>
      </c>
      <c r="E603" s="4">
        <v>16.239899999999999</v>
      </c>
      <c r="F603" s="4">
        <f t="shared" si="36"/>
        <v>16.108833333333333</v>
      </c>
      <c r="I603" s="4" t="s">
        <v>1635</v>
      </c>
      <c r="J603" s="4">
        <v>16.3659</v>
      </c>
      <c r="K603" s="4">
        <v>15.855399999999999</v>
      </c>
      <c r="L603" s="4">
        <v>16.297499999999999</v>
      </c>
      <c r="M603" s="4">
        <f t="shared" si="37"/>
        <v>16.172933333333333</v>
      </c>
      <c r="Q603" s="43" t="s">
        <v>3839</v>
      </c>
      <c r="R603" s="4">
        <v>15.9537937372169</v>
      </c>
      <c r="S603" s="4">
        <v>16.039259668627398</v>
      </c>
      <c r="T603" s="4">
        <v>15.6833387090141</v>
      </c>
      <c r="U603" s="4">
        <f t="shared" si="38"/>
        <v>15.8921307049528</v>
      </c>
      <c r="X603" s="43" t="s">
        <v>1761</v>
      </c>
      <c r="Y603" s="4">
        <v>16.127667364374499</v>
      </c>
      <c r="Z603" s="4">
        <v>15.9088477335464</v>
      </c>
      <c r="AA603" s="4">
        <v>15.798782115303601</v>
      </c>
      <c r="AB603" s="4">
        <f t="shared" si="39"/>
        <v>15.945099071074834</v>
      </c>
      <c r="AM603" s="2"/>
    </row>
    <row r="604" spans="2:39" x14ac:dyDescent="0.2">
      <c r="B604" s="4" t="s">
        <v>692</v>
      </c>
      <c r="C604" s="4">
        <v>16.108899999999998</v>
      </c>
      <c r="D604" s="4">
        <v>16.131499999999999</v>
      </c>
      <c r="E604" s="4">
        <v>16.081299999999999</v>
      </c>
      <c r="F604" s="4">
        <f t="shared" si="36"/>
        <v>16.10723333333333</v>
      </c>
      <c r="I604" s="4" t="s">
        <v>3543</v>
      </c>
      <c r="J604" s="4">
        <v>16.412500000000001</v>
      </c>
      <c r="K604" s="4">
        <v>15.916399999999999</v>
      </c>
      <c r="L604" s="4">
        <v>16.185500000000001</v>
      </c>
      <c r="M604" s="4">
        <f t="shared" si="37"/>
        <v>16.171466666666671</v>
      </c>
      <c r="Q604" s="43" t="s">
        <v>1070</v>
      </c>
      <c r="R604" s="4">
        <v>16.034740848062601</v>
      </c>
      <c r="S604" s="4">
        <v>15.7226184819829</v>
      </c>
      <c r="T604" s="4">
        <v>15.912345896502</v>
      </c>
      <c r="U604" s="4">
        <f t="shared" si="38"/>
        <v>15.889901742182502</v>
      </c>
      <c r="X604" s="43" t="s">
        <v>169</v>
      </c>
      <c r="Y604" s="4">
        <v>15.9193125806631</v>
      </c>
      <c r="Z604" s="4">
        <v>16.244601585893101</v>
      </c>
      <c r="AA604" s="4">
        <v>15.648962152722</v>
      </c>
      <c r="AB604" s="4">
        <f t="shared" si="39"/>
        <v>15.937625439759399</v>
      </c>
      <c r="AM604" s="2"/>
    </row>
    <row r="605" spans="2:39" x14ac:dyDescent="0.2">
      <c r="B605" s="4" t="s">
        <v>586</v>
      </c>
      <c r="C605" s="4">
        <v>16.140899999999998</v>
      </c>
      <c r="D605" s="4">
        <v>15.585100000000001</v>
      </c>
      <c r="E605" s="4">
        <v>16.583600000000001</v>
      </c>
      <c r="F605" s="4">
        <f t="shared" si="36"/>
        <v>16.103200000000001</v>
      </c>
      <c r="I605" s="4" t="s">
        <v>2093</v>
      </c>
      <c r="J605" s="4">
        <v>16.221</v>
      </c>
      <c r="K605" s="4">
        <v>16.0273</v>
      </c>
      <c r="L605" s="4">
        <v>16.260000000000002</v>
      </c>
      <c r="M605" s="4">
        <f t="shared" si="37"/>
        <v>16.169433333333334</v>
      </c>
      <c r="Q605" s="43" t="s">
        <v>1498</v>
      </c>
      <c r="R605" s="4">
        <v>15.848861906319399</v>
      </c>
      <c r="S605" s="4">
        <v>16.001255236102601</v>
      </c>
      <c r="T605" s="4">
        <v>15.817056122573099</v>
      </c>
      <c r="U605" s="4">
        <f t="shared" si="38"/>
        <v>15.889057754998367</v>
      </c>
      <c r="X605" s="43" t="s">
        <v>1916</v>
      </c>
      <c r="Y605" s="4">
        <v>16.095453302242401</v>
      </c>
      <c r="Z605" s="4">
        <v>16.481302163545401</v>
      </c>
      <c r="AA605" s="4">
        <v>15.232214771338001</v>
      </c>
      <c r="AB605" s="4">
        <f t="shared" si="39"/>
        <v>15.936323412375266</v>
      </c>
      <c r="AM605" s="2"/>
    </row>
    <row r="606" spans="2:39" x14ac:dyDescent="0.2">
      <c r="B606" s="4" t="s">
        <v>709</v>
      </c>
      <c r="C606" s="4">
        <v>16.033999999999999</v>
      </c>
      <c r="D606" s="4">
        <v>16.020199999999999</v>
      </c>
      <c r="E606" s="4">
        <v>16.243600000000001</v>
      </c>
      <c r="F606" s="4">
        <f t="shared" si="36"/>
        <v>16.099266666666665</v>
      </c>
      <c r="I606" s="4" t="s">
        <v>1253</v>
      </c>
      <c r="J606" s="4">
        <v>16.281700000000001</v>
      </c>
      <c r="K606" s="4">
        <v>16.078800000000001</v>
      </c>
      <c r="L606" s="4">
        <v>16.139800000000001</v>
      </c>
      <c r="M606" s="4">
        <f t="shared" si="37"/>
        <v>16.166766666666668</v>
      </c>
      <c r="Q606" s="43" t="s">
        <v>2514</v>
      </c>
      <c r="R606" s="4">
        <v>16.058349790605401</v>
      </c>
      <c r="S606" s="4">
        <v>15.8192121830493</v>
      </c>
      <c r="T606" s="4">
        <v>15.7872602139719</v>
      </c>
      <c r="U606" s="4">
        <f t="shared" si="38"/>
        <v>15.8882740625422</v>
      </c>
      <c r="X606" s="43" t="s">
        <v>533</v>
      </c>
      <c r="Y606" s="4">
        <v>15.9365425481576</v>
      </c>
      <c r="Z606" s="4">
        <v>15.953539726366399</v>
      </c>
      <c r="AA606" s="4">
        <v>15.9176749792205</v>
      </c>
      <c r="AB606" s="4">
        <f t="shared" si="39"/>
        <v>15.935919084581499</v>
      </c>
      <c r="AM606" s="2"/>
    </row>
    <row r="607" spans="2:39" x14ac:dyDescent="0.2">
      <c r="B607" s="4" t="s">
        <v>3930</v>
      </c>
      <c r="C607" s="4">
        <v>15.539300000000001</v>
      </c>
      <c r="D607" s="4">
        <v>16.352699999999999</v>
      </c>
      <c r="E607" s="4">
        <v>16.4057</v>
      </c>
      <c r="F607" s="4">
        <f t="shared" si="36"/>
        <v>16.099233333333334</v>
      </c>
      <c r="I607" s="4" t="s">
        <v>1227</v>
      </c>
      <c r="J607" s="4">
        <v>16.270099999999999</v>
      </c>
      <c r="K607" s="4">
        <v>16.082100000000001</v>
      </c>
      <c r="L607" s="4">
        <v>16.1401</v>
      </c>
      <c r="M607" s="4">
        <f t="shared" si="37"/>
        <v>16.164100000000001</v>
      </c>
      <c r="Q607" s="43" t="s">
        <v>173</v>
      </c>
      <c r="R607" s="4">
        <v>16.198777829983801</v>
      </c>
      <c r="S607" s="4">
        <v>15.7270604604734</v>
      </c>
      <c r="T607" s="4">
        <v>15.7230572453959</v>
      </c>
      <c r="U607" s="4">
        <f t="shared" si="38"/>
        <v>15.882965178617701</v>
      </c>
      <c r="X607" s="43" t="s">
        <v>2143</v>
      </c>
      <c r="Y607" s="4">
        <v>16.013590612740099</v>
      </c>
      <c r="Z607" s="4">
        <v>15.8031847466793</v>
      </c>
      <c r="AA607" s="4">
        <v>15.972360606978</v>
      </c>
      <c r="AB607" s="4">
        <f t="shared" si="39"/>
        <v>15.929711988799133</v>
      </c>
      <c r="AM607" s="2"/>
    </row>
    <row r="608" spans="2:39" x14ac:dyDescent="0.2">
      <c r="B608" s="4" t="s">
        <v>3456</v>
      </c>
      <c r="C608" s="4">
        <v>15.954700000000001</v>
      </c>
      <c r="D608" s="4">
        <v>16.130299999999998</v>
      </c>
      <c r="E608" s="4">
        <v>16.199400000000001</v>
      </c>
      <c r="F608" s="4">
        <f t="shared" si="36"/>
        <v>16.094800000000003</v>
      </c>
      <c r="I608" s="4" t="s">
        <v>2128</v>
      </c>
      <c r="J608" s="4">
        <v>16.0764</v>
      </c>
      <c r="K608" s="4">
        <v>16.2651</v>
      </c>
      <c r="L608" s="4">
        <v>16.1432</v>
      </c>
      <c r="M608" s="4">
        <f t="shared" si="37"/>
        <v>16.161566666666666</v>
      </c>
      <c r="Q608" s="43" t="s">
        <v>3556</v>
      </c>
      <c r="R608" s="4">
        <v>15.9813612123952</v>
      </c>
      <c r="S608" s="4">
        <v>15.7452442576911</v>
      </c>
      <c r="T608" s="4">
        <v>15.9119260087214</v>
      </c>
      <c r="U608" s="4">
        <f t="shared" si="38"/>
        <v>15.8795104929359</v>
      </c>
      <c r="X608" s="43" t="s">
        <v>3423</v>
      </c>
      <c r="Y608" s="4">
        <v>15.928162733437199</v>
      </c>
      <c r="Z608" s="4">
        <v>15.9785897805401</v>
      </c>
      <c r="AA608" s="4">
        <v>15.881821463273001</v>
      </c>
      <c r="AB608" s="4">
        <f t="shared" si="39"/>
        <v>15.929524659083434</v>
      </c>
      <c r="AM608" s="2"/>
    </row>
    <row r="609" spans="2:39" x14ac:dyDescent="0.2">
      <c r="B609" s="4" t="s">
        <v>869</v>
      </c>
      <c r="C609" s="4">
        <v>16.238</v>
      </c>
      <c r="D609" s="4">
        <v>15.8225</v>
      </c>
      <c r="E609" s="4">
        <v>16.206800000000001</v>
      </c>
      <c r="F609" s="4">
        <f t="shared" si="36"/>
        <v>16.089099999999998</v>
      </c>
      <c r="I609" s="4" t="s">
        <v>3981</v>
      </c>
      <c r="J609" s="4">
        <v>16.4894</v>
      </c>
      <c r="K609" s="4">
        <v>15.8521</v>
      </c>
      <c r="L609" s="4">
        <v>16.126799999999999</v>
      </c>
      <c r="M609" s="4">
        <f t="shared" si="37"/>
        <v>16.156099999999999</v>
      </c>
      <c r="Q609" s="43" t="s">
        <v>2758</v>
      </c>
      <c r="R609" s="4">
        <v>16.0045581469615</v>
      </c>
      <c r="S609" s="4">
        <v>15.995790977340601</v>
      </c>
      <c r="T609" s="4">
        <v>15.6329141875872</v>
      </c>
      <c r="U609" s="4">
        <f t="shared" si="38"/>
        <v>15.877754437296437</v>
      </c>
      <c r="X609" s="43" t="s">
        <v>860</v>
      </c>
      <c r="Y609" s="4">
        <v>15.7151284408389</v>
      </c>
      <c r="Z609" s="4">
        <v>15.896819415944099</v>
      </c>
      <c r="AA609" s="4">
        <v>16.158785868762099</v>
      </c>
      <c r="AB609" s="4">
        <f t="shared" si="39"/>
        <v>15.923577908515034</v>
      </c>
      <c r="AM609" s="2"/>
    </row>
    <row r="610" spans="2:39" x14ac:dyDescent="0.2">
      <c r="B610" s="4" t="s">
        <v>3468</v>
      </c>
      <c r="C610" s="4">
        <v>16.173500000000001</v>
      </c>
      <c r="D610" s="4">
        <v>16.0547</v>
      </c>
      <c r="E610" s="4">
        <v>16.032699999999998</v>
      </c>
      <c r="F610" s="4">
        <f t="shared" si="36"/>
        <v>16.086966666666665</v>
      </c>
      <c r="I610" s="4" t="s">
        <v>1478</v>
      </c>
      <c r="J610" s="4">
        <v>15.5822</v>
      </c>
      <c r="K610" s="4">
        <v>17.229500000000002</v>
      </c>
      <c r="L610" s="4">
        <v>15.6547</v>
      </c>
      <c r="M610" s="4">
        <f t="shared" si="37"/>
        <v>16.155466666666666</v>
      </c>
      <c r="Q610" s="43" t="s">
        <v>2183</v>
      </c>
      <c r="R610" s="4">
        <v>16.079030847399999</v>
      </c>
      <c r="S610" s="4">
        <v>15.571725407276499</v>
      </c>
      <c r="T610" s="4">
        <v>15.9714106752375</v>
      </c>
      <c r="U610" s="4">
        <f t="shared" si="38"/>
        <v>15.874055643304667</v>
      </c>
      <c r="X610" s="43" t="s">
        <v>3375</v>
      </c>
      <c r="Y610" s="4">
        <v>16.121786492825301</v>
      </c>
      <c r="Z610" s="4">
        <v>15.9602063535689</v>
      </c>
      <c r="AA610" s="4">
        <v>15.6747867848054</v>
      </c>
      <c r="AB610" s="4">
        <f t="shared" si="39"/>
        <v>15.9189265437332</v>
      </c>
      <c r="AM610" s="2"/>
    </row>
    <row r="611" spans="2:39" x14ac:dyDescent="0.2">
      <c r="B611" s="4" t="s">
        <v>1534</v>
      </c>
      <c r="C611" s="4">
        <v>15.5586</v>
      </c>
      <c r="D611" s="4">
        <v>15.695</v>
      </c>
      <c r="E611" s="4">
        <v>16.996400000000001</v>
      </c>
      <c r="F611" s="4">
        <f t="shared" si="36"/>
        <v>16.083333333333332</v>
      </c>
      <c r="I611" s="4" t="s">
        <v>3849</v>
      </c>
      <c r="J611" s="4">
        <v>16.112500000000001</v>
      </c>
      <c r="K611" s="4">
        <v>16.011500000000002</v>
      </c>
      <c r="L611" s="4">
        <v>16.327100000000002</v>
      </c>
      <c r="M611" s="4">
        <f t="shared" si="37"/>
        <v>16.150366666666667</v>
      </c>
      <c r="Q611" s="43" t="s">
        <v>3420</v>
      </c>
      <c r="R611" s="4">
        <v>15.800377759627899</v>
      </c>
      <c r="S611" s="4">
        <v>16.011634507385899</v>
      </c>
      <c r="T611" s="4">
        <v>15.8088060822991</v>
      </c>
      <c r="U611" s="4">
        <f t="shared" si="38"/>
        <v>15.873606116437633</v>
      </c>
      <c r="X611" s="43" t="s">
        <v>384</v>
      </c>
      <c r="Y611" s="4">
        <v>15.934943623567399</v>
      </c>
      <c r="Z611" s="4">
        <v>15.9186247131304</v>
      </c>
      <c r="AA611" s="4">
        <v>15.8989211454296</v>
      </c>
      <c r="AB611" s="4">
        <f t="shared" si="39"/>
        <v>15.917496494042467</v>
      </c>
      <c r="AM611" s="2"/>
    </row>
    <row r="612" spans="2:39" x14ac:dyDescent="0.2">
      <c r="B612" s="4" t="s">
        <v>2874</v>
      </c>
      <c r="C612" s="4">
        <v>15.5014</v>
      </c>
      <c r="D612" s="4">
        <v>16.257400000000001</v>
      </c>
      <c r="E612" s="4">
        <v>16.478400000000001</v>
      </c>
      <c r="F612" s="4">
        <f t="shared" si="36"/>
        <v>16.079066666666666</v>
      </c>
      <c r="I612" s="4" t="s">
        <v>3793</v>
      </c>
      <c r="J612" s="4">
        <v>16.057500000000001</v>
      </c>
      <c r="K612" s="4">
        <v>16.438099999999999</v>
      </c>
      <c r="L612" s="4">
        <v>15.9373</v>
      </c>
      <c r="M612" s="4">
        <f t="shared" si="37"/>
        <v>16.144299999999998</v>
      </c>
      <c r="Q612" s="43" t="s">
        <v>600</v>
      </c>
      <c r="R612" s="4">
        <v>15.8933698617342</v>
      </c>
      <c r="S612" s="4">
        <v>15.812761775020499</v>
      </c>
      <c r="T612" s="4">
        <v>15.9041363686413</v>
      </c>
      <c r="U612" s="4">
        <f t="shared" si="38"/>
        <v>15.870089335131999</v>
      </c>
      <c r="X612" s="43" t="s">
        <v>1331</v>
      </c>
      <c r="Y612" s="4">
        <v>15.994654625120001</v>
      </c>
      <c r="Z612" s="4">
        <v>15.9593624224099</v>
      </c>
      <c r="AA612" s="4">
        <v>15.7962471472144</v>
      </c>
      <c r="AB612" s="4">
        <f t="shared" si="39"/>
        <v>15.916754731581435</v>
      </c>
      <c r="AM612" s="2"/>
    </row>
    <row r="613" spans="2:39" x14ac:dyDescent="0.2">
      <c r="B613" s="4" t="s">
        <v>2900</v>
      </c>
      <c r="C613" s="4">
        <v>16.382999999999999</v>
      </c>
      <c r="D613" s="4">
        <v>16.069900000000001</v>
      </c>
      <c r="E613" s="4">
        <v>15.7835</v>
      </c>
      <c r="F613" s="4">
        <f t="shared" si="36"/>
        <v>16.078800000000001</v>
      </c>
      <c r="I613" s="4" t="s">
        <v>1463</v>
      </c>
      <c r="J613" s="4">
        <v>15.853</v>
      </c>
      <c r="K613" s="4">
        <v>17.5548</v>
      </c>
      <c r="L613" s="4">
        <v>15.013299999999999</v>
      </c>
      <c r="M613" s="4">
        <f t="shared" si="37"/>
        <v>16.140366666666669</v>
      </c>
      <c r="Q613" s="43" t="s">
        <v>770</v>
      </c>
      <c r="R613" s="4">
        <v>15.6857452401586</v>
      </c>
      <c r="S613" s="4">
        <v>15.990177025455701</v>
      </c>
      <c r="T613" s="4">
        <v>15.9202723671716</v>
      </c>
      <c r="U613" s="4">
        <f t="shared" si="38"/>
        <v>15.865398210928634</v>
      </c>
      <c r="X613" s="43" t="s">
        <v>326</v>
      </c>
      <c r="Y613" s="4">
        <v>15.9638114896935</v>
      </c>
      <c r="Z613" s="4">
        <v>16.126309487887202</v>
      </c>
      <c r="AA613" s="4">
        <v>15.6524344902198</v>
      </c>
      <c r="AB613" s="4">
        <f t="shared" si="39"/>
        <v>15.914185155933501</v>
      </c>
      <c r="AM613" s="2"/>
    </row>
    <row r="614" spans="2:39" x14ac:dyDescent="0.2">
      <c r="B614" s="4" t="s">
        <v>3929</v>
      </c>
      <c r="C614" s="4">
        <v>16.228999999999999</v>
      </c>
      <c r="D614" s="4">
        <v>15.9442</v>
      </c>
      <c r="E614" s="4">
        <v>16.049600000000002</v>
      </c>
      <c r="F614" s="4">
        <f t="shared" si="36"/>
        <v>16.07426666666667</v>
      </c>
      <c r="I614" s="4" t="s">
        <v>372</v>
      </c>
      <c r="J614" s="4">
        <v>16.0962</v>
      </c>
      <c r="K614" s="4">
        <v>16.147200000000002</v>
      </c>
      <c r="L614" s="4">
        <v>16.1751</v>
      </c>
      <c r="M614" s="4">
        <f t="shared" si="37"/>
        <v>16.139500000000002</v>
      </c>
      <c r="Q614" s="43" t="s">
        <v>1615</v>
      </c>
      <c r="R614" s="4">
        <v>16.051631304178699</v>
      </c>
      <c r="S614" s="4">
        <v>15.8611760182254</v>
      </c>
      <c r="T614" s="4">
        <v>15.668820803666099</v>
      </c>
      <c r="U614" s="4">
        <f t="shared" si="38"/>
        <v>15.860542708690067</v>
      </c>
      <c r="X614" s="43" t="s">
        <v>240</v>
      </c>
      <c r="Y614" s="4">
        <v>15.9210130070792</v>
      </c>
      <c r="Z614" s="4">
        <v>15.895138367189499</v>
      </c>
      <c r="AA614" s="4">
        <v>15.9257828437293</v>
      </c>
      <c r="AB614" s="4">
        <f t="shared" si="39"/>
        <v>15.913978072666</v>
      </c>
      <c r="AM614" s="2"/>
    </row>
    <row r="615" spans="2:39" x14ac:dyDescent="0.2">
      <c r="B615" s="4" t="s">
        <v>579</v>
      </c>
      <c r="C615" s="4">
        <v>15.989699999999999</v>
      </c>
      <c r="D615" s="4">
        <v>16.166499999999999</v>
      </c>
      <c r="E615" s="4">
        <v>16.055900000000001</v>
      </c>
      <c r="F615" s="4">
        <f t="shared" si="36"/>
        <v>16.070699999999999</v>
      </c>
      <c r="I615" s="4" t="s">
        <v>1570</v>
      </c>
      <c r="J615" s="4">
        <v>16.296800000000001</v>
      </c>
      <c r="K615" s="4">
        <v>15.7561</v>
      </c>
      <c r="L615" s="4">
        <v>16.365500000000001</v>
      </c>
      <c r="M615" s="4">
        <f t="shared" si="37"/>
        <v>16.139466666666667</v>
      </c>
      <c r="Q615" s="43" t="s">
        <v>2278</v>
      </c>
      <c r="R615" s="4">
        <v>16.243995767607998</v>
      </c>
      <c r="S615" s="4">
        <v>15.5417762589402</v>
      </c>
      <c r="T615" s="4">
        <v>15.7938998753829</v>
      </c>
      <c r="U615" s="4">
        <f t="shared" si="38"/>
        <v>15.859890633977033</v>
      </c>
      <c r="X615" s="43" t="s">
        <v>2200</v>
      </c>
      <c r="Y615" s="4">
        <v>15.9352187867596</v>
      </c>
      <c r="Z615" s="4">
        <v>15.9752935950431</v>
      </c>
      <c r="AA615" s="4">
        <v>15.808059266866501</v>
      </c>
      <c r="AB615" s="4">
        <f t="shared" si="39"/>
        <v>15.906190549556399</v>
      </c>
      <c r="AM615" s="2"/>
    </row>
    <row r="616" spans="2:39" x14ac:dyDescent="0.2">
      <c r="B616" s="4" t="s">
        <v>2108</v>
      </c>
      <c r="C616" s="4">
        <v>15.9459</v>
      </c>
      <c r="D616" s="4">
        <v>16.2303</v>
      </c>
      <c r="E616" s="4">
        <v>16.034400000000002</v>
      </c>
      <c r="F616" s="4">
        <f t="shared" si="36"/>
        <v>16.0702</v>
      </c>
      <c r="I616" s="4" t="s">
        <v>2065</v>
      </c>
      <c r="J616" s="4">
        <v>16.249600000000001</v>
      </c>
      <c r="K616" s="4">
        <v>15.711</v>
      </c>
      <c r="L616" s="4">
        <v>16.450399999999998</v>
      </c>
      <c r="M616" s="4">
        <f t="shared" si="37"/>
        <v>16.137</v>
      </c>
      <c r="Q616" s="43" t="s">
        <v>3398</v>
      </c>
      <c r="R616" s="4">
        <v>16.2372430911248</v>
      </c>
      <c r="S616" s="4">
        <v>15.6440800675782</v>
      </c>
      <c r="T616" s="4">
        <v>15.6931093093035</v>
      </c>
      <c r="U616" s="4">
        <f t="shared" si="38"/>
        <v>15.858144156002167</v>
      </c>
      <c r="X616" s="43" t="s">
        <v>3065</v>
      </c>
      <c r="Y616" s="4">
        <v>15.9734819699082</v>
      </c>
      <c r="Z616" s="4">
        <v>15.8867756151155</v>
      </c>
      <c r="AA616" s="4">
        <v>15.8533258486201</v>
      </c>
      <c r="AB616" s="4">
        <f t="shared" si="39"/>
        <v>15.904527811214599</v>
      </c>
      <c r="AM616" s="2"/>
    </row>
    <row r="617" spans="2:39" x14ac:dyDescent="0.2">
      <c r="B617" s="4" t="s">
        <v>2652</v>
      </c>
      <c r="C617" s="4">
        <v>16.1358</v>
      </c>
      <c r="D617" s="4">
        <v>16.107299999999999</v>
      </c>
      <c r="E617" s="4">
        <v>15.963699999999999</v>
      </c>
      <c r="F617" s="4">
        <f t="shared" si="36"/>
        <v>16.068933333333334</v>
      </c>
      <c r="I617" s="4" t="s">
        <v>694</v>
      </c>
      <c r="J617" s="4">
        <v>16.149899999999999</v>
      </c>
      <c r="K617" s="4">
        <v>16.5944</v>
      </c>
      <c r="L617" s="4">
        <v>15.6631</v>
      </c>
      <c r="M617" s="4">
        <f t="shared" si="37"/>
        <v>16.1358</v>
      </c>
      <c r="Q617" s="43" t="s">
        <v>1590</v>
      </c>
      <c r="R617" s="4">
        <v>16.000551265345798</v>
      </c>
      <c r="S617" s="4">
        <v>15.7825953653612</v>
      </c>
      <c r="T617" s="4">
        <v>15.7629460340923</v>
      </c>
      <c r="U617" s="4">
        <f t="shared" si="38"/>
        <v>15.848697554933098</v>
      </c>
      <c r="X617" s="43" t="s">
        <v>4476</v>
      </c>
      <c r="Y617" s="4">
        <v>15.9299914080237</v>
      </c>
      <c r="Z617" s="4">
        <v>15.4593132835976</v>
      </c>
      <c r="AA617" s="4">
        <v>16.3184536929644</v>
      </c>
      <c r="AB617" s="4">
        <f t="shared" si="39"/>
        <v>15.902586128195233</v>
      </c>
      <c r="AM617" s="2"/>
    </row>
    <row r="618" spans="2:39" x14ac:dyDescent="0.2">
      <c r="B618" s="4" t="s">
        <v>3136</v>
      </c>
      <c r="C618" s="4">
        <v>16.037700000000001</v>
      </c>
      <c r="D618" s="4">
        <v>16.378299999999999</v>
      </c>
      <c r="E618" s="4">
        <v>15.787100000000001</v>
      </c>
      <c r="F618" s="4">
        <f t="shared" si="36"/>
        <v>16.067699999999999</v>
      </c>
      <c r="I618" s="4" t="s">
        <v>2375</v>
      </c>
      <c r="J618" s="4">
        <v>16.305</v>
      </c>
      <c r="K618" s="4">
        <v>15.773199999999999</v>
      </c>
      <c r="L618" s="4">
        <v>16.326699999999999</v>
      </c>
      <c r="M618" s="4">
        <f t="shared" si="37"/>
        <v>16.134966666666667</v>
      </c>
      <c r="Q618" s="43" t="s">
        <v>2227</v>
      </c>
      <c r="R618" s="4">
        <v>15.8430456364775</v>
      </c>
      <c r="S618" s="4">
        <v>15.8352023748837</v>
      </c>
      <c r="T618" s="4">
        <v>15.863129423732101</v>
      </c>
      <c r="U618" s="4">
        <f t="shared" si="38"/>
        <v>15.847125811697765</v>
      </c>
      <c r="X618" s="43" t="s">
        <v>2377</v>
      </c>
      <c r="Y618" s="4">
        <v>15.9362876326323</v>
      </c>
      <c r="Z618" s="4">
        <v>16.152772950517299</v>
      </c>
      <c r="AA618" s="4">
        <v>15.618295736394099</v>
      </c>
      <c r="AB618" s="4">
        <f t="shared" si="39"/>
        <v>15.902452106514568</v>
      </c>
      <c r="AM618" s="2"/>
    </row>
    <row r="619" spans="2:39" x14ac:dyDescent="0.2">
      <c r="B619" s="4" t="s">
        <v>3465</v>
      </c>
      <c r="C619" s="4">
        <v>16.153400000000001</v>
      </c>
      <c r="D619" s="4">
        <v>16.122399999999999</v>
      </c>
      <c r="E619" s="4">
        <v>15.9236</v>
      </c>
      <c r="F619" s="4">
        <f t="shared" si="36"/>
        <v>16.066466666666667</v>
      </c>
      <c r="I619" s="4" t="s">
        <v>590</v>
      </c>
      <c r="J619" s="4">
        <v>15.4168</v>
      </c>
      <c r="K619" s="4">
        <v>17.674199999999999</v>
      </c>
      <c r="L619" s="4">
        <v>15.3064</v>
      </c>
      <c r="M619" s="4">
        <f t="shared" si="37"/>
        <v>16.132466666666669</v>
      </c>
      <c r="Q619" s="43" t="s">
        <v>1328</v>
      </c>
      <c r="R619" s="4">
        <v>15.885412169373399</v>
      </c>
      <c r="S619" s="4">
        <v>15.916313645888099</v>
      </c>
      <c r="T619" s="4">
        <v>15.708874643762901</v>
      </c>
      <c r="U619" s="4">
        <f t="shared" si="38"/>
        <v>15.836866819674801</v>
      </c>
      <c r="X619" s="43" t="s">
        <v>1013</v>
      </c>
      <c r="Y619" s="4">
        <v>15.8824547783932</v>
      </c>
      <c r="Z619" s="4">
        <v>15.9338155648607</v>
      </c>
      <c r="AA619" s="4">
        <v>15.8896710760906</v>
      </c>
      <c r="AB619" s="4">
        <f t="shared" si="39"/>
        <v>15.901980473114833</v>
      </c>
      <c r="AM619" s="2"/>
    </row>
    <row r="620" spans="2:39" x14ac:dyDescent="0.2">
      <c r="B620" s="4" t="s">
        <v>977</v>
      </c>
      <c r="C620" s="4">
        <v>16.032499999999999</v>
      </c>
      <c r="D620" s="4">
        <v>16.179500000000001</v>
      </c>
      <c r="E620" s="4">
        <v>15.9861</v>
      </c>
      <c r="F620" s="4">
        <f t="shared" si="36"/>
        <v>16.066033333333333</v>
      </c>
      <c r="I620" s="4" t="s">
        <v>2666</v>
      </c>
      <c r="J620" s="4">
        <v>16.126899999999999</v>
      </c>
      <c r="K620" s="4">
        <v>16.1447</v>
      </c>
      <c r="L620" s="4">
        <v>16.1251</v>
      </c>
      <c r="M620" s="4">
        <f t="shared" si="37"/>
        <v>16.132233333333332</v>
      </c>
      <c r="Q620" s="43" t="s">
        <v>167</v>
      </c>
      <c r="R620" s="4">
        <v>15.998392215748501</v>
      </c>
      <c r="S620" s="4">
        <v>15.763995981516601</v>
      </c>
      <c r="T620" s="4">
        <v>15.7459244369457</v>
      </c>
      <c r="U620" s="4">
        <f t="shared" si="38"/>
        <v>15.836104211403601</v>
      </c>
      <c r="X620" s="43" t="s">
        <v>1891</v>
      </c>
      <c r="Y620" s="4">
        <v>15.942434795013501</v>
      </c>
      <c r="Z620" s="4">
        <v>15.9398174722314</v>
      </c>
      <c r="AA620" s="4">
        <v>15.7968016103287</v>
      </c>
      <c r="AB620" s="4">
        <f t="shared" si="39"/>
        <v>15.8930179591912</v>
      </c>
      <c r="AM620" s="2"/>
    </row>
    <row r="621" spans="2:39" x14ac:dyDescent="0.2">
      <c r="B621" s="4" t="s">
        <v>1009</v>
      </c>
      <c r="C621" s="4">
        <v>15.9711</v>
      </c>
      <c r="D621" s="4">
        <v>15.831099999999999</v>
      </c>
      <c r="E621" s="4">
        <v>16.395299999999999</v>
      </c>
      <c r="F621" s="4">
        <f t="shared" si="36"/>
        <v>16.065833333333334</v>
      </c>
      <c r="I621" s="4" t="s">
        <v>1222</v>
      </c>
      <c r="J621" s="4">
        <v>16.1678</v>
      </c>
      <c r="K621" s="4">
        <v>16.104800000000001</v>
      </c>
      <c r="L621" s="4">
        <v>16.116099999999999</v>
      </c>
      <c r="M621" s="4">
        <f t="shared" si="37"/>
        <v>16.129566666666665</v>
      </c>
      <c r="Q621" s="43" t="s">
        <v>3621</v>
      </c>
      <c r="R621" s="4">
        <v>15.9450110491663</v>
      </c>
      <c r="S621" s="4">
        <v>15.5685006439176</v>
      </c>
      <c r="T621" s="4">
        <v>15.9933976127018</v>
      </c>
      <c r="U621" s="4">
        <f t="shared" si="38"/>
        <v>15.835636435261899</v>
      </c>
      <c r="X621" s="43" t="s">
        <v>53</v>
      </c>
      <c r="Y621" s="4">
        <v>15.894236412528</v>
      </c>
      <c r="Z621" s="4">
        <v>15.9387435602426</v>
      </c>
      <c r="AA621" s="4">
        <v>15.833472538581301</v>
      </c>
      <c r="AB621" s="4">
        <f t="shared" si="39"/>
        <v>15.888817503783969</v>
      </c>
      <c r="AM621" s="2"/>
    </row>
    <row r="622" spans="2:39" x14ac:dyDescent="0.2">
      <c r="B622" s="4" t="s">
        <v>1951</v>
      </c>
      <c r="C622" s="4">
        <v>16.2669</v>
      </c>
      <c r="D622" s="4">
        <v>16.0626</v>
      </c>
      <c r="E622" s="4">
        <v>15.867800000000001</v>
      </c>
      <c r="F622" s="4">
        <f t="shared" si="36"/>
        <v>16.065766666666665</v>
      </c>
      <c r="I622" s="4" t="s">
        <v>2015</v>
      </c>
      <c r="J622" s="4">
        <v>16.319500000000001</v>
      </c>
      <c r="K622" s="4">
        <v>15.968</v>
      </c>
      <c r="L622" s="4">
        <v>16.098099999999999</v>
      </c>
      <c r="M622" s="4">
        <f t="shared" si="37"/>
        <v>16.128533333333333</v>
      </c>
      <c r="Q622" s="43" t="s">
        <v>2650</v>
      </c>
      <c r="R622" s="4">
        <v>15.677441713875799</v>
      </c>
      <c r="S622" s="4">
        <v>15.838314702739501</v>
      </c>
      <c r="T622" s="4">
        <v>15.987371958975301</v>
      </c>
      <c r="U622" s="4">
        <f t="shared" si="38"/>
        <v>15.834376125196867</v>
      </c>
      <c r="X622" s="43" t="s">
        <v>2970</v>
      </c>
      <c r="Y622" s="4">
        <v>15.940638393922701</v>
      </c>
      <c r="Z622" s="4">
        <v>15.983941903307</v>
      </c>
      <c r="AA622" s="4">
        <v>15.7395973311272</v>
      </c>
      <c r="AB622" s="4">
        <f t="shared" si="39"/>
        <v>15.888059209452301</v>
      </c>
      <c r="AM622" s="2"/>
    </row>
    <row r="623" spans="2:39" x14ac:dyDescent="0.2">
      <c r="B623" s="4" t="s">
        <v>1896</v>
      </c>
      <c r="C623" s="4">
        <v>15.931100000000001</v>
      </c>
      <c r="D623" s="4">
        <v>15.8621</v>
      </c>
      <c r="E623" s="4">
        <v>16.400200000000002</v>
      </c>
      <c r="F623" s="4">
        <f t="shared" si="36"/>
        <v>16.064466666666664</v>
      </c>
      <c r="I623" s="4" t="s">
        <v>324</v>
      </c>
      <c r="J623" s="4">
        <v>15.965400000000001</v>
      </c>
      <c r="K623" s="4">
        <v>16.4681</v>
      </c>
      <c r="L623" s="4">
        <v>15.9518</v>
      </c>
      <c r="M623" s="4">
        <f t="shared" si="37"/>
        <v>16.128433333333334</v>
      </c>
      <c r="Q623" s="43" t="s">
        <v>1346</v>
      </c>
      <c r="R623" s="4">
        <v>15.875698874342</v>
      </c>
      <c r="S623" s="4">
        <v>15.817425524812</v>
      </c>
      <c r="T623" s="4">
        <v>15.803339428499999</v>
      </c>
      <c r="U623" s="4">
        <f t="shared" si="38"/>
        <v>15.832154609218</v>
      </c>
      <c r="X623" s="43" t="s">
        <v>3701</v>
      </c>
      <c r="Y623" s="4">
        <v>15.8399247167024</v>
      </c>
      <c r="Z623" s="4">
        <v>15.806949459449999</v>
      </c>
      <c r="AA623" s="4">
        <v>16.001029348714201</v>
      </c>
      <c r="AB623" s="4">
        <f t="shared" si="39"/>
        <v>15.882634508288868</v>
      </c>
      <c r="AM623" s="2"/>
    </row>
    <row r="624" spans="2:39" x14ac:dyDescent="0.2">
      <c r="B624" s="4" t="s">
        <v>3268</v>
      </c>
      <c r="C624" s="4">
        <v>16.029599999999999</v>
      </c>
      <c r="D624" s="4">
        <v>16.087399999999999</v>
      </c>
      <c r="E624" s="4">
        <v>16.0703</v>
      </c>
      <c r="F624" s="4">
        <f t="shared" si="36"/>
        <v>16.062433333333331</v>
      </c>
      <c r="I624" s="4" t="s">
        <v>1760</v>
      </c>
      <c r="J624" s="4">
        <v>16.198699999999999</v>
      </c>
      <c r="K624" s="4">
        <v>16.0625</v>
      </c>
      <c r="L624" s="4">
        <v>16.122399999999999</v>
      </c>
      <c r="M624" s="4">
        <f t="shared" si="37"/>
        <v>16.127866666666666</v>
      </c>
      <c r="Q624" s="43" t="s">
        <v>3314</v>
      </c>
      <c r="R624" s="4">
        <v>16.0050195700289</v>
      </c>
      <c r="S624" s="4">
        <v>15.726347280382001</v>
      </c>
      <c r="T624" s="4">
        <v>15.75171335392</v>
      </c>
      <c r="U624" s="4">
        <f t="shared" si="38"/>
        <v>15.827693401443634</v>
      </c>
      <c r="X624" s="43" t="s">
        <v>9</v>
      </c>
      <c r="Y624" s="4">
        <v>15.9395878907729</v>
      </c>
      <c r="Z624" s="4">
        <v>15.9071647058122</v>
      </c>
      <c r="AA624" s="4">
        <v>15.784370312793699</v>
      </c>
      <c r="AB624" s="4">
        <f t="shared" si="39"/>
        <v>15.877040969792931</v>
      </c>
      <c r="AM624" s="2"/>
    </row>
    <row r="625" spans="2:39" x14ac:dyDescent="0.2">
      <c r="B625" s="4" t="s">
        <v>3757</v>
      </c>
      <c r="C625" s="4">
        <v>15.9817</v>
      </c>
      <c r="D625" s="4">
        <v>16.1358</v>
      </c>
      <c r="E625" s="4">
        <v>16.060500000000001</v>
      </c>
      <c r="F625" s="4">
        <f t="shared" si="36"/>
        <v>16.059333333333331</v>
      </c>
      <c r="I625" s="4" t="s">
        <v>2331</v>
      </c>
      <c r="J625" s="4">
        <v>15.9292</v>
      </c>
      <c r="K625" s="4">
        <v>16.554300000000001</v>
      </c>
      <c r="L625" s="4">
        <v>15.899900000000001</v>
      </c>
      <c r="M625" s="4">
        <f t="shared" si="37"/>
        <v>16.127800000000001</v>
      </c>
      <c r="Q625" s="43" t="s">
        <v>525</v>
      </c>
      <c r="R625" s="4">
        <v>15.8573549594587</v>
      </c>
      <c r="S625" s="4">
        <v>15.8773073319141</v>
      </c>
      <c r="T625" s="4">
        <v>15.745157528251401</v>
      </c>
      <c r="U625" s="4">
        <f t="shared" si="38"/>
        <v>15.826606606541398</v>
      </c>
      <c r="X625" s="43" t="s">
        <v>3468</v>
      </c>
      <c r="Y625" s="4">
        <v>15.805145584700901</v>
      </c>
      <c r="Z625" s="4">
        <v>16.021523631926001</v>
      </c>
      <c r="AA625" s="4">
        <v>15.8016549594086</v>
      </c>
      <c r="AB625" s="4">
        <f t="shared" si="39"/>
        <v>15.876108058678502</v>
      </c>
      <c r="AM625" s="2"/>
    </row>
    <row r="626" spans="2:39" x14ac:dyDescent="0.2">
      <c r="B626" s="4" t="s">
        <v>905</v>
      </c>
      <c r="C626" s="4">
        <v>16.096499999999999</v>
      </c>
      <c r="D626" s="4">
        <v>15.6153</v>
      </c>
      <c r="E626" s="4">
        <v>16.4437</v>
      </c>
      <c r="F626" s="4">
        <f t="shared" si="36"/>
        <v>16.051833333333331</v>
      </c>
      <c r="I626" s="4" t="s">
        <v>1856</v>
      </c>
      <c r="J626" s="4">
        <v>16.352599999999999</v>
      </c>
      <c r="K626" s="4">
        <v>16.011199999999999</v>
      </c>
      <c r="L626" s="4">
        <v>16.009499999999999</v>
      </c>
      <c r="M626" s="4">
        <f t="shared" si="37"/>
        <v>16.124433333333332</v>
      </c>
      <c r="Q626" s="43" t="s">
        <v>3689</v>
      </c>
      <c r="R626" s="4">
        <v>15.8563166373649</v>
      </c>
      <c r="S626" s="4">
        <v>15.6496729877253</v>
      </c>
      <c r="T626" s="4">
        <v>15.9704921676304</v>
      </c>
      <c r="U626" s="4">
        <f t="shared" si="38"/>
        <v>15.825493930906868</v>
      </c>
      <c r="X626" s="43" t="s">
        <v>3796</v>
      </c>
      <c r="Y626" s="4">
        <v>15.7126394163203</v>
      </c>
      <c r="Z626" s="4">
        <v>16.1161083244377</v>
      </c>
      <c r="AA626" s="4">
        <v>15.793165815162199</v>
      </c>
      <c r="AB626" s="4">
        <f t="shared" si="39"/>
        <v>15.873971185306734</v>
      </c>
      <c r="AM626" s="2"/>
    </row>
    <row r="627" spans="2:39" x14ac:dyDescent="0.2">
      <c r="B627" s="4" t="s">
        <v>2155</v>
      </c>
      <c r="C627" s="4">
        <v>16.049900000000001</v>
      </c>
      <c r="D627" s="4">
        <v>16.041</v>
      </c>
      <c r="E627" s="4">
        <v>16.048300000000001</v>
      </c>
      <c r="F627" s="4">
        <f t="shared" si="36"/>
        <v>16.046400000000002</v>
      </c>
      <c r="I627" s="4" t="s">
        <v>3821</v>
      </c>
      <c r="J627" s="4">
        <v>16.0578</v>
      </c>
      <c r="K627" s="4">
        <v>16.542200000000001</v>
      </c>
      <c r="L627" s="4">
        <v>15.766999999999999</v>
      </c>
      <c r="M627" s="4">
        <f t="shared" si="37"/>
        <v>16.122333333333334</v>
      </c>
      <c r="Q627" s="43" t="s">
        <v>532</v>
      </c>
      <c r="R627" s="4">
        <v>15.5918491060014</v>
      </c>
      <c r="S627" s="4">
        <v>15.883527933115699</v>
      </c>
      <c r="T627" s="4">
        <v>15.9973152893921</v>
      </c>
      <c r="U627" s="4">
        <f t="shared" si="38"/>
        <v>15.824230776169733</v>
      </c>
      <c r="X627" s="43" t="s">
        <v>142</v>
      </c>
      <c r="Y627" s="4">
        <v>15.843316971765899</v>
      </c>
      <c r="Z627" s="4">
        <v>15.815228943084501</v>
      </c>
      <c r="AA627" s="4">
        <v>15.951829151723601</v>
      </c>
      <c r="AB627" s="4">
        <f t="shared" si="39"/>
        <v>15.870125022191333</v>
      </c>
      <c r="AM627" s="2"/>
    </row>
    <row r="628" spans="2:39" x14ac:dyDescent="0.2">
      <c r="B628" s="4" t="s">
        <v>2582</v>
      </c>
      <c r="C628" s="4">
        <v>15.961</v>
      </c>
      <c r="D628" s="4">
        <v>16.0183</v>
      </c>
      <c r="E628" s="4">
        <v>16.1568</v>
      </c>
      <c r="F628" s="4">
        <f t="shared" si="36"/>
        <v>16.045366666666666</v>
      </c>
      <c r="I628" s="4" t="s">
        <v>2944</v>
      </c>
      <c r="J628" s="4">
        <v>16.417999999999999</v>
      </c>
      <c r="K628" s="4">
        <v>15.672800000000001</v>
      </c>
      <c r="L628" s="4">
        <v>16.2743</v>
      </c>
      <c r="M628" s="4">
        <f t="shared" si="37"/>
        <v>16.121700000000001</v>
      </c>
      <c r="Q628" s="43" t="s">
        <v>3095</v>
      </c>
      <c r="R628" s="4">
        <v>15.7825534442332</v>
      </c>
      <c r="S628" s="4">
        <v>15.782009552537099</v>
      </c>
      <c r="T628" s="4">
        <v>15.879273068582799</v>
      </c>
      <c r="U628" s="4">
        <f t="shared" si="38"/>
        <v>15.814612021784365</v>
      </c>
      <c r="X628" s="43" t="s">
        <v>2395</v>
      </c>
      <c r="Y628" s="4">
        <v>15.8967376646786</v>
      </c>
      <c r="Z628" s="4">
        <v>15.8972655129419</v>
      </c>
      <c r="AA628" s="4">
        <v>15.813395610041299</v>
      </c>
      <c r="AB628" s="4">
        <f t="shared" si="39"/>
        <v>15.8691329292206</v>
      </c>
      <c r="AM628" s="2"/>
    </row>
    <row r="629" spans="2:39" x14ac:dyDescent="0.2">
      <c r="B629" s="4" t="s">
        <v>2788</v>
      </c>
      <c r="C629" s="4">
        <v>16.0351</v>
      </c>
      <c r="D629" s="4">
        <v>16.129200000000001</v>
      </c>
      <c r="E629" s="4">
        <v>15.958600000000001</v>
      </c>
      <c r="F629" s="4">
        <f t="shared" si="36"/>
        <v>16.040966666666666</v>
      </c>
      <c r="I629" s="4" t="s">
        <v>146</v>
      </c>
      <c r="J629" s="4">
        <v>16.305700000000002</v>
      </c>
      <c r="K629" s="4">
        <v>16.354700000000001</v>
      </c>
      <c r="L629" s="4">
        <v>15.704700000000001</v>
      </c>
      <c r="M629" s="4">
        <f t="shared" si="37"/>
        <v>16.121700000000001</v>
      </c>
      <c r="Q629" s="43" t="s">
        <v>1621</v>
      </c>
      <c r="R629" s="4">
        <v>15.8427366426323</v>
      </c>
      <c r="S629" s="4">
        <v>15.875218668915201</v>
      </c>
      <c r="T629" s="4">
        <v>15.7245860112619</v>
      </c>
      <c r="U629" s="4">
        <f t="shared" si="38"/>
        <v>15.814180440936466</v>
      </c>
      <c r="X629" s="43" t="s">
        <v>212</v>
      </c>
      <c r="Y629" s="4">
        <v>15.8714284898609</v>
      </c>
      <c r="Z629" s="4">
        <v>15.9606939322271</v>
      </c>
      <c r="AA629" s="4">
        <v>15.7664070979281</v>
      </c>
      <c r="AB629" s="4">
        <f t="shared" si="39"/>
        <v>15.866176506672033</v>
      </c>
      <c r="AM629" s="2"/>
    </row>
    <row r="630" spans="2:39" x14ac:dyDescent="0.2">
      <c r="B630" s="4" t="s">
        <v>596</v>
      </c>
      <c r="C630" s="4">
        <v>15.8261</v>
      </c>
      <c r="D630" s="4">
        <v>15.912599999999999</v>
      </c>
      <c r="E630" s="4">
        <v>16.381</v>
      </c>
      <c r="F630" s="4">
        <f t="shared" si="36"/>
        <v>16.039899999999999</v>
      </c>
      <c r="I630" s="4" t="s">
        <v>3648</v>
      </c>
      <c r="J630" s="4">
        <v>16.308700000000002</v>
      </c>
      <c r="K630" s="4">
        <v>15.9375</v>
      </c>
      <c r="L630" s="4">
        <v>16.106300000000001</v>
      </c>
      <c r="M630" s="4">
        <f t="shared" si="37"/>
        <v>16.117500000000003</v>
      </c>
      <c r="Q630" s="43" t="s">
        <v>2373</v>
      </c>
      <c r="R630" s="4">
        <v>15.9635487744535</v>
      </c>
      <c r="S630" s="4">
        <v>15.7121218478805</v>
      </c>
      <c r="T630" s="4">
        <v>15.763148304635999</v>
      </c>
      <c r="U630" s="4">
        <f t="shared" si="38"/>
        <v>15.812939642323334</v>
      </c>
      <c r="X630" s="43" t="s">
        <v>3784</v>
      </c>
      <c r="Y630" s="4">
        <v>15.971847973000299</v>
      </c>
      <c r="Z630" s="4">
        <v>15.788090574656101</v>
      </c>
      <c r="AA630" s="4">
        <v>15.816837302937699</v>
      </c>
      <c r="AB630" s="4">
        <f t="shared" si="39"/>
        <v>15.858925283531368</v>
      </c>
      <c r="AM630" s="2"/>
    </row>
    <row r="631" spans="2:39" x14ac:dyDescent="0.2">
      <c r="B631" s="4" t="s">
        <v>1651</v>
      </c>
      <c r="C631" s="4">
        <v>16.385999999999999</v>
      </c>
      <c r="D631" s="4">
        <v>15.9101</v>
      </c>
      <c r="E631" s="4">
        <v>15.789300000000001</v>
      </c>
      <c r="F631" s="4">
        <f t="shared" si="36"/>
        <v>16.028466666666663</v>
      </c>
      <c r="I631" s="4" t="s">
        <v>1564</v>
      </c>
      <c r="J631" s="4">
        <v>15.398899999999999</v>
      </c>
      <c r="K631" s="4">
        <v>16.928799999999999</v>
      </c>
      <c r="L631" s="4">
        <v>15.993499999999999</v>
      </c>
      <c r="M631" s="4">
        <f t="shared" si="37"/>
        <v>16.107066666666665</v>
      </c>
      <c r="Q631" s="43" t="s">
        <v>3623</v>
      </c>
      <c r="R631" s="4">
        <v>16.093234946585</v>
      </c>
      <c r="S631" s="4">
        <v>15.660477742637299</v>
      </c>
      <c r="T631" s="4">
        <v>15.6768780461475</v>
      </c>
      <c r="U631" s="4">
        <f t="shared" si="38"/>
        <v>15.810196911789932</v>
      </c>
      <c r="X631" s="43" t="s">
        <v>2061</v>
      </c>
      <c r="Y631" s="4">
        <v>15.8240490459801</v>
      </c>
      <c r="Z631" s="4">
        <v>15.827760681641999</v>
      </c>
      <c r="AA631" s="4">
        <v>15.919055389701899</v>
      </c>
      <c r="AB631" s="4">
        <f t="shared" si="39"/>
        <v>15.856955039108001</v>
      </c>
      <c r="AM631" s="2"/>
    </row>
    <row r="632" spans="2:39" x14ac:dyDescent="0.2">
      <c r="B632" s="4" t="s">
        <v>3651</v>
      </c>
      <c r="C632" s="4">
        <v>16.224599999999999</v>
      </c>
      <c r="D632" s="4">
        <v>15.8605</v>
      </c>
      <c r="E632" s="4">
        <v>15.9842</v>
      </c>
      <c r="F632" s="4">
        <f t="shared" si="36"/>
        <v>16.023099999999999</v>
      </c>
      <c r="I632" s="4" t="s">
        <v>2108</v>
      </c>
      <c r="J632" s="4">
        <v>16.2545</v>
      </c>
      <c r="K632" s="4">
        <v>15.6303</v>
      </c>
      <c r="L632" s="4">
        <v>16.430499999999999</v>
      </c>
      <c r="M632" s="4">
        <f t="shared" si="37"/>
        <v>16.105099999999997</v>
      </c>
      <c r="Q632" s="43" t="s">
        <v>1812</v>
      </c>
      <c r="R632" s="4">
        <v>15.7366253959833</v>
      </c>
      <c r="S632" s="4">
        <v>15.8202243845471</v>
      </c>
      <c r="T632" s="4">
        <v>15.871866284566201</v>
      </c>
      <c r="U632" s="4">
        <f t="shared" si="38"/>
        <v>15.809572021698868</v>
      </c>
      <c r="X632" s="43" t="s">
        <v>2615</v>
      </c>
      <c r="Y632" s="4">
        <v>15.8218202450456</v>
      </c>
      <c r="Z632" s="4">
        <v>15.8556938147922</v>
      </c>
      <c r="AA632" s="4">
        <v>15.875073842547801</v>
      </c>
      <c r="AB632" s="4">
        <f t="shared" si="39"/>
        <v>15.850862634128534</v>
      </c>
      <c r="AM632" s="2"/>
    </row>
    <row r="633" spans="2:39" x14ac:dyDescent="0.2">
      <c r="B633" s="4" t="s">
        <v>3464</v>
      </c>
      <c r="C633" s="4">
        <v>15.903</v>
      </c>
      <c r="D633" s="4">
        <v>16.2164</v>
      </c>
      <c r="E633" s="4">
        <v>15.9481</v>
      </c>
      <c r="F633" s="4">
        <f t="shared" si="36"/>
        <v>16.022499999999997</v>
      </c>
      <c r="I633" s="4" t="s">
        <v>725</v>
      </c>
      <c r="J633" s="4">
        <v>15.2972</v>
      </c>
      <c r="K633" s="4">
        <v>17.281400000000001</v>
      </c>
      <c r="L633" s="4">
        <v>15.7361</v>
      </c>
      <c r="M633" s="4">
        <f t="shared" si="37"/>
        <v>16.104900000000001</v>
      </c>
      <c r="Q633" s="43" t="s">
        <v>3796</v>
      </c>
      <c r="R633" s="4">
        <v>15.758132637394199</v>
      </c>
      <c r="S633" s="4">
        <v>15.652746695195701</v>
      </c>
      <c r="T633" s="4">
        <v>16.003639950054001</v>
      </c>
      <c r="U633" s="4">
        <f t="shared" si="38"/>
        <v>15.8048397608813</v>
      </c>
      <c r="X633" s="43" t="s">
        <v>2827</v>
      </c>
      <c r="Y633" s="4">
        <v>15.978042076707</v>
      </c>
      <c r="Z633" s="4">
        <v>15.9364156352958</v>
      </c>
      <c r="AA633" s="4">
        <v>15.6181907074858</v>
      </c>
      <c r="AB633" s="4">
        <f t="shared" si="39"/>
        <v>15.844216139829534</v>
      </c>
      <c r="AM633" s="2"/>
    </row>
    <row r="634" spans="2:39" x14ac:dyDescent="0.2">
      <c r="B634" s="4" t="s">
        <v>431</v>
      </c>
      <c r="C634" s="4">
        <v>16.1767</v>
      </c>
      <c r="D634" s="4">
        <v>15.813499999999999</v>
      </c>
      <c r="E634" s="4">
        <v>16.069600000000001</v>
      </c>
      <c r="F634" s="4">
        <f t="shared" si="36"/>
        <v>16.019933333333334</v>
      </c>
      <c r="I634" s="4" t="s">
        <v>785</v>
      </c>
      <c r="J634" s="4">
        <v>15.8432</v>
      </c>
      <c r="K634" s="4">
        <v>16.973299999999998</v>
      </c>
      <c r="L634" s="4">
        <v>15.498200000000001</v>
      </c>
      <c r="M634" s="4">
        <f t="shared" si="37"/>
        <v>16.104900000000001</v>
      </c>
      <c r="Q634" s="43" t="s">
        <v>2597</v>
      </c>
      <c r="R634" s="4">
        <v>15.980624454812901</v>
      </c>
      <c r="S634" s="4">
        <v>15.7363727160708</v>
      </c>
      <c r="T634" s="4">
        <v>15.6714479330261</v>
      </c>
      <c r="U634" s="4">
        <f t="shared" si="38"/>
        <v>15.796148367969934</v>
      </c>
      <c r="X634" s="43" t="s">
        <v>478</v>
      </c>
      <c r="Y634" s="4">
        <v>15.7720396795663</v>
      </c>
      <c r="Z634" s="4">
        <v>15.823706386862399</v>
      </c>
      <c r="AA634" s="4">
        <v>15.936408615593299</v>
      </c>
      <c r="AB634" s="4">
        <f t="shared" si="39"/>
        <v>15.844051560673998</v>
      </c>
      <c r="AM634" s="2"/>
    </row>
    <row r="635" spans="2:39" x14ac:dyDescent="0.2">
      <c r="B635" s="4" t="s">
        <v>3969</v>
      </c>
      <c r="C635" s="4">
        <v>16.1358</v>
      </c>
      <c r="D635" s="4">
        <v>15.9374</v>
      </c>
      <c r="E635" s="4">
        <v>15.9781</v>
      </c>
      <c r="F635" s="4">
        <f t="shared" si="36"/>
        <v>16.017099999999999</v>
      </c>
      <c r="I635" s="4" t="s">
        <v>446</v>
      </c>
      <c r="J635" s="4">
        <v>15.793200000000001</v>
      </c>
      <c r="K635" s="4">
        <v>16.6448</v>
      </c>
      <c r="L635" s="4">
        <v>15.8721</v>
      </c>
      <c r="M635" s="4">
        <f t="shared" si="37"/>
        <v>16.10336666666667</v>
      </c>
      <c r="Q635" s="43" t="s">
        <v>3486</v>
      </c>
      <c r="R635" s="4">
        <v>16.012813173090102</v>
      </c>
      <c r="S635" s="4">
        <v>15.7025553300971</v>
      </c>
      <c r="T635" s="4">
        <v>15.669493025009199</v>
      </c>
      <c r="U635" s="4">
        <f t="shared" si="38"/>
        <v>15.794953842732133</v>
      </c>
      <c r="X635" s="43" t="s">
        <v>2515</v>
      </c>
      <c r="Y635" s="4">
        <v>15.851768262168401</v>
      </c>
      <c r="Z635" s="4">
        <v>15.6411962554221</v>
      </c>
      <c r="AA635" s="4">
        <v>16.0003637555395</v>
      </c>
      <c r="AB635" s="4">
        <f t="shared" si="39"/>
        <v>15.831109424376669</v>
      </c>
      <c r="AM635" s="2"/>
    </row>
    <row r="636" spans="2:39" x14ac:dyDescent="0.2">
      <c r="B636" s="4" t="s">
        <v>3146</v>
      </c>
      <c r="C636" s="4">
        <v>15.87</v>
      </c>
      <c r="D636" s="4">
        <v>15.9398</v>
      </c>
      <c r="E636" s="4">
        <v>16.2285</v>
      </c>
      <c r="F636" s="4">
        <f t="shared" si="36"/>
        <v>16.012766666666668</v>
      </c>
      <c r="I636" s="4" t="s">
        <v>423</v>
      </c>
      <c r="J636" s="4">
        <v>16.014399999999998</v>
      </c>
      <c r="K636" s="4">
        <v>16.326799999999999</v>
      </c>
      <c r="L636" s="4">
        <v>15.9537</v>
      </c>
      <c r="M636" s="4">
        <f t="shared" si="37"/>
        <v>16.098299999999998</v>
      </c>
      <c r="Q636" s="43" t="s">
        <v>1001</v>
      </c>
      <c r="R636" s="4">
        <v>16.001494335789499</v>
      </c>
      <c r="S636" s="4">
        <v>15.724182361441301</v>
      </c>
      <c r="T636" s="4">
        <v>15.647217307359201</v>
      </c>
      <c r="U636" s="4">
        <f t="shared" si="38"/>
        <v>15.790964668196667</v>
      </c>
      <c r="X636" s="43" t="s">
        <v>2114</v>
      </c>
      <c r="Y636" s="4">
        <v>15.9840133043867</v>
      </c>
      <c r="Z636" s="4">
        <v>15.813232961279899</v>
      </c>
      <c r="AA636" s="4">
        <v>15.6755752478351</v>
      </c>
      <c r="AB636" s="4">
        <f t="shared" si="39"/>
        <v>15.8242738378339</v>
      </c>
      <c r="AM636" s="2"/>
    </row>
    <row r="637" spans="2:39" x14ac:dyDescent="0.2">
      <c r="B637" s="4" t="s">
        <v>2029</v>
      </c>
      <c r="C637" s="4">
        <v>16.135300000000001</v>
      </c>
      <c r="D637" s="4">
        <v>16.070399999999999</v>
      </c>
      <c r="E637" s="4">
        <v>15.83</v>
      </c>
      <c r="F637" s="4">
        <f t="shared" si="36"/>
        <v>16.011900000000001</v>
      </c>
      <c r="I637" s="4" t="s">
        <v>3851</v>
      </c>
      <c r="J637" s="4">
        <v>16.351600000000001</v>
      </c>
      <c r="K637" s="4">
        <v>15.7583</v>
      </c>
      <c r="L637" s="4">
        <v>16.177</v>
      </c>
      <c r="M637" s="4">
        <f t="shared" si="37"/>
        <v>16.095633333333335</v>
      </c>
      <c r="Q637" s="43" t="s">
        <v>2761</v>
      </c>
      <c r="R637" s="4">
        <v>16.002584585548899</v>
      </c>
      <c r="S637" s="4">
        <v>15.7342147717972</v>
      </c>
      <c r="T637" s="4">
        <v>15.6102015833224</v>
      </c>
      <c r="U637" s="4">
        <f t="shared" si="38"/>
        <v>15.7823336468895</v>
      </c>
      <c r="X637" s="43" t="s">
        <v>286</v>
      </c>
      <c r="Y637" s="4">
        <v>15.8802205115025</v>
      </c>
      <c r="Z637" s="4">
        <v>15.7924292206011</v>
      </c>
      <c r="AA637" s="4">
        <v>15.7926688008738</v>
      </c>
      <c r="AB637" s="4">
        <f t="shared" si="39"/>
        <v>15.8217728443258</v>
      </c>
      <c r="AM637" s="2"/>
    </row>
    <row r="638" spans="2:39" x14ac:dyDescent="0.2">
      <c r="B638" s="4" t="s">
        <v>3153</v>
      </c>
      <c r="C638" s="4">
        <v>15.7026</v>
      </c>
      <c r="D638" s="4">
        <v>16.2332</v>
      </c>
      <c r="E638" s="4">
        <v>16.099499999999999</v>
      </c>
      <c r="F638" s="4">
        <f t="shared" si="36"/>
        <v>16.011766666666666</v>
      </c>
      <c r="I638" s="4" t="s">
        <v>1919</v>
      </c>
      <c r="J638" s="4">
        <v>16.320900000000002</v>
      </c>
      <c r="K638" s="4">
        <v>15.7933</v>
      </c>
      <c r="L638" s="4">
        <v>16.1662</v>
      </c>
      <c r="M638" s="4">
        <f t="shared" si="37"/>
        <v>16.093466666666668</v>
      </c>
      <c r="Q638" s="43" t="s">
        <v>3169</v>
      </c>
      <c r="R638" s="4">
        <v>16.1432095662127</v>
      </c>
      <c r="S638" s="4">
        <v>15.5028656586684</v>
      </c>
      <c r="T638" s="4">
        <v>15.674493317265799</v>
      </c>
      <c r="U638" s="4">
        <f t="shared" si="38"/>
        <v>15.773522847382301</v>
      </c>
      <c r="X638" s="43" t="s">
        <v>2564</v>
      </c>
      <c r="Y638" s="4">
        <v>15.8255743840623</v>
      </c>
      <c r="Z638" s="4">
        <v>15.998346832171</v>
      </c>
      <c r="AA638" s="4">
        <v>15.6407346424875</v>
      </c>
      <c r="AB638" s="4">
        <f t="shared" si="39"/>
        <v>15.821551952906935</v>
      </c>
      <c r="AM638" s="2"/>
    </row>
    <row r="639" spans="2:39" x14ac:dyDescent="0.2">
      <c r="B639" s="4" t="s">
        <v>1693</v>
      </c>
      <c r="C639" s="4">
        <v>16.472200000000001</v>
      </c>
      <c r="D639" s="4">
        <v>15.7896</v>
      </c>
      <c r="E639" s="4">
        <v>15.7697</v>
      </c>
      <c r="F639" s="4">
        <f t="shared" si="36"/>
        <v>16.0105</v>
      </c>
      <c r="I639" s="4" t="s">
        <v>2155</v>
      </c>
      <c r="J639" s="4">
        <v>16.327999999999999</v>
      </c>
      <c r="K639" s="4">
        <v>15.6309</v>
      </c>
      <c r="L639" s="4">
        <v>16.3139</v>
      </c>
      <c r="M639" s="4">
        <f t="shared" si="37"/>
        <v>16.090933333333336</v>
      </c>
      <c r="Q639" s="43" t="s">
        <v>2672</v>
      </c>
      <c r="R639" s="4">
        <v>16.003817406317602</v>
      </c>
      <c r="S639" s="4">
        <v>15.605422690818299</v>
      </c>
      <c r="T639" s="4">
        <v>15.6955376678179</v>
      </c>
      <c r="U639" s="4">
        <f t="shared" si="38"/>
        <v>15.768259254984601</v>
      </c>
      <c r="X639" s="43" t="s">
        <v>1682</v>
      </c>
      <c r="Y639" s="4">
        <v>15.871087069647899</v>
      </c>
      <c r="Z639" s="4">
        <v>15.7782547644556</v>
      </c>
      <c r="AA639" s="4">
        <v>15.7859800886252</v>
      </c>
      <c r="AB639" s="4">
        <f t="shared" si="39"/>
        <v>15.811773974242898</v>
      </c>
      <c r="AM639" s="2"/>
    </row>
    <row r="640" spans="2:39" x14ac:dyDescent="0.2">
      <c r="B640" s="4" t="s">
        <v>2684</v>
      </c>
      <c r="C640" s="4">
        <v>16.237300000000001</v>
      </c>
      <c r="D640" s="4">
        <v>16.047599999999999</v>
      </c>
      <c r="E640" s="4">
        <v>15.741</v>
      </c>
      <c r="F640" s="4">
        <f t="shared" si="36"/>
        <v>16.008633333333332</v>
      </c>
      <c r="I640" s="4" t="s">
        <v>684</v>
      </c>
      <c r="J640" s="4">
        <v>15.795400000000001</v>
      </c>
      <c r="K640" s="4">
        <v>16.5336</v>
      </c>
      <c r="L640" s="4">
        <v>15.934100000000001</v>
      </c>
      <c r="M640" s="4">
        <f t="shared" si="37"/>
        <v>16.087700000000002</v>
      </c>
      <c r="Q640" s="43" t="s">
        <v>2448</v>
      </c>
      <c r="R640" s="4">
        <v>15.8091411926191</v>
      </c>
      <c r="S640" s="4">
        <v>15.7715143593951</v>
      </c>
      <c r="T640" s="4">
        <v>15.7125083999805</v>
      </c>
      <c r="U640" s="4">
        <f t="shared" si="38"/>
        <v>15.764387983998233</v>
      </c>
      <c r="X640" s="43" t="s">
        <v>1147</v>
      </c>
      <c r="Y640" s="4">
        <v>15.7062078909206</v>
      </c>
      <c r="Z640" s="4">
        <v>15.717705665034799</v>
      </c>
      <c r="AA640" s="4">
        <v>16.011015841204301</v>
      </c>
      <c r="AB640" s="4">
        <f t="shared" si="39"/>
        <v>15.811643132386569</v>
      </c>
      <c r="AM640" s="2"/>
    </row>
    <row r="641" spans="2:39" x14ac:dyDescent="0.2">
      <c r="B641" s="4" t="s">
        <v>1856</v>
      </c>
      <c r="C641" s="4">
        <v>16.246300000000002</v>
      </c>
      <c r="D641" s="4">
        <v>16.0121</v>
      </c>
      <c r="E641" s="4">
        <v>15.7637</v>
      </c>
      <c r="F641" s="4">
        <f t="shared" si="36"/>
        <v>16.007366666666666</v>
      </c>
      <c r="I641" s="4" t="s">
        <v>602</v>
      </c>
      <c r="J641" s="4">
        <v>15.915699999999999</v>
      </c>
      <c r="K641" s="4">
        <v>16.4376</v>
      </c>
      <c r="L641" s="4">
        <v>15.8802</v>
      </c>
      <c r="M641" s="4">
        <f t="shared" si="37"/>
        <v>16.077833333333334</v>
      </c>
      <c r="Q641" s="43" t="s">
        <v>1557</v>
      </c>
      <c r="R641" s="4">
        <v>15.6090693694716</v>
      </c>
      <c r="S641" s="4">
        <v>15.799093919726801</v>
      </c>
      <c r="T641" s="4">
        <v>15.884578074522899</v>
      </c>
      <c r="U641" s="4">
        <f t="shared" si="38"/>
        <v>15.764247121240432</v>
      </c>
      <c r="X641" s="43" t="s">
        <v>4061</v>
      </c>
      <c r="Y641" s="4">
        <v>15.762686735558701</v>
      </c>
      <c r="Z641" s="4">
        <v>15.8430162927485</v>
      </c>
      <c r="AA641" s="4">
        <v>15.813017046216</v>
      </c>
      <c r="AB641" s="4">
        <f t="shared" si="39"/>
        <v>15.806240024841067</v>
      </c>
      <c r="AM641" s="2"/>
    </row>
    <row r="642" spans="2:39" x14ac:dyDescent="0.2">
      <c r="B642" s="4" t="s">
        <v>4068</v>
      </c>
      <c r="C642" s="4">
        <v>15.9733</v>
      </c>
      <c r="D642" s="4">
        <v>16.073699999999999</v>
      </c>
      <c r="E642" s="4">
        <v>15.974299999999999</v>
      </c>
      <c r="F642" s="4">
        <f t="shared" ref="F642:F705" si="40">(C642+D642+E642)/3</f>
        <v>16.007099999999998</v>
      </c>
      <c r="I642" s="4" t="s">
        <v>3340</v>
      </c>
      <c r="J642" s="4">
        <v>16.3017</v>
      </c>
      <c r="K642" s="4">
        <v>15.6173</v>
      </c>
      <c r="L642" s="4">
        <v>16.312799999999999</v>
      </c>
      <c r="M642" s="4">
        <f t="shared" ref="M642:M705" si="41">(J642+K642+L642)/3</f>
        <v>16.077266666666667</v>
      </c>
      <c r="Q642" s="43" t="s">
        <v>3543</v>
      </c>
      <c r="R642" s="4">
        <v>15.827224795378701</v>
      </c>
      <c r="S642" s="4">
        <v>15.602328173810999</v>
      </c>
      <c r="T642" s="4">
        <v>15.855460855046401</v>
      </c>
      <c r="U642" s="4">
        <f t="shared" ref="U642:U705" si="42">(R642+S642+T642)/3</f>
        <v>15.761671274745368</v>
      </c>
      <c r="X642" s="43" t="s">
        <v>2585</v>
      </c>
      <c r="Y642" s="4">
        <v>15.7650137075413</v>
      </c>
      <c r="Z642" s="4">
        <v>15.7014331930976</v>
      </c>
      <c r="AA642" s="4">
        <v>15.9421449060317</v>
      </c>
      <c r="AB642" s="4">
        <f t="shared" ref="AB642:AB705" si="43">(Y642+Z642+AA642)/3</f>
        <v>15.802863935556866</v>
      </c>
      <c r="AM642" s="2"/>
    </row>
    <row r="643" spans="2:39" x14ac:dyDescent="0.2">
      <c r="B643" s="4" t="s">
        <v>199</v>
      </c>
      <c r="C643" s="4">
        <v>16.181100000000001</v>
      </c>
      <c r="D643" s="4">
        <v>15.8063</v>
      </c>
      <c r="E643" s="4">
        <v>16.032699999999998</v>
      </c>
      <c r="F643" s="4">
        <f t="shared" si="40"/>
        <v>16.006699999999999</v>
      </c>
      <c r="I643" s="4" t="s">
        <v>2602</v>
      </c>
      <c r="J643" s="4">
        <v>16.217199999999998</v>
      </c>
      <c r="K643" s="4">
        <v>16.072500000000002</v>
      </c>
      <c r="L643" s="4">
        <v>15.935700000000001</v>
      </c>
      <c r="M643" s="4">
        <f t="shared" si="41"/>
        <v>16.07513333333333</v>
      </c>
      <c r="Q643" s="43" t="s">
        <v>3956</v>
      </c>
      <c r="R643" s="4">
        <v>15.6889378688173</v>
      </c>
      <c r="S643" s="4">
        <v>15.777334015822399</v>
      </c>
      <c r="T643" s="4">
        <v>15.818432346396101</v>
      </c>
      <c r="U643" s="4">
        <f t="shared" si="42"/>
        <v>15.761568077011935</v>
      </c>
      <c r="X643" s="43" t="s">
        <v>3513</v>
      </c>
      <c r="Y643" s="4">
        <v>15.787268233146399</v>
      </c>
      <c r="Z643" s="4">
        <v>15.6792781481067</v>
      </c>
      <c r="AA643" s="4">
        <v>15.9276961544188</v>
      </c>
      <c r="AB643" s="4">
        <f t="shared" si="43"/>
        <v>15.798080845223966</v>
      </c>
      <c r="AM643" s="2"/>
    </row>
    <row r="644" spans="2:39" x14ac:dyDescent="0.2">
      <c r="B644" s="4" t="s">
        <v>885</v>
      </c>
      <c r="C644" s="4">
        <v>15.946300000000001</v>
      </c>
      <c r="D644" s="4">
        <v>16.0656</v>
      </c>
      <c r="E644" s="4">
        <v>16.000299999999999</v>
      </c>
      <c r="F644" s="4">
        <f t="shared" si="40"/>
        <v>16.004066666666663</v>
      </c>
      <c r="I644" s="4" t="s">
        <v>277</v>
      </c>
      <c r="J644" s="4">
        <v>16.266400000000001</v>
      </c>
      <c r="K644" s="4">
        <v>15.762</v>
      </c>
      <c r="L644" s="4">
        <v>16.1737</v>
      </c>
      <c r="M644" s="4">
        <f t="shared" si="41"/>
        <v>16.067366666666668</v>
      </c>
      <c r="Q644" s="43" t="s">
        <v>2795</v>
      </c>
      <c r="R644" s="4">
        <v>15.8553336681254</v>
      </c>
      <c r="S644" s="4">
        <v>15.7375224323943</v>
      </c>
      <c r="T644" s="4">
        <v>15.6800856193606</v>
      </c>
      <c r="U644" s="4">
        <f t="shared" si="42"/>
        <v>15.7576472399601</v>
      </c>
      <c r="X644" s="43" t="s">
        <v>3659</v>
      </c>
      <c r="Y644" s="4">
        <v>15.983489815770501</v>
      </c>
      <c r="Z644" s="4">
        <v>15.761480328120699</v>
      </c>
      <c r="AA644" s="4">
        <v>15.6468425452577</v>
      </c>
      <c r="AB644" s="4">
        <f t="shared" si="43"/>
        <v>15.797270896382967</v>
      </c>
      <c r="AM644" s="2"/>
    </row>
    <row r="645" spans="2:39" x14ac:dyDescent="0.2">
      <c r="B645" s="4" t="s">
        <v>1851</v>
      </c>
      <c r="C645" s="4">
        <v>16.040700000000001</v>
      </c>
      <c r="D645" s="4">
        <v>16.2636</v>
      </c>
      <c r="E645" s="4">
        <v>15.7059</v>
      </c>
      <c r="F645" s="4">
        <f t="shared" si="40"/>
        <v>16.003399999999999</v>
      </c>
      <c r="I645" s="4" t="s">
        <v>1496</v>
      </c>
      <c r="J645" s="4">
        <v>15.374499999999999</v>
      </c>
      <c r="K645" s="4">
        <v>17.198899999999998</v>
      </c>
      <c r="L645" s="4">
        <v>15.6286</v>
      </c>
      <c r="M645" s="4">
        <f t="shared" si="41"/>
        <v>16.067333333333334</v>
      </c>
      <c r="Q645" s="43" t="s">
        <v>2060</v>
      </c>
      <c r="R645" s="4">
        <v>15.7523922236999</v>
      </c>
      <c r="S645" s="4">
        <v>15.604743058015201</v>
      </c>
      <c r="T645" s="4">
        <v>15.9151800673009</v>
      </c>
      <c r="U645" s="4">
        <f t="shared" si="42"/>
        <v>15.757438449672001</v>
      </c>
      <c r="X645" s="43" t="s">
        <v>906</v>
      </c>
      <c r="Y645" s="4">
        <v>15.783641593451399</v>
      </c>
      <c r="Z645" s="4">
        <v>15.942458036325201</v>
      </c>
      <c r="AA645" s="4">
        <v>15.658395028139999</v>
      </c>
      <c r="AB645" s="4">
        <f t="shared" si="43"/>
        <v>15.794831552638867</v>
      </c>
      <c r="AM645" s="2"/>
    </row>
    <row r="646" spans="2:39" x14ac:dyDescent="0.2">
      <c r="B646" s="4" t="s">
        <v>4024</v>
      </c>
      <c r="C646" s="4">
        <v>16.178899999999999</v>
      </c>
      <c r="D646" s="4">
        <v>16.238</v>
      </c>
      <c r="E646" s="4">
        <v>15.592700000000001</v>
      </c>
      <c r="F646" s="4">
        <f t="shared" si="40"/>
        <v>16.0032</v>
      </c>
      <c r="I646" s="4" t="s">
        <v>2442</v>
      </c>
      <c r="J646" s="4">
        <v>15.656499999999999</v>
      </c>
      <c r="K646" s="4">
        <v>17.005800000000001</v>
      </c>
      <c r="L646" s="4">
        <v>15.5296</v>
      </c>
      <c r="M646" s="4">
        <f t="shared" si="41"/>
        <v>16.063966666666669</v>
      </c>
      <c r="Q646" s="43" t="s">
        <v>26</v>
      </c>
      <c r="R646" s="4">
        <v>15.9851584485793</v>
      </c>
      <c r="S646" s="4">
        <v>15.6685865776138</v>
      </c>
      <c r="T646" s="4">
        <v>15.6078991199486</v>
      </c>
      <c r="U646" s="4">
        <f t="shared" si="42"/>
        <v>15.753881382047233</v>
      </c>
      <c r="X646" s="43" t="s">
        <v>730</v>
      </c>
      <c r="Y646" s="4">
        <v>15.8136548761659</v>
      </c>
      <c r="Z646" s="4">
        <v>16.214933827535699</v>
      </c>
      <c r="AA646" s="4">
        <v>15.349546809046901</v>
      </c>
      <c r="AB646" s="4">
        <f t="shared" si="43"/>
        <v>15.792711837582834</v>
      </c>
      <c r="AM646" s="2"/>
    </row>
    <row r="647" spans="2:39" x14ac:dyDescent="0.2">
      <c r="B647" s="4" t="s">
        <v>1690</v>
      </c>
      <c r="C647" s="4">
        <v>15.982100000000001</v>
      </c>
      <c r="D647" s="4">
        <v>16.028300000000002</v>
      </c>
      <c r="E647" s="4">
        <v>15.9918</v>
      </c>
      <c r="F647" s="4">
        <f t="shared" si="40"/>
        <v>16.000733333333333</v>
      </c>
      <c r="I647" s="4" t="s">
        <v>3516</v>
      </c>
      <c r="J647" s="4">
        <v>15.8614</v>
      </c>
      <c r="K647" s="4">
        <v>16.5108</v>
      </c>
      <c r="L647" s="4">
        <v>15.8127</v>
      </c>
      <c r="M647" s="4">
        <f t="shared" si="41"/>
        <v>16.061633333333333</v>
      </c>
      <c r="Q647" s="43" t="s">
        <v>3863</v>
      </c>
      <c r="R647" s="4">
        <v>15.803676914679601</v>
      </c>
      <c r="S647" s="4">
        <v>15.7354637384292</v>
      </c>
      <c r="T647" s="4">
        <v>15.701794939836301</v>
      </c>
      <c r="U647" s="4">
        <f t="shared" si="42"/>
        <v>15.746978530981702</v>
      </c>
      <c r="X647" s="43" t="s">
        <v>1680</v>
      </c>
      <c r="Y647" s="4">
        <v>15.409477042775</v>
      </c>
      <c r="Z647" s="4">
        <v>15.278861004585099</v>
      </c>
      <c r="AA647" s="4">
        <v>16.687961877378999</v>
      </c>
      <c r="AB647" s="4">
        <f t="shared" si="43"/>
        <v>15.792099974913034</v>
      </c>
      <c r="AM647" s="2"/>
    </row>
    <row r="648" spans="2:39" x14ac:dyDescent="0.2">
      <c r="B648" s="4" t="s">
        <v>225</v>
      </c>
      <c r="C648" s="4">
        <v>16.1312</v>
      </c>
      <c r="D648" s="4">
        <v>15.741</v>
      </c>
      <c r="E648" s="4">
        <v>16.120999999999999</v>
      </c>
      <c r="F648" s="4">
        <f t="shared" si="40"/>
        <v>15.997733333333334</v>
      </c>
      <c r="I648" s="4" t="s">
        <v>398</v>
      </c>
      <c r="J648" s="4">
        <v>16.377800000000001</v>
      </c>
      <c r="K648" s="4">
        <v>15.4499</v>
      </c>
      <c r="L648" s="4">
        <v>16.355</v>
      </c>
      <c r="M648" s="4">
        <f t="shared" si="41"/>
        <v>16.0609</v>
      </c>
      <c r="Q648" s="43" t="s">
        <v>142</v>
      </c>
      <c r="R648" s="4">
        <v>15.7212482224302</v>
      </c>
      <c r="S648" s="4">
        <v>15.775608170319501</v>
      </c>
      <c r="T648" s="4">
        <v>15.728984474782999</v>
      </c>
      <c r="U648" s="4">
        <f t="shared" si="42"/>
        <v>15.741946955844233</v>
      </c>
      <c r="X648" s="43" t="s">
        <v>881</v>
      </c>
      <c r="Y648" s="4">
        <v>15.765439534072501</v>
      </c>
      <c r="Z648" s="4">
        <v>15.8991979834733</v>
      </c>
      <c r="AA648" s="4">
        <v>15.7114550209741</v>
      </c>
      <c r="AB648" s="4">
        <f t="shared" si="43"/>
        <v>15.792030846173299</v>
      </c>
      <c r="AM648" s="2"/>
    </row>
    <row r="649" spans="2:39" x14ac:dyDescent="0.2">
      <c r="B649" s="4" t="s">
        <v>3488</v>
      </c>
      <c r="C649" s="4">
        <v>15.6839</v>
      </c>
      <c r="D649" s="4">
        <v>15.834099999999999</v>
      </c>
      <c r="E649" s="4">
        <v>16.4572</v>
      </c>
      <c r="F649" s="4">
        <f t="shared" si="40"/>
        <v>15.991733333333334</v>
      </c>
      <c r="I649" s="4" t="s">
        <v>3095</v>
      </c>
      <c r="J649" s="4">
        <v>16.385899999999999</v>
      </c>
      <c r="K649" s="4">
        <v>15.667299999999999</v>
      </c>
      <c r="L649" s="4">
        <v>16.128900000000002</v>
      </c>
      <c r="M649" s="4">
        <f t="shared" si="41"/>
        <v>16.060700000000001</v>
      </c>
      <c r="Q649" s="43" t="s">
        <v>2809</v>
      </c>
      <c r="R649" s="4">
        <v>16.018543992571299</v>
      </c>
      <c r="S649" s="4">
        <v>15.2884194976101</v>
      </c>
      <c r="T649" s="4">
        <v>15.9156331998742</v>
      </c>
      <c r="U649" s="4">
        <f t="shared" si="42"/>
        <v>15.740865563351866</v>
      </c>
      <c r="X649" s="43" t="s">
        <v>3173</v>
      </c>
      <c r="Y649" s="4">
        <v>15.780663097186</v>
      </c>
      <c r="Z649" s="4">
        <v>16.0267937635024</v>
      </c>
      <c r="AA649" s="4">
        <v>15.5515581478695</v>
      </c>
      <c r="AB649" s="4">
        <f t="shared" si="43"/>
        <v>15.786338336185969</v>
      </c>
      <c r="AM649" s="2"/>
    </row>
    <row r="650" spans="2:39" x14ac:dyDescent="0.2">
      <c r="B650" s="4" t="s">
        <v>1459</v>
      </c>
      <c r="C650" s="4">
        <v>15.6797</v>
      </c>
      <c r="D650" s="4">
        <v>15.9062</v>
      </c>
      <c r="E650" s="4">
        <v>16.3598</v>
      </c>
      <c r="F650" s="4">
        <f t="shared" si="40"/>
        <v>15.981900000000001</v>
      </c>
      <c r="I650" s="4" t="s">
        <v>1627</v>
      </c>
      <c r="J650" s="4">
        <v>16.3919</v>
      </c>
      <c r="K650" s="4">
        <v>15.373200000000001</v>
      </c>
      <c r="L650" s="4">
        <v>16.404900000000001</v>
      </c>
      <c r="M650" s="4">
        <f t="shared" si="41"/>
        <v>16.056666666666668</v>
      </c>
      <c r="Q650" s="43" t="s">
        <v>3128</v>
      </c>
      <c r="R650" s="4">
        <v>15.9875859601702</v>
      </c>
      <c r="S650" s="4">
        <v>15.570097118546901</v>
      </c>
      <c r="T650" s="4">
        <v>15.664697876728299</v>
      </c>
      <c r="U650" s="4">
        <f t="shared" si="42"/>
        <v>15.740793651815133</v>
      </c>
      <c r="X650" s="43" t="s">
        <v>3358</v>
      </c>
      <c r="Y650" s="4">
        <v>15.8162581476463</v>
      </c>
      <c r="Z650" s="4">
        <v>15.7650528594604</v>
      </c>
      <c r="AA650" s="4">
        <v>15.771810290011199</v>
      </c>
      <c r="AB650" s="4">
        <f t="shared" si="43"/>
        <v>15.784373765705965</v>
      </c>
      <c r="AM650" s="2"/>
    </row>
    <row r="651" spans="2:39" x14ac:dyDescent="0.2">
      <c r="B651" s="4" t="s">
        <v>1389</v>
      </c>
      <c r="C651" s="4">
        <v>16.7134</v>
      </c>
      <c r="D651" s="4">
        <v>15.1972</v>
      </c>
      <c r="E651" s="4">
        <v>16.027899999999999</v>
      </c>
      <c r="F651" s="4">
        <f t="shared" si="40"/>
        <v>15.979500000000002</v>
      </c>
      <c r="I651" s="4" t="s">
        <v>3861</v>
      </c>
      <c r="J651" s="4">
        <v>16.122499999999999</v>
      </c>
      <c r="K651" s="4">
        <v>16.086500000000001</v>
      </c>
      <c r="L651" s="4">
        <v>15.953900000000001</v>
      </c>
      <c r="M651" s="4">
        <f t="shared" si="41"/>
        <v>16.054300000000001</v>
      </c>
      <c r="Q651" s="43" t="s">
        <v>3063</v>
      </c>
      <c r="R651" s="4">
        <v>15.453103230622</v>
      </c>
      <c r="S651" s="4">
        <v>15.9081811219241</v>
      </c>
      <c r="T651" s="4">
        <v>15.858111712086</v>
      </c>
      <c r="U651" s="4">
        <f t="shared" si="42"/>
        <v>15.739798688210699</v>
      </c>
      <c r="X651" s="43" t="s">
        <v>2227</v>
      </c>
      <c r="Y651" s="4">
        <v>15.718382399988499</v>
      </c>
      <c r="Z651" s="4">
        <v>15.788555478932601</v>
      </c>
      <c r="AA651" s="4">
        <v>15.8286638580778</v>
      </c>
      <c r="AB651" s="4">
        <f t="shared" si="43"/>
        <v>15.778533912332966</v>
      </c>
      <c r="AM651" s="2"/>
    </row>
    <row r="652" spans="2:39" x14ac:dyDescent="0.2">
      <c r="B652" s="4" t="s">
        <v>3611</v>
      </c>
      <c r="C652" s="4">
        <v>15.882199999999999</v>
      </c>
      <c r="D652" s="4">
        <v>15.8779</v>
      </c>
      <c r="E652" s="4">
        <v>16.174600000000002</v>
      </c>
      <c r="F652" s="4">
        <f t="shared" si="40"/>
        <v>15.978233333333336</v>
      </c>
      <c r="I652" s="4" t="s">
        <v>1676</v>
      </c>
      <c r="J652" s="4">
        <v>15.441000000000001</v>
      </c>
      <c r="K652" s="4">
        <v>17.273599999999998</v>
      </c>
      <c r="L652" s="4">
        <v>15.4344</v>
      </c>
      <c r="M652" s="4">
        <f t="shared" si="41"/>
        <v>16.049666666666667</v>
      </c>
      <c r="Q652" s="43" t="s">
        <v>1891</v>
      </c>
      <c r="R652" s="4">
        <v>15.7820218728704</v>
      </c>
      <c r="S652" s="4">
        <v>15.7057121948942</v>
      </c>
      <c r="T652" s="4">
        <v>15.7071413468397</v>
      </c>
      <c r="U652" s="4">
        <f t="shared" si="42"/>
        <v>15.731625138201432</v>
      </c>
      <c r="X652" s="43" t="s">
        <v>1669</v>
      </c>
      <c r="Y652" s="4">
        <v>15.74902168615</v>
      </c>
      <c r="Z652" s="4">
        <v>15.910022029070401</v>
      </c>
      <c r="AA652" s="4">
        <v>15.662800058829299</v>
      </c>
      <c r="AB652" s="4">
        <f t="shared" si="43"/>
        <v>15.773947924683233</v>
      </c>
      <c r="AM652" s="2"/>
    </row>
    <row r="653" spans="2:39" x14ac:dyDescent="0.2">
      <c r="B653" s="4" t="s">
        <v>3050</v>
      </c>
      <c r="C653" s="4">
        <v>15.9434</v>
      </c>
      <c r="D653" s="4">
        <v>15.9171</v>
      </c>
      <c r="E653" s="4">
        <v>16.067599999999999</v>
      </c>
      <c r="F653" s="4">
        <f t="shared" si="40"/>
        <v>15.976033333333334</v>
      </c>
      <c r="I653" s="4" t="s">
        <v>579</v>
      </c>
      <c r="J653" s="4">
        <v>16.216999999999999</v>
      </c>
      <c r="K653" s="4">
        <v>15.751799999999999</v>
      </c>
      <c r="L653" s="4">
        <v>16.173200000000001</v>
      </c>
      <c r="M653" s="4">
        <f t="shared" si="41"/>
        <v>16.047333333333331</v>
      </c>
      <c r="Q653" s="43" t="s">
        <v>1655</v>
      </c>
      <c r="R653" s="4">
        <v>15.6491956923724</v>
      </c>
      <c r="S653" s="4">
        <v>15.5884566261765</v>
      </c>
      <c r="T653" s="4">
        <v>15.943269454407</v>
      </c>
      <c r="U653" s="4">
        <f t="shared" si="42"/>
        <v>15.726973924318633</v>
      </c>
      <c r="X653" s="43" t="s">
        <v>3809</v>
      </c>
      <c r="Y653" s="4">
        <v>15.6333985735165</v>
      </c>
      <c r="Z653" s="4">
        <v>15.850800156119501</v>
      </c>
      <c r="AA653" s="4">
        <v>15.8323226787794</v>
      </c>
      <c r="AB653" s="4">
        <f t="shared" si="43"/>
        <v>15.772173802805133</v>
      </c>
      <c r="AM653" s="2"/>
    </row>
    <row r="654" spans="2:39" x14ac:dyDescent="0.2">
      <c r="B654" s="4" t="s">
        <v>858</v>
      </c>
      <c r="C654" s="4">
        <v>15.810600000000001</v>
      </c>
      <c r="D654" s="4">
        <v>15.9579</v>
      </c>
      <c r="E654" s="4">
        <v>16.154699999999998</v>
      </c>
      <c r="F654" s="4">
        <f t="shared" si="40"/>
        <v>15.974400000000001</v>
      </c>
      <c r="I654" s="4" t="s">
        <v>53</v>
      </c>
      <c r="J654" s="4">
        <v>16.251000000000001</v>
      </c>
      <c r="K654" s="4">
        <v>15.627000000000001</v>
      </c>
      <c r="L654" s="4">
        <v>16.2575</v>
      </c>
      <c r="M654" s="4">
        <f t="shared" si="41"/>
        <v>16.045166666666667</v>
      </c>
      <c r="Q654" s="43" t="s">
        <v>1501</v>
      </c>
      <c r="R654" s="4">
        <v>15.8124746335294</v>
      </c>
      <c r="S654" s="4">
        <v>15.6403669811304</v>
      </c>
      <c r="T654" s="4">
        <v>15.711431395855801</v>
      </c>
      <c r="U654" s="4">
        <f t="shared" si="42"/>
        <v>15.721424336838533</v>
      </c>
      <c r="X654" s="43" t="s">
        <v>2282</v>
      </c>
      <c r="Y654" s="4">
        <v>15.6713685800266</v>
      </c>
      <c r="Z654" s="4">
        <v>15.838890449669</v>
      </c>
      <c r="AA654" s="4">
        <v>15.802893932942901</v>
      </c>
      <c r="AB654" s="4">
        <f t="shared" si="43"/>
        <v>15.771050987546166</v>
      </c>
      <c r="AM654" s="2"/>
    </row>
    <row r="655" spans="2:39" x14ac:dyDescent="0.2">
      <c r="B655" s="4" t="s">
        <v>2891</v>
      </c>
      <c r="C655" s="4">
        <v>16.0745</v>
      </c>
      <c r="D655" s="4">
        <v>15.851800000000001</v>
      </c>
      <c r="E655" s="4">
        <v>15.9862</v>
      </c>
      <c r="F655" s="4">
        <f t="shared" si="40"/>
        <v>15.970833333333333</v>
      </c>
      <c r="I655" s="4" t="s">
        <v>3507</v>
      </c>
      <c r="J655" s="4">
        <v>16.077000000000002</v>
      </c>
      <c r="K655" s="4">
        <v>16.543099999999999</v>
      </c>
      <c r="L655" s="4">
        <v>15.4947</v>
      </c>
      <c r="M655" s="4">
        <f t="shared" si="41"/>
        <v>16.038266666666669</v>
      </c>
      <c r="Q655" s="43" t="s">
        <v>2196</v>
      </c>
      <c r="R655" s="4">
        <v>15.884261617746899</v>
      </c>
      <c r="S655" s="4">
        <v>15.669635302129899</v>
      </c>
      <c r="T655" s="4">
        <v>15.6098663324591</v>
      </c>
      <c r="U655" s="4">
        <f t="shared" si="42"/>
        <v>15.7212544174453</v>
      </c>
      <c r="X655" s="43" t="s">
        <v>2937</v>
      </c>
      <c r="Y655" s="4">
        <v>15.7203620484447</v>
      </c>
      <c r="Z655" s="4">
        <v>15.807190650591499</v>
      </c>
      <c r="AA655" s="4">
        <v>15.7716809686817</v>
      </c>
      <c r="AB655" s="4">
        <f t="shared" si="43"/>
        <v>15.766411222572634</v>
      </c>
      <c r="AM655" s="2"/>
    </row>
    <row r="656" spans="2:39" x14ac:dyDescent="0.2">
      <c r="B656" s="4" t="s">
        <v>2953</v>
      </c>
      <c r="C656" s="4">
        <v>16.185600000000001</v>
      </c>
      <c r="D656" s="4">
        <v>16.117699999999999</v>
      </c>
      <c r="E656" s="4">
        <v>15.594900000000001</v>
      </c>
      <c r="F656" s="4">
        <f t="shared" si="40"/>
        <v>15.966066666666668</v>
      </c>
      <c r="I656" s="4" t="s">
        <v>711</v>
      </c>
      <c r="J656" s="4">
        <v>15.968999999999999</v>
      </c>
      <c r="K656" s="4">
        <v>16.651599999999998</v>
      </c>
      <c r="L656" s="4">
        <v>15.4938</v>
      </c>
      <c r="M656" s="4">
        <f t="shared" si="41"/>
        <v>16.038133333333331</v>
      </c>
      <c r="Q656" s="43" t="s">
        <v>2453</v>
      </c>
      <c r="R656" s="4">
        <v>15.678330997391299</v>
      </c>
      <c r="S656" s="4">
        <v>15.7329924948127</v>
      </c>
      <c r="T656" s="4">
        <v>15.750975762871899</v>
      </c>
      <c r="U656" s="4">
        <f t="shared" si="42"/>
        <v>15.720766418358631</v>
      </c>
      <c r="X656" s="43" t="s">
        <v>2513</v>
      </c>
      <c r="Y656" s="4">
        <v>15.683559583231199</v>
      </c>
      <c r="Z656" s="4">
        <v>15.813545450106099</v>
      </c>
      <c r="AA656" s="4">
        <v>15.7973205647646</v>
      </c>
      <c r="AB656" s="4">
        <f t="shared" si="43"/>
        <v>15.764808532700632</v>
      </c>
      <c r="AM656" s="2"/>
    </row>
    <row r="657" spans="2:39" x14ac:dyDescent="0.2">
      <c r="B657" s="4" t="s">
        <v>2380</v>
      </c>
      <c r="C657" s="4">
        <v>16.124199999999998</v>
      </c>
      <c r="D657" s="4">
        <v>15.850199999999999</v>
      </c>
      <c r="E657" s="4">
        <v>15.923500000000001</v>
      </c>
      <c r="F657" s="4">
        <f t="shared" si="40"/>
        <v>15.965966666666665</v>
      </c>
      <c r="I657" s="4" t="s">
        <v>2402</v>
      </c>
      <c r="J657" s="4">
        <v>15.932399999999999</v>
      </c>
      <c r="K657" s="4">
        <v>16.412500000000001</v>
      </c>
      <c r="L657" s="4">
        <v>15.747999999999999</v>
      </c>
      <c r="M657" s="4">
        <f t="shared" si="41"/>
        <v>16.030966666666668</v>
      </c>
      <c r="Q657" s="43" t="s">
        <v>3358</v>
      </c>
      <c r="R657" s="4">
        <v>15.819950778413601</v>
      </c>
      <c r="S657" s="4">
        <v>15.751756440466201</v>
      </c>
      <c r="T657" s="4">
        <v>15.588999079478601</v>
      </c>
      <c r="U657" s="4">
        <f t="shared" si="42"/>
        <v>15.720235432786135</v>
      </c>
      <c r="X657" s="43" t="s">
        <v>2902</v>
      </c>
      <c r="Y657" s="4">
        <v>15.6526711664504</v>
      </c>
      <c r="Z657" s="4">
        <v>15.7189527284067</v>
      </c>
      <c r="AA657" s="4">
        <v>15.9128042061075</v>
      </c>
      <c r="AB657" s="4">
        <f t="shared" si="43"/>
        <v>15.761476033654867</v>
      </c>
      <c r="AM657" s="2"/>
    </row>
    <row r="658" spans="2:39" x14ac:dyDescent="0.2">
      <c r="B658" s="4" t="s">
        <v>4003</v>
      </c>
      <c r="C658" s="4">
        <v>15.872999999999999</v>
      </c>
      <c r="D658" s="4">
        <v>15.9468</v>
      </c>
      <c r="E658" s="4">
        <v>16.066600000000001</v>
      </c>
      <c r="F658" s="4">
        <f t="shared" si="40"/>
        <v>15.962133333333334</v>
      </c>
      <c r="I658" s="4" t="s">
        <v>3417</v>
      </c>
      <c r="J658" s="4">
        <v>15.5977</v>
      </c>
      <c r="K658" s="4">
        <v>16.698899999999998</v>
      </c>
      <c r="L658" s="4">
        <v>15.7842</v>
      </c>
      <c r="M658" s="4">
        <f t="shared" si="41"/>
        <v>16.026933333333332</v>
      </c>
      <c r="Q658" s="43" t="s">
        <v>1438</v>
      </c>
      <c r="R658" s="4">
        <v>15.9419575260559</v>
      </c>
      <c r="S658" s="4">
        <v>15.5625690774419</v>
      </c>
      <c r="T658" s="4">
        <v>15.646545656150799</v>
      </c>
      <c r="U658" s="4">
        <f t="shared" si="42"/>
        <v>15.717024086549534</v>
      </c>
      <c r="X658" s="43" t="s">
        <v>1372</v>
      </c>
      <c r="Y658" s="4">
        <v>15.792981919036</v>
      </c>
      <c r="Z658" s="4">
        <v>15.822059383314301</v>
      </c>
      <c r="AA658" s="4">
        <v>15.6608895790992</v>
      </c>
      <c r="AB658" s="4">
        <f t="shared" si="43"/>
        <v>15.758643627149832</v>
      </c>
      <c r="AM658" s="2"/>
    </row>
    <row r="659" spans="2:39" x14ac:dyDescent="0.2">
      <c r="B659" s="4" t="s">
        <v>2150</v>
      </c>
      <c r="C659" s="4">
        <v>15.926500000000001</v>
      </c>
      <c r="D659" s="4">
        <v>16.066800000000001</v>
      </c>
      <c r="E659" s="4">
        <v>15.8878</v>
      </c>
      <c r="F659" s="4">
        <f t="shared" si="40"/>
        <v>15.960366666666667</v>
      </c>
      <c r="I659" s="4" t="s">
        <v>2029</v>
      </c>
      <c r="J659" s="4">
        <v>16.354399999999998</v>
      </c>
      <c r="K659" s="4">
        <v>15.562799999999999</v>
      </c>
      <c r="L659" s="4">
        <v>16.146899999999999</v>
      </c>
      <c r="M659" s="4">
        <f t="shared" si="41"/>
        <v>16.021366666666665</v>
      </c>
      <c r="Q659" s="43" t="s">
        <v>4175</v>
      </c>
      <c r="R659" s="4">
        <v>16.271685594592501</v>
      </c>
      <c r="S659" s="4">
        <v>15.221386584447901</v>
      </c>
      <c r="T659" s="4">
        <v>15.6495647990739</v>
      </c>
      <c r="U659" s="4">
        <f t="shared" si="42"/>
        <v>15.714212326038101</v>
      </c>
      <c r="X659" s="43" t="s">
        <v>3013</v>
      </c>
      <c r="Y659" s="4">
        <v>15.680760216788601</v>
      </c>
      <c r="Z659" s="4">
        <v>15.605038123254401</v>
      </c>
      <c r="AA659" s="4">
        <v>15.9829471329575</v>
      </c>
      <c r="AB659" s="4">
        <f t="shared" si="43"/>
        <v>15.756248491000166</v>
      </c>
      <c r="AM659" s="2"/>
    </row>
    <row r="660" spans="2:39" x14ac:dyDescent="0.2">
      <c r="B660" s="4" t="s">
        <v>533</v>
      </c>
      <c r="C660" s="4">
        <v>16.073599999999999</v>
      </c>
      <c r="D660" s="4">
        <v>15.912699999999999</v>
      </c>
      <c r="E660" s="4">
        <v>15.8803</v>
      </c>
      <c r="F660" s="4">
        <f t="shared" si="40"/>
        <v>15.955533333333333</v>
      </c>
      <c r="I660" s="4" t="s">
        <v>2830</v>
      </c>
      <c r="J660" s="4">
        <v>16.168299999999999</v>
      </c>
      <c r="K660" s="4">
        <v>15.6982</v>
      </c>
      <c r="L660" s="4">
        <v>16.196999999999999</v>
      </c>
      <c r="M660" s="4">
        <f t="shared" si="41"/>
        <v>16.021166666666666</v>
      </c>
      <c r="Q660" s="43" t="s">
        <v>120</v>
      </c>
      <c r="R660" s="4">
        <v>15.988010119351401</v>
      </c>
      <c r="S660" s="4">
        <v>15.576682072261599</v>
      </c>
      <c r="T660" s="4">
        <v>15.569914558082701</v>
      </c>
      <c r="U660" s="4">
        <f t="shared" si="42"/>
        <v>15.7115355832319</v>
      </c>
      <c r="X660" s="43" t="s">
        <v>3063</v>
      </c>
      <c r="Y660" s="4">
        <v>15.5225067485768</v>
      </c>
      <c r="Z660" s="4">
        <v>15.916645382678199</v>
      </c>
      <c r="AA660" s="4">
        <v>15.815077435359999</v>
      </c>
      <c r="AB660" s="4">
        <f t="shared" si="43"/>
        <v>15.751409855538332</v>
      </c>
      <c r="AM660" s="2"/>
    </row>
    <row r="661" spans="2:39" x14ac:dyDescent="0.2">
      <c r="B661" s="4" t="s">
        <v>3537</v>
      </c>
      <c r="C661" s="4">
        <v>16.037700000000001</v>
      </c>
      <c r="D661" s="4">
        <v>15.879099999999999</v>
      </c>
      <c r="E661" s="4">
        <v>15.938000000000001</v>
      </c>
      <c r="F661" s="4">
        <f t="shared" si="40"/>
        <v>15.951600000000001</v>
      </c>
      <c r="I661" s="4" t="s">
        <v>3033</v>
      </c>
      <c r="J661" s="4">
        <v>15.9741</v>
      </c>
      <c r="K661" s="4">
        <v>15.8302</v>
      </c>
      <c r="L661" s="4">
        <v>16.2422</v>
      </c>
      <c r="M661" s="4">
        <f t="shared" si="41"/>
        <v>16.015499999999999</v>
      </c>
      <c r="Q661" s="43" t="s">
        <v>1951</v>
      </c>
      <c r="R661" s="4">
        <v>15.5348279045617</v>
      </c>
      <c r="S661" s="4">
        <v>15.7703452704255</v>
      </c>
      <c r="T661" s="4">
        <v>15.828894118937599</v>
      </c>
      <c r="U661" s="4">
        <f t="shared" si="42"/>
        <v>15.711355764641601</v>
      </c>
      <c r="X661" s="43" t="s">
        <v>2795</v>
      </c>
      <c r="Y661" s="4">
        <v>15.786183864255401</v>
      </c>
      <c r="Z661" s="4">
        <v>15.777003925635199</v>
      </c>
      <c r="AA661" s="4">
        <v>15.6881423536953</v>
      </c>
      <c r="AB661" s="4">
        <f t="shared" si="43"/>
        <v>15.750443381195298</v>
      </c>
      <c r="AM661" s="2"/>
    </row>
    <row r="662" spans="2:39" x14ac:dyDescent="0.2">
      <c r="B662" s="4" t="s">
        <v>649</v>
      </c>
      <c r="C662" s="4">
        <v>15.5016</v>
      </c>
      <c r="D662" s="4">
        <v>15.742800000000001</v>
      </c>
      <c r="E662" s="4">
        <v>16.602900000000002</v>
      </c>
      <c r="F662" s="4">
        <f t="shared" si="40"/>
        <v>15.949100000000001</v>
      </c>
      <c r="I662" s="4" t="s">
        <v>1053</v>
      </c>
      <c r="J662" s="4">
        <v>15.773</v>
      </c>
      <c r="K662" s="4">
        <v>16.283999999999999</v>
      </c>
      <c r="L662" s="4">
        <v>15.961</v>
      </c>
      <c r="M662" s="4">
        <f t="shared" si="41"/>
        <v>16.006</v>
      </c>
      <c r="Q662" s="43" t="s">
        <v>1244</v>
      </c>
      <c r="R662" s="4">
        <v>15.797717348699001</v>
      </c>
      <c r="S662" s="4">
        <v>15.723156948721799</v>
      </c>
      <c r="T662" s="4">
        <v>15.610117677781</v>
      </c>
      <c r="U662" s="4">
        <f t="shared" si="42"/>
        <v>15.710330658400601</v>
      </c>
      <c r="X662" s="43" t="s">
        <v>1947</v>
      </c>
      <c r="Y662" s="4">
        <v>15.726403087715999</v>
      </c>
      <c r="Z662" s="4">
        <v>15.733601033227901</v>
      </c>
      <c r="AA662" s="4">
        <v>15.776792773498199</v>
      </c>
      <c r="AB662" s="4">
        <f t="shared" si="43"/>
        <v>15.745598964814034</v>
      </c>
      <c r="AM662" s="2"/>
    </row>
    <row r="663" spans="2:39" x14ac:dyDescent="0.2">
      <c r="B663" s="4" t="s">
        <v>572</v>
      </c>
      <c r="C663" s="4">
        <v>16.267600000000002</v>
      </c>
      <c r="D663" s="4">
        <v>15.9162</v>
      </c>
      <c r="E663" s="4">
        <v>15.6557</v>
      </c>
      <c r="F663" s="4">
        <f t="shared" si="40"/>
        <v>15.9465</v>
      </c>
      <c r="I663" s="4" t="s">
        <v>211</v>
      </c>
      <c r="J663" s="4">
        <v>16.134899999999998</v>
      </c>
      <c r="K663" s="4">
        <v>15.9674</v>
      </c>
      <c r="L663" s="4">
        <v>15.911099999999999</v>
      </c>
      <c r="M663" s="4">
        <f t="shared" si="41"/>
        <v>16.004466666666666</v>
      </c>
      <c r="Q663" s="43" t="s">
        <v>3973</v>
      </c>
      <c r="R663" s="4">
        <v>15.746129546363299</v>
      </c>
      <c r="S663" s="4">
        <v>15.764782915714299</v>
      </c>
      <c r="T663" s="4">
        <v>15.616777971219401</v>
      </c>
      <c r="U663" s="4">
        <f t="shared" si="42"/>
        <v>15.709230144432333</v>
      </c>
      <c r="X663" s="43" t="s">
        <v>885</v>
      </c>
      <c r="Y663" s="4">
        <v>15.6966188101954</v>
      </c>
      <c r="Z663" s="4">
        <v>15.813191379776001</v>
      </c>
      <c r="AA663" s="4">
        <v>15.7152029466292</v>
      </c>
      <c r="AB663" s="4">
        <f t="shared" si="43"/>
        <v>15.741671045533534</v>
      </c>
      <c r="AM663" s="2"/>
    </row>
    <row r="664" spans="2:39" x14ac:dyDescent="0.2">
      <c r="B664" s="4" t="s">
        <v>1351</v>
      </c>
      <c r="C664" s="4">
        <v>15.792999999999999</v>
      </c>
      <c r="D664" s="4">
        <v>16.229099999999999</v>
      </c>
      <c r="E664" s="4">
        <v>15.803800000000001</v>
      </c>
      <c r="F664" s="4">
        <f t="shared" si="40"/>
        <v>15.941966666666666</v>
      </c>
      <c r="I664" s="4" t="s">
        <v>518</v>
      </c>
      <c r="J664" s="4">
        <v>15.7967</v>
      </c>
      <c r="K664" s="4">
        <v>16.468800000000002</v>
      </c>
      <c r="L664" s="4">
        <v>15.745699999999999</v>
      </c>
      <c r="M664" s="4">
        <f t="shared" si="41"/>
        <v>16.003733333333333</v>
      </c>
      <c r="Q664" s="43" t="s">
        <v>2213</v>
      </c>
      <c r="R664" s="4">
        <v>15.6600911222785</v>
      </c>
      <c r="S664" s="4">
        <v>15.57173407773</v>
      </c>
      <c r="T664" s="4">
        <v>15.8838303549814</v>
      </c>
      <c r="U664" s="4">
        <f t="shared" si="42"/>
        <v>15.705218518329966</v>
      </c>
      <c r="X664" s="43" t="s">
        <v>2109</v>
      </c>
      <c r="Y664" s="4">
        <v>15.95773681835</v>
      </c>
      <c r="Z664" s="4">
        <v>15.5478192574228</v>
      </c>
      <c r="AA664" s="4">
        <v>15.7110647310767</v>
      </c>
      <c r="AB664" s="4">
        <f t="shared" si="43"/>
        <v>15.738873602283169</v>
      </c>
      <c r="AM664" s="2"/>
    </row>
    <row r="665" spans="2:39" x14ac:dyDescent="0.2">
      <c r="B665" s="4" t="s">
        <v>1259</v>
      </c>
      <c r="C665" s="4">
        <v>16.132100000000001</v>
      </c>
      <c r="D665" s="4">
        <v>15.994999999999999</v>
      </c>
      <c r="E665" s="4">
        <v>15.693099999999999</v>
      </c>
      <c r="F665" s="4">
        <f t="shared" si="40"/>
        <v>15.940066666666667</v>
      </c>
      <c r="I665" s="4" t="s">
        <v>2875</v>
      </c>
      <c r="J665" s="4">
        <v>15.8079</v>
      </c>
      <c r="K665" s="4">
        <v>16.227799999999998</v>
      </c>
      <c r="L665" s="4">
        <v>15.9657</v>
      </c>
      <c r="M665" s="4">
        <f t="shared" si="41"/>
        <v>16.000466666666664</v>
      </c>
      <c r="Q665" s="43" t="s">
        <v>1319</v>
      </c>
      <c r="R665" s="4">
        <v>15.729357210781099</v>
      </c>
      <c r="S665" s="4">
        <v>15.5089518091927</v>
      </c>
      <c r="T665" s="4">
        <v>15.8761848950441</v>
      </c>
      <c r="U665" s="4">
        <f t="shared" si="42"/>
        <v>15.704831305005966</v>
      </c>
      <c r="X665" s="43" t="s">
        <v>786</v>
      </c>
      <c r="Y665" s="4">
        <v>15.652580677741</v>
      </c>
      <c r="Z665" s="4">
        <v>15.748331973061999</v>
      </c>
      <c r="AA665" s="4">
        <v>15.812081847479201</v>
      </c>
      <c r="AB665" s="4">
        <f t="shared" si="43"/>
        <v>15.737664832760734</v>
      </c>
      <c r="AM665" s="2"/>
    </row>
    <row r="666" spans="2:39" x14ac:dyDescent="0.2">
      <c r="B666" s="4" t="s">
        <v>1538</v>
      </c>
      <c r="C666" s="4">
        <v>14.8415</v>
      </c>
      <c r="D666" s="4">
        <v>15.6525</v>
      </c>
      <c r="E666" s="4">
        <v>17.322700000000001</v>
      </c>
      <c r="F666" s="4">
        <f t="shared" si="40"/>
        <v>15.938899999999999</v>
      </c>
      <c r="I666" s="4" t="s">
        <v>3100</v>
      </c>
      <c r="J666" s="4">
        <v>16.281300000000002</v>
      </c>
      <c r="K666" s="4">
        <v>15.5311</v>
      </c>
      <c r="L666" s="4">
        <v>16.183599999999998</v>
      </c>
      <c r="M666" s="4">
        <f t="shared" si="41"/>
        <v>15.998666666666667</v>
      </c>
      <c r="Q666" s="43" t="s">
        <v>1563</v>
      </c>
      <c r="R666" s="4">
        <v>15.732148350382101</v>
      </c>
      <c r="S666" s="4">
        <v>15.671787829914599</v>
      </c>
      <c r="T666" s="4">
        <v>15.700944596677701</v>
      </c>
      <c r="U666" s="4">
        <f t="shared" si="42"/>
        <v>15.701626925658132</v>
      </c>
      <c r="X666" s="43" t="s">
        <v>2953</v>
      </c>
      <c r="Y666" s="4">
        <v>15.6971246900889</v>
      </c>
      <c r="Z666" s="4">
        <v>15.873908994760299</v>
      </c>
      <c r="AA666" s="4">
        <v>15.6388483585255</v>
      </c>
      <c r="AB666" s="4">
        <f t="shared" si="43"/>
        <v>15.736627347791567</v>
      </c>
      <c r="AM666" s="2"/>
    </row>
    <row r="667" spans="2:39" x14ac:dyDescent="0.2">
      <c r="B667" s="4" t="s">
        <v>1701</v>
      </c>
      <c r="C667" s="4">
        <v>15.556800000000001</v>
      </c>
      <c r="D667" s="4">
        <v>16.026</v>
      </c>
      <c r="E667" s="4">
        <v>16.226199999999999</v>
      </c>
      <c r="F667" s="4">
        <f t="shared" si="40"/>
        <v>15.936333333333332</v>
      </c>
      <c r="I667" s="4" t="s">
        <v>504</v>
      </c>
      <c r="J667" s="4">
        <v>16.285</v>
      </c>
      <c r="K667" s="4">
        <v>15.484</v>
      </c>
      <c r="L667" s="4">
        <v>16.222799999999999</v>
      </c>
      <c r="M667" s="4">
        <f t="shared" si="41"/>
        <v>15.997266666666667</v>
      </c>
      <c r="Q667" s="43" t="s">
        <v>3787</v>
      </c>
      <c r="R667" s="4">
        <v>15.7403762933662</v>
      </c>
      <c r="S667" s="4">
        <v>15.735995604180401</v>
      </c>
      <c r="T667" s="4">
        <v>15.61956805933</v>
      </c>
      <c r="U667" s="4">
        <f t="shared" si="42"/>
        <v>15.698646652292199</v>
      </c>
      <c r="X667" s="43" t="s">
        <v>2015</v>
      </c>
      <c r="Y667" s="4">
        <v>15.7760265333142</v>
      </c>
      <c r="Z667" s="4">
        <v>15.6457108405257</v>
      </c>
      <c r="AA667" s="4">
        <v>15.7863940429772</v>
      </c>
      <c r="AB667" s="4">
        <f t="shared" si="43"/>
        <v>15.736043805605698</v>
      </c>
      <c r="AM667" s="2"/>
    </row>
    <row r="668" spans="2:39" x14ac:dyDescent="0.2">
      <c r="B668" s="4" t="s">
        <v>1854</v>
      </c>
      <c r="C668" s="4">
        <v>16.158200000000001</v>
      </c>
      <c r="D668" s="4">
        <v>15.922599999999999</v>
      </c>
      <c r="E668" s="4">
        <v>15.727399999999999</v>
      </c>
      <c r="F668" s="4">
        <f t="shared" si="40"/>
        <v>15.936066666666667</v>
      </c>
      <c r="I668" s="4" t="s">
        <v>2707</v>
      </c>
      <c r="J668" s="4">
        <v>16.256599999999999</v>
      </c>
      <c r="K668" s="4">
        <v>15.5501</v>
      </c>
      <c r="L668" s="4">
        <v>16.173100000000002</v>
      </c>
      <c r="M668" s="4">
        <f t="shared" si="41"/>
        <v>15.993266666666665</v>
      </c>
      <c r="Q668" s="43" t="s">
        <v>2626</v>
      </c>
      <c r="R668" s="4">
        <v>15.852995727450701</v>
      </c>
      <c r="S668" s="4">
        <v>15.671636180712101</v>
      </c>
      <c r="T668" s="4">
        <v>15.568009497872501</v>
      </c>
      <c r="U668" s="4">
        <f t="shared" si="42"/>
        <v>15.697547135345102</v>
      </c>
      <c r="X668" s="43" t="s">
        <v>3805</v>
      </c>
      <c r="Y668" s="4">
        <v>15.5838209495165</v>
      </c>
      <c r="Z668" s="4">
        <v>15.806794439790901</v>
      </c>
      <c r="AA668" s="4">
        <v>15.815881682621701</v>
      </c>
      <c r="AB668" s="4">
        <f t="shared" si="43"/>
        <v>15.735499023976367</v>
      </c>
      <c r="AM668" s="2"/>
    </row>
    <row r="669" spans="2:39" x14ac:dyDescent="0.2">
      <c r="B669" s="4" t="s">
        <v>46</v>
      </c>
      <c r="C669" s="4">
        <v>15.8954</v>
      </c>
      <c r="D669" s="4">
        <v>15.8871</v>
      </c>
      <c r="E669" s="4">
        <v>16.0166</v>
      </c>
      <c r="F669" s="4">
        <f t="shared" si="40"/>
        <v>15.933033333333332</v>
      </c>
      <c r="I669" s="4" t="s">
        <v>3429</v>
      </c>
      <c r="J669" s="4">
        <v>15.869300000000001</v>
      </c>
      <c r="K669" s="4">
        <v>16.969100000000001</v>
      </c>
      <c r="L669" s="4">
        <v>15.1325</v>
      </c>
      <c r="M669" s="4">
        <f t="shared" si="41"/>
        <v>15.9903</v>
      </c>
      <c r="Q669" s="43" t="s">
        <v>3268</v>
      </c>
      <c r="R669" s="4">
        <v>15.6831452511262</v>
      </c>
      <c r="S669" s="4">
        <v>15.7030226076094</v>
      </c>
      <c r="T669" s="4">
        <v>15.6954102593714</v>
      </c>
      <c r="U669" s="4">
        <f t="shared" si="42"/>
        <v>15.693859372702335</v>
      </c>
      <c r="X669" s="43" t="s">
        <v>2870</v>
      </c>
      <c r="Y669" s="4">
        <v>15.6670398212748</v>
      </c>
      <c r="Z669" s="4">
        <v>15.9618906005282</v>
      </c>
      <c r="AA669" s="4">
        <v>15.5555560729793</v>
      </c>
      <c r="AB669" s="4">
        <f t="shared" si="43"/>
        <v>15.728162164927433</v>
      </c>
      <c r="AM669" s="2"/>
    </row>
    <row r="670" spans="2:39" x14ac:dyDescent="0.2">
      <c r="B670" s="4" t="s">
        <v>1852</v>
      </c>
      <c r="C670" s="4">
        <v>16.282499999999999</v>
      </c>
      <c r="D670" s="4">
        <v>15.9978</v>
      </c>
      <c r="E670" s="4">
        <v>15.5114</v>
      </c>
      <c r="F670" s="4">
        <f t="shared" si="40"/>
        <v>15.930566666666666</v>
      </c>
      <c r="I670" s="4" t="s">
        <v>1351</v>
      </c>
      <c r="J670" s="4">
        <v>15.906599999999999</v>
      </c>
      <c r="K670" s="4">
        <v>16.260899999999999</v>
      </c>
      <c r="L670" s="4">
        <v>15.774100000000001</v>
      </c>
      <c r="M670" s="4">
        <f t="shared" si="41"/>
        <v>15.980533333333332</v>
      </c>
      <c r="Q670" s="43" t="s">
        <v>979</v>
      </c>
      <c r="R670" s="4">
        <v>15.2873572035179</v>
      </c>
      <c r="S670" s="4">
        <v>16.055887887990998</v>
      </c>
      <c r="T670" s="4">
        <v>15.736663514876399</v>
      </c>
      <c r="U670" s="4">
        <f t="shared" si="42"/>
        <v>15.693302868795099</v>
      </c>
      <c r="X670" s="43" t="s">
        <v>659</v>
      </c>
      <c r="Y670" s="4">
        <v>15.890147850801201</v>
      </c>
      <c r="Z670" s="4">
        <v>16.391479417082</v>
      </c>
      <c r="AA670" s="4">
        <v>14.874471031516901</v>
      </c>
      <c r="AB670" s="4">
        <f t="shared" si="43"/>
        <v>15.718699433133366</v>
      </c>
      <c r="AM670" s="2"/>
    </row>
    <row r="671" spans="2:39" x14ac:dyDescent="0.2">
      <c r="B671" s="4" t="s">
        <v>3858</v>
      </c>
      <c r="C671" s="4">
        <v>15.494999999999999</v>
      </c>
      <c r="D671" s="4">
        <v>16.063300000000002</v>
      </c>
      <c r="E671" s="4">
        <v>16.216200000000001</v>
      </c>
      <c r="F671" s="4">
        <f t="shared" si="40"/>
        <v>15.924833333333334</v>
      </c>
      <c r="I671" s="4" t="s">
        <v>3862</v>
      </c>
      <c r="J671" s="4">
        <v>16.057600000000001</v>
      </c>
      <c r="K671" s="4">
        <v>15.9421</v>
      </c>
      <c r="L671" s="4">
        <v>15.9346</v>
      </c>
      <c r="M671" s="4">
        <f t="shared" si="41"/>
        <v>15.9781</v>
      </c>
      <c r="Q671" s="43" t="s">
        <v>3805</v>
      </c>
      <c r="R671" s="4">
        <v>15.705954520491799</v>
      </c>
      <c r="S671" s="4">
        <v>15.619270425551001</v>
      </c>
      <c r="T671" s="4">
        <v>15.7534278576281</v>
      </c>
      <c r="U671" s="4">
        <f t="shared" si="42"/>
        <v>15.692884267890301</v>
      </c>
      <c r="X671" s="43" t="s">
        <v>2056</v>
      </c>
      <c r="Y671" s="4">
        <v>15.655179721836101</v>
      </c>
      <c r="Z671" s="4">
        <v>15.769197635369601</v>
      </c>
      <c r="AA671" s="4">
        <v>15.7280055283943</v>
      </c>
      <c r="AB671" s="4">
        <f t="shared" si="43"/>
        <v>15.717460961866665</v>
      </c>
      <c r="AM671" s="2"/>
    </row>
    <row r="672" spans="2:39" x14ac:dyDescent="0.2">
      <c r="B672" s="4" t="s">
        <v>2314</v>
      </c>
      <c r="C672" s="4">
        <v>15.972</v>
      </c>
      <c r="D672" s="4">
        <v>15.9656</v>
      </c>
      <c r="E672" s="4">
        <v>15.8177</v>
      </c>
      <c r="F672" s="4">
        <f t="shared" si="40"/>
        <v>15.918433333333333</v>
      </c>
      <c r="I672" s="4" t="s">
        <v>1349</v>
      </c>
      <c r="J672" s="4">
        <v>16.063800000000001</v>
      </c>
      <c r="K672" s="4">
        <v>15.768599999999999</v>
      </c>
      <c r="L672" s="4">
        <v>16.093</v>
      </c>
      <c r="M672" s="4">
        <f t="shared" si="41"/>
        <v>15.975133333333332</v>
      </c>
      <c r="Q672" s="43" t="s">
        <v>2216</v>
      </c>
      <c r="R672" s="4">
        <v>15.8428013793361</v>
      </c>
      <c r="S672" s="4">
        <v>15.6763315222094</v>
      </c>
      <c r="T672" s="4">
        <v>15.5495645852656</v>
      </c>
      <c r="U672" s="4">
        <f t="shared" si="42"/>
        <v>15.689565828937035</v>
      </c>
      <c r="X672" s="43" t="s">
        <v>1696</v>
      </c>
      <c r="Y672" s="4">
        <v>15.6592682024532</v>
      </c>
      <c r="Z672" s="4">
        <v>15.718162830769501</v>
      </c>
      <c r="AA672" s="4">
        <v>15.770654775180599</v>
      </c>
      <c r="AB672" s="4">
        <f t="shared" si="43"/>
        <v>15.716028602801098</v>
      </c>
      <c r="AM672" s="2"/>
    </row>
    <row r="673" spans="2:39" x14ac:dyDescent="0.2">
      <c r="B673" s="4" t="s">
        <v>3092</v>
      </c>
      <c r="C673" s="4">
        <v>15.4887</v>
      </c>
      <c r="D673" s="4">
        <v>15.967700000000001</v>
      </c>
      <c r="E673" s="4">
        <v>16.293500000000002</v>
      </c>
      <c r="F673" s="4">
        <f t="shared" si="40"/>
        <v>15.916633333333335</v>
      </c>
      <c r="I673" s="4" t="s">
        <v>2907</v>
      </c>
      <c r="J673" s="4">
        <v>16.144100000000002</v>
      </c>
      <c r="K673" s="4">
        <v>15.654199999999999</v>
      </c>
      <c r="L673" s="4">
        <v>16.124300000000002</v>
      </c>
      <c r="M673" s="4">
        <f t="shared" si="41"/>
        <v>15.974200000000002</v>
      </c>
      <c r="Q673" s="43" t="s">
        <v>440</v>
      </c>
      <c r="R673" s="4">
        <v>15.895485316638601</v>
      </c>
      <c r="S673" s="4">
        <v>15.553756404880099</v>
      </c>
      <c r="T673" s="4">
        <v>15.6193481031064</v>
      </c>
      <c r="U673" s="4">
        <f t="shared" si="42"/>
        <v>15.6895299415417</v>
      </c>
      <c r="X673" s="43" t="s">
        <v>1001</v>
      </c>
      <c r="Y673" s="4">
        <v>15.704491448256601</v>
      </c>
      <c r="Z673" s="4">
        <v>15.9062435165688</v>
      </c>
      <c r="AA673" s="4">
        <v>15.5299008102113</v>
      </c>
      <c r="AB673" s="4">
        <f t="shared" si="43"/>
        <v>15.713545258345567</v>
      </c>
      <c r="AM673" s="2"/>
    </row>
    <row r="674" spans="2:39" x14ac:dyDescent="0.2">
      <c r="B674" s="4" t="s">
        <v>3581</v>
      </c>
      <c r="C674" s="4">
        <v>16.025700000000001</v>
      </c>
      <c r="D674" s="4">
        <v>16.0228</v>
      </c>
      <c r="E674" s="4">
        <v>15.6989</v>
      </c>
      <c r="F674" s="4">
        <f t="shared" si="40"/>
        <v>15.915800000000003</v>
      </c>
      <c r="I674" s="4" t="s">
        <v>166</v>
      </c>
      <c r="J674" s="4">
        <v>15.9178</v>
      </c>
      <c r="K674" s="4">
        <v>16.2318</v>
      </c>
      <c r="L674" s="4">
        <v>15.738899999999999</v>
      </c>
      <c r="M674" s="4">
        <f t="shared" si="41"/>
        <v>15.962833333333334</v>
      </c>
      <c r="Q674" s="43" t="s">
        <v>2126</v>
      </c>
      <c r="R674" s="4">
        <v>15.852405767551099</v>
      </c>
      <c r="S674" s="4">
        <v>15.3652080673805</v>
      </c>
      <c r="T674" s="4">
        <v>15.848936087739499</v>
      </c>
      <c r="U674" s="4">
        <f t="shared" si="42"/>
        <v>15.6888499742237</v>
      </c>
      <c r="X674" s="43" t="s">
        <v>372</v>
      </c>
      <c r="Y674" s="4">
        <v>15.5992625116294</v>
      </c>
      <c r="Z674" s="4">
        <v>15.7298728446178</v>
      </c>
      <c r="AA674" s="4">
        <v>15.8045441600293</v>
      </c>
      <c r="AB674" s="4">
        <f t="shared" si="43"/>
        <v>15.7112265054255</v>
      </c>
      <c r="AM674" s="2"/>
    </row>
    <row r="675" spans="2:39" x14ac:dyDescent="0.2">
      <c r="B675" s="4" t="s">
        <v>7</v>
      </c>
      <c r="C675" s="4">
        <v>15.800599999999999</v>
      </c>
      <c r="D675" s="4">
        <v>15.664199999999999</v>
      </c>
      <c r="E675" s="4">
        <v>16.275700000000001</v>
      </c>
      <c r="F675" s="4">
        <f t="shared" si="40"/>
        <v>15.913499999999999</v>
      </c>
      <c r="I675" s="4" t="s">
        <v>1621</v>
      </c>
      <c r="J675" s="4">
        <v>16.194800000000001</v>
      </c>
      <c r="K675" s="4">
        <v>15.520099999999999</v>
      </c>
      <c r="L675" s="4">
        <v>16.170100000000001</v>
      </c>
      <c r="M675" s="4">
        <f t="shared" si="41"/>
        <v>15.961666666666668</v>
      </c>
      <c r="Q675" s="43" t="s">
        <v>133</v>
      </c>
      <c r="R675" s="4">
        <v>15.284778558657701</v>
      </c>
      <c r="S675" s="4">
        <v>15.8599631564596</v>
      </c>
      <c r="T675" s="4">
        <v>15.9183084146837</v>
      </c>
      <c r="U675" s="4">
        <f t="shared" si="42"/>
        <v>15.687683376600333</v>
      </c>
      <c r="X675" s="43" t="s">
        <v>1686</v>
      </c>
      <c r="Y675" s="4">
        <v>15.6777554825886</v>
      </c>
      <c r="Z675" s="4">
        <v>15.829620664828299</v>
      </c>
      <c r="AA675" s="4">
        <v>15.602898310626699</v>
      </c>
      <c r="AB675" s="4">
        <f t="shared" si="43"/>
        <v>15.703424819347866</v>
      </c>
      <c r="AM675" s="2"/>
    </row>
    <row r="676" spans="2:39" x14ac:dyDescent="0.2">
      <c r="B676" s="4" t="s">
        <v>691</v>
      </c>
      <c r="C676" s="4">
        <v>16.39</v>
      </c>
      <c r="D676" s="4">
        <v>15.707599999999999</v>
      </c>
      <c r="E676" s="4">
        <v>15.639900000000001</v>
      </c>
      <c r="F676" s="4">
        <f t="shared" si="40"/>
        <v>15.9125</v>
      </c>
      <c r="I676" s="4" t="s">
        <v>3052</v>
      </c>
      <c r="J676" s="4">
        <v>16.1157</v>
      </c>
      <c r="K676" s="4">
        <v>15.558999999999999</v>
      </c>
      <c r="L676" s="4">
        <v>16.197800000000001</v>
      </c>
      <c r="M676" s="4">
        <f t="shared" si="41"/>
        <v>15.957500000000001</v>
      </c>
      <c r="Q676" s="43" t="s">
        <v>3491</v>
      </c>
      <c r="R676" s="4">
        <v>15.8467612997499</v>
      </c>
      <c r="S676" s="4">
        <v>15.825209440102601</v>
      </c>
      <c r="T676" s="4">
        <v>15.3880359119548</v>
      </c>
      <c r="U676" s="4">
        <f t="shared" si="42"/>
        <v>15.686668883935766</v>
      </c>
      <c r="X676" s="43" t="s">
        <v>1025</v>
      </c>
      <c r="Y676" s="4">
        <v>15.8153075912542</v>
      </c>
      <c r="Z676" s="4">
        <v>15.5122599965022</v>
      </c>
      <c r="AA676" s="4">
        <v>15.773371569653699</v>
      </c>
      <c r="AB676" s="4">
        <f t="shared" si="43"/>
        <v>15.700313052470031</v>
      </c>
      <c r="AM676" s="2"/>
    </row>
    <row r="677" spans="2:39" x14ac:dyDescent="0.2">
      <c r="B677" s="4" t="s">
        <v>1468</v>
      </c>
      <c r="C677" s="4">
        <v>16.020299999999999</v>
      </c>
      <c r="D677" s="4">
        <v>15.7043</v>
      </c>
      <c r="E677" s="4">
        <v>16.003399999999999</v>
      </c>
      <c r="F677" s="4">
        <f t="shared" si="40"/>
        <v>15.909333333333331</v>
      </c>
      <c r="I677" s="4" t="s">
        <v>1842</v>
      </c>
      <c r="J677" s="4">
        <v>15.7836</v>
      </c>
      <c r="K677" s="4">
        <v>15.9</v>
      </c>
      <c r="L677" s="4">
        <v>16.187200000000001</v>
      </c>
      <c r="M677" s="4">
        <f t="shared" si="41"/>
        <v>15.956933333333334</v>
      </c>
      <c r="Q677" s="43" t="s">
        <v>1948</v>
      </c>
      <c r="R677" s="4">
        <v>15.6420861207557</v>
      </c>
      <c r="S677" s="4">
        <v>15.8116725064025</v>
      </c>
      <c r="T677" s="4">
        <v>15.5963535989811</v>
      </c>
      <c r="U677" s="4">
        <f t="shared" si="42"/>
        <v>15.683370742046435</v>
      </c>
      <c r="X677" s="43" t="s">
        <v>2157</v>
      </c>
      <c r="Y677" s="4">
        <v>15.6508339779873</v>
      </c>
      <c r="Z677" s="4">
        <v>15.802772976123</v>
      </c>
      <c r="AA677" s="4">
        <v>15.6454318793411</v>
      </c>
      <c r="AB677" s="4">
        <f t="shared" si="43"/>
        <v>15.699679611150467</v>
      </c>
      <c r="AM677" s="2"/>
    </row>
    <row r="678" spans="2:39" x14ac:dyDescent="0.2">
      <c r="B678" s="4" t="s">
        <v>1957</v>
      </c>
      <c r="C678" s="4">
        <v>15.8127</v>
      </c>
      <c r="D678" s="4">
        <v>15.945600000000001</v>
      </c>
      <c r="E678" s="4">
        <v>15.944599999999999</v>
      </c>
      <c r="F678" s="4">
        <f t="shared" si="40"/>
        <v>15.900966666666667</v>
      </c>
      <c r="I678" s="4" t="s">
        <v>3598</v>
      </c>
      <c r="J678" s="4">
        <v>15.973800000000001</v>
      </c>
      <c r="K678" s="4">
        <v>15.9594</v>
      </c>
      <c r="L678" s="4">
        <v>15.927</v>
      </c>
      <c r="M678" s="4">
        <f t="shared" si="41"/>
        <v>15.9534</v>
      </c>
      <c r="Q678" s="43" t="s">
        <v>284</v>
      </c>
      <c r="R678" s="4">
        <v>15.7174628350962</v>
      </c>
      <c r="S678" s="4">
        <v>15.502226597273699</v>
      </c>
      <c r="T678" s="4">
        <v>15.8253944980796</v>
      </c>
      <c r="U678" s="4">
        <f t="shared" si="42"/>
        <v>15.681694643483164</v>
      </c>
      <c r="X678" s="43" t="s">
        <v>3911</v>
      </c>
      <c r="Y678" s="4">
        <v>15.820317667251</v>
      </c>
      <c r="Z678" s="4">
        <v>15.8183924822614</v>
      </c>
      <c r="AA678" s="4">
        <v>15.4496376591082</v>
      </c>
      <c r="AB678" s="4">
        <f t="shared" si="43"/>
        <v>15.696115936206866</v>
      </c>
      <c r="AM678" s="2"/>
    </row>
    <row r="679" spans="2:39" x14ac:dyDescent="0.2">
      <c r="B679" s="4" t="s">
        <v>2376</v>
      </c>
      <c r="C679" s="4">
        <v>15.415800000000001</v>
      </c>
      <c r="D679" s="4">
        <v>15.683999999999999</v>
      </c>
      <c r="E679" s="4">
        <v>16.584900000000001</v>
      </c>
      <c r="F679" s="4">
        <f t="shared" si="40"/>
        <v>15.894900000000002</v>
      </c>
      <c r="I679" s="4" t="s">
        <v>3553</v>
      </c>
      <c r="J679" s="4">
        <v>15.988200000000001</v>
      </c>
      <c r="K679" s="4">
        <v>16.023700000000002</v>
      </c>
      <c r="L679" s="4">
        <v>15.8408</v>
      </c>
      <c r="M679" s="4">
        <f t="shared" si="41"/>
        <v>15.950900000000003</v>
      </c>
      <c r="Q679" s="43" t="s">
        <v>1695</v>
      </c>
      <c r="R679" s="4">
        <v>15.6050549508444</v>
      </c>
      <c r="S679" s="4">
        <v>15.6672595864874</v>
      </c>
      <c r="T679" s="4">
        <v>15.7622940003798</v>
      </c>
      <c r="U679" s="4">
        <f t="shared" si="42"/>
        <v>15.678202845903868</v>
      </c>
      <c r="X679" s="43" t="s">
        <v>430</v>
      </c>
      <c r="Y679" s="4">
        <v>15.701715273120501</v>
      </c>
      <c r="Z679" s="4">
        <v>15.842731000499899</v>
      </c>
      <c r="AA679" s="4">
        <v>15.5383152082471</v>
      </c>
      <c r="AB679" s="4">
        <f t="shared" si="43"/>
        <v>15.694253827289167</v>
      </c>
      <c r="AM679" s="2"/>
    </row>
    <row r="680" spans="2:39" x14ac:dyDescent="0.2">
      <c r="B680" s="4" t="s">
        <v>3769</v>
      </c>
      <c r="C680" s="4">
        <v>15.6747</v>
      </c>
      <c r="D680" s="4">
        <v>16.0764</v>
      </c>
      <c r="E680" s="4">
        <v>15.922800000000001</v>
      </c>
      <c r="F680" s="4">
        <f t="shared" si="40"/>
        <v>15.891300000000001</v>
      </c>
      <c r="I680" s="4" t="s">
        <v>2408</v>
      </c>
      <c r="J680" s="4">
        <v>15.774800000000001</v>
      </c>
      <c r="K680" s="4">
        <v>15.6806</v>
      </c>
      <c r="L680" s="4">
        <v>16.3931</v>
      </c>
      <c r="M680" s="4">
        <f t="shared" si="41"/>
        <v>15.9495</v>
      </c>
      <c r="Q680" s="43" t="s">
        <v>1947</v>
      </c>
      <c r="R680" s="4">
        <v>15.5933007850336</v>
      </c>
      <c r="S680" s="4">
        <v>15.629290467163401</v>
      </c>
      <c r="T680" s="4">
        <v>15.808208494420899</v>
      </c>
      <c r="U680" s="4">
        <f t="shared" si="42"/>
        <v>15.676933248872635</v>
      </c>
      <c r="X680" s="43" t="s">
        <v>769</v>
      </c>
      <c r="Y680" s="4">
        <v>15.637907731157</v>
      </c>
      <c r="Z680" s="4">
        <v>15.3177121942044</v>
      </c>
      <c r="AA680" s="4">
        <v>16.119422042512198</v>
      </c>
      <c r="AB680" s="4">
        <f t="shared" si="43"/>
        <v>15.691680655957867</v>
      </c>
      <c r="AM680" s="2"/>
    </row>
    <row r="681" spans="2:39" x14ac:dyDescent="0.2">
      <c r="B681" s="4" t="s">
        <v>293</v>
      </c>
      <c r="C681" s="4">
        <v>15.713800000000001</v>
      </c>
      <c r="D681" s="4">
        <v>15.896000000000001</v>
      </c>
      <c r="E681" s="4">
        <v>16.052499999999998</v>
      </c>
      <c r="F681" s="4">
        <f t="shared" si="40"/>
        <v>15.887433333333334</v>
      </c>
      <c r="I681" s="4" t="s">
        <v>891</v>
      </c>
      <c r="J681" s="4">
        <v>16.082100000000001</v>
      </c>
      <c r="K681" s="4">
        <v>15.894500000000001</v>
      </c>
      <c r="L681" s="4">
        <v>15.866199999999999</v>
      </c>
      <c r="M681" s="4">
        <f t="shared" si="41"/>
        <v>15.9476</v>
      </c>
      <c r="Q681" s="43" t="s">
        <v>3530</v>
      </c>
      <c r="R681" s="4">
        <v>15.740742978294399</v>
      </c>
      <c r="S681" s="4">
        <v>15.585737838523899</v>
      </c>
      <c r="T681" s="4">
        <v>15.6910033139552</v>
      </c>
      <c r="U681" s="4">
        <f t="shared" si="42"/>
        <v>15.672494710257832</v>
      </c>
      <c r="X681" s="43" t="s">
        <v>1158</v>
      </c>
      <c r="Y681" s="4">
        <v>15.7300066580933</v>
      </c>
      <c r="Z681" s="4">
        <v>15.7226740711628</v>
      </c>
      <c r="AA681" s="4">
        <v>15.6104543123343</v>
      </c>
      <c r="AB681" s="4">
        <f t="shared" si="43"/>
        <v>15.687711680530134</v>
      </c>
      <c r="AM681" s="2"/>
    </row>
    <row r="682" spans="2:39" x14ac:dyDescent="0.2">
      <c r="B682" s="4" t="s">
        <v>1334</v>
      </c>
      <c r="C682" s="4">
        <v>16.1219</v>
      </c>
      <c r="D682" s="4">
        <v>15.251799999999999</v>
      </c>
      <c r="E682" s="4">
        <v>16.288399999999999</v>
      </c>
      <c r="F682" s="4">
        <f t="shared" si="40"/>
        <v>15.887366666666665</v>
      </c>
      <c r="I682" s="4" t="s">
        <v>1431</v>
      </c>
      <c r="J682" s="4">
        <v>15.441800000000001</v>
      </c>
      <c r="K682" s="4">
        <v>16.8688</v>
      </c>
      <c r="L682" s="4">
        <v>15.505000000000001</v>
      </c>
      <c r="M682" s="4">
        <f t="shared" si="41"/>
        <v>15.938533333333334</v>
      </c>
      <c r="Q682" s="43" t="s">
        <v>2332</v>
      </c>
      <c r="R682" s="4">
        <v>15.800004106977299</v>
      </c>
      <c r="S682" s="4">
        <v>15.5480085155181</v>
      </c>
      <c r="T682" s="4">
        <v>15.6687609094461</v>
      </c>
      <c r="U682" s="4">
        <f t="shared" si="42"/>
        <v>15.672257843980498</v>
      </c>
      <c r="X682" s="43" t="s">
        <v>1328</v>
      </c>
      <c r="Y682" s="4">
        <v>15.707684251666601</v>
      </c>
      <c r="Z682" s="4">
        <v>15.6581462806018</v>
      </c>
      <c r="AA682" s="4">
        <v>15.687261799239099</v>
      </c>
      <c r="AB682" s="4">
        <f t="shared" si="43"/>
        <v>15.6843641105025</v>
      </c>
      <c r="AM682" s="2"/>
    </row>
    <row r="683" spans="2:39" x14ac:dyDescent="0.2">
      <c r="B683" s="4" t="s">
        <v>3221</v>
      </c>
      <c r="C683" s="4">
        <v>15.8604</v>
      </c>
      <c r="D683" s="4">
        <v>16.016300000000001</v>
      </c>
      <c r="E683" s="4">
        <v>15.776300000000001</v>
      </c>
      <c r="F683" s="4">
        <f t="shared" si="40"/>
        <v>15.884333333333332</v>
      </c>
      <c r="I683" s="4" t="s">
        <v>1256</v>
      </c>
      <c r="J683" s="4">
        <v>15.8459</v>
      </c>
      <c r="K683" s="4">
        <v>15.9947</v>
      </c>
      <c r="L683" s="4">
        <v>15.9641</v>
      </c>
      <c r="M683" s="4">
        <f t="shared" si="41"/>
        <v>15.934900000000001</v>
      </c>
      <c r="Q683" s="43" t="s">
        <v>3991</v>
      </c>
      <c r="R683" s="4">
        <v>15.861192936863601</v>
      </c>
      <c r="S683" s="4">
        <v>15.5146335822444</v>
      </c>
      <c r="T683" s="4">
        <v>15.6409430013363</v>
      </c>
      <c r="U683" s="4">
        <f t="shared" si="42"/>
        <v>15.672256506814767</v>
      </c>
      <c r="X683" s="43" t="s">
        <v>3201</v>
      </c>
      <c r="Y683" s="4">
        <v>15.773103490973</v>
      </c>
      <c r="Z683" s="4">
        <v>15.625573761940901</v>
      </c>
      <c r="AA683" s="4">
        <v>15.642345471227801</v>
      </c>
      <c r="AB683" s="4">
        <f t="shared" si="43"/>
        <v>15.680340908047233</v>
      </c>
      <c r="AM683" s="2"/>
    </row>
    <row r="684" spans="2:39" x14ac:dyDescent="0.2">
      <c r="B684" s="4" t="s">
        <v>2827</v>
      </c>
      <c r="C684" s="4">
        <v>16.120200000000001</v>
      </c>
      <c r="D684" s="4">
        <v>16.145</v>
      </c>
      <c r="E684" s="4">
        <v>15.382199999999999</v>
      </c>
      <c r="F684" s="4">
        <f t="shared" si="40"/>
        <v>15.882466666666666</v>
      </c>
      <c r="I684" s="4" t="s">
        <v>3830</v>
      </c>
      <c r="J684" s="4">
        <v>15.881600000000001</v>
      </c>
      <c r="K684" s="4">
        <v>15.8919</v>
      </c>
      <c r="L684" s="4">
        <v>16.027799999999999</v>
      </c>
      <c r="M684" s="4">
        <f t="shared" si="41"/>
        <v>15.933766666666665</v>
      </c>
      <c r="Q684" s="43" t="s">
        <v>1066</v>
      </c>
      <c r="R684" s="4">
        <v>15.8695026063026</v>
      </c>
      <c r="S684" s="4">
        <v>15.2511656510428</v>
      </c>
      <c r="T684" s="4">
        <v>15.8850045068406</v>
      </c>
      <c r="U684" s="4">
        <f t="shared" si="42"/>
        <v>15.668557588062001</v>
      </c>
      <c r="X684" s="43" t="s">
        <v>1166</v>
      </c>
      <c r="Y684" s="4">
        <v>15.696964331564701</v>
      </c>
      <c r="Z684" s="4">
        <v>15.678009137487299</v>
      </c>
      <c r="AA684" s="4">
        <v>15.658397264914999</v>
      </c>
      <c r="AB684" s="4">
        <f t="shared" si="43"/>
        <v>15.677790244655668</v>
      </c>
      <c r="AM684" s="2"/>
    </row>
    <row r="685" spans="2:39" x14ac:dyDescent="0.2">
      <c r="B685" s="4" t="s">
        <v>524</v>
      </c>
      <c r="C685" s="4">
        <v>15.488300000000001</v>
      </c>
      <c r="D685" s="4">
        <v>15.7142</v>
      </c>
      <c r="E685" s="4">
        <v>16.416699999999999</v>
      </c>
      <c r="F685" s="4">
        <f t="shared" si="40"/>
        <v>15.873066666666666</v>
      </c>
      <c r="I685" s="4" t="s">
        <v>71</v>
      </c>
      <c r="J685" s="4">
        <v>16.206800000000001</v>
      </c>
      <c r="K685" s="4">
        <v>15.303599999999999</v>
      </c>
      <c r="L685" s="4">
        <v>16.273399999999999</v>
      </c>
      <c r="M685" s="4">
        <f t="shared" si="41"/>
        <v>15.927933333333334</v>
      </c>
      <c r="Q685" s="43" t="s">
        <v>2741</v>
      </c>
      <c r="R685" s="4">
        <v>15.8959500997302</v>
      </c>
      <c r="S685" s="4">
        <v>15.581404747199301</v>
      </c>
      <c r="T685" s="4">
        <v>15.5174928713577</v>
      </c>
      <c r="U685" s="4">
        <f t="shared" si="42"/>
        <v>15.664949239429069</v>
      </c>
      <c r="X685" s="43" t="s">
        <v>3098</v>
      </c>
      <c r="Y685" s="4">
        <v>15.634490139415</v>
      </c>
      <c r="Z685" s="4">
        <v>15.876715636124899</v>
      </c>
      <c r="AA685" s="4">
        <v>15.519898307561499</v>
      </c>
      <c r="AB685" s="4">
        <f t="shared" si="43"/>
        <v>15.677034694367132</v>
      </c>
      <c r="AM685" s="2"/>
    </row>
    <row r="686" spans="2:39" x14ac:dyDescent="0.2">
      <c r="B686" s="4" t="s">
        <v>1615</v>
      </c>
      <c r="C686" s="4">
        <v>16.2026</v>
      </c>
      <c r="D686" s="4">
        <v>15.78</v>
      </c>
      <c r="E686" s="4">
        <v>15.6258</v>
      </c>
      <c r="F686" s="4">
        <f t="shared" si="40"/>
        <v>15.869466666666666</v>
      </c>
      <c r="I686" s="4" t="s">
        <v>797</v>
      </c>
      <c r="J686" s="4">
        <v>15.5867</v>
      </c>
      <c r="K686" s="4">
        <v>16.846299999999999</v>
      </c>
      <c r="L686" s="4">
        <v>15.3428</v>
      </c>
      <c r="M686" s="4">
        <f t="shared" si="41"/>
        <v>15.925266666666667</v>
      </c>
      <c r="Q686" s="43" t="s">
        <v>2836</v>
      </c>
      <c r="R686" s="4">
        <v>15.755939183639899</v>
      </c>
      <c r="S686" s="4">
        <v>15.5154212647824</v>
      </c>
      <c r="T686" s="4">
        <v>15.7206518067216</v>
      </c>
      <c r="U686" s="4">
        <f t="shared" si="42"/>
        <v>15.664004085047965</v>
      </c>
      <c r="X686" s="43" t="s">
        <v>1302</v>
      </c>
      <c r="Y686" s="4">
        <v>15.675774406327999</v>
      </c>
      <c r="Z686" s="4">
        <v>15.744885473818099</v>
      </c>
      <c r="AA686" s="4">
        <v>15.6064778518002</v>
      </c>
      <c r="AB686" s="4">
        <f t="shared" si="43"/>
        <v>15.675712577315432</v>
      </c>
      <c r="AM686" s="2"/>
    </row>
    <row r="687" spans="2:39" x14ac:dyDescent="0.2">
      <c r="B687" s="4" t="s">
        <v>3739</v>
      </c>
      <c r="C687" s="4">
        <v>15.6472</v>
      </c>
      <c r="D687" s="4">
        <v>16.076799999999999</v>
      </c>
      <c r="E687" s="4">
        <v>15.8805</v>
      </c>
      <c r="F687" s="4">
        <f t="shared" si="40"/>
        <v>15.868166666666665</v>
      </c>
      <c r="I687" s="4" t="s">
        <v>6</v>
      </c>
      <c r="J687" s="4">
        <v>15.951499999999999</v>
      </c>
      <c r="K687" s="4">
        <v>15.6655</v>
      </c>
      <c r="L687" s="4">
        <v>16.1448</v>
      </c>
      <c r="M687" s="4">
        <f t="shared" si="41"/>
        <v>15.920599999999999</v>
      </c>
      <c r="Q687" s="43" t="s">
        <v>1269</v>
      </c>
      <c r="R687" s="4">
        <v>15.655056926028999</v>
      </c>
      <c r="S687" s="4">
        <v>15.706547499843399</v>
      </c>
      <c r="T687" s="4">
        <v>15.625575766575899</v>
      </c>
      <c r="U687" s="4">
        <f t="shared" si="42"/>
        <v>15.662393397482766</v>
      </c>
      <c r="X687" s="43" t="s">
        <v>2711</v>
      </c>
      <c r="Y687" s="4">
        <v>15.6040150815298</v>
      </c>
      <c r="Z687" s="4">
        <v>15.7819817340947</v>
      </c>
      <c r="AA687" s="4">
        <v>15.639594292492299</v>
      </c>
      <c r="AB687" s="4">
        <f t="shared" si="43"/>
        <v>15.675197036038933</v>
      </c>
      <c r="AM687" s="2"/>
    </row>
    <row r="688" spans="2:39" x14ac:dyDescent="0.2">
      <c r="B688" s="4" t="s">
        <v>3572</v>
      </c>
      <c r="C688" s="4">
        <v>15.682399999999999</v>
      </c>
      <c r="D688" s="4">
        <v>15.6508</v>
      </c>
      <c r="E688" s="4">
        <v>16.269600000000001</v>
      </c>
      <c r="F688" s="4">
        <f t="shared" si="40"/>
        <v>15.867600000000001</v>
      </c>
      <c r="I688" s="4" t="s">
        <v>2150</v>
      </c>
      <c r="J688" s="4">
        <v>16.079799999999999</v>
      </c>
      <c r="K688" s="4">
        <v>15.561999999999999</v>
      </c>
      <c r="L688" s="4">
        <v>16.119199999999999</v>
      </c>
      <c r="M688" s="4">
        <f t="shared" si="41"/>
        <v>15.920333333333332</v>
      </c>
      <c r="Q688" s="43" t="s">
        <v>355</v>
      </c>
      <c r="R688" s="4">
        <v>15.7098905975642</v>
      </c>
      <c r="S688" s="4">
        <v>15.6128503247891</v>
      </c>
      <c r="T688" s="4">
        <v>15.610948207793699</v>
      </c>
      <c r="U688" s="4">
        <f t="shared" si="42"/>
        <v>15.644563043382334</v>
      </c>
      <c r="X688" s="43" t="s">
        <v>3650</v>
      </c>
      <c r="Y688" s="4">
        <v>15.606053123726699</v>
      </c>
      <c r="Z688" s="4">
        <v>15.803365483244701</v>
      </c>
      <c r="AA688" s="4">
        <v>15.6054765834711</v>
      </c>
      <c r="AB688" s="4">
        <f t="shared" si="43"/>
        <v>15.671631730147501</v>
      </c>
      <c r="AM688" s="2"/>
    </row>
    <row r="689" spans="2:39" x14ac:dyDescent="0.2">
      <c r="B689" s="4" t="s">
        <v>2930</v>
      </c>
      <c r="C689" s="4">
        <v>15.985799999999999</v>
      </c>
      <c r="D689" s="4">
        <v>15.963800000000001</v>
      </c>
      <c r="E689" s="4">
        <v>15.6289</v>
      </c>
      <c r="F689" s="4">
        <f t="shared" si="40"/>
        <v>15.859499999999999</v>
      </c>
      <c r="I689" s="4" t="s">
        <v>91</v>
      </c>
      <c r="J689" s="4">
        <v>15.823700000000001</v>
      </c>
      <c r="K689" s="4">
        <v>15.8689</v>
      </c>
      <c r="L689" s="4">
        <v>16.061699999999998</v>
      </c>
      <c r="M689" s="4">
        <f t="shared" si="41"/>
        <v>15.918100000000001</v>
      </c>
      <c r="Q689" s="43" t="s">
        <v>3761</v>
      </c>
      <c r="R689" s="4">
        <v>16.0120341591395</v>
      </c>
      <c r="S689" s="4">
        <v>15.397829224441301</v>
      </c>
      <c r="T689" s="4">
        <v>15.5225324885524</v>
      </c>
      <c r="U689" s="4">
        <f t="shared" si="42"/>
        <v>15.644131957377732</v>
      </c>
      <c r="X689" s="43" t="s">
        <v>3268</v>
      </c>
      <c r="Y689" s="4">
        <v>15.645975992049101</v>
      </c>
      <c r="Z689" s="4">
        <v>15.794496747547599</v>
      </c>
      <c r="AA689" s="4">
        <v>15.5743802216356</v>
      </c>
      <c r="AB689" s="4">
        <f t="shared" si="43"/>
        <v>15.6716176537441</v>
      </c>
      <c r="AM689" s="2"/>
    </row>
    <row r="690" spans="2:39" x14ac:dyDescent="0.2">
      <c r="B690" s="4" t="s">
        <v>2126</v>
      </c>
      <c r="C690" s="4">
        <v>15.9495</v>
      </c>
      <c r="D690" s="4">
        <v>15.948</v>
      </c>
      <c r="E690" s="4">
        <v>15.6798</v>
      </c>
      <c r="F690" s="4">
        <f t="shared" si="40"/>
        <v>15.8591</v>
      </c>
      <c r="I690" s="4" t="s">
        <v>2528</v>
      </c>
      <c r="J690" s="4">
        <v>15.920400000000001</v>
      </c>
      <c r="K690" s="4">
        <v>16.099599999999999</v>
      </c>
      <c r="L690" s="4">
        <v>15.726599999999999</v>
      </c>
      <c r="M690" s="4">
        <f t="shared" si="41"/>
        <v>15.915533333333331</v>
      </c>
      <c r="Q690" s="43" t="s">
        <v>2711</v>
      </c>
      <c r="R690" s="4">
        <v>15.6727259247881</v>
      </c>
      <c r="S690" s="4">
        <v>15.52165049373</v>
      </c>
      <c r="T690" s="4">
        <v>15.730175609358801</v>
      </c>
      <c r="U690" s="4">
        <f t="shared" si="42"/>
        <v>15.641517342625633</v>
      </c>
      <c r="X690" s="43" t="s">
        <v>1724</v>
      </c>
      <c r="Y690" s="4">
        <v>15.617078908808599</v>
      </c>
      <c r="Z690" s="4">
        <v>15.7923778772752</v>
      </c>
      <c r="AA690" s="4">
        <v>15.5998433055299</v>
      </c>
      <c r="AB690" s="4">
        <f t="shared" si="43"/>
        <v>15.669766697204567</v>
      </c>
      <c r="AM690" s="2"/>
    </row>
    <row r="691" spans="2:39" x14ac:dyDescent="0.2">
      <c r="B691" s="4" t="s">
        <v>1511</v>
      </c>
      <c r="C691" s="4">
        <v>15.3871</v>
      </c>
      <c r="D691" s="4">
        <v>15.176600000000001</v>
      </c>
      <c r="E691" s="4">
        <v>16.986799999999999</v>
      </c>
      <c r="F691" s="4">
        <f t="shared" si="40"/>
        <v>15.850166666666667</v>
      </c>
      <c r="I691" s="4" t="s">
        <v>227</v>
      </c>
      <c r="J691" s="4">
        <v>16.255500000000001</v>
      </c>
      <c r="K691" s="4">
        <v>15.5328</v>
      </c>
      <c r="L691" s="4">
        <v>15.9406</v>
      </c>
      <c r="M691" s="4">
        <f t="shared" si="41"/>
        <v>15.909633333333332</v>
      </c>
      <c r="Q691" s="43" t="s">
        <v>3478</v>
      </c>
      <c r="R691" s="4">
        <v>15.7211965837737</v>
      </c>
      <c r="S691" s="4">
        <v>15.479607716593801</v>
      </c>
      <c r="T691" s="4">
        <v>15.715420017902</v>
      </c>
      <c r="U691" s="4">
        <f t="shared" si="42"/>
        <v>15.638741439423166</v>
      </c>
      <c r="X691" s="43" t="s">
        <v>484</v>
      </c>
      <c r="Y691" s="4">
        <v>15.5193173143756</v>
      </c>
      <c r="Z691" s="4">
        <v>15.971237679222501</v>
      </c>
      <c r="AA691" s="4">
        <v>15.5152274445747</v>
      </c>
      <c r="AB691" s="4">
        <f t="shared" si="43"/>
        <v>15.6685941460576</v>
      </c>
      <c r="AM691" s="2"/>
    </row>
    <row r="692" spans="2:39" x14ac:dyDescent="0.2">
      <c r="B692" s="4" t="s">
        <v>2836</v>
      </c>
      <c r="C692" s="4">
        <v>15.770899999999999</v>
      </c>
      <c r="D692" s="4">
        <v>15.421799999999999</v>
      </c>
      <c r="E692" s="4">
        <v>16.355</v>
      </c>
      <c r="F692" s="4">
        <f t="shared" si="40"/>
        <v>15.849233333333332</v>
      </c>
      <c r="I692" s="4" t="s">
        <v>2716</v>
      </c>
      <c r="J692" s="4">
        <v>15.7262</v>
      </c>
      <c r="K692" s="4">
        <v>16.082100000000001</v>
      </c>
      <c r="L692" s="4">
        <v>15.917199999999999</v>
      </c>
      <c r="M692" s="4">
        <f t="shared" si="41"/>
        <v>15.908500000000002</v>
      </c>
      <c r="Q692" s="43" t="s">
        <v>3267</v>
      </c>
      <c r="R692" s="4">
        <v>15.5062246147819</v>
      </c>
      <c r="S692" s="4">
        <v>15.644303751445401</v>
      </c>
      <c r="T692" s="4">
        <v>15.732868096332799</v>
      </c>
      <c r="U692" s="4">
        <f t="shared" si="42"/>
        <v>15.627798820853366</v>
      </c>
      <c r="X692" s="43" t="s">
        <v>2659</v>
      </c>
      <c r="Y692" s="4">
        <v>15.5815139117448</v>
      </c>
      <c r="Z692" s="4">
        <v>15.681847349723199</v>
      </c>
      <c r="AA692" s="4">
        <v>15.7221075895367</v>
      </c>
      <c r="AB692" s="4">
        <f t="shared" si="43"/>
        <v>15.6618229503349</v>
      </c>
      <c r="AM692" s="2"/>
    </row>
    <row r="693" spans="2:39" x14ac:dyDescent="0.2">
      <c r="B693" s="4" t="s">
        <v>3877</v>
      </c>
      <c r="C693" s="4">
        <v>16.566099999999999</v>
      </c>
      <c r="D693" s="4">
        <v>15.468400000000001</v>
      </c>
      <c r="E693" s="4">
        <v>15.4985</v>
      </c>
      <c r="F693" s="4">
        <f t="shared" si="40"/>
        <v>15.844333333333333</v>
      </c>
      <c r="I693" s="4" t="s">
        <v>4011</v>
      </c>
      <c r="J693" s="4">
        <v>15.944100000000001</v>
      </c>
      <c r="K693" s="4">
        <v>15.9438</v>
      </c>
      <c r="L693" s="4">
        <v>15.8203</v>
      </c>
      <c r="M693" s="4">
        <f t="shared" si="41"/>
        <v>15.902733333333336</v>
      </c>
      <c r="Q693" s="43" t="s">
        <v>3322</v>
      </c>
      <c r="R693" s="4">
        <v>15.7480621602766</v>
      </c>
      <c r="S693" s="4">
        <v>15.4955626260864</v>
      </c>
      <c r="T693" s="4">
        <v>15.637694458493501</v>
      </c>
      <c r="U693" s="4">
        <f t="shared" si="42"/>
        <v>15.627106414952166</v>
      </c>
      <c r="X693" s="43" t="s">
        <v>1430</v>
      </c>
      <c r="Y693" s="4">
        <v>15.7205902371006</v>
      </c>
      <c r="Z693" s="4">
        <v>15.575316891198799</v>
      </c>
      <c r="AA693" s="4">
        <v>15.6868464498446</v>
      </c>
      <c r="AB693" s="4">
        <f t="shared" si="43"/>
        <v>15.660917859381334</v>
      </c>
      <c r="AM693" s="2"/>
    </row>
    <row r="694" spans="2:39" x14ac:dyDescent="0.2">
      <c r="B694" s="4" t="s">
        <v>3655</v>
      </c>
      <c r="C694" s="4">
        <v>16.2056</v>
      </c>
      <c r="D694" s="4">
        <v>15.843299999999999</v>
      </c>
      <c r="E694" s="4">
        <v>15.4726</v>
      </c>
      <c r="F694" s="4">
        <f t="shared" si="40"/>
        <v>15.8405</v>
      </c>
      <c r="I694" s="4" t="s">
        <v>1207</v>
      </c>
      <c r="J694" s="4">
        <v>15.6236</v>
      </c>
      <c r="K694" s="4">
        <v>16.589600000000001</v>
      </c>
      <c r="L694" s="4">
        <v>15.494899999999999</v>
      </c>
      <c r="M694" s="4">
        <f t="shared" si="41"/>
        <v>15.902700000000001</v>
      </c>
      <c r="Q694" s="43" t="s">
        <v>973</v>
      </c>
      <c r="R694" s="4">
        <v>15.6495797155007</v>
      </c>
      <c r="S694" s="4">
        <v>15.575569658614</v>
      </c>
      <c r="T694" s="4">
        <v>15.6451935970546</v>
      </c>
      <c r="U694" s="4">
        <f t="shared" si="42"/>
        <v>15.623447657056433</v>
      </c>
      <c r="X694" s="43" t="s">
        <v>1053</v>
      </c>
      <c r="Y694" s="4">
        <v>15.4808877856191</v>
      </c>
      <c r="Z694" s="4">
        <v>15.5780628148894</v>
      </c>
      <c r="AA694" s="4">
        <v>15.921436247214899</v>
      </c>
      <c r="AB694" s="4">
        <f t="shared" si="43"/>
        <v>15.660128949241132</v>
      </c>
      <c r="AM694" s="2"/>
    </row>
    <row r="695" spans="2:39" x14ac:dyDescent="0.2">
      <c r="B695" s="4" t="s">
        <v>2254</v>
      </c>
      <c r="C695" s="4">
        <v>16.189599999999999</v>
      </c>
      <c r="D695" s="4">
        <v>15.843400000000001</v>
      </c>
      <c r="E695" s="4">
        <v>15.486000000000001</v>
      </c>
      <c r="F695" s="4">
        <f t="shared" si="40"/>
        <v>15.839666666666668</v>
      </c>
      <c r="I695" s="4" t="s">
        <v>885</v>
      </c>
      <c r="J695" s="4">
        <v>16.109100000000002</v>
      </c>
      <c r="K695" s="4">
        <v>15.2326</v>
      </c>
      <c r="L695" s="4">
        <v>16.3569</v>
      </c>
      <c r="M695" s="4">
        <f t="shared" si="41"/>
        <v>15.899533333333332</v>
      </c>
      <c r="Q695" s="43" t="s">
        <v>1766</v>
      </c>
      <c r="R695" s="4">
        <v>15.9739335081976</v>
      </c>
      <c r="S695" s="4">
        <v>15.3209922165028</v>
      </c>
      <c r="T695" s="4">
        <v>15.547402496958499</v>
      </c>
      <c r="U695" s="4">
        <f t="shared" si="42"/>
        <v>15.614109407219631</v>
      </c>
      <c r="X695" s="43" t="s">
        <v>1020</v>
      </c>
      <c r="Y695" s="4">
        <v>15.633783633928999</v>
      </c>
      <c r="Z695" s="4">
        <v>15.608725341408199</v>
      </c>
      <c r="AA695" s="4">
        <v>15.737596114483701</v>
      </c>
      <c r="AB695" s="4">
        <f t="shared" si="43"/>
        <v>15.660035029940298</v>
      </c>
      <c r="AM695" s="2"/>
    </row>
    <row r="696" spans="2:39" x14ac:dyDescent="0.2">
      <c r="B696" s="4" t="s">
        <v>3034</v>
      </c>
      <c r="C696" s="4">
        <v>15.7879</v>
      </c>
      <c r="D696" s="4">
        <v>15.878</v>
      </c>
      <c r="E696" s="4">
        <v>15.8483</v>
      </c>
      <c r="F696" s="4">
        <f t="shared" si="40"/>
        <v>15.838066666666668</v>
      </c>
      <c r="I696" s="4" t="s">
        <v>3772</v>
      </c>
      <c r="J696" s="4">
        <v>15.919600000000001</v>
      </c>
      <c r="K696" s="4">
        <v>15.8752</v>
      </c>
      <c r="L696" s="4">
        <v>15.879300000000001</v>
      </c>
      <c r="M696" s="4">
        <f t="shared" si="41"/>
        <v>15.891366666666668</v>
      </c>
      <c r="Q696" s="43" t="s">
        <v>3209</v>
      </c>
      <c r="R696" s="4">
        <v>15.695081586486401</v>
      </c>
      <c r="S696" s="4">
        <v>15.5917778454808</v>
      </c>
      <c r="T696" s="4">
        <v>15.545929607382901</v>
      </c>
      <c r="U696" s="4">
        <f t="shared" si="42"/>
        <v>15.610929679783368</v>
      </c>
      <c r="X696" s="43" t="s">
        <v>2163</v>
      </c>
      <c r="Y696" s="4">
        <v>15.6115577170499</v>
      </c>
      <c r="Z696" s="4">
        <v>15.690060198202699</v>
      </c>
      <c r="AA696" s="4">
        <v>15.675271299810101</v>
      </c>
      <c r="AB696" s="4">
        <f t="shared" si="43"/>
        <v>15.658963071687566</v>
      </c>
      <c r="AM696" s="2"/>
    </row>
    <row r="697" spans="2:39" x14ac:dyDescent="0.2">
      <c r="B697" s="4" t="s">
        <v>2203</v>
      </c>
      <c r="C697" s="4">
        <v>15.9909</v>
      </c>
      <c r="D697" s="4">
        <v>15.827999999999999</v>
      </c>
      <c r="E697" s="4">
        <v>15.6951</v>
      </c>
      <c r="F697" s="4">
        <f t="shared" si="40"/>
        <v>15.837999999999999</v>
      </c>
      <c r="I697" s="4" t="s">
        <v>659</v>
      </c>
      <c r="J697" s="4">
        <v>15.6928</v>
      </c>
      <c r="K697" s="4">
        <v>16.366</v>
      </c>
      <c r="L697" s="4">
        <v>15.603400000000001</v>
      </c>
      <c r="M697" s="4">
        <f t="shared" si="41"/>
        <v>15.8874</v>
      </c>
      <c r="Q697" s="43" t="s">
        <v>2205</v>
      </c>
      <c r="R697" s="4">
        <v>15.4323646194403</v>
      </c>
      <c r="S697" s="4">
        <v>15.5814022417419</v>
      </c>
      <c r="T697" s="4">
        <v>15.815881062440299</v>
      </c>
      <c r="U697" s="4">
        <f t="shared" si="42"/>
        <v>15.609882641207498</v>
      </c>
      <c r="X697" s="43" t="s">
        <v>891</v>
      </c>
      <c r="Y697" s="4">
        <v>15.5946418754197</v>
      </c>
      <c r="Z697" s="4">
        <v>15.851692012291</v>
      </c>
      <c r="AA697" s="4">
        <v>15.5296046125492</v>
      </c>
      <c r="AB697" s="4">
        <f t="shared" si="43"/>
        <v>15.6586461667533</v>
      </c>
      <c r="AM697" s="2"/>
    </row>
    <row r="698" spans="2:39" x14ac:dyDescent="0.2">
      <c r="B698" s="4" t="s">
        <v>760</v>
      </c>
      <c r="C698" s="4">
        <v>15.4991</v>
      </c>
      <c r="D698" s="4">
        <v>16.059699999999999</v>
      </c>
      <c r="E698" s="4">
        <v>15.9498</v>
      </c>
      <c r="F698" s="4">
        <f t="shared" si="40"/>
        <v>15.8362</v>
      </c>
      <c r="I698" s="4" t="s">
        <v>2126</v>
      </c>
      <c r="J698" s="4">
        <v>15.8116</v>
      </c>
      <c r="K698" s="4">
        <v>15.9811</v>
      </c>
      <c r="L698" s="4">
        <v>15.868499999999999</v>
      </c>
      <c r="M698" s="4">
        <f t="shared" si="41"/>
        <v>15.887066666666668</v>
      </c>
      <c r="Q698" s="43" t="s">
        <v>372</v>
      </c>
      <c r="R698" s="4">
        <v>15.612679037351199</v>
      </c>
      <c r="S698" s="4">
        <v>15.468768141745601</v>
      </c>
      <c r="T698" s="4">
        <v>15.7434942342299</v>
      </c>
      <c r="U698" s="4">
        <f t="shared" si="42"/>
        <v>15.608313804442233</v>
      </c>
      <c r="X698" s="43" t="s">
        <v>3613</v>
      </c>
      <c r="Y698" s="4">
        <v>15.6845986955631</v>
      </c>
      <c r="Z698" s="4">
        <v>15.602654612647701</v>
      </c>
      <c r="AA698" s="4">
        <v>15.6860248095836</v>
      </c>
      <c r="AB698" s="4">
        <f t="shared" si="43"/>
        <v>15.657759372598134</v>
      </c>
      <c r="AM698" s="2"/>
    </row>
    <row r="699" spans="2:39" x14ac:dyDescent="0.2">
      <c r="B699" s="4" t="s">
        <v>2835</v>
      </c>
      <c r="C699" s="4">
        <v>15.8384</v>
      </c>
      <c r="D699" s="4">
        <v>15.861700000000001</v>
      </c>
      <c r="E699" s="4">
        <v>15.8043</v>
      </c>
      <c r="F699" s="4">
        <f t="shared" si="40"/>
        <v>15.8348</v>
      </c>
      <c r="I699" s="4" t="s">
        <v>2203</v>
      </c>
      <c r="J699" s="4">
        <v>16.022099999999998</v>
      </c>
      <c r="K699" s="4">
        <v>15.640499999999999</v>
      </c>
      <c r="L699" s="4">
        <v>15.9946</v>
      </c>
      <c r="M699" s="4">
        <f t="shared" si="41"/>
        <v>15.885733333333333</v>
      </c>
      <c r="Q699" s="43" t="s">
        <v>4031</v>
      </c>
      <c r="R699" s="4">
        <v>15.738660789333601</v>
      </c>
      <c r="S699" s="4">
        <v>15.467295524282299</v>
      </c>
      <c r="T699" s="4">
        <v>15.5838619219865</v>
      </c>
      <c r="U699" s="4">
        <f t="shared" si="42"/>
        <v>15.596606078534132</v>
      </c>
      <c r="X699" s="43" t="s">
        <v>3152</v>
      </c>
      <c r="Y699" s="4">
        <v>15.6342205808443</v>
      </c>
      <c r="Z699" s="4">
        <v>15.677320233529899</v>
      </c>
      <c r="AA699" s="4">
        <v>15.6576618314784</v>
      </c>
      <c r="AB699" s="4">
        <f t="shared" si="43"/>
        <v>15.656400881950866</v>
      </c>
      <c r="AM699" s="2"/>
    </row>
    <row r="700" spans="2:39" x14ac:dyDescent="0.2">
      <c r="B700" s="4" t="s">
        <v>1695</v>
      </c>
      <c r="C700" s="4">
        <v>15.8245</v>
      </c>
      <c r="D700" s="4">
        <v>15.8909</v>
      </c>
      <c r="E700" s="4">
        <v>15.786099999999999</v>
      </c>
      <c r="F700" s="4">
        <f t="shared" si="40"/>
        <v>15.833833333333333</v>
      </c>
      <c r="I700" s="4" t="s">
        <v>673</v>
      </c>
      <c r="J700" s="4">
        <v>15.9254</v>
      </c>
      <c r="K700" s="4">
        <v>15.996600000000001</v>
      </c>
      <c r="L700" s="4">
        <v>15.7334</v>
      </c>
      <c r="M700" s="4">
        <f t="shared" si="41"/>
        <v>15.885133333333334</v>
      </c>
      <c r="Q700" s="43" t="s">
        <v>2997</v>
      </c>
      <c r="R700" s="4">
        <v>15.7237494785408</v>
      </c>
      <c r="S700" s="4">
        <v>15.439236062374301</v>
      </c>
      <c r="T700" s="4">
        <v>15.614081835039601</v>
      </c>
      <c r="U700" s="4">
        <f t="shared" si="42"/>
        <v>15.5923557919849</v>
      </c>
      <c r="X700" s="43" t="s">
        <v>1375</v>
      </c>
      <c r="Y700" s="4">
        <v>15.6673964818928</v>
      </c>
      <c r="Z700" s="4">
        <v>15.664576671265401</v>
      </c>
      <c r="AA700" s="4">
        <v>15.6352380059644</v>
      </c>
      <c r="AB700" s="4">
        <f t="shared" si="43"/>
        <v>15.655737053040866</v>
      </c>
      <c r="AM700" s="2"/>
    </row>
    <row r="701" spans="2:39" x14ac:dyDescent="0.2">
      <c r="B701" s="4" t="s">
        <v>3442</v>
      </c>
      <c r="C701" s="4">
        <v>15.9428</v>
      </c>
      <c r="D701" s="4">
        <v>16.036999999999999</v>
      </c>
      <c r="E701" s="4">
        <v>15.5207</v>
      </c>
      <c r="F701" s="4">
        <f t="shared" si="40"/>
        <v>15.833499999999999</v>
      </c>
      <c r="I701" s="4" t="s">
        <v>1864</v>
      </c>
      <c r="J701" s="4">
        <v>16.061</v>
      </c>
      <c r="K701" s="4">
        <v>15.5434</v>
      </c>
      <c r="L701" s="4">
        <v>16.0471</v>
      </c>
      <c r="M701" s="4">
        <f t="shared" si="41"/>
        <v>15.883833333333333</v>
      </c>
      <c r="Q701" s="43" t="s">
        <v>1465</v>
      </c>
      <c r="R701" s="4">
        <v>15.84368459305</v>
      </c>
      <c r="S701" s="4">
        <v>15.4404021310161</v>
      </c>
      <c r="T701" s="4">
        <v>15.492899423932499</v>
      </c>
      <c r="U701" s="4">
        <f t="shared" si="42"/>
        <v>15.592328715999534</v>
      </c>
      <c r="X701" s="43" t="s">
        <v>63</v>
      </c>
      <c r="Y701" s="4">
        <v>15.7439943826166</v>
      </c>
      <c r="Z701" s="4">
        <v>15.7487406984724</v>
      </c>
      <c r="AA701" s="4">
        <v>15.462069081112499</v>
      </c>
      <c r="AB701" s="4">
        <f t="shared" si="43"/>
        <v>15.651601387400499</v>
      </c>
      <c r="AM701" s="2"/>
    </row>
    <row r="702" spans="2:39" x14ac:dyDescent="0.2">
      <c r="B702" s="4" t="s">
        <v>3982</v>
      </c>
      <c r="C702" s="4">
        <v>15.446300000000001</v>
      </c>
      <c r="D702" s="4">
        <v>15.9801</v>
      </c>
      <c r="E702" s="4">
        <v>16.057200000000002</v>
      </c>
      <c r="F702" s="4">
        <f t="shared" si="40"/>
        <v>15.827866666666667</v>
      </c>
      <c r="I702" s="4" t="s">
        <v>3744</v>
      </c>
      <c r="J702" s="4">
        <v>15.8673</v>
      </c>
      <c r="K702" s="4">
        <v>15.93</v>
      </c>
      <c r="L702" s="4">
        <v>15.85</v>
      </c>
      <c r="M702" s="4">
        <f t="shared" si="41"/>
        <v>15.882433333333333</v>
      </c>
      <c r="Q702" s="43" t="s">
        <v>3865</v>
      </c>
      <c r="R702" s="4">
        <v>15.5996775867461</v>
      </c>
      <c r="S702" s="4">
        <v>15.5020985524901</v>
      </c>
      <c r="T702" s="4">
        <v>15.6654378382516</v>
      </c>
      <c r="U702" s="4">
        <f t="shared" si="42"/>
        <v>15.589071325829266</v>
      </c>
      <c r="X702" s="43" t="s">
        <v>1720</v>
      </c>
      <c r="Y702" s="4">
        <v>15.557321422761699</v>
      </c>
      <c r="Z702" s="4">
        <v>15.776660350461199</v>
      </c>
      <c r="AA702" s="4">
        <v>15.6162617420374</v>
      </c>
      <c r="AB702" s="4">
        <f t="shared" si="43"/>
        <v>15.650081171753433</v>
      </c>
      <c r="AM702" s="2"/>
    </row>
    <row r="703" spans="2:39" x14ac:dyDescent="0.2">
      <c r="B703" s="4" t="s">
        <v>3078</v>
      </c>
      <c r="C703" s="4">
        <v>15.852399999999999</v>
      </c>
      <c r="D703" s="4">
        <v>15.800800000000001</v>
      </c>
      <c r="E703" s="4">
        <v>15.812799999999999</v>
      </c>
      <c r="F703" s="4">
        <f t="shared" si="40"/>
        <v>15.821999999999997</v>
      </c>
      <c r="I703" s="4" t="s">
        <v>188</v>
      </c>
      <c r="J703" s="4">
        <v>16.0349</v>
      </c>
      <c r="K703" s="4">
        <v>15.5023</v>
      </c>
      <c r="L703" s="4">
        <v>16.104500000000002</v>
      </c>
      <c r="M703" s="4">
        <f t="shared" si="41"/>
        <v>15.880566666666667</v>
      </c>
      <c r="Q703" s="43" t="s">
        <v>2056</v>
      </c>
      <c r="R703" s="4">
        <v>15.497681167926</v>
      </c>
      <c r="S703" s="4">
        <v>15.538051535280401</v>
      </c>
      <c r="T703" s="4">
        <v>15.7216602291656</v>
      </c>
      <c r="U703" s="4">
        <f t="shared" si="42"/>
        <v>15.585797644124</v>
      </c>
      <c r="X703" s="43" t="s">
        <v>572</v>
      </c>
      <c r="Y703" s="4">
        <v>15.6574432159283</v>
      </c>
      <c r="Z703" s="4">
        <v>15.868060196661601</v>
      </c>
      <c r="AA703" s="4">
        <v>15.420882042106699</v>
      </c>
      <c r="AB703" s="4">
        <f t="shared" si="43"/>
        <v>15.648795151565531</v>
      </c>
      <c r="AM703" s="2"/>
    </row>
    <row r="704" spans="2:39" x14ac:dyDescent="0.2">
      <c r="B704" s="4" t="s">
        <v>2638</v>
      </c>
      <c r="C704" s="4">
        <v>15.615399999999999</v>
      </c>
      <c r="D704" s="4">
        <v>15.667400000000001</v>
      </c>
      <c r="E704" s="4">
        <v>16.1755</v>
      </c>
      <c r="F704" s="4">
        <f t="shared" si="40"/>
        <v>15.819433333333334</v>
      </c>
      <c r="I704" s="4" t="s">
        <v>1498</v>
      </c>
      <c r="J704" s="4">
        <v>15.4505</v>
      </c>
      <c r="K704" s="4">
        <v>16.55</v>
      </c>
      <c r="L704" s="4">
        <v>15.6311</v>
      </c>
      <c r="M704" s="4">
        <f t="shared" si="41"/>
        <v>15.877200000000002</v>
      </c>
      <c r="Q704" s="43" t="s">
        <v>4061</v>
      </c>
      <c r="R704" s="4">
        <v>15.694659418017199</v>
      </c>
      <c r="S704" s="4">
        <v>15.539187118592601</v>
      </c>
      <c r="T704" s="4">
        <v>15.5121978177734</v>
      </c>
      <c r="U704" s="4">
        <f t="shared" si="42"/>
        <v>15.582014784794401</v>
      </c>
      <c r="X704" s="43" t="s">
        <v>682</v>
      </c>
      <c r="Y704" s="4">
        <v>15.6761536330271</v>
      </c>
      <c r="Z704" s="4">
        <v>15.683891393925601</v>
      </c>
      <c r="AA704" s="4">
        <v>15.579415420036799</v>
      </c>
      <c r="AB704" s="4">
        <f t="shared" si="43"/>
        <v>15.646486815663167</v>
      </c>
      <c r="AM704" s="2"/>
    </row>
    <row r="705" spans="2:39" x14ac:dyDescent="0.2">
      <c r="B705" s="4" t="s">
        <v>937</v>
      </c>
      <c r="C705" s="4">
        <v>15.9092</v>
      </c>
      <c r="D705" s="4">
        <v>16.141999999999999</v>
      </c>
      <c r="E705" s="4">
        <v>15.405900000000001</v>
      </c>
      <c r="F705" s="4">
        <f t="shared" si="40"/>
        <v>15.819033333333335</v>
      </c>
      <c r="I705" s="4" t="s">
        <v>1484</v>
      </c>
      <c r="J705" s="4">
        <v>15.886799999999999</v>
      </c>
      <c r="K705" s="4">
        <v>16.096800000000002</v>
      </c>
      <c r="L705" s="4">
        <v>15.645300000000001</v>
      </c>
      <c r="M705" s="4">
        <f t="shared" si="41"/>
        <v>15.876300000000001</v>
      </c>
      <c r="Q705" s="43" t="s">
        <v>1556</v>
      </c>
      <c r="R705" s="4">
        <v>15.3775491920295</v>
      </c>
      <c r="S705" s="4">
        <v>15.5614673169603</v>
      </c>
      <c r="T705" s="4">
        <v>15.7977681116753</v>
      </c>
      <c r="U705" s="4">
        <f t="shared" si="42"/>
        <v>15.578928206888369</v>
      </c>
      <c r="X705" s="43" t="s">
        <v>2218</v>
      </c>
      <c r="Y705" s="4">
        <v>15.7363712522341</v>
      </c>
      <c r="Z705" s="4">
        <v>15.7086412612662</v>
      </c>
      <c r="AA705" s="4">
        <v>15.482785261561499</v>
      </c>
      <c r="AB705" s="4">
        <f t="shared" si="43"/>
        <v>15.642599258353934</v>
      </c>
      <c r="AM705" s="2"/>
    </row>
    <row r="706" spans="2:39" x14ac:dyDescent="0.2">
      <c r="B706" s="4" t="s">
        <v>2830</v>
      </c>
      <c r="C706" s="4">
        <v>15.771699999999999</v>
      </c>
      <c r="D706" s="4">
        <v>15.7906</v>
      </c>
      <c r="E706" s="4">
        <v>15.8681</v>
      </c>
      <c r="F706" s="4">
        <f t="shared" ref="F706:F769" si="44">(C706+D706+E706)/3</f>
        <v>15.810133333333333</v>
      </c>
      <c r="I706" s="4" t="s">
        <v>3985</v>
      </c>
      <c r="J706" s="4">
        <v>16.011600000000001</v>
      </c>
      <c r="K706" s="4">
        <v>15.6617</v>
      </c>
      <c r="L706" s="4">
        <v>15.9535</v>
      </c>
      <c r="M706" s="4">
        <f t="shared" ref="M706:M769" si="45">(J706+K706+L706)/3</f>
        <v>15.8756</v>
      </c>
      <c r="Q706" s="43" t="s">
        <v>4062</v>
      </c>
      <c r="R706" s="4">
        <v>15.97592434321</v>
      </c>
      <c r="S706" s="4">
        <v>15.2905385653112</v>
      </c>
      <c r="T706" s="4">
        <v>15.455470032352601</v>
      </c>
      <c r="U706" s="4">
        <f t="shared" ref="U706:U769" si="46">(R706+S706+T706)/3</f>
        <v>15.573977646957934</v>
      </c>
      <c r="X706" s="43" t="s">
        <v>1629</v>
      </c>
      <c r="Y706" s="4">
        <v>15.7039780112296</v>
      </c>
      <c r="Z706" s="4">
        <v>15.569626861226</v>
      </c>
      <c r="AA706" s="4">
        <v>15.650069440861801</v>
      </c>
      <c r="AB706" s="4">
        <f t="shared" ref="AB706:AB769" si="47">(Y706+Z706+AA706)/3</f>
        <v>15.641224771105799</v>
      </c>
      <c r="AM706" s="2"/>
    </row>
    <row r="707" spans="2:39" x14ac:dyDescent="0.2">
      <c r="B707" s="4" t="s">
        <v>2820</v>
      </c>
      <c r="C707" s="4">
        <v>15.723599999999999</v>
      </c>
      <c r="D707" s="4">
        <v>15.8704</v>
      </c>
      <c r="E707" s="4">
        <v>15.8202</v>
      </c>
      <c r="F707" s="4">
        <f t="shared" si="44"/>
        <v>15.804733333333333</v>
      </c>
      <c r="I707" s="4" t="s">
        <v>1072</v>
      </c>
      <c r="J707" s="4">
        <v>15.692600000000001</v>
      </c>
      <c r="K707" s="4">
        <v>15.8987</v>
      </c>
      <c r="L707" s="4">
        <v>16.026399999999999</v>
      </c>
      <c r="M707" s="4">
        <f t="shared" si="45"/>
        <v>15.872566666666666</v>
      </c>
      <c r="Q707" s="43" t="s">
        <v>2693</v>
      </c>
      <c r="R707" s="4">
        <v>15.4988967273318</v>
      </c>
      <c r="S707" s="4">
        <v>15.358306605185801</v>
      </c>
      <c r="T707" s="4">
        <v>15.8585642448247</v>
      </c>
      <c r="U707" s="4">
        <f t="shared" si="46"/>
        <v>15.571922525780765</v>
      </c>
      <c r="X707" s="43" t="s">
        <v>1717</v>
      </c>
      <c r="Y707" s="4">
        <v>15.563491831835799</v>
      </c>
      <c r="Z707" s="4">
        <v>15.741961588555</v>
      </c>
      <c r="AA707" s="4">
        <v>15.6176324693618</v>
      </c>
      <c r="AB707" s="4">
        <f t="shared" si="47"/>
        <v>15.641028629917534</v>
      </c>
      <c r="AM707" s="2"/>
    </row>
    <row r="708" spans="2:39" x14ac:dyDescent="0.2">
      <c r="B708" s="4" t="s">
        <v>2898</v>
      </c>
      <c r="C708" s="4">
        <v>15.4085</v>
      </c>
      <c r="D708" s="4">
        <v>15.8667</v>
      </c>
      <c r="E708" s="4">
        <v>16.137799999999999</v>
      </c>
      <c r="F708" s="4">
        <f t="shared" si="44"/>
        <v>15.804333333333332</v>
      </c>
      <c r="I708" s="4" t="s">
        <v>2380</v>
      </c>
      <c r="J708" s="4">
        <v>16.025600000000001</v>
      </c>
      <c r="K708" s="4">
        <v>15.499000000000001</v>
      </c>
      <c r="L708" s="4">
        <v>16.0731</v>
      </c>
      <c r="M708" s="4">
        <f t="shared" si="45"/>
        <v>15.865900000000002</v>
      </c>
      <c r="Q708" s="43" t="s">
        <v>3730</v>
      </c>
      <c r="R708" s="4">
        <v>15.382432918925399</v>
      </c>
      <c r="S708" s="4">
        <v>15.5904969891397</v>
      </c>
      <c r="T708" s="4">
        <v>15.731276922927799</v>
      </c>
      <c r="U708" s="4">
        <f t="shared" si="46"/>
        <v>15.568068943664299</v>
      </c>
      <c r="X708" s="43" t="s">
        <v>753</v>
      </c>
      <c r="Y708" s="4">
        <v>15.4659279238882</v>
      </c>
      <c r="Z708" s="4">
        <v>15.7450811094232</v>
      </c>
      <c r="AA708" s="4">
        <v>15.707526194234999</v>
      </c>
      <c r="AB708" s="4">
        <f t="shared" si="47"/>
        <v>15.639511742515467</v>
      </c>
      <c r="AM708" s="2"/>
    </row>
    <row r="709" spans="2:39" x14ac:dyDescent="0.2">
      <c r="B709" s="4" t="s">
        <v>2528</v>
      </c>
      <c r="C709" s="4">
        <v>15.720800000000001</v>
      </c>
      <c r="D709" s="4">
        <v>15.835900000000001</v>
      </c>
      <c r="E709" s="4">
        <v>15.844799999999999</v>
      </c>
      <c r="F709" s="4">
        <f t="shared" si="44"/>
        <v>15.8005</v>
      </c>
      <c r="I709" s="4" t="s">
        <v>1708</v>
      </c>
      <c r="J709" s="4">
        <v>15.928900000000001</v>
      </c>
      <c r="K709" s="4">
        <v>15.7233</v>
      </c>
      <c r="L709" s="4">
        <v>15.944900000000001</v>
      </c>
      <c r="M709" s="4">
        <f t="shared" si="45"/>
        <v>15.865699999999999</v>
      </c>
      <c r="Q709" s="43" t="s">
        <v>1724</v>
      </c>
      <c r="R709" s="4">
        <v>15.438996863396</v>
      </c>
      <c r="S709" s="4">
        <v>15.5692487277558</v>
      </c>
      <c r="T709" s="4">
        <v>15.685567765413101</v>
      </c>
      <c r="U709" s="4">
        <f t="shared" si="46"/>
        <v>15.5646044521883</v>
      </c>
      <c r="X709" s="43" t="s">
        <v>3305</v>
      </c>
      <c r="Y709" s="4">
        <v>15.6139876207644</v>
      </c>
      <c r="Z709" s="4">
        <v>15.750829100427699</v>
      </c>
      <c r="AA709" s="4">
        <v>15.5440651112142</v>
      </c>
      <c r="AB709" s="4">
        <f t="shared" si="47"/>
        <v>15.636293944135433</v>
      </c>
      <c r="AM709" s="2"/>
    </row>
    <row r="710" spans="2:39" x14ac:dyDescent="0.2">
      <c r="B710" s="4" t="s">
        <v>2408</v>
      </c>
      <c r="C710" s="4">
        <v>15.2705</v>
      </c>
      <c r="D710" s="4">
        <v>16.229199999999999</v>
      </c>
      <c r="E710" s="4">
        <v>15.891299999999999</v>
      </c>
      <c r="F710" s="4">
        <f t="shared" si="44"/>
        <v>15.796999999999999</v>
      </c>
      <c r="I710" s="4" t="s">
        <v>2466</v>
      </c>
      <c r="J710" s="4">
        <v>16.058199999999999</v>
      </c>
      <c r="K710" s="4">
        <v>15.838699999999999</v>
      </c>
      <c r="L710" s="4">
        <v>15.696</v>
      </c>
      <c r="M710" s="4">
        <f t="shared" si="45"/>
        <v>15.8643</v>
      </c>
      <c r="Q710" s="43" t="s">
        <v>1881</v>
      </c>
      <c r="R710" s="4">
        <v>15.410655283138</v>
      </c>
      <c r="S710" s="4">
        <v>15.755315975808299</v>
      </c>
      <c r="T710" s="4">
        <v>15.525549274321699</v>
      </c>
      <c r="U710" s="4">
        <f t="shared" si="46"/>
        <v>15.563840177755999</v>
      </c>
      <c r="X710" s="43" t="s">
        <v>3417</v>
      </c>
      <c r="Y710" s="4">
        <v>15.5226386385447</v>
      </c>
      <c r="Z710" s="4">
        <v>15.573870306312401</v>
      </c>
      <c r="AA710" s="4">
        <v>15.8079483625121</v>
      </c>
      <c r="AB710" s="4">
        <f t="shared" si="47"/>
        <v>15.634819102456399</v>
      </c>
      <c r="AM710" s="2"/>
    </row>
    <row r="711" spans="2:39" x14ac:dyDescent="0.2">
      <c r="B711" s="4" t="s">
        <v>2875</v>
      </c>
      <c r="C711" s="4">
        <v>15.7425</v>
      </c>
      <c r="D711" s="4">
        <v>15.8353</v>
      </c>
      <c r="E711" s="4">
        <v>15.8073</v>
      </c>
      <c r="F711" s="4">
        <f t="shared" si="44"/>
        <v>15.795033333333334</v>
      </c>
      <c r="I711" s="24" t="s">
        <v>403</v>
      </c>
      <c r="J711" s="24">
        <v>16.026900000000001</v>
      </c>
      <c r="K711" s="24">
        <v>15.5176</v>
      </c>
      <c r="L711" s="24">
        <v>16.044499999999999</v>
      </c>
      <c r="M711" s="4">
        <f t="shared" si="45"/>
        <v>15.863</v>
      </c>
      <c r="Q711" s="43" t="s">
        <v>2661</v>
      </c>
      <c r="R711" s="4">
        <v>15.516623644935899</v>
      </c>
      <c r="S711" s="4">
        <v>15.464559822346301</v>
      </c>
      <c r="T711" s="4">
        <v>15.680884850403601</v>
      </c>
      <c r="U711" s="4">
        <f t="shared" si="46"/>
        <v>15.554022772561934</v>
      </c>
      <c r="X711" s="43" t="s">
        <v>1695</v>
      </c>
      <c r="Y711" s="4">
        <v>15.584975246388399</v>
      </c>
      <c r="Z711" s="4">
        <v>15.747606165311501</v>
      </c>
      <c r="AA711" s="4">
        <v>15.5718051998431</v>
      </c>
      <c r="AB711" s="4">
        <f t="shared" si="47"/>
        <v>15.634795537180999</v>
      </c>
      <c r="AM711" s="2"/>
    </row>
    <row r="712" spans="2:39" x14ac:dyDescent="0.2">
      <c r="B712" s="4" t="s">
        <v>2601</v>
      </c>
      <c r="C712" s="4">
        <v>16.000800000000002</v>
      </c>
      <c r="D712" s="4">
        <v>16.315899999999999</v>
      </c>
      <c r="E712" s="4">
        <v>15.068</v>
      </c>
      <c r="F712" s="4">
        <f t="shared" si="44"/>
        <v>15.794899999999998</v>
      </c>
      <c r="I712" s="4" t="s">
        <v>952</v>
      </c>
      <c r="J712" s="4">
        <v>15.7806</v>
      </c>
      <c r="K712" s="4">
        <v>16.156400000000001</v>
      </c>
      <c r="L712" s="4">
        <v>15.65</v>
      </c>
      <c r="M712" s="4">
        <f t="shared" si="45"/>
        <v>15.862333333333334</v>
      </c>
      <c r="Q712" s="43" t="s">
        <v>3942</v>
      </c>
      <c r="R712" s="4">
        <v>15.464894994920799</v>
      </c>
      <c r="S712" s="4">
        <v>15.477880416226499</v>
      </c>
      <c r="T712" s="4">
        <v>15.707118785096201</v>
      </c>
      <c r="U712" s="4">
        <f t="shared" si="46"/>
        <v>15.549964732081166</v>
      </c>
      <c r="X712" s="43" t="s">
        <v>3621</v>
      </c>
      <c r="Y712" s="4">
        <v>15.5611142791155</v>
      </c>
      <c r="Z712" s="4">
        <v>15.3816188122866</v>
      </c>
      <c r="AA712" s="4">
        <v>15.9587892927395</v>
      </c>
      <c r="AB712" s="4">
        <f t="shared" si="47"/>
        <v>15.633840794713867</v>
      </c>
      <c r="AM712" s="2"/>
    </row>
    <row r="713" spans="2:39" x14ac:dyDescent="0.2">
      <c r="B713" s="4" t="s">
        <v>3347</v>
      </c>
      <c r="C713" s="4">
        <v>15.739699999999999</v>
      </c>
      <c r="D713" s="4">
        <v>16.175699999999999</v>
      </c>
      <c r="E713" s="4">
        <v>15.4634</v>
      </c>
      <c r="F713" s="4">
        <f t="shared" si="44"/>
        <v>15.792933333333332</v>
      </c>
      <c r="I713" s="4" t="s">
        <v>368</v>
      </c>
      <c r="J713" s="4">
        <v>16.020800000000001</v>
      </c>
      <c r="K713" s="4">
        <v>15.532400000000001</v>
      </c>
      <c r="L713" s="4">
        <v>16.0321</v>
      </c>
      <c r="M713" s="4">
        <f t="shared" si="45"/>
        <v>15.861766666666668</v>
      </c>
      <c r="Q713" s="43" t="s">
        <v>180</v>
      </c>
      <c r="R713" s="4">
        <v>15.537272124085099</v>
      </c>
      <c r="S713" s="4">
        <v>15.444406617424001</v>
      </c>
      <c r="T713" s="4">
        <v>15.6630615202799</v>
      </c>
      <c r="U713" s="4">
        <f t="shared" si="46"/>
        <v>15.548246753929666</v>
      </c>
      <c r="X713" s="43" t="s">
        <v>3320</v>
      </c>
      <c r="Y713" s="4">
        <v>15.858112870877299</v>
      </c>
      <c r="Z713" s="4">
        <v>15.423413239916799</v>
      </c>
      <c r="AA713" s="4">
        <v>15.6169210353883</v>
      </c>
      <c r="AB713" s="4">
        <f t="shared" si="47"/>
        <v>15.632815715394132</v>
      </c>
      <c r="AM713" s="2"/>
    </row>
    <row r="714" spans="2:39" x14ac:dyDescent="0.2">
      <c r="B714" s="4" t="s">
        <v>1675</v>
      </c>
      <c r="C714" s="4">
        <v>15.775399999999999</v>
      </c>
      <c r="D714" s="4">
        <v>15.7866</v>
      </c>
      <c r="E714" s="4">
        <v>15.7918</v>
      </c>
      <c r="F714" s="4">
        <f t="shared" si="44"/>
        <v>15.784599999999999</v>
      </c>
      <c r="I714" s="4" t="s">
        <v>3966</v>
      </c>
      <c r="J714" s="4">
        <v>15.905099999999999</v>
      </c>
      <c r="K714" s="4">
        <v>15.6379</v>
      </c>
      <c r="L714" s="4">
        <v>16.033200000000001</v>
      </c>
      <c r="M714" s="4">
        <f t="shared" si="45"/>
        <v>15.858733333333333</v>
      </c>
      <c r="Q714" s="43" t="s">
        <v>2567</v>
      </c>
      <c r="R714" s="4">
        <v>15.7546560777817</v>
      </c>
      <c r="S714" s="4">
        <v>15.3290607309614</v>
      </c>
      <c r="T714" s="4">
        <v>15.5497743516607</v>
      </c>
      <c r="U714" s="4">
        <f t="shared" si="46"/>
        <v>15.544497053467934</v>
      </c>
      <c r="X714" s="43" t="s">
        <v>664</v>
      </c>
      <c r="Y714" s="4">
        <v>15.8237363232319</v>
      </c>
      <c r="Z714" s="4">
        <v>16.108420326632402</v>
      </c>
      <c r="AA714" s="4">
        <v>14.957582698826499</v>
      </c>
      <c r="AB714" s="4">
        <f t="shared" si="47"/>
        <v>15.629913116230268</v>
      </c>
      <c r="AM714" s="2"/>
    </row>
    <row r="715" spans="2:39" x14ac:dyDescent="0.2">
      <c r="B715" s="4" t="s">
        <v>1627</v>
      </c>
      <c r="C715" s="4">
        <v>15.763500000000001</v>
      </c>
      <c r="D715" s="4">
        <v>15.922700000000001</v>
      </c>
      <c r="E715" s="4">
        <v>15.6661</v>
      </c>
      <c r="F715" s="4">
        <f t="shared" si="44"/>
        <v>15.7841</v>
      </c>
      <c r="I715" s="4" t="s">
        <v>869</v>
      </c>
      <c r="J715" s="4">
        <v>15.743499999999999</v>
      </c>
      <c r="K715" s="4">
        <v>15.5184</v>
      </c>
      <c r="L715" s="4">
        <v>16.308499999999999</v>
      </c>
      <c r="M715" s="4">
        <f t="shared" si="45"/>
        <v>15.856799999999998</v>
      </c>
      <c r="Q715" s="43" t="s">
        <v>1720</v>
      </c>
      <c r="R715" s="4">
        <v>15.749828159662099</v>
      </c>
      <c r="S715" s="4">
        <v>15.541627853684799</v>
      </c>
      <c r="T715" s="4">
        <v>15.3388510324232</v>
      </c>
      <c r="U715" s="4">
        <f t="shared" si="46"/>
        <v>15.543435681923365</v>
      </c>
      <c r="X715" s="43" t="s">
        <v>2571</v>
      </c>
      <c r="Y715" s="4">
        <v>15.5964950489122</v>
      </c>
      <c r="Z715" s="4">
        <v>15.867130652017201</v>
      </c>
      <c r="AA715" s="4">
        <v>15.421801206618699</v>
      </c>
      <c r="AB715" s="4">
        <f t="shared" si="47"/>
        <v>15.628475635849364</v>
      </c>
      <c r="AM715" s="2"/>
    </row>
    <row r="716" spans="2:39" x14ac:dyDescent="0.2">
      <c r="B716" s="4" t="s">
        <v>3246</v>
      </c>
      <c r="C716" s="4">
        <v>15.6829</v>
      </c>
      <c r="D716" s="4">
        <v>15.9693</v>
      </c>
      <c r="E716" s="4">
        <v>15.6759</v>
      </c>
      <c r="F716" s="4">
        <f t="shared" si="44"/>
        <v>15.776033333333332</v>
      </c>
      <c r="I716" s="4" t="s">
        <v>286</v>
      </c>
      <c r="J716" s="4">
        <v>16.177299999999999</v>
      </c>
      <c r="K716" s="4">
        <v>15.461499999999999</v>
      </c>
      <c r="L716" s="4">
        <v>15.9192</v>
      </c>
      <c r="M716" s="4">
        <f t="shared" si="45"/>
        <v>15.852666666666664</v>
      </c>
      <c r="Q716" s="43" t="s">
        <v>155</v>
      </c>
      <c r="R716" s="4">
        <v>15.463236331041299</v>
      </c>
      <c r="S716" s="4">
        <v>15.5752710563448</v>
      </c>
      <c r="T716" s="4">
        <v>15.584058604453899</v>
      </c>
      <c r="U716" s="4">
        <f t="shared" si="46"/>
        <v>15.540855330613333</v>
      </c>
      <c r="X716" s="43" t="s">
        <v>1760</v>
      </c>
      <c r="Y716" s="4">
        <v>15.5437338319693</v>
      </c>
      <c r="Z716" s="4">
        <v>15.744609584084801</v>
      </c>
      <c r="AA716" s="4">
        <v>15.5922238641015</v>
      </c>
      <c r="AB716" s="4">
        <f t="shared" si="47"/>
        <v>15.626855760051868</v>
      </c>
      <c r="AM716" s="2"/>
    </row>
    <row r="717" spans="2:39" x14ac:dyDescent="0.2">
      <c r="B717" s="4" t="s">
        <v>1557</v>
      </c>
      <c r="C717" s="4">
        <v>15.8185</v>
      </c>
      <c r="D717" s="4">
        <v>15.727600000000001</v>
      </c>
      <c r="E717" s="4">
        <v>15.7746</v>
      </c>
      <c r="F717" s="4">
        <f t="shared" si="44"/>
        <v>15.773566666666667</v>
      </c>
      <c r="I717" s="4" t="s">
        <v>2851</v>
      </c>
      <c r="J717" s="4">
        <v>15.525700000000001</v>
      </c>
      <c r="K717" s="4">
        <v>16.3553</v>
      </c>
      <c r="L717" s="4">
        <v>15.675599999999999</v>
      </c>
      <c r="M717" s="4">
        <f t="shared" si="45"/>
        <v>15.852200000000002</v>
      </c>
      <c r="Q717" s="43" t="s">
        <v>262</v>
      </c>
      <c r="R717" s="4">
        <v>15.568791374695399</v>
      </c>
      <c r="S717" s="4">
        <v>15.655634798825901</v>
      </c>
      <c r="T717" s="4">
        <v>15.3894870213744</v>
      </c>
      <c r="U717" s="4">
        <f t="shared" si="46"/>
        <v>15.537971064965234</v>
      </c>
      <c r="X717" s="43" t="s">
        <v>73</v>
      </c>
      <c r="Y717" s="4">
        <v>15.488077420215699</v>
      </c>
      <c r="Z717" s="4">
        <v>15.774114222848</v>
      </c>
      <c r="AA717" s="4">
        <v>15.6128187784884</v>
      </c>
      <c r="AB717" s="4">
        <f t="shared" si="47"/>
        <v>15.625003473850702</v>
      </c>
      <c r="AM717" s="2"/>
    </row>
    <row r="718" spans="2:39" x14ac:dyDescent="0.2">
      <c r="B718" s="4" t="s">
        <v>1234</v>
      </c>
      <c r="C718" s="4">
        <v>15.519299999999999</v>
      </c>
      <c r="D718" s="4">
        <v>15.892799999999999</v>
      </c>
      <c r="E718" s="4">
        <v>15.8972</v>
      </c>
      <c r="F718" s="4">
        <f t="shared" si="44"/>
        <v>15.769766666666667</v>
      </c>
      <c r="I718" s="4" t="s">
        <v>223</v>
      </c>
      <c r="J718" s="4">
        <v>15.994899999999999</v>
      </c>
      <c r="K718" s="4">
        <v>15.5192</v>
      </c>
      <c r="L718" s="4">
        <v>16.040900000000001</v>
      </c>
      <c r="M718" s="4">
        <f t="shared" si="45"/>
        <v>15.851666666666667</v>
      </c>
      <c r="Q718" s="43" t="s">
        <v>1259</v>
      </c>
      <c r="R718" s="4">
        <v>15.610682067443699</v>
      </c>
      <c r="S718" s="4">
        <v>15.5152647135102</v>
      </c>
      <c r="T718" s="4">
        <v>15.4811109838704</v>
      </c>
      <c r="U718" s="4">
        <f t="shared" si="46"/>
        <v>15.535685921608099</v>
      </c>
      <c r="X718" s="43" t="s">
        <v>3050</v>
      </c>
      <c r="Y718" s="4">
        <v>15.524790778870999</v>
      </c>
      <c r="Z718" s="4">
        <v>15.7343534558055</v>
      </c>
      <c r="AA718" s="4">
        <v>15.609278386840399</v>
      </c>
      <c r="AB718" s="4">
        <f t="shared" si="47"/>
        <v>15.622807540505633</v>
      </c>
      <c r="AM718" s="2"/>
    </row>
    <row r="719" spans="2:39" x14ac:dyDescent="0.2">
      <c r="B719" s="4" t="s">
        <v>3804</v>
      </c>
      <c r="C719" s="4">
        <v>16.0137</v>
      </c>
      <c r="D719" s="4">
        <v>15.563599999999999</v>
      </c>
      <c r="E719" s="4">
        <v>15.729799999999999</v>
      </c>
      <c r="F719" s="4">
        <f t="shared" si="44"/>
        <v>15.769033333333333</v>
      </c>
      <c r="I719" s="4" t="s">
        <v>3210</v>
      </c>
      <c r="J719" s="4">
        <v>15.6686</v>
      </c>
      <c r="K719" s="4">
        <v>16.1967</v>
      </c>
      <c r="L719" s="4">
        <v>15.6816</v>
      </c>
      <c r="M719" s="4">
        <f t="shared" si="45"/>
        <v>15.848966666666664</v>
      </c>
      <c r="Q719" s="43" t="s">
        <v>2277</v>
      </c>
      <c r="R719" s="4">
        <v>15.690102300112301</v>
      </c>
      <c r="S719" s="4">
        <v>15.4260594305895</v>
      </c>
      <c r="T719" s="4">
        <v>15.488709161705</v>
      </c>
      <c r="U719" s="4">
        <f t="shared" si="46"/>
        <v>15.534956964135601</v>
      </c>
      <c r="X719" s="43" t="s">
        <v>2205</v>
      </c>
      <c r="Y719" s="4">
        <v>15.5669352807043</v>
      </c>
      <c r="Z719" s="4">
        <v>15.577694130587799</v>
      </c>
      <c r="AA719" s="4">
        <v>15.7217123219051</v>
      </c>
      <c r="AB719" s="4">
        <f t="shared" si="47"/>
        <v>15.622113911065734</v>
      </c>
      <c r="AM719" s="2"/>
    </row>
    <row r="720" spans="2:39" x14ac:dyDescent="0.2">
      <c r="B720" s="4" t="s">
        <v>4029</v>
      </c>
      <c r="C720" s="4">
        <v>15.629200000000001</v>
      </c>
      <c r="D720" s="4">
        <v>15.7972</v>
      </c>
      <c r="E720" s="4">
        <v>15.834300000000001</v>
      </c>
      <c r="F720" s="4">
        <f t="shared" si="44"/>
        <v>15.753566666666666</v>
      </c>
      <c r="I720" s="4" t="s">
        <v>314</v>
      </c>
      <c r="J720" s="4">
        <v>15.9488</v>
      </c>
      <c r="K720" s="4">
        <v>15.8422</v>
      </c>
      <c r="L720" s="4">
        <v>15.751899999999999</v>
      </c>
      <c r="M720" s="4">
        <f t="shared" si="45"/>
        <v>15.847633333333334</v>
      </c>
      <c r="Q720" s="43" t="s">
        <v>769</v>
      </c>
      <c r="R720" s="4">
        <v>14.975259729696299</v>
      </c>
      <c r="S720" s="4">
        <v>15.812444673617501</v>
      </c>
      <c r="T720" s="4">
        <v>15.8133398702597</v>
      </c>
      <c r="U720" s="4">
        <f t="shared" si="46"/>
        <v>15.533681424524501</v>
      </c>
      <c r="X720" s="43" t="s">
        <v>3244</v>
      </c>
      <c r="Y720" s="4">
        <v>15.7807422168516</v>
      </c>
      <c r="Z720" s="4">
        <v>15.5009613219031</v>
      </c>
      <c r="AA720" s="4">
        <v>15.571801835060899</v>
      </c>
      <c r="AB720" s="4">
        <f t="shared" si="47"/>
        <v>15.617835124605199</v>
      </c>
      <c r="AM720" s="2"/>
    </row>
    <row r="721" spans="2:39" x14ac:dyDescent="0.2">
      <c r="B721" s="4" t="s">
        <v>3124</v>
      </c>
      <c r="C721" s="4">
        <v>15.451599999999999</v>
      </c>
      <c r="D721" s="4">
        <v>15.9871</v>
      </c>
      <c r="E721" s="4">
        <v>15.8172</v>
      </c>
      <c r="F721" s="4">
        <f t="shared" si="44"/>
        <v>15.751966666666666</v>
      </c>
      <c r="I721" s="4" t="s">
        <v>3531</v>
      </c>
      <c r="J721" s="4">
        <v>15.937099999999999</v>
      </c>
      <c r="K721" s="4">
        <v>15.714499999999999</v>
      </c>
      <c r="L721" s="4">
        <v>15.882999999999999</v>
      </c>
      <c r="M721" s="4">
        <f t="shared" si="45"/>
        <v>15.844866666666666</v>
      </c>
      <c r="Q721" s="43" t="s">
        <v>2970</v>
      </c>
      <c r="R721" s="4">
        <v>15.4824498210132</v>
      </c>
      <c r="S721" s="4">
        <v>15.5554198122492</v>
      </c>
      <c r="T721" s="4">
        <v>15.557536048408901</v>
      </c>
      <c r="U721" s="4">
        <f t="shared" si="46"/>
        <v>15.531801893890433</v>
      </c>
      <c r="X721" s="43" t="s">
        <v>1854</v>
      </c>
      <c r="Y721" s="4">
        <v>15.5472399103831</v>
      </c>
      <c r="Z721" s="4">
        <v>15.6234770671851</v>
      </c>
      <c r="AA721" s="4">
        <v>15.6810214447587</v>
      </c>
      <c r="AB721" s="4">
        <f t="shared" si="47"/>
        <v>15.617246140775633</v>
      </c>
      <c r="AM721" s="2"/>
    </row>
    <row r="722" spans="2:39" x14ac:dyDescent="0.2">
      <c r="B722" s="4" t="s">
        <v>3691</v>
      </c>
      <c r="C722" s="4">
        <v>15.2188</v>
      </c>
      <c r="D722" s="4">
        <v>15.9169</v>
      </c>
      <c r="E722" s="4">
        <v>16.116800000000001</v>
      </c>
      <c r="F722" s="4">
        <f t="shared" si="44"/>
        <v>15.750833333333333</v>
      </c>
      <c r="I722" s="4" t="s">
        <v>1161</v>
      </c>
      <c r="J722" s="4">
        <v>15.902900000000001</v>
      </c>
      <c r="K722" s="4">
        <v>15.6411</v>
      </c>
      <c r="L722" s="4">
        <v>15.970599999999999</v>
      </c>
      <c r="M722" s="4">
        <f t="shared" si="45"/>
        <v>15.838200000000001</v>
      </c>
      <c r="Q722" s="43" t="s">
        <v>2830</v>
      </c>
      <c r="R722" s="4">
        <v>15.324863272192299</v>
      </c>
      <c r="S722" s="4">
        <v>15.5527836667556</v>
      </c>
      <c r="T722" s="4">
        <v>15.712595137394301</v>
      </c>
      <c r="U722" s="4">
        <f t="shared" si="46"/>
        <v>15.530080692114067</v>
      </c>
      <c r="X722" s="43" t="s">
        <v>3415</v>
      </c>
      <c r="Y722" s="4">
        <v>15.5824405079961</v>
      </c>
      <c r="Z722" s="4">
        <v>15.735187025014801</v>
      </c>
      <c r="AA722" s="4">
        <v>15.5187425840006</v>
      </c>
      <c r="AB722" s="4">
        <f t="shared" si="47"/>
        <v>15.612123372337166</v>
      </c>
      <c r="AM722" s="2"/>
    </row>
    <row r="723" spans="2:39" x14ac:dyDescent="0.2">
      <c r="B723" s="4" t="s">
        <v>2466</v>
      </c>
      <c r="C723" s="4">
        <v>15.461399999999999</v>
      </c>
      <c r="D723" s="4">
        <v>15.904</v>
      </c>
      <c r="E723" s="4">
        <v>15.8711</v>
      </c>
      <c r="F723" s="4">
        <f t="shared" si="44"/>
        <v>15.7455</v>
      </c>
      <c r="I723" s="4" t="s">
        <v>252</v>
      </c>
      <c r="J723" s="4">
        <v>15.808400000000001</v>
      </c>
      <c r="K723" s="4">
        <v>16.232500000000002</v>
      </c>
      <c r="L723" s="4">
        <v>15.4589</v>
      </c>
      <c r="M723" s="4">
        <f t="shared" si="45"/>
        <v>15.833266666666667</v>
      </c>
      <c r="Q723" s="43" t="s">
        <v>2543</v>
      </c>
      <c r="R723" s="4">
        <v>15.6217017463691</v>
      </c>
      <c r="S723" s="4">
        <v>15.2091703692541</v>
      </c>
      <c r="T723" s="4">
        <v>15.7488551319643</v>
      </c>
      <c r="U723" s="4">
        <f t="shared" si="46"/>
        <v>15.526575749195834</v>
      </c>
      <c r="X723" s="43" t="s">
        <v>2060</v>
      </c>
      <c r="Y723" s="4">
        <v>15.5357717991866</v>
      </c>
      <c r="Z723" s="4">
        <v>15.7164029284788</v>
      </c>
      <c r="AA723" s="4">
        <v>15.5841857706545</v>
      </c>
      <c r="AB723" s="4">
        <f t="shared" si="47"/>
        <v>15.612120166106633</v>
      </c>
      <c r="AM723" s="2"/>
    </row>
    <row r="724" spans="2:39" x14ac:dyDescent="0.2">
      <c r="B724" s="4" t="s">
        <v>1635</v>
      </c>
      <c r="C724" s="4">
        <v>15.7934</v>
      </c>
      <c r="D724" s="4">
        <v>15.792400000000001</v>
      </c>
      <c r="E724" s="4">
        <v>15.6439</v>
      </c>
      <c r="F724" s="4">
        <f t="shared" si="44"/>
        <v>15.743233333333334</v>
      </c>
      <c r="I724" s="4" t="s">
        <v>1365</v>
      </c>
      <c r="J724" s="4">
        <v>15.565899999999999</v>
      </c>
      <c r="K724" s="4">
        <v>16.608000000000001</v>
      </c>
      <c r="L724" s="4">
        <v>15.3254</v>
      </c>
      <c r="M724" s="4">
        <f t="shared" si="45"/>
        <v>15.833100000000002</v>
      </c>
      <c r="Q724" s="43" t="s">
        <v>3459</v>
      </c>
      <c r="R724" s="4">
        <v>15.564195223399601</v>
      </c>
      <c r="S724" s="4">
        <v>15.5702981711779</v>
      </c>
      <c r="T724" s="4">
        <v>15.4449254099148</v>
      </c>
      <c r="U724" s="4">
        <f t="shared" si="46"/>
        <v>15.526472934830766</v>
      </c>
      <c r="X724" s="43" t="s">
        <v>2540</v>
      </c>
      <c r="Y724" s="4">
        <v>15.630073353976501</v>
      </c>
      <c r="Z724" s="4">
        <v>15.3882736935617</v>
      </c>
      <c r="AA724" s="4">
        <v>15.809649470404</v>
      </c>
      <c r="AB724" s="4">
        <f t="shared" si="47"/>
        <v>15.609332172647399</v>
      </c>
      <c r="AM724" s="2"/>
    </row>
    <row r="725" spans="2:39" x14ac:dyDescent="0.2">
      <c r="B725" s="4" t="s">
        <v>3033</v>
      </c>
      <c r="C725" s="4">
        <v>15.569900000000001</v>
      </c>
      <c r="D725" s="4">
        <v>15.720800000000001</v>
      </c>
      <c r="E725" s="4">
        <v>15.931800000000001</v>
      </c>
      <c r="F725" s="4">
        <f t="shared" si="44"/>
        <v>15.740833333333335</v>
      </c>
      <c r="I725" s="4" t="s">
        <v>2314</v>
      </c>
      <c r="J725" s="4">
        <v>16.018799999999999</v>
      </c>
      <c r="K725" s="4">
        <v>15.4031</v>
      </c>
      <c r="L725" s="4">
        <v>16.071100000000001</v>
      </c>
      <c r="M725" s="4">
        <f t="shared" si="45"/>
        <v>15.831000000000001</v>
      </c>
      <c r="Q725" s="43" t="s">
        <v>3124</v>
      </c>
      <c r="R725" s="4">
        <v>16.190270158201301</v>
      </c>
      <c r="S725" s="4">
        <v>15.2621432574139</v>
      </c>
      <c r="T725" s="4">
        <v>15.1212638929844</v>
      </c>
      <c r="U725" s="4">
        <f t="shared" si="46"/>
        <v>15.524559102866533</v>
      </c>
      <c r="X725" s="43" t="s">
        <v>3031</v>
      </c>
      <c r="Y725" s="4">
        <v>15.5908036040305</v>
      </c>
      <c r="Z725" s="4">
        <v>15.655990656498201</v>
      </c>
      <c r="AA725" s="4">
        <v>15.579705011469899</v>
      </c>
      <c r="AB725" s="4">
        <f t="shared" si="47"/>
        <v>15.608833090666201</v>
      </c>
      <c r="AM725" s="2"/>
    </row>
    <row r="726" spans="2:39" x14ac:dyDescent="0.2">
      <c r="B726" s="4" t="s">
        <v>84</v>
      </c>
      <c r="C726" s="4">
        <v>15.48</v>
      </c>
      <c r="D726" s="4">
        <v>15.6029</v>
      </c>
      <c r="E726" s="4">
        <v>16.1372</v>
      </c>
      <c r="F726" s="4">
        <f t="shared" si="44"/>
        <v>15.740033333333335</v>
      </c>
      <c r="I726" s="4" t="s">
        <v>2684</v>
      </c>
      <c r="J726" s="4">
        <v>15.960800000000001</v>
      </c>
      <c r="K726" s="4">
        <v>15.6053</v>
      </c>
      <c r="L726" s="4">
        <v>15.9239</v>
      </c>
      <c r="M726" s="4">
        <f t="shared" si="45"/>
        <v>15.829999999999998</v>
      </c>
      <c r="Q726" s="43" t="s">
        <v>2065</v>
      </c>
      <c r="R726" s="4">
        <v>15.3121826956144</v>
      </c>
      <c r="S726" s="4">
        <v>15.676880213530399</v>
      </c>
      <c r="T726" s="4">
        <v>15.5807025619388</v>
      </c>
      <c r="U726" s="4">
        <f t="shared" si="46"/>
        <v>15.523255157027867</v>
      </c>
      <c r="X726" s="43" t="s">
        <v>4075</v>
      </c>
      <c r="Y726" s="4">
        <v>15.843365126670401</v>
      </c>
      <c r="Z726" s="4">
        <v>15.740622383311001</v>
      </c>
      <c r="AA726" s="4">
        <v>15.231926841450299</v>
      </c>
      <c r="AB726" s="4">
        <f t="shared" si="47"/>
        <v>15.605304783810567</v>
      </c>
      <c r="AM726" s="2"/>
    </row>
    <row r="727" spans="2:39" x14ac:dyDescent="0.2">
      <c r="B727" s="4" t="s">
        <v>3486</v>
      </c>
      <c r="C727" s="4">
        <v>15.907</v>
      </c>
      <c r="D727" s="4">
        <v>15.956300000000001</v>
      </c>
      <c r="E727" s="4">
        <v>15.3566</v>
      </c>
      <c r="F727" s="4">
        <f t="shared" si="44"/>
        <v>15.739966666666668</v>
      </c>
      <c r="I727" s="4" t="s">
        <v>3557</v>
      </c>
      <c r="J727" s="4">
        <v>15.900499999999999</v>
      </c>
      <c r="K727" s="4">
        <v>15.5769</v>
      </c>
      <c r="L727" s="4">
        <v>16.003699999999998</v>
      </c>
      <c r="M727" s="4">
        <f t="shared" si="45"/>
        <v>15.827033333333333</v>
      </c>
      <c r="Q727" s="43" t="s">
        <v>4043</v>
      </c>
      <c r="R727" s="4">
        <v>16.118846292687198</v>
      </c>
      <c r="S727" s="4">
        <v>15.2900674192711</v>
      </c>
      <c r="T727" s="4">
        <v>15.1604271281946</v>
      </c>
      <c r="U727" s="4">
        <f t="shared" si="46"/>
        <v>15.523113613384298</v>
      </c>
      <c r="X727" s="43" t="s">
        <v>2514</v>
      </c>
      <c r="Y727" s="4">
        <v>15.6825699976933</v>
      </c>
      <c r="Z727" s="4">
        <v>15.5645495617987</v>
      </c>
      <c r="AA727" s="4">
        <v>15.5665353496883</v>
      </c>
      <c r="AB727" s="4">
        <f t="shared" si="47"/>
        <v>15.604551636393433</v>
      </c>
      <c r="AM727" s="2"/>
    </row>
    <row r="728" spans="2:39" x14ac:dyDescent="0.2">
      <c r="B728" s="4" t="s">
        <v>422</v>
      </c>
      <c r="C728" s="4">
        <v>15.5169</v>
      </c>
      <c r="D728" s="4">
        <v>15.6815</v>
      </c>
      <c r="E728" s="4">
        <v>16.0183</v>
      </c>
      <c r="F728" s="4">
        <f t="shared" si="44"/>
        <v>15.738900000000001</v>
      </c>
      <c r="I728" s="4" t="s">
        <v>488</v>
      </c>
      <c r="J728" s="4">
        <v>15.992599999999999</v>
      </c>
      <c r="K728" s="4">
        <v>15.438599999999999</v>
      </c>
      <c r="L728" s="4">
        <v>16.041599999999999</v>
      </c>
      <c r="M728" s="4">
        <f t="shared" si="45"/>
        <v>15.824266666666665</v>
      </c>
      <c r="Q728" s="43" t="s">
        <v>3010</v>
      </c>
      <c r="R728" s="4">
        <v>15.679067045310299</v>
      </c>
      <c r="S728" s="4">
        <v>15.4656711668562</v>
      </c>
      <c r="T728" s="4">
        <v>15.416334806887701</v>
      </c>
      <c r="U728" s="4">
        <f t="shared" si="46"/>
        <v>15.520357673018069</v>
      </c>
      <c r="X728" s="43" t="s">
        <v>2345</v>
      </c>
      <c r="Y728" s="4">
        <v>15.6101433336881</v>
      </c>
      <c r="Z728" s="4">
        <v>15.790526195042901</v>
      </c>
      <c r="AA728" s="4">
        <v>15.410589641953401</v>
      </c>
      <c r="AB728" s="4">
        <f t="shared" si="47"/>
        <v>15.603753056894801</v>
      </c>
      <c r="AM728" s="2"/>
    </row>
    <row r="729" spans="2:39" x14ac:dyDescent="0.2">
      <c r="B729" s="4" t="s">
        <v>3249</v>
      </c>
      <c r="C729" s="4">
        <v>15.5381</v>
      </c>
      <c r="D729" s="4">
        <v>15.504200000000001</v>
      </c>
      <c r="E729" s="4">
        <v>16.1738</v>
      </c>
      <c r="F729" s="4">
        <f t="shared" si="44"/>
        <v>15.7387</v>
      </c>
      <c r="I729" s="4" t="s">
        <v>770</v>
      </c>
      <c r="J729" s="4">
        <v>15.978199999999999</v>
      </c>
      <c r="K729" s="4">
        <v>15.524699999999999</v>
      </c>
      <c r="L729" s="4">
        <v>15.9679</v>
      </c>
      <c r="M729" s="4">
        <f t="shared" si="45"/>
        <v>15.823599999999999</v>
      </c>
      <c r="Q729" s="43" t="s">
        <v>3278</v>
      </c>
      <c r="R729" s="4">
        <v>15.473549769747899</v>
      </c>
      <c r="S729" s="4">
        <v>15.650351043332</v>
      </c>
      <c r="T729" s="4">
        <v>15.435041427825</v>
      </c>
      <c r="U729" s="4">
        <f t="shared" si="46"/>
        <v>15.519647413634965</v>
      </c>
      <c r="X729" s="43" t="s">
        <v>2671</v>
      </c>
      <c r="Y729" s="4">
        <v>15.668048075485601</v>
      </c>
      <c r="Z729" s="4">
        <v>15.663214370312</v>
      </c>
      <c r="AA729" s="4">
        <v>15.4732444409444</v>
      </c>
      <c r="AB729" s="4">
        <f t="shared" si="47"/>
        <v>15.601502295580666</v>
      </c>
      <c r="AM729" s="2"/>
    </row>
    <row r="730" spans="2:39" x14ac:dyDescent="0.2">
      <c r="B730" s="4" t="s">
        <v>2907</v>
      </c>
      <c r="C730" s="4">
        <v>15.8443</v>
      </c>
      <c r="D730" s="4">
        <v>15.6699</v>
      </c>
      <c r="E730" s="4">
        <v>15.698499999999999</v>
      </c>
      <c r="F730" s="4">
        <f t="shared" si="44"/>
        <v>15.737566666666666</v>
      </c>
      <c r="I730" s="4" t="s">
        <v>3978</v>
      </c>
      <c r="J730" s="4">
        <v>15.6853</v>
      </c>
      <c r="K730" s="4">
        <v>16.0594</v>
      </c>
      <c r="L730" s="4">
        <v>15.721</v>
      </c>
      <c r="M730" s="4">
        <f t="shared" si="45"/>
        <v>15.821899999999999</v>
      </c>
      <c r="Q730" s="43" t="s">
        <v>2114</v>
      </c>
      <c r="R730" s="4">
        <v>15.4553555062786</v>
      </c>
      <c r="S730" s="4">
        <v>15.5886643291522</v>
      </c>
      <c r="T730" s="4">
        <v>15.508116079762701</v>
      </c>
      <c r="U730" s="4">
        <f t="shared" si="46"/>
        <v>15.517378638397835</v>
      </c>
      <c r="X730" s="43" t="s">
        <v>1583</v>
      </c>
      <c r="Y730" s="4">
        <v>15.668111966122799</v>
      </c>
      <c r="Z730" s="4">
        <v>15.533457625144599</v>
      </c>
      <c r="AA730" s="4">
        <v>15.595960955014901</v>
      </c>
      <c r="AB730" s="4">
        <f t="shared" si="47"/>
        <v>15.599176848760768</v>
      </c>
      <c r="AM730" s="2"/>
    </row>
    <row r="731" spans="2:39" x14ac:dyDescent="0.2">
      <c r="B731" s="4" t="s">
        <v>1330</v>
      </c>
      <c r="C731" s="4">
        <v>16.599</v>
      </c>
      <c r="D731" s="4">
        <v>15.5327</v>
      </c>
      <c r="E731" s="4">
        <v>15.0806</v>
      </c>
      <c r="F731" s="4">
        <f t="shared" si="44"/>
        <v>15.737433333333334</v>
      </c>
      <c r="I731" s="4" t="s">
        <v>2902</v>
      </c>
      <c r="J731" s="4">
        <v>16.133299999999998</v>
      </c>
      <c r="K731" s="4">
        <v>15.3575</v>
      </c>
      <c r="L731" s="4">
        <v>15.9254</v>
      </c>
      <c r="M731" s="4">
        <f t="shared" si="45"/>
        <v>15.805400000000001</v>
      </c>
      <c r="Q731" s="43" t="s">
        <v>1302</v>
      </c>
      <c r="R731" s="4">
        <v>15.654055997472501</v>
      </c>
      <c r="S731" s="4">
        <v>15.5124506163473</v>
      </c>
      <c r="T731" s="4">
        <v>15.3854149426124</v>
      </c>
      <c r="U731" s="4">
        <f t="shared" si="46"/>
        <v>15.517307185477399</v>
      </c>
      <c r="X731" s="43" t="s">
        <v>1346</v>
      </c>
      <c r="Y731" s="4">
        <v>15.527888858671201</v>
      </c>
      <c r="Z731" s="4">
        <v>15.654668284020101</v>
      </c>
      <c r="AA731" s="4">
        <v>15.614555986811199</v>
      </c>
      <c r="AB731" s="4">
        <f t="shared" si="47"/>
        <v>15.599037709834166</v>
      </c>
      <c r="AM731" s="2"/>
    </row>
    <row r="732" spans="2:39" x14ac:dyDescent="0.2">
      <c r="B732" s="4" t="s">
        <v>4012</v>
      </c>
      <c r="C732" s="4">
        <v>15.617000000000001</v>
      </c>
      <c r="D732" s="4">
        <v>15.734400000000001</v>
      </c>
      <c r="E732" s="4">
        <v>15.8375</v>
      </c>
      <c r="F732" s="4">
        <f t="shared" si="44"/>
        <v>15.729633333333334</v>
      </c>
      <c r="I732" s="4" t="s">
        <v>1951</v>
      </c>
      <c r="J732" s="4">
        <v>16.0458</v>
      </c>
      <c r="K732" s="4">
        <v>15.376899999999999</v>
      </c>
      <c r="L732" s="4">
        <v>15.992699999999999</v>
      </c>
      <c r="M732" s="4">
        <f t="shared" si="45"/>
        <v>15.805133333333332</v>
      </c>
      <c r="Q732" s="43" t="s">
        <v>2157</v>
      </c>
      <c r="R732" s="4">
        <v>15.498597966215501</v>
      </c>
      <c r="S732" s="4">
        <v>15.5895899810705</v>
      </c>
      <c r="T732" s="4">
        <v>15.460899419268699</v>
      </c>
      <c r="U732" s="4">
        <f t="shared" si="46"/>
        <v>15.516362455518234</v>
      </c>
      <c r="X732" s="43" t="s">
        <v>3164</v>
      </c>
      <c r="Y732" s="4">
        <v>15.6648813633914</v>
      </c>
      <c r="Z732" s="4">
        <v>15.5465844503069</v>
      </c>
      <c r="AA732" s="4">
        <v>15.5658311535898</v>
      </c>
      <c r="AB732" s="4">
        <f t="shared" si="47"/>
        <v>15.592432322429367</v>
      </c>
      <c r="AM732" s="2"/>
    </row>
    <row r="733" spans="2:39" x14ac:dyDescent="0.2">
      <c r="B733" s="4" t="s">
        <v>3543</v>
      </c>
      <c r="C733" s="4">
        <v>15.7721</v>
      </c>
      <c r="D733" s="4">
        <v>15.684100000000001</v>
      </c>
      <c r="E733" s="4">
        <v>15.727</v>
      </c>
      <c r="F733" s="4">
        <f t="shared" si="44"/>
        <v>15.727733333333333</v>
      </c>
      <c r="I733" s="4" t="s">
        <v>2802</v>
      </c>
      <c r="J733" s="4">
        <v>15.8931</v>
      </c>
      <c r="K733" s="4">
        <v>15.501899999999999</v>
      </c>
      <c r="L733" s="4">
        <v>16.0183</v>
      </c>
      <c r="M733" s="4">
        <f t="shared" si="45"/>
        <v>15.804433333333334</v>
      </c>
      <c r="Q733" s="43" t="s">
        <v>2061</v>
      </c>
      <c r="R733" s="4">
        <v>15.2503112959969</v>
      </c>
      <c r="S733" s="4">
        <v>15.6079280335265</v>
      </c>
      <c r="T733" s="4">
        <v>15.680420299389599</v>
      </c>
      <c r="U733" s="4">
        <f t="shared" si="46"/>
        <v>15.512886542970998</v>
      </c>
      <c r="X733" s="43" t="s">
        <v>1673</v>
      </c>
      <c r="Y733" s="4">
        <v>15.605638790004001</v>
      </c>
      <c r="Z733" s="4">
        <v>15.6343327853322</v>
      </c>
      <c r="AA733" s="4">
        <v>15.521528662217399</v>
      </c>
      <c r="AB733" s="4">
        <f t="shared" si="47"/>
        <v>15.587166745851199</v>
      </c>
      <c r="AM733" s="2"/>
    </row>
    <row r="734" spans="2:39" x14ac:dyDescent="0.2">
      <c r="B734" s="4" t="s">
        <v>1745</v>
      </c>
      <c r="C734" s="4">
        <v>15.8035</v>
      </c>
      <c r="D734" s="4">
        <v>16.015599999999999</v>
      </c>
      <c r="E734" s="4">
        <v>15.348599999999999</v>
      </c>
      <c r="F734" s="4">
        <f t="shared" si="44"/>
        <v>15.722566666666665</v>
      </c>
      <c r="I734" s="4" t="s">
        <v>987</v>
      </c>
      <c r="J734" s="4">
        <v>15.4886</v>
      </c>
      <c r="K734" s="4">
        <v>16.650099999999998</v>
      </c>
      <c r="L734" s="4">
        <v>15.2485</v>
      </c>
      <c r="M734" s="4">
        <f t="shared" si="45"/>
        <v>15.795733333333333</v>
      </c>
      <c r="Q734" s="43" t="s">
        <v>1553</v>
      </c>
      <c r="R734" s="4">
        <v>15.694390022488699</v>
      </c>
      <c r="S734" s="4">
        <v>15.251119189082701</v>
      </c>
      <c r="T734" s="4">
        <v>15.5838255190247</v>
      </c>
      <c r="U734" s="4">
        <f t="shared" si="46"/>
        <v>15.509778243532033</v>
      </c>
      <c r="X734" s="43" t="s">
        <v>3095</v>
      </c>
      <c r="Y734" s="4">
        <v>15.534174233905601</v>
      </c>
      <c r="Z734" s="4">
        <v>15.4711473343829</v>
      </c>
      <c r="AA734" s="4">
        <v>15.7530415350178</v>
      </c>
      <c r="AB734" s="4">
        <f t="shared" si="47"/>
        <v>15.586121034435434</v>
      </c>
      <c r="AM734" s="2"/>
    </row>
    <row r="735" spans="2:39" x14ac:dyDescent="0.2">
      <c r="B735" s="4" t="s">
        <v>663</v>
      </c>
      <c r="C735" s="4">
        <v>16.0002</v>
      </c>
      <c r="D735" s="4">
        <v>15.239800000000001</v>
      </c>
      <c r="E735" s="4">
        <v>15.922700000000001</v>
      </c>
      <c r="F735" s="4">
        <f t="shared" si="44"/>
        <v>15.7209</v>
      </c>
      <c r="I735" s="4" t="s">
        <v>275</v>
      </c>
      <c r="J735" s="4">
        <v>15.9595</v>
      </c>
      <c r="K735" s="4">
        <v>15.323700000000001</v>
      </c>
      <c r="L735" s="4">
        <v>16.1004</v>
      </c>
      <c r="M735" s="4">
        <f t="shared" si="45"/>
        <v>15.794533333333334</v>
      </c>
      <c r="Q735" s="43" t="s">
        <v>1486</v>
      </c>
      <c r="R735" s="4">
        <v>15.8957856261444</v>
      </c>
      <c r="S735" s="4">
        <v>15.2252085915717</v>
      </c>
      <c r="T735" s="4">
        <v>15.4040806866858</v>
      </c>
      <c r="U735" s="4">
        <f t="shared" si="46"/>
        <v>15.508358301467302</v>
      </c>
      <c r="X735" s="43" t="s">
        <v>4294</v>
      </c>
      <c r="Y735" s="4">
        <v>15.440539920945699</v>
      </c>
      <c r="Z735" s="4">
        <v>16.058539967016301</v>
      </c>
      <c r="AA735" s="4">
        <v>15.248428617694801</v>
      </c>
      <c r="AB735" s="4">
        <f t="shared" si="47"/>
        <v>15.582502835218934</v>
      </c>
      <c r="AM735" s="2"/>
    </row>
    <row r="736" spans="2:39" x14ac:dyDescent="0.2">
      <c r="B736" s="4" t="s">
        <v>2317</v>
      </c>
      <c r="C736" s="4">
        <v>15.6089</v>
      </c>
      <c r="D736" s="4">
        <v>15.751799999999999</v>
      </c>
      <c r="E736" s="4">
        <v>15.800599999999999</v>
      </c>
      <c r="F736" s="4">
        <f t="shared" si="44"/>
        <v>15.720433333333332</v>
      </c>
      <c r="I736" s="4" t="s">
        <v>1696</v>
      </c>
      <c r="J736" s="4">
        <v>16.025099999999998</v>
      </c>
      <c r="K736" s="4">
        <v>15.191599999999999</v>
      </c>
      <c r="L736" s="4">
        <v>16.163699999999999</v>
      </c>
      <c r="M736" s="4">
        <f t="shared" si="45"/>
        <v>15.793466666666665</v>
      </c>
      <c r="Q736" s="43" t="s">
        <v>3152</v>
      </c>
      <c r="R736" s="4">
        <v>15.516963214845299</v>
      </c>
      <c r="S736" s="4">
        <v>15.4163939781573</v>
      </c>
      <c r="T736" s="4">
        <v>15.5876039732984</v>
      </c>
      <c r="U736" s="4">
        <f t="shared" si="46"/>
        <v>15.506987055433667</v>
      </c>
      <c r="X736" s="43" t="s">
        <v>1529</v>
      </c>
      <c r="Y736" s="4">
        <v>15.6536782307947</v>
      </c>
      <c r="Z736" s="4">
        <v>15.632765376360499</v>
      </c>
      <c r="AA736" s="4">
        <v>15.445620650468699</v>
      </c>
      <c r="AB736" s="4">
        <f t="shared" si="47"/>
        <v>15.577354752541298</v>
      </c>
      <c r="AM736" s="2"/>
    </row>
    <row r="737" spans="2:39" x14ac:dyDescent="0.2">
      <c r="B737" s="4" t="s">
        <v>1347</v>
      </c>
      <c r="C737" s="4">
        <v>15.4992</v>
      </c>
      <c r="D737" s="4">
        <v>15.7578</v>
      </c>
      <c r="E737" s="4">
        <v>15.889099999999999</v>
      </c>
      <c r="F737" s="4">
        <f t="shared" si="44"/>
        <v>15.715366666666666</v>
      </c>
      <c r="I737" s="4" t="s">
        <v>276</v>
      </c>
      <c r="J737" s="4">
        <v>15.654999999999999</v>
      </c>
      <c r="K737" s="4">
        <v>16.137599999999999</v>
      </c>
      <c r="L737" s="4">
        <v>15.5868</v>
      </c>
      <c r="M737" s="4">
        <f t="shared" si="45"/>
        <v>15.793133333333335</v>
      </c>
      <c r="Q737" s="43" t="s">
        <v>3804</v>
      </c>
      <c r="R737" s="4">
        <v>15.400378198817601</v>
      </c>
      <c r="S737" s="4">
        <v>15.5755987450524</v>
      </c>
      <c r="T737" s="4">
        <v>15.544113866599201</v>
      </c>
      <c r="U737" s="4">
        <f t="shared" si="46"/>
        <v>15.506696936823067</v>
      </c>
      <c r="X737" s="43" t="s">
        <v>2758</v>
      </c>
      <c r="Y737" s="4">
        <v>15.414932300968699</v>
      </c>
      <c r="Z737" s="4">
        <v>15.773717642851601</v>
      </c>
      <c r="AA737" s="4">
        <v>15.5305876284069</v>
      </c>
      <c r="AB737" s="4">
        <f t="shared" si="47"/>
        <v>15.5730791907424</v>
      </c>
      <c r="AM737" s="2"/>
    </row>
    <row r="738" spans="2:39" x14ac:dyDescent="0.2">
      <c r="B738" s="4" t="s">
        <v>1560</v>
      </c>
      <c r="C738" s="4">
        <v>15.8331</v>
      </c>
      <c r="D738" s="4">
        <v>15.6075</v>
      </c>
      <c r="E738" s="4">
        <v>15.702199999999999</v>
      </c>
      <c r="F738" s="4">
        <f t="shared" si="44"/>
        <v>15.714266666666667</v>
      </c>
      <c r="I738" s="4" t="s">
        <v>1745</v>
      </c>
      <c r="J738" s="4">
        <v>16.038399999999999</v>
      </c>
      <c r="K738" s="4">
        <v>15.668699999999999</v>
      </c>
      <c r="L738" s="4">
        <v>15.6503</v>
      </c>
      <c r="M738" s="4">
        <f t="shared" si="45"/>
        <v>15.7858</v>
      </c>
      <c r="Q738" s="43" t="s">
        <v>2451</v>
      </c>
      <c r="R738" s="4">
        <v>15.283877663146001</v>
      </c>
      <c r="S738" s="4">
        <v>15.619503326863301</v>
      </c>
      <c r="T738" s="4">
        <v>15.616015212273799</v>
      </c>
      <c r="U738" s="4">
        <f t="shared" si="46"/>
        <v>15.506465400761035</v>
      </c>
      <c r="X738" s="43" t="s">
        <v>3412</v>
      </c>
      <c r="Y738" s="4">
        <v>15.613995483762601</v>
      </c>
      <c r="Z738" s="4">
        <v>15.5805976779591</v>
      </c>
      <c r="AA738" s="4">
        <v>15.5242930061256</v>
      </c>
      <c r="AB738" s="4">
        <f t="shared" si="47"/>
        <v>15.5729620559491</v>
      </c>
      <c r="AM738" s="2"/>
    </row>
    <row r="739" spans="2:39" x14ac:dyDescent="0.2">
      <c r="B739" s="4" t="s">
        <v>583</v>
      </c>
      <c r="C739" s="4">
        <v>15.9476</v>
      </c>
      <c r="D739" s="4">
        <v>15.538600000000001</v>
      </c>
      <c r="E739" s="4">
        <v>15.656000000000001</v>
      </c>
      <c r="F739" s="4">
        <f t="shared" si="44"/>
        <v>15.714066666666668</v>
      </c>
      <c r="I739" s="4" t="s">
        <v>3556</v>
      </c>
      <c r="J739" s="4">
        <v>15.7798</v>
      </c>
      <c r="K739" s="4">
        <v>15.8436</v>
      </c>
      <c r="L739" s="4">
        <v>15.731</v>
      </c>
      <c r="M739" s="4">
        <f t="shared" si="45"/>
        <v>15.784799999999999</v>
      </c>
      <c r="Q739" s="43" t="s">
        <v>1040</v>
      </c>
      <c r="R739" s="4">
        <v>15.6120664971143</v>
      </c>
      <c r="S739" s="4">
        <v>15.586572221874899</v>
      </c>
      <c r="T739" s="4">
        <v>15.317267476716101</v>
      </c>
      <c r="U739" s="4">
        <f t="shared" si="46"/>
        <v>15.505302065235099</v>
      </c>
      <c r="X739" s="43" t="s">
        <v>782</v>
      </c>
      <c r="Y739" s="4">
        <v>15.6720985584254</v>
      </c>
      <c r="Z739" s="4">
        <v>16.2545629205623</v>
      </c>
      <c r="AA739" s="4">
        <v>14.789202297512</v>
      </c>
      <c r="AB739" s="4">
        <f t="shared" si="47"/>
        <v>15.571954592166568</v>
      </c>
      <c r="AM739" s="2"/>
    </row>
    <row r="740" spans="2:39" x14ac:dyDescent="0.2">
      <c r="B740" s="4" t="s">
        <v>2795</v>
      </c>
      <c r="C740" s="4">
        <v>16.006599999999999</v>
      </c>
      <c r="D740" s="4">
        <v>15.785600000000001</v>
      </c>
      <c r="E740" s="4">
        <v>15.3431</v>
      </c>
      <c r="F740" s="4">
        <f t="shared" si="44"/>
        <v>15.711766666666668</v>
      </c>
      <c r="I740" s="4" t="s">
        <v>3493</v>
      </c>
      <c r="J740" s="4">
        <v>15.275700000000001</v>
      </c>
      <c r="K740" s="4">
        <v>16.589400000000001</v>
      </c>
      <c r="L740" s="4">
        <v>15.4811</v>
      </c>
      <c r="M740" s="4">
        <f t="shared" si="45"/>
        <v>15.782066666666667</v>
      </c>
      <c r="Q740" s="43" t="s">
        <v>2831</v>
      </c>
      <c r="R740" s="4">
        <v>15.086412424644999</v>
      </c>
      <c r="S740" s="4">
        <v>15.6133233743957</v>
      </c>
      <c r="T740" s="4">
        <v>15.813790666638001</v>
      </c>
      <c r="U740" s="4">
        <f t="shared" si="46"/>
        <v>15.5045088218929</v>
      </c>
      <c r="X740" s="43" t="s">
        <v>3117</v>
      </c>
      <c r="Y740" s="4">
        <v>15.779280901581201</v>
      </c>
      <c r="Z740" s="4">
        <v>15.457678964188201</v>
      </c>
      <c r="AA740" s="4">
        <v>15.471957815091599</v>
      </c>
      <c r="AB740" s="4">
        <f t="shared" si="47"/>
        <v>15.569639226953667</v>
      </c>
      <c r="AM740" s="2"/>
    </row>
    <row r="741" spans="2:39" x14ac:dyDescent="0.2">
      <c r="B741" s="4" t="s">
        <v>446</v>
      </c>
      <c r="C741" s="4">
        <v>15.627800000000001</v>
      </c>
      <c r="D741" s="4">
        <v>15.496499999999999</v>
      </c>
      <c r="E741" s="4">
        <v>15.9992</v>
      </c>
      <c r="F741" s="4">
        <f t="shared" si="44"/>
        <v>15.707833333333333</v>
      </c>
      <c r="I741" s="4" t="s">
        <v>2430</v>
      </c>
      <c r="J741" s="4">
        <v>15.8367</v>
      </c>
      <c r="K741" s="4">
        <v>15.5434</v>
      </c>
      <c r="L741" s="4">
        <v>15.9587</v>
      </c>
      <c r="M741" s="4">
        <f t="shared" si="45"/>
        <v>15.7796</v>
      </c>
      <c r="Q741" s="43" t="s">
        <v>2172</v>
      </c>
      <c r="R741" s="4">
        <v>15.552420151950701</v>
      </c>
      <c r="S741" s="4">
        <v>15.3939222276706</v>
      </c>
      <c r="T741" s="4">
        <v>15.566078588377399</v>
      </c>
      <c r="U741" s="4">
        <f t="shared" si="46"/>
        <v>15.504140322666233</v>
      </c>
      <c r="X741" s="43" t="s">
        <v>1367</v>
      </c>
      <c r="Y741" s="4">
        <v>15.513365857258099</v>
      </c>
      <c r="Z741" s="4">
        <v>15.7559924225237</v>
      </c>
      <c r="AA741" s="4">
        <v>15.4359663734432</v>
      </c>
      <c r="AB741" s="4">
        <f t="shared" si="47"/>
        <v>15.568441551074999</v>
      </c>
      <c r="AM741" s="2"/>
    </row>
    <row r="742" spans="2:39" x14ac:dyDescent="0.2">
      <c r="B742" s="4" t="s">
        <v>1221</v>
      </c>
      <c r="C742" s="4">
        <v>15.950900000000001</v>
      </c>
      <c r="D742" s="4">
        <v>15.587199999999999</v>
      </c>
      <c r="E742" s="4">
        <v>15.575200000000001</v>
      </c>
      <c r="F742" s="4">
        <f t="shared" si="44"/>
        <v>15.704433333333334</v>
      </c>
      <c r="I742" s="4" t="s">
        <v>2476</v>
      </c>
      <c r="J742" s="4">
        <v>15.7883</v>
      </c>
      <c r="K742" s="4">
        <v>15.2094</v>
      </c>
      <c r="L742" s="4">
        <v>16.340199999999999</v>
      </c>
      <c r="M742" s="4">
        <f t="shared" si="45"/>
        <v>15.779300000000001</v>
      </c>
      <c r="Q742" s="43" t="s">
        <v>2902</v>
      </c>
      <c r="R742" s="4">
        <v>15.3777183268726</v>
      </c>
      <c r="S742" s="4">
        <v>15.4231972376889</v>
      </c>
      <c r="T742" s="4">
        <v>15.705680002947201</v>
      </c>
      <c r="U742" s="4">
        <f t="shared" si="46"/>
        <v>15.5021985225029</v>
      </c>
      <c r="X742" s="43" t="s">
        <v>2196</v>
      </c>
      <c r="Y742" s="4">
        <v>15.602332431080001</v>
      </c>
      <c r="Z742" s="4">
        <v>15.621588751215301</v>
      </c>
      <c r="AA742" s="4">
        <v>15.4745906867164</v>
      </c>
      <c r="AB742" s="4">
        <f t="shared" si="47"/>
        <v>15.566170623003899</v>
      </c>
    </row>
    <row r="743" spans="2:39" x14ac:dyDescent="0.2">
      <c r="B743" s="4" t="s">
        <v>3615</v>
      </c>
      <c r="C743" s="4">
        <v>15.899699999999999</v>
      </c>
      <c r="D743" s="4">
        <v>15.6311</v>
      </c>
      <c r="E743" s="4">
        <v>15.578200000000001</v>
      </c>
      <c r="F743" s="4">
        <f t="shared" si="44"/>
        <v>15.703000000000001</v>
      </c>
      <c r="I743" s="4" t="s">
        <v>3027</v>
      </c>
      <c r="J743" s="4">
        <v>15.440799999999999</v>
      </c>
      <c r="K743" s="4">
        <v>17.0121</v>
      </c>
      <c r="L743" s="4">
        <v>14.865600000000001</v>
      </c>
      <c r="M743" s="4">
        <f t="shared" si="45"/>
        <v>15.772833333333333</v>
      </c>
      <c r="Q743" s="43" t="s">
        <v>1675</v>
      </c>
      <c r="R743" s="4">
        <v>15.7830655745872</v>
      </c>
      <c r="S743" s="4">
        <v>15.119156840371399</v>
      </c>
      <c r="T743" s="4">
        <v>15.602365537976601</v>
      </c>
      <c r="U743" s="4">
        <f t="shared" si="46"/>
        <v>15.501529317645067</v>
      </c>
      <c r="X743" s="43" t="s">
        <v>1152</v>
      </c>
      <c r="Y743" s="4">
        <v>15.4885645333816</v>
      </c>
      <c r="Z743" s="4">
        <v>15.614717739279</v>
      </c>
      <c r="AA743" s="4">
        <v>15.5900656860236</v>
      </c>
      <c r="AB743" s="4">
        <f t="shared" si="47"/>
        <v>15.564449319561399</v>
      </c>
    </row>
    <row r="744" spans="2:39" x14ac:dyDescent="0.2">
      <c r="B744" s="4" t="s">
        <v>3095</v>
      </c>
      <c r="C744" s="4">
        <v>15.847</v>
      </c>
      <c r="D744" s="4">
        <v>15.827</v>
      </c>
      <c r="E744" s="4">
        <v>15.426299999999999</v>
      </c>
      <c r="F744" s="4">
        <f t="shared" si="44"/>
        <v>15.700099999999999</v>
      </c>
      <c r="I744" s="4" t="s">
        <v>3420</v>
      </c>
      <c r="J744" s="4">
        <v>15.8971</v>
      </c>
      <c r="K744" s="4">
        <v>15.5528</v>
      </c>
      <c r="L744" s="4">
        <v>15.861000000000001</v>
      </c>
      <c r="M744" s="4">
        <f t="shared" si="45"/>
        <v>15.770300000000001</v>
      </c>
      <c r="Q744" s="43" t="s">
        <v>2069</v>
      </c>
      <c r="R744" s="4">
        <v>15.661737954695999</v>
      </c>
      <c r="S744" s="4">
        <v>15.4481018934751</v>
      </c>
      <c r="T744" s="4">
        <v>15.390878859130799</v>
      </c>
      <c r="U744" s="4">
        <f t="shared" si="46"/>
        <v>15.500239569100634</v>
      </c>
      <c r="X744" s="43" t="s">
        <v>1222</v>
      </c>
      <c r="Y744" s="4">
        <v>15.545397498685301</v>
      </c>
      <c r="Z744" s="4">
        <v>15.890050044731799</v>
      </c>
      <c r="AA744" s="4">
        <v>15.2576375762344</v>
      </c>
      <c r="AB744" s="4">
        <f t="shared" si="47"/>
        <v>15.5643617065505</v>
      </c>
    </row>
    <row r="745" spans="2:39" x14ac:dyDescent="0.2">
      <c r="B745" s="4" t="s">
        <v>1723</v>
      </c>
      <c r="C745" s="4">
        <v>15.668100000000001</v>
      </c>
      <c r="D745" s="4">
        <v>15.6287</v>
      </c>
      <c r="E745" s="4">
        <v>15.8002</v>
      </c>
      <c r="F745" s="4">
        <f t="shared" si="44"/>
        <v>15.699</v>
      </c>
      <c r="I745" s="4" t="s">
        <v>156</v>
      </c>
      <c r="J745" s="4">
        <v>16.0442</v>
      </c>
      <c r="K745" s="4">
        <v>15.162699999999999</v>
      </c>
      <c r="L745" s="4">
        <v>16.0932</v>
      </c>
      <c r="M745" s="4">
        <f t="shared" si="45"/>
        <v>15.7667</v>
      </c>
      <c r="Q745" s="43" t="s">
        <v>1331</v>
      </c>
      <c r="R745" s="4">
        <v>15.3500278533265</v>
      </c>
      <c r="S745" s="4">
        <v>15.4984978134298</v>
      </c>
      <c r="T745" s="4">
        <v>15.6338728492504</v>
      </c>
      <c r="U745" s="4">
        <f t="shared" si="46"/>
        <v>15.494132838668902</v>
      </c>
      <c r="X745" s="43" t="s">
        <v>1154</v>
      </c>
      <c r="Y745" s="4">
        <v>15.6828868004316</v>
      </c>
      <c r="Z745" s="4">
        <v>15.402371910060401</v>
      </c>
      <c r="AA745" s="4">
        <v>15.5936040607472</v>
      </c>
      <c r="AB745" s="4">
        <f t="shared" si="47"/>
        <v>15.559620923746399</v>
      </c>
    </row>
    <row r="746" spans="2:39" x14ac:dyDescent="0.2">
      <c r="B746" s="4" t="s">
        <v>1364</v>
      </c>
      <c r="C746" s="4">
        <v>15.5998</v>
      </c>
      <c r="D746" s="4">
        <v>15.694599999999999</v>
      </c>
      <c r="E746" s="4">
        <v>15.8019</v>
      </c>
      <c r="F746" s="4">
        <f t="shared" si="44"/>
        <v>15.698766666666666</v>
      </c>
      <c r="I746" s="4" t="s">
        <v>2891</v>
      </c>
      <c r="J746" s="4">
        <v>15.7456</v>
      </c>
      <c r="K746" s="4">
        <v>15.9331</v>
      </c>
      <c r="L746" s="4">
        <v>15.6182</v>
      </c>
      <c r="M746" s="4">
        <f t="shared" si="45"/>
        <v>15.765633333333334</v>
      </c>
      <c r="Q746" s="43" t="s">
        <v>2585</v>
      </c>
      <c r="R746" s="4">
        <v>15.3866457234859</v>
      </c>
      <c r="S746" s="4">
        <v>15.513200418989401</v>
      </c>
      <c r="T746" s="4">
        <v>15.5773519076812</v>
      </c>
      <c r="U746" s="4">
        <f t="shared" si="46"/>
        <v>15.492399350052168</v>
      </c>
      <c r="X746" s="43" t="s">
        <v>2661</v>
      </c>
      <c r="Y746" s="4">
        <v>15.4488926614509</v>
      </c>
      <c r="Z746" s="4">
        <v>15.7505084443975</v>
      </c>
      <c r="AA746" s="4">
        <v>15.4772077724864</v>
      </c>
      <c r="AB746" s="4">
        <f t="shared" si="47"/>
        <v>15.558869626111601</v>
      </c>
    </row>
    <row r="747" spans="2:39" x14ac:dyDescent="0.2">
      <c r="B747" s="4" t="s">
        <v>859</v>
      </c>
      <c r="C747" s="4">
        <v>15.695499999999999</v>
      </c>
      <c r="D747" s="4">
        <v>15.764799999999999</v>
      </c>
      <c r="E747" s="4">
        <v>15.6309</v>
      </c>
      <c r="F747" s="4">
        <f t="shared" si="44"/>
        <v>15.697066666666666</v>
      </c>
      <c r="I747" s="4" t="s">
        <v>3353</v>
      </c>
      <c r="J747" s="4">
        <v>15.6729</v>
      </c>
      <c r="K747" s="4">
        <v>15.673500000000001</v>
      </c>
      <c r="L747" s="4">
        <v>15.949299999999999</v>
      </c>
      <c r="M747" s="4">
        <f t="shared" si="45"/>
        <v>15.765233333333335</v>
      </c>
      <c r="Q747" s="43" t="s">
        <v>2210</v>
      </c>
      <c r="R747" s="4">
        <v>15.385569778843401</v>
      </c>
      <c r="S747" s="4">
        <v>15.6915933317116</v>
      </c>
      <c r="T747" s="4">
        <v>15.386184858898</v>
      </c>
      <c r="U747" s="4">
        <f t="shared" si="46"/>
        <v>15.487782656484333</v>
      </c>
      <c r="X747" s="43" t="s">
        <v>2351</v>
      </c>
      <c r="Y747" s="4">
        <v>15.6216965380376</v>
      </c>
      <c r="Z747" s="4">
        <v>15.6161664543729</v>
      </c>
      <c r="AA747" s="4">
        <v>15.437566933376401</v>
      </c>
      <c r="AB747" s="4">
        <f t="shared" si="47"/>
        <v>15.558476641928968</v>
      </c>
    </row>
    <row r="748" spans="2:39" x14ac:dyDescent="0.2">
      <c r="B748" s="4" t="s">
        <v>3988</v>
      </c>
      <c r="C748" s="4">
        <v>15.6335</v>
      </c>
      <c r="D748" s="4">
        <v>15.6831</v>
      </c>
      <c r="E748" s="4">
        <v>15.761699999999999</v>
      </c>
      <c r="F748" s="4">
        <f t="shared" si="44"/>
        <v>15.692766666666666</v>
      </c>
      <c r="I748" s="4" t="s">
        <v>1156</v>
      </c>
      <c r="J748" s="4">
        <v>16.8184</v>
      </c>
      <c r="K748" s="4">
        <v>16.583400000000001</v>
      </c>
      <c r="L748" s="4">
        <v>13.8742</v>
      </c>
      <c r="M748" s="4">
        <f t="shared" si="45"/>
        <v>15.758666666666668</v>
      </c>
      <c r="Q748" s="43" t="s">
        <v>3557</v>
      </c>
      <c r="R748" s="4">
        <v>15.5576434003563</v>
      </c>
      <c r="S748" s="4">
        <v>15.422012889462</v>
      </c>
      <c r="T748" s="4">
        <v>15.4680713859403</v>
      </c>
      <c r="U748" s="4">
        <f t="shared" si="46"/>
        <v>15.482575891919533</v>
      </c>
      <c r="X748" s="43" t="s">
        <v>180</v>
      </c>
      <c r="Y748" s="4">
        <v>15.493659728396601</v>
      </c>
      <c r="Z748" s="4">
        <v>15.624772345110401</v>
      </c>
      <c r="AA748" s="4">
        <v>15.5562935109525</v>
      </c>
      <c r="AB748" s="4">
        <f t="shared" si="47"/>
        <v>15.558241861486501</v>
      </c>
    </row>
    <row r="749" spans="2:39" x14ac:dyDescent="0.2">
      <c r="B749" s="4" t="s">
        <v>1519</v>
      </c>
      <c r="C749" s="4">
        <v>15.29</v>
      </c>
      <c r="D749" s="4">
        <v>15.0062</v>
      </c>
      <c r="E749" s="4">
        <v>16.780200000000001</v>
      </c>
      <c r="F749" s="4">
        <f t="shared" si="44"/>
        <v>15.692133333333333</v>
      </c>
      <c r="I749" s="4" t="s">
        <v>1321</v>
      </c>
      <c r="J749" s="4">
        <v>15.892300000000001</v>
      </c>
      <c r="K749" s="4">
        <v>15.5069</v>
      </c>
      <c r="L749" s="4">
        <v>15.875500000000001</v>
      </c>
      <c r="M749" s="4">
        <f t="shared" si="45"/>
        <v>15.758233333333335</v>
      </c>
      <c r="Q749" s="43" t="s">
        <v>348</v>
      </c>
      <c r="R749" s="4">
        <v>15.573280760533301</v>
      </c>
      <c r="S749" s="4">
        <v>15.336383986818699</v>
      </c>
      <c r="T749" s="4">
        <v>15.536582063781699</v>
      </c>
      <c r="U749" s="4">
        <f t="shared" si="46"/>
        <v>15.4820822703779</v>
      </c>
      <c r="X749" s="43" t="s">
        <v>2835</v>
      </c>
      <c r="Y749" s="4">
        <v>15.527741609225799</v>
      </c>
      <c r="Z749" s="4">
        <v>15.6230565857319</v>
      </c>
      <c r="AA749" s="4">
        <v>15.523215621797499</v>
      </c>
      <c r="AB749" s="4">
        <f t="shared" si="47"/>
        <v>15.558004605585067</v>
      </c>
    </row>
    <row r="750" spans="2:39" x14ac:dyDescent="0.2">
      <c r="B750" s="4" t="s">
        <v>3844</v>
      </c>
      <c r="C750" s="4">
        <v>15.529500000000001</v>
      </c>
      <c r="D750" s="4">
        <v>15.8238</v>
      </c>
      <c r="E750" s="4">
        <v>15.7158</v>
      </c>
      <c r="F750" s="4">
        <f t="shared" si="44"/>
        <v>15.6897</v>
      </c>
      <c r="I750" s="4" t="s">
        <v>3390</v>
      </c>
      <c r="J750" s="4">
        <v>15.8432</v>
      </c>
      <c r="K750" s="4">
        <v>15.483599999999999</v>
      </c>
      <c r="L750" s="4">
        <v>15.946999999999999</v>
      </c>
      <c r="M750" s="4">
        <f t="shared" si="45"/>
        <v>15.757933333333332</v>
      </c>
      <c r="Q750" s="43" t="s">
        <v>4554</v>
      </c>
      <c r="R750" s="4">
        <v>16.101268055293001</v>
      </c>
      <c r="S750" s="4">
        <v>14.5843063487068</v>
      </c>
      <c r="T750" s="4">
        <v>15.7586077788251</v>
      </c>
      <c r="U750" s="4">
        <f t="shared" si="46"/>
        <v>15.481394060941634</v>
      </c>
      <c r="X750" s="43" t="s">
        <v>1299</v>
      </c>
      <c r="Y750" s="4">
        <v>15.539022265029001</v>
      </c>
      <c r="Z750" s="4">
        <v>15.475045322006901</v>
      </c>
      <c r="AA750" s="4">
        <v>15.6464286435169</v>
      </c>
      <c r="AB750" s="4">
        <f t="shared" si="47"/>
        <v>15.553498743517601</v>
      </c>
    </row>
    <row r="751" spans="2:39" x14ac:dyDescent="0.2">
      <c r="B751" s="4" t="s">
        <v>1373</v>
      </c>
      <c r="C751" s="4">
        <v>15.7446</v>
      </c>
      <c r="D751" s="4">
        <v>15.6996</v>
      </c>
      <c r="E751" s="4">
        <v>15.6226</v>
      </c>
      <c r="F751" s="4">
        <f t="shared" si="44"/>
        <v>15.688933333333333</v>
      </c>
      <c r="I751" s="4" t="s">
        <v>1762</v>
      </c>
      <c r="J751" s="4">
        <v>15.61</v>
      </c>
      <c r="K751" s="4">
        <v>16.031400000000001</v>
      </c>
      <c r="L751" s="4">
        <v>15.628</v>
      </c>
      <c r="M751" s="4">
        <f t="shared" si="45"/>
        <v>15.756466666666668</v>
      </c>
      <c r="Q751" s="43" t="s">
        <v>4428</v>
      </c>
      <c r="R751" s="4">
        <v>15.510788928067401</v>
      </c>
      <c r="S751" s="4">
        <v>15.481846864869199</v>
      </c>
      <c r="T751" s="4">
        <v>15.450390970819599</v>
      </c>
      <c r="U751" s="4">
        <f t="shared" si="46"/>
        <v>15.481008921252068</v>
      </c>
      <c r="X751" s="43" t="s">
        <v>2559</v>
      </c>
      <c r="Y751" s="4">
        <v>15.5122551308166</v>
      </c>
      <c r="Z751" s="4">
        <v>15.612368804053601</v>
      </c>
      <c r="AA751" s="4">
        <v>15.531980326395599</v>
      </c>
      <c r="AB751" s="4">
        <f t="shared" si="47"/>
        <v>15.552201420421932</v>
      </c>
    </row>
    <row r="752" spans="2:39" x14ac:dyDescent="0.2">
      <c r="B752" s="4" t="s">
        <v>3125</v>
      </c>
      <c r="C752" s="4">
        <v>15.710900000000001</v>
      </c>
      <c r="D752" s="4">
        <v>15.7151</v>
      </c>
      <c r="E752" s="4">
        <v>15.6394</v>
      </c>
      <c r="F752" s="4">
        <f t="shared" si="44"/>
        <v>15.688466666666669</v>
      </c>
      <c r="I752" s="4" t="s">
        <v>3169</v>
      </c>
      <c r="J752" s="4">
        <v>15.3081</v>
      </c>
      <c r="K752" s="4">
        <v>17.186499999999999</v>
      </c>
      <c r="L752" s="4">
        <v>14.7563</v>
      </c>
      <c r="M752" s="4">
        <f t="shared" si="45"/>
        <v>15.750300000000001</v>
      </c>
      <c r="Q752" s="43" t="s">
        <v>2996</v>
      </c>
      <c r="R752" s="4">
        <v>15.4511305984035</v>
      </c>
      <c r="S752" s="4">
        <v>15.5621352664377</v>
      </c>
      <c r="T752" s="4">
        <v>15.4262535056567</v>
      </c>
      <c r="U752" s="4">
        <f t="shared" si="46"/>
        <v>15.479839790165968</v>
      </c>
      <c r="X752" s="43" t="s">
        <v>1635</v>
      </c>
      <c r="Y752" s="4">
        <v>15.512111145230399</v>
      </c>
      <c r="Z752" s="4">
        <v>15.591686715964199</v>
      </c>
      <c r="AA752" s="4">
        <v>15.543503171237401</v>
      </c>
      <c r="AB752" s="4">
        <f t="shared" si="47"/>
        <v>15.549100344144</v>
      </c>
    </row>
    <row r="753" spans="2:28" x14ac:dyDescent="0.2">
      <c r="B753" s="4" t="s">
        <v>1672</v>
      </c>
      <c r="C753" s="4">
        <v>16.078900000000001</v>
      </c>
      <c r="D753" s="4">
        <v>15.3032</v>
      </c>
      <c r="E753" s="4">
        <v>15.679399999999999</v>
      </c>
      <c r="F753" s="4">
        <f t="shared" si="44"/>
        <v>15.687166666666668</v>
      </c>
      <c r="I753" s="4" t="s">
        <v>212</v>
      </c>
      <c r="J753" s="4">
        <v>16.0077</v>
      </c>
      <c r="K753" s="4">
        <v>15.416</v>
      </c>
      <c r="L753" s="4">
        <v>15.809100000000001</v>
      </c>
      <c r="M753" s="4">
        <f t="shared" si="45"/>
        <v>15.744266666666666</v>
      </c>
      <c r="Q753" s="43" t="s">
        <v>4071</v>
      </c>
      <c r="R753" s="4">
        <v>15.4710143287914</v>
      </c>
      <c r="S753" s="4">
        <v>15.463061993728299</v>
      </c>
      <c r="T753" s="4">
        <v>15.4995490975219</v>
      </c>
      <c r="U753" s="4">
        <f t="shared" si="46"/>
        <v>15.477875140013866</v>
      </c>
      <c r="X753" s="43" t="s">
        <v>301</v>
      </c>
      <c r="Y753" s="4">
        <v>15.512176919542499</v>
      </c>
      <c r="Z753" s="4">
        <v>15.7395733267086</v>
      </c>
      <c r="AA753" s="4">
        <v>15.395398150951401</v>
      </c>
      <c r="AB753" s="4">
        <f t="shared" si="47"/>
        <v>15.549049465734166</v>
      </c>
    </row>
    <row r="754" spans="2:28" x14ac:dyDescent="0.2">
      <c r="B754" s="4" t="s">
        <v>1195</v>
      </c>
      <c r="C754" s="4">
        <v>15.837300000000001</v>
      </c>
      <c r="D754" s="4">
        <v>15.646599999999999</v>
      </c>
      <c r="E754" s="4">
        <v>15.577199999999999</v>
      </c>
      <c r="F754" s="4">
        <f t="shared" si="44"/>
        <v>15.687033333333332</v>
      </c>
      <c r="I754" s="4" t="s">
        <v>1712</v>
      </c>
      <c r="J754" s="4">
        <v>15.342700000000001</v>
      </c>
      <c r="K754" s="4">
        <v>16.555700000000002</v>
      </c>
      <c r="L754" s="4">
        <v>15.3337</v>
      </c>
      <c r="M754" s="4">
        <f t="shared" si="45"/>
        <v>15.744033333333334</v>
      </c>
      <c r="Q754" s="43" t="s">
        <v>1326</v>
      </c>
      <c r="R754" s="4">
        <v>15.946121659139299</v>
      </c>
      <c r="S754" s="4">
        <v>14.976212090252099</v>
      </c>
      <c r="T754" s="4">
        <v>15.508744502406699</v>
      </c>
      <c r="U754" s="4">
        <f t="shared" si="46"/>
        <v>15.477026083932699</v>
      </c>
      <c r="X754" s="43" t="s">
        <v>1762</v>
      </c>
      <c r="Y754" s="4">
        <v>15.8114207604304</v>
      </c>
      <c r="Z754" s="4">
        <v>15.3674100460172</v>
      </c>
      <c r="AA754" s="4">
        <v>15.463661331753601</v>
      </c>
      <c r="AB754" s="4">
        <f t="shared" si="47"/>
        <v>15.547497379400399</v>
      </c>
    </row>
    <row r="755" spans="2:28" x14ac:dyDescent="0.2">
      <c r="B755" s="4" t="s">
        <v>565</v>
      </c>
      <c r="C755" s="4">
        <v>15.574199999999999</v>
      </c>
      <c r="D755" s="4">
        <v>15.619300000000001</v>
      </c>
      <c r="E755" s="4">
        <v>15.864599999999999</v>
      </c>
      <c r="F755" s="4">
        <f t="shared" si="44"/>
        <v>15.686033333333333</v>
      </c>
      <c r="I755" s="4" t="s">
        <v>3136</v>
      </c>
      <c r="J755" s="4">
        <v>15.835100000000001</v>
      </c>
      <c r="K755" s="4">
        <v>15.819599999999999</v>
      </c>
      <c r="L755" s="4">
        <v>15.5501</v>
      </c>
      <c r="M755" s="4">
        <f t="shared" si="45"/>
        <v>15.734933333333332</v>
      </c>
      <c r="Q755" s="43" t="s">
        <v>3691</v>
      </c>
      <c r="R755" s="4">
        <v>15.3769315615152</v>
      </c>
      <c r="S755" s="4">
        <v>15.677259616410501</v>
      </c>
      <c r="T755" s="4">
        <v>15.3715823582718</v>
      </c>
      <c r="U755" s="4">
        <f t="shared" si="46"/>
        <v>15.475257845399168</v>
      </c>
      <c r="X755" s="43" t="s">
        <v>1214</v>
      </c>
      <c r="Y755" s="4">
        <v>15.740307875021299</v>
      </c>
      <c r="Z755" s="4">
        <v>15.483120066180399</v>
      </c>
      <c r="AA755" s="4">
        <v>15.418693045018401</v>
      </c>
      <c r="AB755" s="4">
        <f t="shared" si="47"/>
        <v>15.547373662073367</v>
      </c>
    </row>
    <row r="756" spans="2:28" x14ac:dyDescent="0.2">
      <c r="B756" s="4" t="s">
        <v>2716</v>
      </c>
      <c r="C756" s="4">
        <v>15.3195</v>
      </c>
      <c r="D756" s="4">
        <v>15.607200000000001</v>
      </c>
      <c r="E756" s="4">
        <v>16.131</v>
      </c>
      <c r="F756" s="4">
        <f t="shared" si="44"/>
        <v>15.685899999999998</v>
      </c>
      <c r="I756" s="4" t="s">
        <v>2254</v>
      </c>
      <c r="J756" s="4">
        <v>16.385400000000001</v>
      </c>
      <c r="K756" s="4">
        <v>15.613099999999999</v>
      </c>
      <c r="L756" s="4">
        <v>15.205399999999999</v>
      </c>
      <c r="M756" s="4">
        <f t="shared" si="45"/>
        <v>15.734633333333333</v>
      </c>
      <c r="Q756" s="43" t="s">
        <v>2365</v>
      </c>
      <c r="R756" s="4">
        <v>15.4249907843743</v>
      </c>
      <c r="S756" s="4">
        <v>15.5025081234865</v>
      </c>
      <c r="T756" s="4">
        <v>15.494926177669401</v>
      </c>
      <c r="U756" s="4">
        <f t="shared" si="46"/>
        <v>15.474141695176733</v>
      </c>
      <c r="X756" s="43" t="s">
        <v>3831</v>
      </c>
      <c r="Y756" s="4">
        <v>15.3003742977202</v>
      </c>
      <c r="Z756" s="4">
        <v>16.062150969383602</v>
      </c>
      <c r="AA756" s="4">
        <v>15.2692103312844</v>
      </c>
      <c r="AB756" s="4">
        <f t="shared" si="47"/>
        <v>15.543911866129401</v>
      </c>
    </row>
    <row r="757" spans="2:28" x14ac:dyDescent="0.2">
      <c r="B757" s="4" t="s">
        <v>602</v>
      </c>
      <c r="C757" s="4">
        <v>15.588699999999999</v>
      </c>
      <c r="D757" s="4">
        <v>15.402799999999999</v>
      </c>
      <c r="E757" s="4">
        <v>16.033999999999999</v>
      </c>
      <c r="F757" s="4">
        <f t="shared" si="44"/>
        <v>15.675166666666664</v>
      </c>
      <c r="I757" s="4" t="s">
        <v>4040</v>
      </c>
      <c r="J757" s="4">
        <v>15.562900000000001</v>
      </c>
      <c r="K757" s="4">
        <v>15.769</v>
      </c>
      <c r="L757" s="4">
        <v>15.8553</v>
      </c>
      <c r="M757" s="4">
        <f t="shared" si="45"/>
        <v>15.729066666666668</v>
      </c>
      <c r="Q757" s="43" t="s">
        <v>2816</v>
      </c>
      <c r="R757" s="4">
        <v>15.610500515174801</v>
      </c>
      <c r="S757" s="4">
        <v>15.4811143253326</v>
      </c>
      <c r="T757" s="4">
        <v>15.3262038805718</v>
      </c>
      <c r="U757" s="4">
        <f t="shared" si="46"/>
        <v>15.472606240359733</v>
      </c>
      <c r="X757" s="43" t="s">
        <v>2862</v>
      </c>
      <c r="Y757" s="4">
        <v>15.526191796528799</v>
      </c>
      <c r="Z757" s="4">
        <v>15.534262108069001</v>
      </c>
      <c r="AA757" s="4">
        <v>15.5498573019592</v>
      </c>
      <c r="AB757" s="4">
        <f t="shared" si="47"/>
        <v>15.536770402185667</v>
      </c>
    </row>
    <row r="758" spans="2:28" x14ac:dyDescent="0.2">
      <c r="B758" s="4" t="s">
        <v>2336</v>
      </c>
      <c r="C758" s="4">
        <v>15.838100000000001</v>
      </c>
      <c r="D758" s="4">
        <v>15.624700000000001</v>
      </c>
      <c r="E758" s="4">
        <v>15.5511</v>
      </c>
      <c r="F758" s="4">
        <f t="shared" si="44"/>
        <v>15.6713</v>
      </c>
      <c r="I758" s="4" t="s">
        <v>1025</v>
      </c>
      <c r="J758" s="4">
        <v>15.5284</v>
      </c>
      <c r="K758" s="4">
        <v>16.282399999999999</v>
      </c>
      <c r="L758" s="4">
        <v>15.3621</v>
      </c>
      <c r="M758" s="4">
        <f t="shared" si="45"/>
        <v>15.724299999999999</v>
      </c>
      <c r="Q758" s="43" t="s">
        <v>2267</v>
      </c>
      <c r="R758" s="4">
        <v>15.488494467276199</v>
      </c>
      <c r="S758" s="4">
        <v>15.4495169282562</v>
      </c>
      <c r="T758" s="4">
        <v>15.478888605703199</v>
      </c>
      <c r="U758" s="4">
        <f t="shared" si="46"/>
        <v>15.472300000411865</v>
      </c>
      <c r="X758" s="43" t="s">
        <v>1493</v>
      </c>
      <c r="Y758" s="4">
        <v>15.5406507484439</v>
      </c>
      <c r="Z758" s="4">
        <v>15.4129022751483</v>
      </c>
      <c r="AA758" s="4">
        <v>15.653859177883399</v>
      </c>
      <c r="AB758" s="4">
        <f t="shared" si="47"/>
        <v>15.535804067158532</v>
      </c>
    </row>
    <row r="759" spans="2:28" x14ac:dyDescent="0.2">
      <c r="B759" s="4" t="s">
        <v>2457</v>
      </c>
      <c r="C759" s="4">
        <v>15.7033</v>
      </c>
      <c r="D759" s="4">
        <v>15.741400000000001</v>
      </c>
      <c r="E759" s="4">
        <v>15.5632</v>
      </c>
      <c r="F759" s="4">
        <f t="shared" si="44"/>
        <v>15.6693</v>
      </c>
      <c r="I759" s="4" t="s">
        <v>3240</v>
      </c>
      <c r="J759" s="4">
        <v>15.3925</v>
      </c>
      <c r="K759" s="4">
        <v>16.4084</v>
      </c>
      <c r="L759" s="4">
        <v>15.371600000000001</v>
      </c>
      <c r="M759" s="4">
        <f t="shared" si="45"/>
        <v>15.724166666666667</v>
      </c>
      <c r="Q759" s="43" t="s">
        <v>586</v>
      </c>
      <c r="R759" s="4">
        <v>15.4361960517251</v>
      </c>
      <c r="S759" s="4">
        <v>15.2630247255057</v>
      </c>
      <c r="T759" s="4">
        <v>15.704614111406499</v>
      </c>
      <c r="U759" s="4">
        <f t="shared" si="46"/>
        <v>15.4679449628791</v>
      </c>
      <c r="X759" s="43" t="s">
        <v>732</v>
      </c>
      <c r="Y759" s="4">
        <v>15.911785349697601</v>
      </c>
      <c r="Z759" s="4">
        <v>15.5395831563934</v>
      </c>
      <c r="AA759" s="4">
        <v>15.1554740032855</v>
      </c>
      <c r="AB759" s="4">
        <f t="shared" si="47"/>
        <v>15.535614169792167</v>
      </c>
    </row>
    <row r="760" spans="2:28" x14ac:dyDescent="0.2">
      <c r="B760" s="4" t="s">
        <v>2109</v>
      </c>
      <c r="C760" s="4">
        <v>15.457000000000001</v>
      </c>
      <c r="D760" s="4">
        <v>16.0441</v>
      </c>
      <c r="E760" s="4">
        <v>15.503299999999999</v>
      </c>
      <c r="F760" s="4">
        <f t="shared" si="44"/>
        <v>15.668133333333335</v>
      </c>
      <c r="I760" s="4" t="s">
        <v>2874</v>
      </c>
      <c r="J760" s="4">
        <v>15.7126</v>
      </c>
      <c r="K760" s="4">
        <v>15.321099999999999</v>
      </c>
      <c r="L760" s="4">
        <v>16.128</v>
      </c>
      <c r="M760" s="4">
        <f t="shared" si="45"/>
        <v>15.720566666666665</v>
      </c>
      <c r="Q760" s="43" t="s">
        <v>2502</v>
      </c>
      <c r="R760" s="4">
        <v>15.4657664236104</v>
      </c>
      <c r="S760" s="4">
        <v>15.37779333652</v>
      </c>
      <c r="T760" s="4">
        <v>15.5441190025835</v>
      </c>
      <c r="U760" s="4">
        <f t="shared" si="46"/>
        <v>15.462559587571301</v>
      </c>
      <c r="X760" s="43" t="s">
        <v>1844</v>
      </c>
      <c r="Y760" s="4">
        <v>15.5525304946531</v>
      </c>
      <c r="Z760" s="4">
        <v>15.4947781941017</v>
      </c>
      <c r="AA760" s="4">
        <v>15.553987288673801</v>
      </c>
      <c r="AB760" s="4">
        <f t="shared" si="47"/>
        <v>15.533765325809533</v>
      </c>
    </row>
    <row r="761" spans="2:28" x14ac:dyDescent="0.2">
      <c r="B761" s="4" t="s">
        <v>3896</v>
      </c>
      <c r="C761" s="4">
        <v>15.5471</v>
      </c>
      <c r="D761" s="4">
        <v>15.643000000000001</v>
      </c>
      <c r="E761" s="4">
        <v>15.8131</v>
      </c>
      <c r="F761" s="4">
        <f t="shared" si="44"/>
        <v>15.667733333333333</v>
      </c>
      <c r="I761" s="4" t="s">
        <v>3875</v>
      </c>
      <c r="J761" s="4">
        <v>15.695499999999999</v>
      </c>
      <c r="K761" s="4">
        <v>15.902900000000001</v>
      </c>
      <c r="L761" s="4">
        <v>15.562799999999999</v>
      </c>
      <c r="M761" s="4">
        <f t="shared" si="45"/>
        <v>15.720399999999998</v>
      </c>
      <c r="Q761" s="43" t="s">
        <v>3117</v>
      </c>
      <c r="R761" s="4">
        <v>15.6786679124881</v>
      </c>
      <c r="S761" s="4">
        <v>15.335480312717101</v>
      </c>
      <c r="T761" s="4">
        <v>15.362592601460101</v>
      </c>
      <c r="U761" s="4">
        <f t="shared" si="46"/>
        <v>15.458913608888432</v>
      </c>
      <c r="X761" s="43" t="s">
        <v>277</v>
      </c>
      <c r="Y761" s="4">
        <v>15.4788695968097</v>
      </c>
      <c r="Z761" s="4">
        <v>15.618898351393799</v>
      </c>
      <c r="AA761" s="4">
        <v>15.5020512564206</v>
      </c>
      <c r="AB761" s="4">
        <f t="shared" si="47"/>
        <v>15.533273068208032</v>
      </c>
    </row>
    <row r="762" spans="2:28" x14ac:dyDescent="0.2">
      <c r="B762" s="4" t="s">
        <v>1696</v>
      </c>
      <c r="C762" s="4">
        <v>15.600899999999999</v>
      </c>
      <c r="D762" s="4">
        <v>15.7448</v>
      </c>
      <c r="E762" s="4">
        <v>15.655900000000001</v>
      </c>
      <c r="F762" s="4">
        <f t="shared" si="44"/>
        <v>15.667200000000001</v>
      </c>
      <c r="I762" s="4" t="s">
        <v>2542</v>
      </c>
      <c r="J762" s="4">
        <v>15.1953</v>
      </c>
      <c r="K762" s="4">
        <v>17.186</v>
      </c>
      <c r="L762" s="4">
        <v>14.776999999999999</v>
      </c>
      <c r="M762" s="4">
        <f t="shared" si="45"/>
        <v>15.719433333333333</v>
      </c>
      <c r="Q762" s="43" t="s">
        <v>2606</v>
      </c>
      <c r="R762" s="4">
        <v>15.381167766868501</v>
      </c>
      <c r="S762" s="4">
        <v>15.4642602621169</v>
      </c>
      <c r="T762" s="4">
        <v>15.509991189854899</v>
      </c>
      <c r="U762" s="4">
        <f t="shared" si="46"/>
        <v>15.451806406280101</v>
      </c>
      <c r="X762" s="43" t="s">
        <v>3034</v>
      </c>
      <c r="Y762" s="4">
        <v>15.5946314541617</v>
      </c>
      <c r="Z762" s="4">
        <v>15.495120075924399</v>
      </c>
      <c r="AA762" s="4">
        <v>15.5097112942899</v>
      </c>
      <c r="AB762" s="4">
        <f t="shared" si="47"/>
        <v>15.533154274791999</v>
      </c>
    </row>
    <row r="763" spans="2:28" x14ac:dyDescent="0.2">
      <c r="B763" s="4" t="s">
        <v>2430</v>
      </c>
      <c r="C763" s="4">
        <v>15.969099999999999</v>
      </c>
      <c r="D763" s="4">
        <v>15.5871</v>
      </c>
      <c r="E763" s="4">
        <v>15.4412</v>
      </c>
      <c r="F763" s="4">
        <f t="shared" si="44"/>
        <v>15.665799999999999</v>
      </c>
      <c r="I763" s="4" t="s">
        <v>3224</v>
      </c>
      <c r="J763" s="4">
        <v>14.936999999999999</v>
      </c>
      <c r="K763" s="4">
        <v>16.9956</v>
      </c>
      <c r="L763" s="4">
        <v>15.2149</v>
      </c>
      <c r="M763" s="4">
        <f t="shared" si="45"/>
        <v>15.715833333333334</v>
      </c>
      <c r="Q763" s="43" t="s">
        <v>2340</v>
      </c>
      <c r="R763" s="4">
        <v>15.5619706896598</v>
      </c>
      <c r="S763" s="4">
        <v>15.391660315362699</v>
      </c>
      <c r="T763" s="4">
        <v>15.4001103390925</v>
      </c>
      <c r="U763" s="4">
        <f t="shared" si="46"/>
        <v>15.451247114705</v>
      </c>
      <c r="X763" s="43" t="s">
        <v>1380</v>
      </c>
      <c r="Y763" s="4">
        <v>15.4950700542547</v>
      </c>
      <c r="Z763" s="4">
        <v>15.5617376094583</v>
      </c>
      <c r="AA763" s="4">
        <v>15.5315610197542</v>
      </c>
      <c r="AB763" s="4">
        <f t="shared" si="47"/>
        <v>15.529456227822401</v>
      </c>
    </row>
    <row r="764" spans="2:28" x14ac:dyDescent="0.2">
      <c r="B764" s="4" t="s">
        <v>842</v>
      </c>
      <c r="C764" s="4">
        <v>15.650700000000001</v>
      </c>
      <c r="D764" s="4">
        <v>15.717499999999999</v>
      </c>
      <c r="E764" s="4">
        <v>15.628</v>
      </c>
      <c r="F764" s="4">
        <f t="shared" si="44"/>
        <v>15.6654</v>
      </c>
      <c r="I764" s="4" t="s">
        <v>2631</v>
      </c>
      <c r="J764" s="4">
        <v>15.940300000000001</v>
      </c>
      <c r="K764" s="4">
        <v>15.2379</v>
      </c>
      <c r="L764" s="4">
        <v>15.962</v>
      </c>
      <c r="M764" s="4">
        <f t="shared" si="45"/>
        <v>15.7134</v>
      </c>
      <c r="Q764" s="43" t="s">
        <v>100</v>
      </c>
      <c r="R764" s="4">
        <v>15.7713761552533</v>
      </c>
      <c r="S764" s="4">
        <v>14.990801393196699</v>
      </c>
      <c r="T764" s="4">
        <v>15.5897951409552</v>
      </c>
      <c r="U764" s="4">
        <f t="shared" si="46"/>
        <v>15.450657563135067</v>
      </c>
      <c r="X764" s="43" t="s">
        <v>1047</v>
      </c>
      <c r="Y764" s="4">
        <v>15.4707099298444</v>
      </c>
      <c r="Z764" s="4">
        <v>15.51270237366</v>
      </c>
      <c r="AA764" s="4">
        <v>15.604776926317999</v>
      </c>
      <c r="AB764" s="4">
        <f t="shared" si="47"/>
        <v>15.529396409940802</v>
      </c>
    </row>
    <row r="765" spans="2:28" x14ac:dyDescent="0.2">
      <c r="B765" s="4" t="s">
        <v>3428</v>
      </c>
      <c r="C765" s="4">
        <v>15.638</v>
      </c>
      <c r="D765" s="4">
        <v>15.421200000000001</v>
      </c>
      <c r="E765" s="4">
        <v>15.935</v>
      </c>
      <c r="F765" s="4">
        <f t="shared" si="44"/>
        <v>15.664733333333333</v>
      </c>
      <c r="I765" s="4" t="s">
        <v>3081</v>
      </c>
      <c r="J765" s="4">
        <v>15.597300000000001</v>
      </c>
      <c r="K765" s="4">
        <v>16.490400000000001</v>
      </c>
      <c r="L765" s="4">
        <v>15.0456</v>
      </c>
      <c r="M765" s="4">
        <f t="shared" si="45"/>
        <v>15.7111</v>
      </c>
      <c r="Q765" s="43" t="s">
        <v>2064</v>
      </c>
      <c r="R765" s="4">
        <v>15.357308887178</v>
      </c>
      <c r="S765" s="4">
        <v>15.6042651824561</v>
      </c>
      <c r="T765" s="4">
        <v>15.390103397390099</v>
      </c>
      <c r="U765" s="4">
        <f t="shared" si="46"/>
        <v>15.450559155674734</v>
      </c>
      <c r="X765" s="43" t="s">
        <v>3257</v>
      </c>
      <c r="Y765" s="4">
        <v>15.5099603614548</v>
      </c>
      <c r="Z765" s="4">
        <v>15.5682504027466</v>
      </c>
      <c r="AA765" s="4">
        <v>15.5051333167956</v>
      </c>
      <c r="AB765" s="4">
        <f t="shared" si="47"/>
        <v>15.527781360332334</v>
      </c>
    </row>
    <row r="766" spans="2:28" x14ac:dyDescent="0.2">
      <c r="B766" s="4" t="s">
        <v>148</v>
      </c>
      <c r="C766" s="4">
        <v>15.889200000000001</v>
      </c>
      <c r="D766" s="4">
        <v>15.5929</v>
      </c>
      <c r="E766" s="4">
        <v>15.510899999999999</v>
      </c>
      <c r="F766" s="4">
        <f t="shared" si="44"/>
        <v>15.664333333333333</v>
      </c>
      <c r="I766" s="4" t="s">
        <v>3468</v>
      </c>
      <c r="J766" s="4">
        <v>15.8628</v>
      </c>
      <c r="K766" s="4">
        <v>15.534800000000001</v>
      </c>
      <c r="L766" s="4">
        <v>15.7357</v>
      </c>
      <c r="M766" s="4">
        <f t="shared" si="45"/>
        <v>15.7111</v>
      </c>
      <c r="Q766" s="43" t="s">
        <v>3957</v>
      </c>
      <c r="R766" s="4">
        <v>15.235083845453699</v>
      </c>
      <c r="S766" s="4">
        <v>15.6079075861745</v>
      </c>
      <c r="T766" s="4">
        <v>15.499558610685201</v>
      </c>
      <c r="U766" s="4">
        <f t="shared" si="46"/>
        <v>15.447516680771132</v>
      </c>
      <c r="X766" s="43" t="s">
        <v>1242</v>
      </c>
      <c r="Y766" s="4">
        <v>15.288368711612</v>
      </c>
      <c r="Z766" s="4">
        <v>15.628930353517299</v>
      </c>
      <c r="AA766" s="4">
        <v>15.6649315308164</v>
      </c>
      <c r="AB766" s="4">
        <f t="shared" si="47"/>
        <v>15.527410198648568</v>
      </c>
    </row>
    <row r="767" spans="2:28" x14ac:dyDescent="0.2">
      <c r="B767" s="4" t="s">
        <v>1644</v>
      </c>
      <c r="C767" s="4">
        <v>15.4284</v>
      </c>
      <c r="D767" s="4">
        <v>15.616099999999999</v>
      </c>
      <c r="E767" s="4">
        <v>15.9474</v>
      </c>
      <c r="F767" s="4">
        <f t="shared" si="44"/>
        <v>15.663966666666667</v>
      </c>
      <c r="I767" s="4" t="s">
        <v>85</v>
      </c>
      <c r="J767" s="4">
        <v>15.877000000000001</v>
      </c>
      <c r="K767" s="4">
        <v>15.5959</v>
      </c>
      <c r="L767" s="4">
        <v>15.651199999999999</v>
      </c>
      <c r="M767" s="4">
        <f t="shared" si="45"/>
        <v>15.708033333333333</v>
      </c>
      <c r="Q767" s="43" t="s">
        <v>3702</v>
      </c>
      <c r="R767" s="4">
        <v>15.421925043864899</v>
      </c>
      <c r="S767" s="4">
        <v>15.4322289922204</v>
      </c>
      <c r="T767" s="4">
        <v>15.4877711662335</v>
      </c>
      <c r="U767" s="4">
        <f t="shared" si="46"/>
        <v>15.447308400772933</v>
      </c>
      <c r="X767" s="43" t="s">
        <v>2830</v>
      </c>
      <c r="Y767" s="4">
        <v>15.4162540519799</v>
      </c>
      <c r="Z767" s="4">
        <v>15.649374265407101</v>
      </c>
      <c r="AA767" s="4">
        <v>15.495642396569499</v>
      </c>
      <c r="AB767" s="4">
        <f t="shared" si="47"/>
        <v>15.520423571318835</v>
      </c>
    </row>
    <row r="768" spans="2:28" x14ac:dyDescent="0.2">
      <c r="B768" s="4" t="s">
        <v>2056</v>
      </c>
      <c r="C768" s="4">
        <v>16.1175</v>
      </c>
      <c r="D768" s="4">
        <v>15.557399999999999</v>
      </c>
      <c r="E768" s="4">
        <v>15.308999999999999</v>
      </c>
      <c r="F768" s="4">
        <f t="shared" si="44"/>
        <v>15.661299999999999</v>
      </c>
      <c r="I768" s="4" t="s">
        <v>143</v>
      </c>
      <c r="J768" s="4">
        <v>15.6691</v>
      </c>
      <c r="K768" s="4">
        <v>15.8947</v>
      </c>
      <c r="L768" s="4">
        <v>15.557</v>
      </c>
      <c r="M768" s="4">
        <f t="shared" si="45"/>
        <v>15.706933333333334</v>
      </c>
      <c r="Q768" s="43" t="s">
        <v>3203</v>
      </c>
      <c r="R768" s="4">
        <v>15.495263971166199</v>
      </c>
      <c r="S768" s="4">
        <v>15.331612703128901</v>
      </c>
      <c r="T768" s="4">
        <v>15.514939064872801</v>
      </c>
      <c r="U768" s="4">
        <f t="shared" si="46"/>
        <v>15.447271913055966</v>
      </c>
      <c r="X768" s="43" t="s">
        <v>3655</v>
      </c>
      <c r="Y768" s="4">
        <v>15.497878819463301</v>
      </c>
      <c r="Z768" s="4">
        <v>15.5795750630587</v>
      </c>
      <c r="AA768" s="4">
        <v>15.468196418098101</v>
      </c>
      <c r="AB768" s="4">
        <f t="shared" si="47"/>
        <v>15.515216766873367</v>
      </c>
    </row>
    <row r="769" spans="2:28" x14ac:dyDescent="0.2">
      <c r="B769" s="4" t="s">
        <v>1182</v>
      </c>
      <c r="C769" s="4">
        <v>15.885</v>
      </c>
      <c r="D769" s="4">
        <v>15.444000000000001</v>
      </c>
      <c r="E769" s="4">
        <v>15.6477</v>
      </c>
      <c r="F769" s="4">
        <f t="shared" si="44"/>
        <v>15.658900000000001</v>
      </c>
      <c r="I769" s="4" t="s">
        <v>3801</v>
      </c>
      <c r="J769" s="4">
        <v>15.8355</v>
      </c>
      <c r="K769" s="4">
        <v>15.506</v>
      </c>
      <c r="L769" s="4">
        <v>15.777100000000001</v>
      </c>
      <c r="M769" s="4">
        <f t="shared" si="45"/>
        <v>15.706200000000001</v>
      </c>
      <c r="Q769" s="43" t="s">
        <v>3822</v>
      </c>
      <c r="R769" s="4">
        <v>15.591769484303001</v>
      </c>
      <c r="S769" s="4">
        <v>15.409651797059899</v>
      </c>
      <c r="T769" s="4">
        <v>15.335402669924401</v>
      </c>
      <c r="U769" s="4">
        <f t="shared" si="46"/>
        <v>15.445607983762434</v>
      </c>
      <c r="X769" s="43" t="s">
        <v>2340</v>
      </c>
      <c r="Y769" s="4">
        <v>15.460230330733101</v>
      </c>
      <c r="Z769" s="4">
        <v>15.5430351845395</v>
      </c>
      <c r="AA769" s="4">
        <v>15.538492350504001</v>
      </c>
      <c r="AB769" s="4">
        <f t="shared" si="47"/>
        <v>15.5139192885922</v>
      </c>
    </row>
    <row r="770" spans="2:28" x14ac:dyDescent="0.2">
      <c r="B770" s="4" t="s">
        <v>2780</v>
      </c>
      <c r="C770" s="4">
        <v>15.632</v>
      </c>
      <c r="D770" s="4">
        <v>15.859</v>
      </c>
      <c r="E770" s="4">
        <v>15.479900000000001</v>
      </c>
      <c r="F770" s="4">
        <f t="shared" ref="F770:F833" si="48">(C770+D770+E770)/3</f>
        <v>15.656966666666667</v>
      </c>
      <c r="I770" s="4" t="s">
        <v>257</v>
      </c>
      <c r="J770" s="4">
        <v>15.8704</v>
      </c>
      <c r="K770" s="4">
        <v>15.4346</v>
      </c>
      <c r="L770" s="4">
        <v>15.8066</v>
      </c>
      <c r="M770" s="4">
        <f t="shared" ref="M770:M833" si="49">(J770+K770+L770)/3</f>
        <v>15.703866666666665</v>
      </c>
      <c r="Q770" s="43" t="s">
        <v>3715</v>
      </c>
      <c r="R770" s="4">
        <v>15.7796303821385</v>
      </c>
      <c r="S770" s="4">
        <v>15.22307308834</v>
      </c>
      <c r="T770" s="4">
        <v>15.3292145023745</v>
      </c>
      <c r="U770" s="4">
        <f t="shared" ref="U770:U833" si="50">(R770+S770+T770)/3</f>
        <v>15.443972657617666</v>
      </c>
      <c r="X770" s="43" t="s">
        <v>402</v>
      </c>
      <c r="Y770" s="4">
        <v>15.4718578774875</v>
      </c>
      <c r="Z770" s="4">
        <v>15.518454399329</v>
      </c>
      <c r="AA770" s="4">
        <v>15.539296560029999</v>
      </c>
      <c r="AB770" s="4">
        <f t="shared" ref="AB770:AB833" si="51">(Y770+Z770+AA770)/3</f>
        <v>15.509869612282166</v>
      </c>
    </row>
    <row r="771" spans="2:28" x14ac:dyDescent="0.2">
      <c r="B771" s="4" t="s">
        <v>1206</v>
      </c>
      <c r="C771" s="4">
        <v>15.603</v>
      </c>
      <c r="D771" s="4">
        <v>15.5876</v>
      </c>
      <c r="E771" s="4">
        <v>15.776</v>
      </c>
      <c r="F771" s="4">
        <f t="shared" si="48"/>
        <v>15.655533333333333</v>
      </c>
      <c r="I771" s="4" t="s">
        <v>2109</v>
      </c>
      <c r="J771" s="4">
        <v>15.5969</v>
      </c>
      <c r="K771" s="4">
        <v>15.9419</v>
      </c>
      <c r="L771" s="4">
        <v>15.5626</v>
      </c>
      <c r="M771" s="4">
        <f t="shared" si="49"/>
        <v>15.700466666666665</v>
      </c>
      <c r="Q771" s="43" t="s">
        <v>1372</v>
      </c>
      <c r="R771" s="4">
        <v>15.490566314305999</v>
      </c>
      <c r="S771" s="4">
        <v>15.4129973498718</v>
      </c>
      <c r="T771" s="4">
        <v>15.421383767073699</v>
      </c>
      <c r="U771" s="4">
        <f t="shared" si="50"/>
        <v>15.441649143750501</v>
      </c>
      <c r="X771" s="43" t="s">
        <v>4053</v>
      </c>
      <c r="Y771" s="4">
        <v>15.5131870655615</v>
      </c>
      <c r="Z771" s="4">
        <v>15.4725578349165</v>
      </c>
      <c r="AA771" s="4">
        <v>15.535151041359899</v>
      </c>
      <c r="AB771" s="4">
        <f t="shared" si="51"/>
        <v>15.506965313945967</v>
      </c>
    </row>
    <row r="772" spans="2:28" x14ac:dyDescent="0.2">
      <c r="B772" s="4" t="s">
        <v>604</v>
      </c>
      <c r="C772" s="4">
        <v>15.3611</v>
      </c>
      <c r="D772" s="4">
        <v>15.4983</v>
      </c>
      <c r="E772" s="4">
        <v>16.088000000000001</v>
      </c>
      <c r="F772" s="4">
        <f t="shared" si="48"/>
        <v>15.649133333333333</v>
      </c>
      <c r="I772" s="4" t="s">
        <v>462</v>
      </c>
      <c r="J772" s="4">
        <v>15.664400000000001</v>
      </c>
      <c r="K772" s="4">
        <v>15.6305</v>
      </c>
      <c r="L772" s="4">
        <v>15.805300000000001</v>
      </c>
      <c r="M772" s="4">
        <f t="shared" si="49"/>
        <v>15.700066666666666</v>
      </c>
      <c r="Q772" s="43" t="s">
        <v>279</v>
      </c>
      <c r="R772" s="4">
        <v>15.352871827568601</v>
      </c>
      <c r="S772" s="4">
        <v>15.3993929203221</v>
      </c>
      <c r="T772" s="4">
        <v>15.567283427520101</v>
      </c>
      <c r="U772" s="4">
        <f t="shared" si="50"/>
        <v>15.4398493918036</v>
      </c>
      <c r="X772" s="43" t="s">
        <v>1349</v>
      </c>
      <c r="Y772" s="4">
        <v>15.414621206370301</v>
      </c>
      <c r="Z772" s="4">
        <v>15.6229520793564</v>
      </c>
      <c r="AA772" s="4">
        <v>15.4831896248342</v>
      </c>
      <c r="AB772" s="4">
        <f t="shared" si="51"/>
        <v>15.506920970186968</v>
      </c>
    </row>
    <row r="773" spans="2:28" x14ac:dyDescent="0.2">
      <c r="B773" s="4" t="s">
        <v>3810</v>
      </c>
      <c r="C773" s="4">
        <v>15.705399999999999</v>
      </c>
      <c r="D773" s="4">
        <v>15.5267</v>
      </c>
      <c r="E773" s="4">
        <v>15.708500000000001</v>
      </c>
      <c r="F773" s="4">
        <f t="shared" si="48"/>
        <v>15.646866666666668</v>
      </c>
      <c r="I773" s="4" t="s">
        <v>3784</v>
      </c>
      <c r="J773" s="4">
        <v>15.842000000000001</v>
      </c>
      <c r="K773" s="4">
        <v>15.450200000000001</v>
      </c>
      <c r="L773" s="4">
        <v>15.799799999999999</v>
      </c>
      <c r="M773" s="4">
        <f t="shared" si="49"/>
        <v>15.697333333333333</v>
      </c>
      <c r="Q773" s="43" t="s">
        <v>3417</v>
      </c>
      <c r="R773" s="4">
        <v>15.510936034077099</v>
      </c>
      <c r="S773" s="4">
        <v>15.3225588709556</v>
      </c>
      <c r="T773" s="4">
        <v>15.476764171198401</v>
      </c>
      <c r="U773" s="4">
        <f t="shared" si="50"/>
        <v>15.436753025410368</v>
      </c>
      <c r="X773" s="43" t="s">
        <v>3504</v>
      </c>
      <c r="Y773" s="4">
        <v>15.4618625761799</v>
      </c>
      <c r="Z773" s="4">
        <v>15.5908596002197</v>
      </c>
      <c r="AA773" s="4">
        <v>15.466852704059701</v>
      </c>
      <c r="AB773" s="4">
        <f t="shared" si="51"/>
        <v>15.506524960153101</v>
      </c>
    </row>
    <row r="774" spans="2:28" x14ac:dyDescent="0.2">
      <c r="B774" s="4" t="s">
        <v>3052</v>
      </c>
      <c r="C774" s="4">
        <v>15.511699999999999</v>
      </c>
      <c r="D774" s="4">
        <v>15.7759</v>
      </c>
      <c r="E774" s="4">
        <v>15.633900000000001</v>
      </c>
      <c r="F774" s="4">
        <f t="shared" si="48"/>
        <v>15.640499999999998</v>
      </c>
      <c r="I774" s="4" t="s">
        <v>425</v>
      </c>
      <c r="J774" s="4">
        <v>15.895300000000001</v>
      </c>
      <c r="K774" s="4">
        <v>15.263199999999999</v>
      </c>
      <c r="L774" s="4">
        <v>15.9299</v>
      </c>
      <c r="M774" s="4">
        <f t="shared" si="49"/>
        <v>15.696133333333334</v>
      </c>
      <c r="Q774" s="43" t="s">
        <v>970</v>
      </c>
      <c r="R774" s="4">
        <v>15.3790498708893</v>
      </c>
      <c r="S774" s="4">
        <v>15.615537658637599</v>
      </c>
      <c r="T774" s="4">
        <v>15.300155518530101</v>
      </c>
      <c r="U774" s="4">
        <f t="shared" si="50"/>
        <v>15.431581016019001</v>
      </c>
      <c r="X774" s="43" t="s">
        <v>2448</v>
      </c>
      <c r="Y774" s="4">
        <v>15.496737949905899</v>
      </c>
      <c r="Z774" s="4">
        <v>15.554564827793699</v>
      </c>
      <c r="AA774" s="4">
        <v>15.4419255541331</v>
      </c>
      <c r="AB774" s="4">
        <f t="shared" si="51"/>
        <v>15.497742777277566</v>
      </c>
    </row>
    <row r="775" spans="2:28" x14ac:dyDescent="0.2">
      <c r="B775" s="4" t="s">
        <v>3453</v>
      </c>
      <c r="C775" s="4">
        <v>15.6456</v>
      </c>
      <c r="D775" s="4">
        <v>15.8582</v>
      </c>
      <c r="E775" s="4">
        <v>15.404400000000001</v>
      </c>
      <c r="F775" s="4">
        <f t="shared" si="48"/>
        <v>15.636066666666666</v>
      </c>
      <c r="I775" s="4" t="s">
        <v>240</v>
      </c>
      <c r="J775" s="4">
        <v>16.066600000000001</v>
      </c>
      <c r="K775" s="4">
        <v>14.954700000000001</v>
      </c>
      <c r="L775" s="4">
        <v>16.059100000000001</v>
      </c>
      <c r="M775" s="4">
        <f t="shared" si="49"/>
        <v>15.693466666666668</v>
      </c>
      <c r="Q775" s="43" t="s">
        <v>1064</v>
      </c>
      <c r="R775" s="4">
        <v>15.826344407992099</v>
      </c>
      <c r="S775" s="4">
        <v>14.827297698602599</v>
      </c>
      <c r="T775" s="4">
        <v>15.618309150144499</v>
      </c>
      <c r="U775" s="4">
        <f t="shared" si="50"/>
        <v>15.4239837522464</v>
      </c>
      <c r="X775" s="43" t="s">
        <v>1340</v>
      </c>
      <c r="Y775" s="4">
        <v>15.600560821751801</v>
      </c>
      <c r="Z775" s="4">
        <v>15.471730937217499</v>
      </c>
      <c r="AA775" s="4">
        <v>15.4091566000789</v>
      </c>
      <c r="AB775" s="4">
        <f t="shared" si="51"/>
        <v>15.493816119682734</v>
      </c>
    </row>
    <row r="776" spans="2:28" x14ac:dyDescent="0.2">
      <c r="B776" s="4" t="s">
        <v>843</v>
      </c>
      <c r="C776" s="4">
        <v>15.3004</v>
      </c>
      <c r="D776" s="4">
        <v>15.963699999999999</v>
      </c>
      <c r="E776" s="4">
        <v>15.6311</v>
      </c>
      <c r="F776" s="4">
        <f t="shared" si="48"/>
        <v>15.631733333333335</v>
      </c>
      <c r="I776" s="4" t="s">
        <v>1617</v>
      </c>
      <c r="J776" s="4">
        <v>15.6577</v>
      </c>
      <c r="K776" s="4">
        <v>16.178899999999999</v>
      </c>
      <c r="L776" s="4">
        <v>15.242900000000001</v>
      </c>
      <c r="M776" s="4">
        <f t="shared" si="49"/>
        <v>15.693166666666665</v>
      </c>
      <c r="Q776" s="43" t="s">
        <v>3853</v>
      </c>
      <c r="R776" s="4">
        <v>15.6536079039903</v>
      </c>
      <c r="S776" s="4">
        <v>15.2945073996492</v>
      </c>
      <c r="T776" s="4">
        <v>15.321608752125501</v>
      </c>
      <c r="U776" s="4">
        <f t="shared" si="50"/>
        <v>15.423241351921668</v>
      </c>
      <c r="X776" s="43" t="s">
        <v>1543</v>
      </c>
      <c r="Y776" s="4">
        <v>15.6512519406396</v>
      </c>
      <c r="Z776" s="4">
        <v>15.3392845706442</v>
      </c>
      <c r="AA776" s="4">
        <v>15.4808628286433</v>
      </c>
      <c r="AB776" s="4">
        <f t="shared" si="51"/>
        <v>15.490466446642367</v>
      </c>
    </row>
    <row r="777" spans="2:28" x14ac:dyDescent="0.2">
      <c r="B777" s="4" t="s">
        <v>2096</v>
      </c>
      <c r="C777" s="4">
        <v>15.625400000000001</v>
      </c>
      <c r="D777" s="4">
        <v>15.482699999999999</v>
      </c>
      <c r="E777" s="4">
        <v>15.786199999999999</v>
      </c>
      <c r="F777" s="4">
        <f t="shared" si="48"/>
        <v>15.631433333333334</v>
      </c>
      <c r="I777" s="4" t="s">
        <v>39</v>
      </c>
      <c r="J777" s="4">
        <v>15.8065</v>
      </c>
      <c r="K777" s="4">
        <v>15.5847</v>
      </c>
      <c r="L777" s="4">
        <v>15.673</v>
      </c>
      <c r="M777" s="4">
        <f t="shared" si="49"/>
        <v>15.688066666666666</v>
      </c>
      <c r="Q777" s="43" t="s">
        <v>3033</v>
      </c>
      <c r="R777" s="4">
        <v>15.4153721641818</v>
      </c>
      <c r="S777" s="4">
        <v>15.4343563633701</v>
      </c>
      <c r="T777" s="4">
        <v>15.418523860765699</v>
      </c>
      <c r="U777" s="4">
        <f t="shared" si="50"/>
        <v>15.422750796105866</v>
      </c>
      <c r="X777" s="43" t="s">
        <v>4003</v>
      </c>
      <c r="Y777" s="4">
        <v>15.497394404406601</v>
      </c>
      <c r="Z777" s="4">
        <v>15.603174371083201</v>
      </c>
      <c r="AA777" s="4">
        <v>15.3692543340846</v>
      </c>
      <c r="AB777" s="4">
        <f t="shared" si="51"/>
        <v>15.489941036524799</v>
      </c>
    </row>
    <row r="778" spans="2:28" x14ac:dyDescent="0.2">
      <c r="B778" s="4" t="s">
        <v>839</v>
      </c>
      <c r="C778" s="4">
        <v>15.6584</v>
      </c>
      <c r="D778" s="4">
        <v>15.3987</v>
      </c>
      <c r="E778" s="4">
        <v>15.8337</v>
      </c>
      <c r="F778" s="4">
        <f t="shared" si="48"/>
        <v>15.630266666666666</v>
      </c>
      <c r="I778" s="4" t="s">
        <v>258</v>
      </c>
      <c r="J778" s="4">
        <v>15.646800000000001</v>
      </c>
      <c r="K778" s="4">
        <v>15.879899999999999</v>
      </c>
      <c r="L778" s="4">
        <v>15.535399999999999</v>
      </c>
      <c r="M778" s="4">
        <f t="shared" si="49"/>
        <v>15.687366666666668</v>
      </c>
      <c r="Q778" s="43" t="s">
        <v>1340</v>
      </c>
      <c r="R778" s="4">
        <v>15.5720500480508</v>
      </c>
      <c r="S778" s="4">
        <v>15.460364991426299</v>
      </c>
      <c r="T778" s="4">
        <v>15.2297109738115</v>
      </c>
      <c r="U778" s="4">
        <f t="shared" si="50"/>
        <v>15.4207086710962</v>
      </c>
      <c r="X778" s="43" t="s">
        <v>4553</v>
      </c>
      <c r="Y778" s="4">
        <v>15.600834911610001</v>
      </c>
      <c r="Z778" s="4">
        <v>15.453719467891201</v>
      </c>
      <c r="AA778" s="4">
        <v>15.4010983360676</v>
      </c>
      <c r="AB778" s="4">
        <f t="shared" si="51"/>
        <v>15.485217571856268</v>
      </c>
    </row>
    <row r="779" spans="2:28" x14ac:dyDescent="0.2">
      <c r="B779" s="4" t="s">
        <v>3340</v>
      </c>
      <c r="C779" s="4">
        <v>15.488899999999999</v>
      </c>
      <c r="D779" s="4">
        <v>15.6378</v>
      </c>
      <c r="E779" s="4">
        <v>15.7492</v>
      </c>
      <c r="F779" s="4">
        <f t="shared" si="48"/>
        <v>15.625300000000001</v>
      </c>
      <c r="I779" s="4" t="s">
        <v>2953</v>
      </c>
      <c r="J779" s="4">
        <v>15.7339</v>
      </c>
      <c r="K779" s="4">
        <v>15.512700000000001</v>
      </c>
      <c r="L779" s="4">
        <v>15.815</v>
      </c>
      <c r="M779" s="4">
        <f t="shared" si="49"/>
        <v>15.687199999999999</v>
      </c>
      <c r="Q779" s="43" t="s">
        <v>2632</v>
      </c>
      <c r="R779" s="4">
        <v>15.2637885438476</v>
      </c>
      <c r="S779" s="4">
        <v>15.4196579133718</v>
      </c>
      <c r="T779" s="4">
        <v>15.576721524630599</v>
      </c>
      <c r="U779" s="4">
        <f t="shared" si="50"/>
        <v>15.420055993950001</v>
      </c>
      <c r="X779" s="43" t="s">
        <v>3478</v>
      </c>
      <c r="Y779" s="4">
        <v>15.6170421921982</v>
      </c>
      <c r="Z779" s="4">
        <v>15.4583133650512</v>
      </c>
      <c r="AA779" s="4">
        <v>15.378353146677201</v>
      </c>
      <c r="AB779" s="4">
        <f t="shared" si="51"/>
        <v>15.484569567975534</v>
      </c>
    </row>
    <row r="780" spans="2:28" x14ac:dyDescent="0.2">
      <c r="B780" s="4" t="s">
        <v>2769</v>
      </c>
      <c r="C780" s="4">
        <v>15.766500000000001</v>
      </c>
      <c r="D780" s="4">
        <v>15.423299999999999</v>
      </c>
      <c r="E780" s="4">
        <v>15.6828</v>
      </c>
      <c r="F780" s="4">
        <f t="shared" si="48"/>
        <v>15.6242</v>
      </c>
      <c r="I780" s="4" t="s">
        <v>2056</v>
      </c>
      <c r="J780" s="4">
        <v>15.786199999999999</v>
      </c>
      <c r="K780" s="4">
        <v>15.5768</v>
      </c>
      <c r="L780" s="4">
        <v>15.6737</v>
      </c>
      <c r="M780" s="4">
        <f t="shared" si="49"/>
        <v>15.678899999999999</v>
      </c>
      <c r="Q780" s="43" t="s">
        <v>3613</v>
      </c>
      <c r="R780" s="4">
        <v>15.3897398433595</v>
      </c>
      <c r="S780" s="4">
        <v>15.4869410144812</v>
      </c>
      <c r="T780" s="4">
        <v>15.3741627571723</v>
      </c>
      <c r="U780" s="4">
        <f t="shared" si="50"/>
        <v>15.416947871670999</v>
      </c>
      <c r="X780" s="43" t="s">
        <v>519</v>
      </c>
      <c r="Y780" s="4">
        <v>15.401680576950399</v>
      </c>
      <c r="Z780" s="4">
        <v>15.5225969074364</v>
      </c>
      <c r="AA780" s="4">
        <v>15.526336290398399</v>
      </c>
      <c r="AB780" s="4">
        <f t="shared" si="51"/>
        <v>15.483537924928399</v>
      </c>
    </row>
    <row r="781" spans="2:28" x14ac:dyDescent="0.2">
      <c r="B781" s="4" t="s">
        <v>2100</v>
      </c>
      <c r="C781" s="4">
        <v>15.697699999999999</v>
      </c>
      <c r="D781" s="4">
        <v>15.5374</v>
      </c>
      <c r="E781" s="4">
        <v>15.6266</v>
      </c>
      <c r="F781" s="4">
        <f t="shared" si="48"/>
        <v>15.620566666666667</v>
      </c>
      <c r="I781" s="4" t="s">
        <v>3823</v>
      </c>
      <c r="J781" s="4">
        <v>15.7651</v>
      </c>
      <c r="K781" s="4">
        <v>15.418200000000001</v>
      </c>
      <c r="L781" s="4">
        <v>15.8445</v>
      </c>
      <c r="M781" s="4">
        <f t="shared" si="49"/>
        <v>15.675933333333333</v>
      </c>
      <c r="Q781" s="43" t="s">
        <v>4449</v>
      </c>
      <c r="R781" s="4">
        <v>15.781843317004499</v>
      </c>
      <c r="S781" s="4">
        <v>15.179387547009799</v>
      </c>
      <c r="T781" s="4">
        <v>15.288537847863299</v>
      </c>
      <c r="U781" s="4">
        <f t="shared" si="50"/>
        <v>15.416589570625865</v>
      </c>
      <c r="X781" s="43" t="s">
        <v>759</v>
      </c>
      <c r="Y781" s="4">
        <v>15.3849002695398</v>
      </c>
      <c r="Z781" s="4">
        <v>15.7615705123214</v>
      </c>
      <c r="AA781" s="4">
        <v>15.292655042104199</v>
      </c>
      <c r="AB781" s="4">
        <f t="shared" si="51"/>
        <v>15.479708607988465</v>
      </c>
    </row>
    <row r="782" spans="2:28" x14ac:dyDescent="0.2">
      <c r="B782" s="4" t="s">
        <v>3976</v>
      </c>
      <c r="C782" s="4">
        <v>15.903</v>
      </c>
      <c r="D782" s="4">
        <v>15.6325</v>
      </c>
      <c r="E782" s="4">
        <v>15.3162</v>
      </c>
      <c r="F782" s="4">
        <f t="shared" si="48"/>
        <v>15.617233333333333</v>
      </c>
      <c r="I782" s="4" t="s">
        <v>1628</v>
      </c>
      <c r="J782" s="4">
        <v>15.745799999999999</v>
      </c>
      <c r="K782" s="4">
        <v>15.3714</v>
      </c>
      <c r="L782" s="4">
        <v>15.8729</v>
      </c>
      <c r="M782" s="4">
        <f t="shared" si="49"/>
        <v>15.663366666666667</v>
      </c>
      <c r="Q782" s="43" t="s">
        <v>2647</v>
      </c>
      <c r="R782" s="4">
        <v>15.350475754903901</v>
      </c>
      <c r="S782" s="4">
        <v>15.353257837863699</v>
      </c>
      <c r="T782" s="4">
        <v>15.5429451120264</v>
      </c>
      <c r="U782" s="4">
        <f t="shared" si="50"/>
        <v>15.415559568264667</v>
      </c>
      <c r="X782" s="43" t="s">
        <v>3269</v>
      </c>
      <c r="Y782" s="4">
        <v>15.439495562730899</v>
      </c>
      <c r="Z782" s="4">
        <v>15.504338540320701</v>
      </c>
      <c r="AA782" s="4">
        <v>15.493583247946599</v>
      </c>
      <c r="AB782" s="4">
        <f t="shared" si="51"/>
        <v>15.4791391169994</v>
      </c>
    </row>
    <row r="783" spans="2:28" x14ac:dyDescent="0.2">
      <c r="B783" s="4" t="s">
        <v>2545</v>
      </c>
      <c r="C783" s="4">
        <v>15.626799999999999</v>
      </c>
      <c r="D783" s="4">
        <v>15.8354</v>
      </c>
      <c r="E783" s="4">
        <v>15.369199999999999</v>
      </c>
      <c r="F783" s="4">
        <f t="shared" si="48"/>
        <v>15.610466666666667</v>
      </c>
      <c r="I783" s="4" t="s">
        <v>852</v>
      </c>
      <c r="J783" s="4">
        <v>16.129200000000001</v>
      </c>
      <c r="K783" s="4">
        <v>14.933400000000001</v>
      </c>
      <c r="L783" s="4">
        <v>15.9087</v>
      </c>
      <c r="M783" s="4">
        <f t="shared" si="49"/>
        <v>15.6571</v>
      </c>
      <c r="Q783" s="43" t="s">
        <v>2805</v>
      </c>
      <c r="R783" s="4">
        <v>15.4646735263956</v>
      </c>
      <c r="S783" s="4">
        <v>15.391206059903899</v>
      </c>
      <c r="T783" s="4">
        <v>15.390651428888001</v>
      </c>
      <c r="U783" s="4">
        <f t="shared" si="50"/>
        <v>15.415510338395833</v>
      </c>
      <c r="X783" s="43" t="s">
        <v>1064</v>
      </c>
      <c r="Y783" s="4">
        <v>15.1151085092828</v>
      </c>
      <c r="Z783" s="4">
        <v>16.525544384141899</v>
      </c>
      <c r="AA783" s="4">
        <v>14.7951999210146</v>
      </c>
      <c r="AB783" s="4">
        <f t="shared" si="51"/>
        <v>15.478617604813101</v>
      </c>
    </row>
    <row r="784" spans="2:28" x14ac:dyDescent="0.2">
      <c r="B784" s="4" t="s">
        <v>3648</v>
      </c>
      <c r="C784" s="4">
        <v>15.5608</v>
      </c>
      <c r="D784" s="4">
        <v>15.8241</v>
      </c>
      <c r="E784" s="4">
        <v>15.4428</v>
      </c>
      <c r="F784" s="4">
        <f t="shared" si="48"/>
        <v>15.609233333333334</v>
      </c>
      <c r="I784" s="4" t="s">
        <v>2317</v>
      </c>
      <c r="J784" s="4">
        <v>15.7255</v>
      </c>
      <c r="K784" s="4">
        <v>15.6127</v>
      </c>
      <c r="L784" s="4">
        <v>15.630599999999999</v>
      </c>
      <c r="M784" s="4">
        <f t="shared" si="49"/>
        <v>15.656266666666667</v>
      </c>
      <c r="Q784" s="43" t="s">
        <v>2917</v>
      </c>
      <c r="R784" s="4">
        <v>15.5498933044253</v>
      </c>
      <c r="S784" s="4">
        <v>15.5511234520096</v>
      </c>
      <c r="T784" s="4">
        <v>15.1275527709925</v>
      </c>
      <c r="U784" s="4">
        <f t="shared" si="50"/>
        <v>15.409523175809134</v>
      </c>
      <c r="X784" s="43" t="s">
        <v>829</v>
      </c>
      <c r="Y784" s="4">
        <v>15.3963788601673</v>
      </c>
      <c r="Z784" s="4">
        <v>15.389044094702699</v>
      </c>
      <c r="AA784" s="4">
        <v>15.640272079762401</v>
      </c>
      <c r="AB784" s="4">
        <f t="shared" si="51"/>
        <v>15.475231678210799</v>
      </c>
    </row>
    <row r="785" spans="2:28" x14ac:dyDescent="0.2">
      <c r="B785" s="4" t="s">
        <v>2136</v>
      </c>
      <c r="C785" s="4">
        <v>15.566800000000001</v>
      </c>
      <c r="D785" s="4">
        <v>15.541499999999999</v>
      </c>
      <c r="E785" s="4">
        <v>15.704700000000001</v>
      </c>
      <c r="F785" s="4">
        <f t="shared" si="48"/>
        <v>15.604333333333335</v>
      </c>
      <c r="I785" s="4" t="s">
        <v>142</v>
      </c>
      <c r="J785" s="4">
        <v>15.8361</v>
      </c>
      <c r="K785" s="4">
        <v>15.151199999999999</v>
      </c>
      <c r="L785" s="4">
        <v>15.966699999999999</v>
      </c>
      <c r="M785" s="4">
        <f t="shared" si="49"/>
        <v>15.651333333333332</v>
      </c>
      <c r="Q785" s="43" t="s">
        <v>2240</v>
      </c>
      <c r="R785" s="4">
        <v>15.678602312718301</v>
      </c>
      <c r="S785" s="4">
        <v>15.347822611082799</v>
      </c>
      <c r="T785" s="4">
        <v>15.198799917260599</v>
      </c>
      <c r="U785" s="4">
        <f t="shared" si="50"/>
        <v>15.408408280353902</v>
      </c>
      <c r="X785" s="43" t="s">
        <v>2131</v>
      </c>
      <c r="Y785" s="4">
        <v>15.506871274091701</v>
      </c>
      <c r="Z785" s="4">
        <v>15.473963120070101</v>
      </c>
      <c r="AA785" s="4">
        <v>15.4382788335</v>
      </c>
      <c r="AB785" s="4">
        <f t="shared" si="51"/>
        <v>15.473037742553934</v>
      </c>
    </row>
    <row r="786" spans="2:28" x14ac:dyDescent="0.2">
      <c r="B786" s="4" t="s">
        <v>2802</v>
      </c>
      <c r="C786" s="4">
        <v>15.491400000000001</v>
      </c>
      <c r="D786" s="4">
        <v>15.676</v>
      </c>
      <c r="E786" s="4">
        <v>15.639200000000001</v>
      </c>
      <c r="F786" s="4">
        <f t="shared" si="48"/>
        <v>15.602200000000002</v>
      </c>
      <c r="I786" s="4" t="s">
        <v>4071</v>
      </c>
      <c r="J786" s="4">
        <v>15.730700000000001</v>
      </c>
      <c r="K786" s="4">
        <v>15.639699999999999</v>
      </c>
      <c r="L786" s="4">
        <v>15.577999999999999</v>
      </c>
      <c r="M786" s="4">
        <f t="shared" si="49"/>
        <v>15.649466666666667</v>
      </c>
      <c r="Q786" s="43" t="s">
        <v>2143</v>
      </c>
      <c r="R786" s="4">
        <v>15.246518817851101</v>
      </c>
      <c r="S786" s="4">
        <v>15.3199349775754</v>
      </c>
      <c r="T786" s="4">
        <v>15.655376553104899</v>
      </c>
      <c r="U786" s="4">
        <f t="shared" si="50"/>
        <v>15.4072767828438</v>
      </c>
      <c r="X786" s="43" t="s">
        <v>3383</v>
      </c>
      <c r="Y786" s="4">
        <v>15.398192050630101</v>
      </c>
      <c r="Z786" s="4">
        <v>15.4462767649232</v>
      </c>
      <c r="AA786" s="4">
        <v>15.566404431787401</v>
      </c>
      <c r="AB786" s="4">
        <f t="shared" si="51"/>
        <v>15.4702910824469</v>
      </c>
    </row>
    <row r="787" spans="2:28" x14ac:dyDescent="0.2">
      <c r="B787" s="4" t="s">
        <v>1244</v>
      </c>
      <c r="C787" s="4">
        <v>15.663</v>
      </c>
      <c r="D787" s="4">
        <v>15.652100000000001</v>
      </c>
      <c r="E787" s="4">
        <v>15.4877</v>
      </c>
      <c r="F787" s="4">
        <f t="shared" si="48"/>
        <v>15.600933333333336</v>
      </c>
      <c r="I787" s="4" t="s">
        <v>2100</v>
      </c>
      <c r="J787" s="4">
        <v>15.703200000000001</v>
      </c>
      <c r="K787" s="4">
        <v>15.3688</v>
      </c>
      <c r="L787" s="4">
        <v>15.864100000000001</v>
      </c>
      <c r="M787" s="4">
        <f t="shared" si="49"/>
        <v>15.645366666666668</v>
      </c>
      <c r="Q787" s="43" t="s">
        <v>2953</v>
      </c>
      <c r="R787" s="4">
        <v>15.4627890339424</v>
      </c>
      <c r="S787" s="4">
        <v>15.408084442659099</v>
      </c>
      <c r="T787" s="4">
        <v>15.348359997585099</v>
      </c>
      <c r="U787" s="4">
        <f t="shared" si="50"/>
        <v>15.406411158062198</v>
      </c>
      <c r="X787" s="43" t="s">
        <v>2996</v>
      </c>
      <c r="Y787" s="4">
        <v>15.2805678382494</v>
      </c>
      <c r="Z787" s="4">
        <v>15.3333668516213</v>
      </c>
      <c r="AA787" s="4">
        <v>15.7943577308037</v>
      </c>
      <c r="AB787" s="4">
        <f t="shared" si="51"/>
        <v>15.469430806891467</v>
      </c>
    </row>
    <row r="788" spans="2:28" x14ac:dyDescent="0.2">
      <c r="B788" s="4" t="s">
        <v>3720</v>
      </c>
      <c r="C788" s="4">
        <v>15.426500000000001</v>
      </c>
      <c r="D788" s="4">
        <v>15.866099999999999</v>
      </c>
      <c r="E788" s="4">
        <v>15.5063</v>
      </c>
      <c r="F788" s="4">
        <f t="shared" si="48"/>
        <v>15.599633333333335</v>
      </c>
      <c r="I788" s="4" t="s">
        <v>1465</v>
      </c>
      <c r="J788" s="4">
        <v>15.398</v>
      </c>
      <c r="K788" s="4">
        <v>15.9177</v>
      </c>
      <c r="L788" s="4">
        <v>15.615500000000001</v>
      </c>
      <c r="M788" s="4">
        <f t="shared" si="49"/>
        <v>15.643733333333335</v>
      </c>
      <c r="Q788" s="43" t="s">
        <v>2560</v>
      </c>
      <c r="R788" s="4">
        <v>15.470579418783601</v>
      </c>
      <c r="S788" s="4">
        <v>15.260311019045099</v>
      </c>
      <c r="T788" s="4">
        <v>15.482101026021301</v>
      </c>
      <c r="U788" s="4">
        <f t="shared" si="50"/>
        <v>15.40433048795</v>
      </c>
      <c r="X788" s="43" t="s">
        <v>1842</v>
      </c>
      <c r="Y788" s="4">
        <v>15.402378111580299</v>
      </c>
      <c r="Z788" s="4">
        <v>15.3575200817872</v>
      </c>
      <c r="AA788" s="4">
        <v>15.642633068020499</v>
      </c>
      <c r="AB788" s="4">
        <f t="shared" si="51"/>
        <v>15.467510420462666</v>
      </c>
    </row>
    <row r="789" spans="2:28" x14ac:dyDescent="0.2">
      <c r="B789" s="4" t="s">
        <v>1349</v>
      </c>
      <c r="C789" s="4">
        <v>15.7219</v>
      </c>
      <c r="D789" s="4">
        <v>15.5359</v>
      </c>
      <c r="E789" s="4">
        <v>15.5183</v>
      </c>
      <c r="F789" s="4">
        <f t="shared" si="48"/>
        <v>15.592033333333333</v>
      </c>
      <c r="I789" s="4" t="s">
        <v>879</v>
      </c>
      <c r="J789" s="4">
        <v>15.9404</v>
      </c>
      <c r="K789" s="4">
        <v>15.008599999999999</v>
      </c>
      <c r="L789" s="4">
        <v>15.9802</v>
      </c>
      <c r="M789" s="4">
        <f t="shared" si="49"/>
        <v>15.643066666666664</v>
      </c>
      <c r="Q789" s="43" t="s">
        <v>3926</v>
      </c>
      <c r="R789" s="4">
        <v>15.678760039225001</v>
      </c>
      <c r="S789" s="4">
        <v>15.261925395355901</v>
      </c>
      <c r="T789" s="4">
        <v>15.269213807743499</v>
      </c>
      <c r="U789" s="4">
        <f t="shared" si="50"/>
        <v>15.403299747441466</v>
      </c>
      <c r="X789" s="43" t="s">
        <v>1300</v>
      </c>
      <c r="Y789" s="4">
        <v>15.4914951766669</v>
      </c>
      <c r="Z789" s="4">
        <v>15.514588199540199</v>
      </c>
      <c r="AA789" s="4">
        <v>15.380720540343701</v>
      </c>
      <c r="AB789" s="4">
        <f t="shared" si="51"/>
        <v>15.462267972183602</v>
      </c>
    </row>
    <row r="790" spans="2:28" x14ac:dyDescent="0.2">
      <c r="B790" s="4" t="s">
        <v>3037</v>
      </c>
      <c r="C790" s="4">
        <v>15.485099999999999</v>
      </c>
      <c r="D790" s="4">
        <v>15.5291</v>
      </c>
      <c r="E790" s="4">
        <v>15.760300000000001</v>
      </c>
      <c r="F790" s="4">
        <f t="shared" si="48"/>
        <v>15.591500000000002</v>
      </c>
      <c r="I790" s="4" t="s">
        <v>338</v>
      </c>
      <c r="J790" s="4">
        <v>15.4209</v>
      </c>
      <c r="K790" s="4">
        <v>16.078499999999998</v>
      </c>
      <c r="L790" s="4">
        <v>15.420199999999999</v>
      </c>
      <c r="M790" s="4">
        <f t="shared" si="49"/>
        <v>15.639866666666665</v>
      </c>
      <c r="Q790" s="43" t="s">
        <v>3886</v>
      </c>
      <c r="R790" s="4">
        <v>15.2120288344146</v>
      </c>
      <c r="S790" s="4">
        <v>15.5777741627531</v>
      </c>
      <c r="T790" s="4">
        <v>15.4025130757153</v>
      </c>
      <c r="U790" s="4">
        <f t="shared" si="50"/>
        <v>15.397438690960998</v>
      </c>
      <c r="X790" s="43" t="s">
        <v>148</v>
      </c>
      <c r="Y790" s="4">
        <v>15.551035109012499</v>
      </c>
      <c r="Z790" s="4">
        <v>15.3987008973111</v>
      </c>
      <c r="AA790" s="4">
        <v>15.436898800326</v>
      </c>
      <c r="AB790" s="4">
        <f t="shared" si="51"/>
        <v>15.462211602216533</v>
      </c>
    </row>
    <row r="791" spans="2:28" x14ac:dyDescent="0.2">
      <c r="B791" s="4" t="s">
        <v>973</v>
      </c>
      <c r="C791" s="4">
        <v>15.573499999999999</v>
      </c>
      <c r="D791" s="4">
        <v>15.690799999999999</v>
      </c>
      <c r="E791" s="4">
        <v>15.5093</v>
      </c>
      <c r="F791" s="4">
        <f t="shared" si="48"/>
        <v>15.591200000000001</v>
      </c>
      <c r="I791" s="4" t="s">
        <v>3667</v>
      </c>
      <c r="J791" s="4">
        <v>15.577299999999999</v>
      </c>
      <c r="K791" s="4">
        <v>15.7225</v>
      </c>
      <c r="L791" s="4">
        <v>15.610200000000001</v>
      </c>
      <c r="M791" s="4">
        <f t="shared" si="49"/>
        <v>15.636666666666665</v>
      </c>
      <c r="Q791" s="43" t="s">
        <v>1215</v>
      </c>
      <c r="R791" s="4">
        <v>15.560707702605599</v>
      </c>
      <c r="S791" s="4">
        <v>15.3483585533544</v>
      </c>
      <c r="T791" s="4">
        <v>15.280845604280699</v>
      </c>
      <c r="U791" s="4">
        <f t="shared" si="50"/>
        <v>15.3966372867469</v>
      </c>
      <c r="X791" s="43" t="s">
        <v>2338</v>
      </c>
      <c r="Y791" s="4">
        <v>15.6040047277596</v>
      </c>
      <c r="Z791" s="4">
        <v>15.400573765872799</v>
      </c>
      <c r="AA791" s="4">
        <v>15.3780788084599</v>
      </c>
      <c r="AB791" s="4">
        <f t="shared" si="51"/>
        <v>15.460885767364099</v>
      </c>
    </row>
    <row r="792" spans="2:28" x14ac:dyDescent="0.2">
      <c r="B792" s="4" t="s">
        <v>3621</v>
      </c>
      <c r="C792" s="4">
        <v>15.4238</v>
      </c>
      <c r="D792" s="4">
        <v>15.710699999999999</v>
      </c>
      <c r="E792" s="4">
        <v>15.634499999999999</v>
      </c>
      <c r="F792" s="4">
        <f t="shared" si="48"/>
        <v>15.589666666666666</v>
      </c>
      <c r="I792" s="4" t="s">
        <v>2136</v>
      </c>
      <c r="J792" s="4">
        <v>15.536</v>
      </c>
      <c r="K792" s="4">
        <v>15.8264</v>
      </c>
      <c r="L792" s="4">
        <v>15.542999999999999</v>
      </c>
      <c r="M792" s="4">
        <f t="shared" si="49"/>
        <v>15.635133333333334</v>
      </c>
      <c r="Q792" s="43" t="s">
        <v>524</v>
      </c>
      <c r="R792" s="4">
        <v>15.609850031135499</v>
      </c>
      <c r="S792" s="4">
        <v>15.028405478318801</v>
      </c>
      <c r="T792" s="4">
        <v>15.5439345149454</v>
      </c>
      <c r="U792" s="4">
        <f t="shared" si="50"/>
        <v>15.394063341466568</v>
      </c>
      <c r="X792" s="43" t="s">
        <v>457</v>
      </c>
      <c r="Y792" s="4">
        <v>15.4619863510872</v>
      </c>
      <c r="Z792" s="4">
        <v>15.5063604424394</v>
      </c>
      <c r="AA792" s="4">
        <v>15.4109079885406</v>
      </c>
      <c r="AB792" s="4">
        <f t="shared" si="51"/>
        <v>15.4597515940224</v>
      </c>
    </row>
    <row r="793" spans="2:28" x14ac:dyDescent="0.2">
      <c r="B793" s="4" t="s">
        <v>2791</v>
      </c>
      <c r="C793" s="4">
        <v>15.651300000000001</v>
      </c>
      <c r="D793" s="4">
        <v>15.576000000000001</v>
      </c>
      <c r="E793" s="4">
        <v>15.5259</v>
      </c>
      <c r="F793" s="4">
        <f t="shared" si="48"/>
        <v>15.5844</v>
      </c>
      <c r="I793" s="4" t="s">
        <v>1234</v>
      </c>
      <c r="J793" s="4">
        <v>15.6907</v>
      </c>
      <c r="K793" s="4">
        <v>15.522600000000001</v>
      </c>
      <c r="L793" s="4">
        <v>15.688599999999999</v>
      </c>
      <c r="M793" s="4">
        <f t="shared" si="49"/>
        <v>15.633966666666666</v>
      </c>
      <c r="Q793" s="43" t="s">
        <v>1461</v>
      </c>
      <c r="R793" s="4">
        <v>15.242557456584001</v>
      </c>
      <c r="S793" s="4">
        <v>15.501283696450299</v>
      </c>
      <c r="T793" s="4">
        <v>15.430951441689899</v>
      </c>
      <c r="U793" s="4">
        <f t="shared" si="50"/>
        <v>15.391597531574732</v>
      </c>
      <c r="X793" s="43" t="s">
        <v>2654</v>
      </c>
      <c r="Y793" s="4">
        <v>15.423054841181999</v>
      </c>
      <c r="Z793" s="4">
        <v>15.406018299358401</v>
      </c>
      <c r="AA793" s="4">
        <v>15.5472462494882</v>
      </c>
      <c r="AB793" s="4">
        <f t="shared" si="51"/>
        <v>15.458773130009533</v>
      </c>
    </row>
    <row r="794" spans="2:28" x14ac:dyDescent="0.2">
      <c r="B794" s="4" t="s">
        <v>971</v>
      </c>
      <c r="C794" s="4">
        <v>15.101599999999999</v>
      </c>
      <c r="D794" s="4">
        <v>15.094900000000001</v>
      </c>
      <c r="E794" s="4">
        <v>16.553000000000001</v>
      </c>
      <c r="F794" s="4">
        <f t="shared" si="48"/>
        <v>15.583166666666665</v>
      </c>
      <c r="I794" s="4" t="s">
        <v>2930</v>
      </c>
      <c r="J794" s="4">
        <v>15.7537</v>
      </c>
      <c r="K794" s="4">
        <v>15.539400000000001</v>
      </c>
      <c r="L794" s="4">
        <v>15.605700000000001</v>
      </c>
      <c r="M794" s="4">
        <f t="shared" si="49"/>
        <v>15.632933333333334</v>
      </c>
      <c r="Q794" s="43" t="s">
        <v>839</v>
      </c>
      <c r="R794" s="4">
        <v>14.8176262713773</v>
      </c>
      <c r="S794" s="4">
        <v>15.3951744840762</v>
      </c>
      <c r="T794" s="4">
        <v>15.9618133273416</v>
      </c>
      <c r="U794" s="4">
        <f t="shared" si="50"/>
        <v>15.391538027598367</v>
      </c>
      <c r="X794" s="43" t="s">
        <v>2479</v>
      </c>
      <c r="Y794" s="4">
        <v>15.425445560105</v>
      </c>
      <c r="Z794" s="4">
        <v>15.4949576321977</v>
      </c>
      <c r="AA794" s="4">
        <v>15.450099766151199</v>
      </c>
      <c r="AB794" s="4">
        <f t="shared" si="51"/>
        <v>15.456834319484633</v>
      </c>
    </row>
    <row r="795" spans="2:28" x14ac:dyDescent="0.2">
      <c r="B795" s="4" t="s">
        <v>3273</v>
      </c>
      <c r="C795" s="4">
        <v>15.7263</v>
      </c>
      <c r="D795" s="4">
        <v>15.720499999999999</v>
      </c>
      <c r="E795" s="4">
        <v>15.302</v>
      </c>
      <c r="F795" s="4">
        <f t="shared" si="48"/>
        <v>15.582933333333335</v>
      </c>
      <c r="I795" s="4" t="s">
        <v>2835</v>
      </c>
      <c r="J795" s="4">
        <v>15.7972</v>
      </c>
      <c r="K795" s="4">
        <v>15.337300000000001</v>
      </c>
      <c r="L795" s="4">
        <v>15.756500000000001</v>
      </c>
      <c r="M795" s="4">
        <f t="shared" si="49"/>
        <v>15.630333333333335</v>
      </c>
      <c r="Q795" s="43" t="s">
        <v>1053</v>
      </c>
      <c r="R795" s="4">
        <v>15.3458511425438</v>
      </c>
      <c r="S795" s="4">
        <v>15.3087478296304</v>
      </c>
      <c r="T795" s="4">
        <v>15.516641784231901</v>
      </c>
      <c r="U795" s="4">
        <f t="shared" si="50"/>
        <v>15.3904135854687</v>
      </c>
      <c r="X795" s="43" t="s">
        <v>2267</v>
      </c>
      <c r="Y795" s="4">
        <v>15.4554682002909</v>
      </c>
      <c r="Z795" s="4">
        <v>15.520068480708</v>
      </c>
      <c r="AA795" s="4">
        <v>15.3893232002369</v>
      </c>
      <c r="AB795" s="4">
        <f t="shared" si="51"/>
        <v>15.454953293745268</v>
      </c>
    </row>
    <row r="796" spans="2:28" x14ac:dyDescent="0.2">
      <c r="B796" s="4" t="s">
        <v>4075</v>
      </c>
      <c r="C796" s="4">
        <v>15.6036</v>
      </c>
      <c r="D796" s="4">
        <v>15.7797</v>
      </c>
      <c r="E796" s="4">
        <v>15.351900000000001</v>
      </c>
      <c r="F796" s="4">
        <f t="shared" si="48"/>
        <v>15.5784</v>
      </c>
      <c r="I796" s="4" t="s">
        <v>2638</v>
      </c>
      <c r="J796" s="4">
        <v>15.7346</v>
      </c>
      <c r="K796" s="4">
        <v>15.257999999999999</v>
      </c>
      <c r="L796" s="4">
        <v>15.885</v>
      </c>
      <c r="M796" s="4">
        <f t="shared" si="49"/>
        <v>15.625866666666667</v>
      </c>
      <c r="Q796" s="43" t="s">
        <v>1627</v>
      </c>
      <c r="R796" s="4">
        <v>15.0770747550528</v>
      </c>
      <c r="S796" s="4">
        <v>15.400889973316101</v>
      </c>
      <c r="T796" s="4">
        <v>15.686304415814501</v>
      </c>
      <c r="U796" s="4">
        <f t="shared" si="50"/>
        <v>15.388089714727803</v>
      </c>
      <c r="X796" s="43" t="s">
        <v>2789</v>
      </c>
      <c r="Y796" s="4">
        <v>15.4224022329664</v>
      </c>
      <c r="Z796" s="4">
        <v>15.513048780382499</v>
      </c>
      <c r="AA796" s="4">
        <v>15.4290985556027</v>
      </c>
      <c r="AB796" s="4">
        <f t="shared" si="51"/>
        <v>15.454849856317201</v>
      </c>
    </row>
    <row r="797" spans="2:28" x14ac:dyDescent="0.2">
      <c r="B797" s="4" t="s">
        <v>55</v>
      </c>
      <c r="C797" s="4">
        <v>15.607200000000001</v>
      </c>
      <c r="D797" s="4">
        <v>15.3794</v>
      </c>
      <c r="E797" s="4">
        <v>15.742100000000001</v>
      </c>
      <c r="F797" s="4">
        <f t="shared" si="48"/>
        <v>15.576233333333334</v>
      </c>
      <c r="I797" s="4" t="s">
        <v>3080</v>
      </c>
      <c r="J797" s="4">
        <v>15.5669</v>
      </c>
      <c r="K797" s="4">
        <v>16.3186</v>
      </c>
      <c r="L797" s="4">
        <v>14.985200000000001</v>
      </c>
      <c r="M797" s="4">
        <f t="shared" si="49"/>
        <v>15.623566666666667</v>
      </c>
      <c r="Q797" s="43" t="s">
        <v>305</v>
      </c>
      <c r="R797" s="4">
        <v>15.4350398802471</v>
      </c>
      <c r="S797" s="4">
        <v>15.4526369243888</v>
      </c>
      <c r="T797" s="4">
        <v>15.2709288916107</v>
      </c>
      <c r="U797" s="4">
        <f t="shared" si="50"/>
        <v>15.386201898748867</v>
      </c>
      <c r="X797" s="43" t="s">
        <v>453</v>
      </c>
      <c r="Y797" s="4">
        <v>15.3037981758399</v>
      </c>
      <c r="Z797" s="4">
        <v>15.4856207145101</v>
      </c>
      <c r="AA797" s="4">
        <v>15.565389067123901</v>
      </c>
      <c r="AB797" s="4">
        <f t="shared" si="51"/>
        <v>15.451602652491301</v>
      </c>
    </row>
    <row r="798" spans="2:28" x14ac:dyDescent="0.2">
      <c r="B798" s="4" t="s">
        <v>1671</v>
      </c>
      <c r="C798" s="4">
        <v>15.7887</v>
      </c>
      <c r="D798" s="4">
        <v>15.632899999999999</v>
      </c>
      <c r="E798" s="4">
        <v>15.301</v>
      </c>
      <c r="F798" s="4">
        <f t="shared" si="48"/>
        <v>15.574199999999999</v>
      </c>
      <c r="I798" s="4" t="s">
        <v>326</v>
      </c>
      <c r="J798" s="4">
        <v>14.995900000000001</v>
      </c>
      <c r="K798" s="4">
        <v>16.7056</v>
      </c>
      <c r="L798" s="4">
        <v>15.1647</v>
      </c>
      <c r="M798" s="4">
        <f t="shared" si="49"/>
        <v>15.622066666666669</v>
      </c>
      <c r="Q798" s="43" t="s">
        <v>3043</v>
      </c>
      <c r="R798" s="4">
        <v>15.2177572840009</v>
      </c>
      <c r="S798" s="4">
        <v>15.438100786056101</v>
      </c>
      <c r="T798" s="4">
        <v>15.4981444610025</v>
      </c>
      <c r="U798" s="4">
        <f t="shared" si="50"/>
        <v>15.384667510353168</v>
      </c>
      <c r="X798" s="43" t="s">
        <v>2474</v>
      </c>
      <c r="Y798" s="4">
        <v>15.379480196043801</v>
      </c>
      <c r="Z798" s="4">
        <v>15.5108061414111</v>
      </c>
      <c r="AA798" s="4">
        <v>15.4610740331418</v>
      </c>
      <c r="AB798" s="4">
        <f t="shared" si="51"/>
        <v>15.450453456865567</v>
      </c>
    </row>
    <row r="799" spans="2:28" x14ac:dyDescent="0.2">
      <c r="B799" s="4" t="s">
        <v>3763</v>
      </c>
      <c r="C799" s="4">
        <v>16.569299999999998</v>
      </c>
      <c r="D799" s="4">
        <v>14.544499999999999</v>
      </c>
      <c r="E799" s="4">
        <v>15.603199999999999</v>
      </c>
      <c r="F799" s="4">
        <f t="shared" si="48"/>
        <v>15.572333333333333</v>
      </c>
      <c r="I799" s="4" t="s">
        <v>3530</v>
      </c>
      <c r="J799" s="4">
        <v>15.7761</v>
      </c>
      <c r="K799" s="4">
        <v>15.242000000000001</v>
      </c>
      <c r="L799" s="4">
        <v>15.842700000000001</v>
      </c>
      <c r="M799" s="4">
        <f t="shared" si="49"/>
        <v>15.620266666666666</v>
      </c>
      <c r="Q799" s="43" t="s">
        <v>3230</v>
      </c>
      <c r="R799" s="4">
        <v>15.366594571180499</v>
      </c>
      <c r="S799" s="4">
        <v>15.1600481612913</v>
      </c>
      <c r="T799" s="4">
        <v>15.626743528812399</v>
      </c>
      <c r="U799" s="4">
        <f t="shared" si="50"/>
        <v>15.384462087094732</v>
      </c>
      <c r="X799" s="43" t="s">
        <v>3730</v>
      </c>
      <c r="Y799" s="4">
        <v>15.3859975243034</v>
      </c>
      <c r="Z799" s="4">
        <v>15.437933628667601</v>
      </c>
      <c r="AA799" s="4">
        <v>15.512694467854001</v>
      </c>
      <c r="AB799" s="4">
        <f t="shared" si="51"/>
        <v>15.445541873608335</v>
      </c>
    </row>
    <row r="800" spans="2:28" x14ac:dyDescent="0.2">
      <c r="B800" s="4" t="s">
        <v>2784</v>
      </c>
      <c r="C800" s="4">
        <v>15.7538</v>
      </c>
      <c r="D800" s="4">
        <v>15.498799999999999</v>
      </c>
      <c r="E800" s="4">
        <v>15.4537</v>
      </c>
      <c r="F800" s="4">
        <f t="shared" si="48"/>
        <v>15.568766666666667</v>
      </c>
      <c r="I800" s="4" t="s">
        <v>2096</v>
      </c>
      <c r="J800" s="4">
        <v>15.8306</v>
      </c>
      <c r="K800" s="4">
        <v>15.229799999999999</v>
      </c>
      <c r="L800" s="4">
        <v>15.750500000000001</v>
      </c>
      <c r="M800" s="4">
        <f t="shared" si="49"/>
        <v>15.603633333333335</v>
      </c>
      <c r="Q800" s="43" t="s">
        <v>1661</v>
      </c>
      <c r="R800" s="4">
        <v>15.5704199260098</v>
      </c>
      <c r="S800" s="4">
        <v>15.2778903739908</v>
      </c>
      <c r="T800" s="4">
        <v>15.3042518551421</v>
      </c>
      <c r="U800" s="4">
        <f t="shared" si="50"/>
        <v>15.384187385047566</v>
      </c>
      <c r="X800" s="43" t="s">
        <v>2263</v>
      </c>
      <c r="Y800" s="4">
        <v>15.4329877963548</v>
      </c>
      <c r="Z800" s="4">
        <v>15.44339967368</v>
      </c>
      <c r="AA800" s="4">
        <v>15.4518984305875</v>
      </c>
      <c r="AB800" s="4">
        <f t="shared" si="51"/>
        <v>15.4427619668741</v>
      </c>
    </row>
    <row r="801" spans="2:28" x14ac:dyDescent="0.2">
      <c r="B801" s="4" t="s">
        <v>2503</v>
      </c>
      <c r="C801" s="4">
        <v>15.5951</v>
      </c>
      <c r="D801" s="4">
        <v>15.5662</v>
      </c>
      <c r="E801" s="4">
        <v>15.543200000000001</v>
      </c>
      <c r="F801" s="4">
        <f t="shared" si="48"/>
        <v>15.568166666666668</v>
      </c>
      <c r="I801" s="4" t="s">
        <v>2243</v>
      </c>
      <c r="J801" s="4">
        <v>15.601000000000001</v>
      </c>
      <c r="K801" s="4">
        <v>15.7361</v>
      </c>
      <c r="L801" s="4">
        <v>15.4733</v>
      </c>
      <c r="M801" s="4">
        <f t="shared" si="49"/>
        <v>15.603466666666668</v>
      </c>
      <c r="Q801" s="43" t="s">
        <v>2871</v>
      </c>
      <c r="R801" s="4">
        <v>15.4940050945119</v>
      </c>
      <c r="S801" s="4">
        <v>15.226582179396001</v>
      </c>
      <c r="T801" s="4">
        <v>15.426591724609899</v>
      </c>
      <c r="U801" s="4">
        <f t="shared" si="50"/>
        <v>15.382392999505933</v>
      </c>
      <c r="X801" s="43" t="s">
        <v>1849</v>
      </c>
      <c r="Y801" s="4">
        <v>15.332105453144599</v>
      </c>
      <c r="Z801" s="4">
        <v>15.472133339365399</v>
      </c>
      <c r="AA801" s="4">
        <v>15.5148632598055</v>
      </c>
      <c r="AB801" s="4">
        <f t="shared" si="51"/>
        <v>15.439700684105167</v>
      </c>
    </row>
    <row r="802" spans="2:28" x14ac:dyDescent="0.2">
      <c r="B802" s="4" t="s">
        <v>2102</v>
      </c>
      <c r="C802" s="4">
        <v>15.734299999999999</v>
      </c>
      <c r="D802" s="4">
        <v>15.5313</v>
      </c>
      <c r="E802" s="4">
        <v>15.4377</v>
      </c>
      <c r="F802" s="4">
        <f t="shared" si="48"/>
        <v>15.567766666666666</v>
      </c>
      <c r="I802" s="4" t="s">
        <v>3034</v>
      </c>
      <c r="J802" s="4">
        <v>15.704700000000001</v>
      </c>
      <c r="K802" s="4">
        <v>15.454499999999999</v>
      </c>
      <c r="L802" s="4">
        <v>15.6494</v>
      </c>
      <c r="M802" s="4">
        <f t="shared" si="49"/>
        <v>15.602866666666666</v>
      </c>
      <c r="Q802" s="43" t="s">
        <v>4620</v>
      </c>
      <c r="R802" s="4">
        <v>15.3618784811816</v>
      </c>
      <c r="S802" s="4">
        <v>15.2544733987888</v>
      </c>
      <c r="T802" s="4">
        <v>15.5260242171914</v>
      </c>
      <c r="U802" s="4">
        <f t="shared" si="50"/>
        <v>15.380792032387268</v>
      </c>
      <c r="X802" s="43" t="s">
        <v>175</v>
      </c>
      <c r="Y802" s="4">
        <v>15.514146487128199</v>
      </c>
      <c r="Z802" s="4">
        <v>15.528991010298601</v>
      </c>
      <c r="AA802" s="4">
        <v>15.271255190465601</v>
      </c>
      <c r="AB802" s="4">
        <f t="shared" si="51"/>
        <v>15.438130895964134</v>
      </c>
    </row>
    <row r="803" spans="2:28" x14ac:dyDescent="0.2">
      <c r="B803" s="4" t="s">
        <v>2857</v>
      </c>
      <c r="C803" s="4">
        <v>15.5905</v>
      </c>
      <c r="D803" s="4">
        <v>15.6145</v>
      </c>
      <c r="E803" s="4">
        <v>15.4908</v>
      </c>
      <c r="F803" s="4">
        <f t="shared" si="48"/>
        <v>15.565266666666666</v>
      </c>
      <c r="I803" s="4" t="s">
        <v>2266</v>
      </c>
      <c r="J803" s="4">
        <v>15.6732</v>
      </c>
      <c r="K803" s="4">
        <v>15.387499999999999</v>
      </c>
      <c r="L803" s="4">
        <v>15.7447</v>
      </c>
      <c r="M803" s="4">
        <f t="shared" si="49"/>
        <v>15.601799999999999</v>
      </c>
      <c r="Q803" s="43" t="s">
        <v>2209</v>
      </c>
      <c r="R803" s="4">
        <v>15.1605361975062</v>
      </c>
      <c r="S803" s="4">
        <v>15.4329327079992</v>
      </c>
      <c r="T803" s="4">
        <v>15.5342545747553</v>
      </c>
      <c r="U803" s="4">
        <f t="shared" si="50"/>
        <v>15.375907826753567</v>
      </c>
      <c r="X803" s="43" t="s">
        <v>3051</v>
      </c>
      <c r="Y803" s="4">
        <v>15.6649815930743</v>
      </c>
      <c r="Z803" s="4">
        <v>15.6127334099194</v>
      </c>
      <c r="AA803" s="4">
        <v>15.0291492363045</v>
      </c>
      <c r="AB803" s="4">
        <f t="shared" si="51"/>
        <v>15.435621413099399</v>
      </c>
    </row>
    <row r="804" spans="2:28" x14ac:dyDescent="0.2">
      <c r="B804" s="4" t="s">
        <v>3218</v>
      </c>
      <c r="C804" s="4">
        <v>15.8421</v>
      </c>
      <c r="D804" s="4">
        <v>15.291700000000001</v>
      </c>
      <c r="E804" s="4">
        <v>15.5604</v>
      </c>
      <c r="F804" s="4">
        <f t="shared" si="48"/>
        <v>15.564733333333335</v>
      </c>
      <c r="I804" s="4" t="s">
        <v>1345</v>
      </c>
      <c r="J804" s="4">
        <v>15.634</v>
      </c>
      <c r="K804" s="4">
        <v>15.554500000000001</v>
      </c>
      <c r="L804" s="4">
        <v>15.607799999999999</v>
      </c>
      <c r="M804" s="4">
        <f t="shared" si="49"/>
        <v>15.598766666666668</v>
      </c>
      <c r="Q804" s="43" t="s">
        <v>3887</v>
      </c>
      <c r="R804" s="4">
        <v>15.5266793170418</v>
      </c>
      <c r="S804" s="4">
        <v>15.223515352474699</v>
      </c>
      <c r="T804" s="4">
        <v>15.375144699448899</v>
      </c>
      <c r="U804" s="4">
        <f t="shared" si="50"/>
        <v>15.375113122988466</v>
      </c>
      <c r="X804" s="43" t="s">
        <v>216</v>
      </c>
      <c r="Y804" s="4">
        <v>15.422391526349299</v>
      </c>
      <c r="Z804" s="4">
        <v>15.4354684622971</v>
      </c>
      <c r="AA804" s="4">
        <v>15.430579822581199</v>
      </c>
      <c r="AB804" s="4">
        <f t="shared" si="51"/>
        <v>15.429479937075866</v>
      </c>
    </row>
    <row r="805" spans="2:28" x14ac:dyDescent="0.2">
      <c r="B805" s="4" t="s">
        <v>1968</v>
      </c>
      <c r="C805" s="4">
        <v>15.5943</v>
      </c>
      <c r="D805" s="4">
        <v>15.589499999999999</v>
      </c>
      <c r="E805" s="4">
        <v>15.505599999999999</v>
      </c>
      <c r="F805" s="4">
        <f t="shared" si="48"/>
        <v>15.563133333333333</v>
      </c>
      <c r="I805" s="4" t="s">
        <v>2827</v>
      </c>
      <c r="J805" s="4">
        <v>15.6508</v>
      </c>
      <c r="K805" s="4">
        <v>15.8445</v>
      </c>
      <c r="L805" s="4">
        <v>15.2997</v>
      </c>
      <c r="M805" s="4">
        <f t="shared" si="49"/>
        <v>15.598333333333334</v>
      </c>
      <c r="Q805" s="43" t="s">
        <v>2177</v>
      </c>
      <c r="R805" s="4">
        <v>15.365296241102399</v>
      </c>
      <c r="S805" s="4">
        <v>15.391683711986801</v>
      </c>
      <c r="T805" s="4">
        <v>15.3601034603166</v>
      </c>
      <c r="U805" s="4">
        <f t="shared" si="50"/>
        <v>15.372361137801933</v>
      </c>
      <c r="X805" s="43" t="s">
        <v>977</v>
      </c>
      <c r="Y805" s="4">
        <v>15.646760219486399</v>
      </c>
      <c r="Z805" s="4">
        <v>15.5881853387204</v>
      </c>
      <c r="AA805" s="4">
        <v>15.0416087560662</v>
      </c>
      <c r="AB805" s="4">
        <f t="shared" si="51"/>
        <v>15.425518104757666</v>
      </c>
    </row>
    <row r="806" spans="2:28" x14ac:dyDescent="0.2">
      <c r="B806" s="4" t="s">
        <v>1236</v>
      </c>
      <c r="C806" s="4">
        <v>15.948499999999999</v>
      </c>
      <c r="D806" s="4">
        <v>15.6068</v>
      </c>
      <c r="E806" s="4">
        <v>15.1328</v>
      </c>
      <c r="F806" s="4">
        <f t="shared" si="48"/>
        <v>15.5627</v>
      </c>
      <c r="I806" s="4" t="s">
        <v>760</v>
      </c>
      <c r="J806" s="4">
        <v>15.3261</v>
      </c>
      <c r="K806" s="4">
        <v>16.326899999999998</v>
      </c>
      <c r="L806" s="4">
        <v>15.134399999999999</v>
      </c>
      <c r="M806" s="4">
        <f t="shared" si="49"/>
        <v>15.595799999999999</v>
      </c>
      <c r="Q806" s="43" t="s">
        <v>1216</v>
      </c>
      <c r="R806" s="4">
        <v>15.524933318289699</v>
      </c>
      <c r="S806" s="4">
        <v>15.299781617294901</v>
      </c>
      <c r="T806" s="4">
        <v>15.290487820087501</v>
      </c>
      <c r="U806" s="4">
        <f t="shared" si="50"/>
        <v>15.3717342518907</v>
      </c>
      <c r="X806" s="43" t="s">
        <v>856</v>
      </c>
      <c r="Y806" s="4">
        <v>15.406939958207699</v>
      </c>
      <c r="Z806" s="4">
        <v>15.4697752569086</v>
      </c>
      <c r="AA806" s="4">
        <v>15.384138412411501</v>
      </c>
      <c r="AB806" s="4">
        <f t="shared" si="51"/>
        <v>15.420284542509267</v>
      </c>
    </row>
    <row r="807" spans="2:28" x14ac:dyDescent="0.2">
      <c r="B807" s="4" t="s">
        <v>712</v>
      </c>
      <c r="C807" s="4">
        <v>15.9961</v>
      </c>
      <c r="D807" s="4">
        <v>15.667</v>
      </c>
      <c r="E807" s="4">
        <v>15.020200000000001</v>
      </c>
      <c r="F807" s="4">
        <f t="shared" si="48"/>
        <v>15.561100000000001</v>
      </c>
      <c r="I807" s="4" t="s">
        <v>3831</v>
      </c>
      <c r="J807" s="4">
        <v>15.5848</v>
      </c>
      <c r="K807" s="4">
        <v>15.542400000000001</v>
      </c>
      <c r="L807" s="4">
        <v>15.653600000000001</v>
      </c>
      <c r="M807" s="4">
        <f t="shared" si="49"/>
        <v>15.5936</v>
      </c>
      <c r="Q807" s="43" t="s">
        <v>4053</v>
      </c>
      <c r="R807" s="4">
        <v>15.178942875431799</v>
      </c>
      <c r="S807" s="4">
        <v>15.457306906181101</v>
      </c>
      <c r="T807" s="4">
        <v>15.4781674959425</v>
      </c>
      <c r="U807" s="4">
        <f t="shared" si="50"/>
        <v>15.371472425851801</v>
      </c>
      <c r="X807" s="43" t="s">
        <v>3689</v>
      </c>
      <c r="Y807" s="4">
        <v>15.327886157073699</v>
      </c>
      <c r="Z807" s="4">
        <v>15.4667406649375</v>
      </c>
      <c r="AA807" s="4">
        <v>15.4653007326254</v>
      </c>
      <c r="AB807" s="4">
        <f t="shared" si="51"/>
        <v>15.419975851545532</v>
      </c>
    </row>
    <row r="808" spans="2:28" x14ac:dyDescent="0.2">
      <c r="B808" s="4" t="s">
        <v>2078</v>
      </c>
      <c r="C808" s="4">
        <v>15.8864</v>
      </c>
      <c r="D808" s="4">
        <v>15.4247</v>
      </c>
      <c r="E808" s="4">
        <v>15.370900000000001</v>
      </c>
      <c r="F808" s="4">
        <f t="shared" si="48"/>
        <v>15.560666666666668</v>
      </c>
      <c r="I808" s="4" t="s">
        <v>2696</v>
      </c>
      <c r="J808" s="4">
        <v>15.942</v>
      </c>
      <c r="K808" s="4">
        <v>14.9115</v>
      </c>
      <c r="L808" s="4">
        <v>15.922800000000001</v>
      </c>
      <c r="M808" s="4">
        <f t="shared" si="49"/>
        <v>15.5921</v>
      </c>
      <c r="Q808" s="43" t="s">
        <v>1422</v>
      </c>
      <c r="R808" s="4">
        <v>15.2443193863103</v>
      </c>
      <c r="S808" s="4">
        <v>15.3788533575862</v>
      </c>
      <c r="T808" s="4">
        <v>15.482659615611301</v>
      </c>
      <c r="U808" s="4">
        <f t="shared" si="50"/>
        <v>15.3686107865026</v>
      </c>
      <c r="X808" s="43" t="s">
        <v>2997</v>
      </c>
      <c r="Y808" s="4">
        <v>15.353120989118199</v>
      </c>
      <c r="Z808" s="4">
        <v>15.505592900275699</v>
      </c>
      <c r="AA808" s="4">
        <v>15.394948612324599</v>
      </c>
      <c r="AB808" s="4">
        <f t="shared" si="51"/>
        <v>15.417887500572832</v>
      </c>
    </row>
    <row r="809" spans="2:28" x14ac:dyDescent="0.2">
      <c r="B809" s="4" t="s">
        <v>1438</v>
      </c>
      <c r="C809" s="4">
        <v>15.594200000000001</v>
      </c>
      <c r="D809" s="4">
        <v>15.360099999999999</v>
      </c>
      <c r="E809" s="4">
        <v>15.713800000000001</v>
      </c>
      <c r="F809" s="4">
        <f t="shared" si="48"/>
        <v>15.556033333333334</v>
      </c>
      <c r="I809" s="4" t="s">
        <v>1555</v>
      </c>
      <c r="J809" s="4">
        <v>15.3781</v>
      </c>
      <c r="K809" s="4">
        <v>16.055499999999999</v>
      </c>
      <c r="L809" s="4">
        <v>15.342700000000001</v>
      </c>
      <c r="M809" s="4">
        <f t="shared" si="49"/>
        <v>15.5921</v>
      </c>
      <c r="Q809" s="43" t="s">
        <v>891</v>
      </c>
      <c r="R809" s="4">
        <v>15.353766490597</v>
      </c>
      <c r="S809" s="4">
        <v>15.336267532254301</v>
      </c>
      <c r="T809" s="4">
        <v>15.414168691902301</v>
      </c>
      <c r="U809" s="4">
        <f t="shared" si="50"/>
        <v>15.368067571584533</v>
      </c>
      <c r="X809" s="43" t="s">
        <v>3557</v>
      </c>
      <c r="Y809" s="4">
        <v>15.3746628897217</v>
      </c>
      <c r="Z809" s="4">
        <v>15.5580403123189</v>
      </c>
      <c r="AA809" s="4">
        <v>15.318719283243</v>
      </c>
      <c r="AB809" s="4">
        <f t="shared" si="51"/>
        <v>15.417140828427867</v>
      </c>
    </row>
    <row r="810" spans="2:28" x14ac:dyDescent="0.2">
      <c r="B810" s="4" t="s">
        <v>3670</v>
      </c>
      <c r="C810" s="4">
        <v>14.703799999999999</v>
      </c>
      <c r="D810" s="4">
        <v>16.013300000000001</v>
      </c>
      <c r="E810" s="4">
        <v>15.9499</v>
      </c>
      <c r="F810" s="4">
        <f t="shared" si="48"/>
        <v>15.555666666666667</v>
      </c>
      <c r="I810" s="4" t="s">
        <v>3730</v>
      </c>
      <c r="J810" s="4">
        <v>15.6008</v>
      </c>
      <c r="K810" s="4">
        <v>15.724500000000001</v>
      </c>
      <c r="L810" s="4">
        <v>15.4384</v>
      </c>
      <c r="M810" s="4">
        <f t="shared" si="49"/>
        <v>15.587899999999999</v>
      </c>
      <c r="Q810" s="43" t="s">
        <v>3468</v>
      </c>
      <c r="R810" s="4">
        <v>15.457901572681701</v>
      </c>
      <c r="S810" s="4">
        <v>15.3174357683954</v>
      </c>
      <c r="T810" s="4">
        <v>15.3216178019353</v>
      </c>
      <c r="U810" s="4">
        <f t="shared" si="50"/>
        <v>15.365651714337467</v>
      </c>
      <c r="X810" s="43" t="s">
        <v>733</v>
      </c>
      <c r="Y810" s="4">
        <v>15.4393310440725</v>
      </c>
      <c r="Z810" s="4">
        <v>15.431704533152899</v>
      </c>
      <c r="AA810" s="4">
        <v>15.3697486069953</v>
      </c>
      <c r="AB810" s="4">
        <f t="shared" si="51"/>
        <v>15.413594728073567</v>
      </c>
    </row>
    <row r="811" spans="2:28" x14ac:dyDescent="0.2">
      <c r="B811" s="4" t="s">
        <v>2243</v>
      </c>
      <c r="C811" s="4">
        <v>15.569100000000001</v>
      </c>
      <c r="D811" s="4">
        <v>15.577500000000001</v>
      </c>
      <c r="E811" s="4">
        <v>15.511900000000001</v>
      </c>
      <c r="F811" s="4">
        <f t="shared" si="48"/>
        <v>15.552833333333334</v>
      </c>
      <c r="I811" s="4" t="s">
        <v>396</v>
      </c>
      <c r="J811" s="4">
        <v>15.600099999999999</v>
      </c>
      <c r="K811" s="4">
        <v>15.583299999999999</v>
      </c>
      <c r="L811" s="4">
        <v>15.5745</v>
      </c>
      <c r="M811" s="4">
        <f t="shared" si="49"/>
        <v>15.585966666666666</v>
      </c>
      <c r="Q811" s="43" t="s">
        <v>4218</v>
      </c>
      <c r="R811" s="4">
        <v>14.510043757019099</v>
      </c>
      <c r="S811" s="4">
        <v>15.839145043402899</v>
      </c>
      <c r="T811" s="4">
        <v>15.730810730965301</v>
      </c>
      <c r="U811" s="4">
        <f t="shared" si="50"/>
        <v>15.359999843795768</v>
      </c>
      <c r="X811" s="43" t="s">
        <v>826</v>
      </c>
      <c r="Y811" s="4">
        <v>15.425163152777699</v>
      </c>
      <c r="Z811" s="4">
        <v>15.570820317664101</v>
      </c>
      <c r="AA811" s="4">
        <v>15.2439889505163</v>
      </c>
      <c r="AB811" s="4">
        <f t="shared" si="51"/>
        <v>15.413324140319366</v>
      </c>
    </row>
    <row r="812" spans="2:28" x14ac:dyDescent="0.2">
      <c r="B812" s="4" t="s">
        <v>3998</v>
      </c>
      <c r="C812" s="4">
        <v>15.794600000000001</v>
      </c>
      <c r="D812" s="4">
        <v>15.442600000000001</v>
      </c>
      <c r="E812" s="4">
        <v>15.4213</v>
      </c>
      <c r="F812" s="4">
        <f t="shared" si="48"/>
        <v>15.552833333333334</v>
      </c>
      <c r="I812" s="4" t="s">
        <v>1519</v>
      </c>
      <c r="J812" s="4">
        <v>15.3926</v>
      </c>
      <c r="K812" s="4">
        <v>15.4656</v>
      </c>
      <c r="L812" s="4">
        <v>15.899100000000001</v>
      </c>
      <c r="M812" s="4">
        <f t="shared" si="49"/>
        <v>15.585766666666666</v>
      </c>
      <c r="Q812" s="43" t="s">
        <v>1290</v>
      </c>
      <c r="R812" s="4">
        <v>15.288301712529501</v>
      </c>
      <c r="S812" s="4">
        <v>15.390010253931701</v>
      </c>
      <c r="T812" s="4">
        <v>15.386518806006499</v>
      </c>
      <c r="U812" s="4">
        <f t="shared" si="50"/>
        <v>15.354943590822566</v>
      </c>
      <c r="X812" s="43" t="s">
        <v>3084</v>
      </c>
      <c r="Y812" s="4">
        <v>15.3768465107003</v>
      </c>
      <c r="Z812" s="4">
        <v>15.617359160293001</v>
      </c>
      <c r="AA812" s="4">
        <v>15.2329539331622</v>
      </c>
      <c r="AB812" s="4">
        <f t="shared" si="51"/>
        <v>15.409053201385168</v>
      </c>
    </row>
    <row r="813" spans="2:28" x14ac:dyDescent="0.2">
      <c r="B813" s="4" t="s">
        <v>2762</v>
      </c>
      <c r="C813" s="4">
        <v>15.623699999999999</v>
      </c>
      <c r="D813" s="4">
        <v>15.5306</v>
      </c>
      <c r="E813" s="4">
        <v>15.4956</v>
      </c>
      <c r="F813" s="4">
        <f t="shared" si="48"/>
        <v>15.549966666666668</v>
      </c>
      <c r="I813" s="4" t="s">
        <v>2336</v>
      </c>
      <c r="J813" s="4">
        <v>15.807600000000001</v>
      </c>
      <c r="K813" s="4">
        <v>15.228400000000001</v>
      </c>
      <c r="L813" s="4">
        <v>15.7134</v>
      </c>
      <c r="M813" s="4">
        <f t="shared" si="49"/>
        <v>15.583133333333334</v>
      </c>
      <c r="Q813" s="43" t="s">
        <v>1636</v>
      </c>
      <c r="R813" s="4">
        <v>15.372728167742499</v>
      </c>
      <c r="S813" s="4">
        <v>15.2470121286891</v>
      </c>
      <c r="T813" s="4">
        <v>15.4433604439264</v>
      </c>
      <c r="U813" s="4">
        <f t="shared" si="50"/>
        <v>15.354366913452667</v>
      </c>
      <c r="X813" s="43" t="s">
        <v>84</v>
      </c>
      <c r="Y813" s="4">
        <v>15.393667008353001</v>
      </c>
      <c r="Z813" s="4">
        <v>15.3989979945505</v>
      </c>
      <c r="AA813" s="4">
        <v>15.434193884239299</v>
      </c>
      <c r="AB813" s="4">
        <f t="shared" si="51"/>
        <v>15.408952962380932</v>
      </c>
    </row>
    <row r="814" spans="2:28" x14ac:dyDescent="0.2">
      <c r="B814" s="4" t="s">
        <v>3705</v>
      </c>
      <c r="C814" s="4">
        <v>14.9847</v>
      </c>
      <c r="D814" s="4">
        <v>15.6282</v>
      </c>
      <c r="E814" s="4">
        <v>16.0288</v>
      </c>
      <c r="F814" s="4">
        <f t="shared" si="48"/>
        <v>15.547233333333333</v>
      </c>
      <c r="I814" s="4" t="s">
        <v>2078</v>
      </c>
      <c r="J814" s="4">
        <v>15.518800000000001</v>
      </c>
      <c r="K814" s="4">
        <v>15.612500000000001</v>
      </c>
      <c r="L814" s="4">
        <v>15.6134</v>
      </c>
      <c r="M814" s="4">
        <f t="shared" si="49"/>
        <v>15.581566666666667</v>
      </c>
      <c r="Q814" s="43" t="s">
        <v>3442</v>
      </c>
      <c r="R814" s="4">
        <v>15.533426385146001</v>
      </c>
      <c r="S814" s="4">
        <v>15.421210564058301</v>
      </c>
      <c r="T814" s="4">
        <v>15.1083403182302</v>
      </c>
      <c r="U814" s="4">
        <f t="shared" si="50"/>
        <v>15.3543257558115</v>
      </c>
      <c r="X814" s="43" t="s">
        <v>1498</v>
      </c>
      <c r="Y814" s="4">
        <v>15.4303550610848</v>
      </c>
      <c r="Z814" s="4">
        <v>15.3167421018805</v>
      </c>
      <c r="AA814" s="4">
        <v>15.4735598532544</v>
      </c>
      <c r="AB814" s="4">
        <f t="shared" si="51"/>
        <v>15.406885672073235</v>
      </c>
    </row>
    <row r="815" spans="2:28" x14ac:dyDescent="0.2">
      <c r="B815" s="4" t="s">
        <v>1390</v>
      </c>
      <c r="C815" s="4">
        <v>15.1473</v>
      </c>
      <c r="D815" s="4">
        <v>15.5069</v>
      </c>
      <c r="E815" s="4">
        <v>15.985900000000001</v>
      </c>
      <c r="F815" s="4">
        <f t="shared" si="48"/>
        <v>15.546700000000001</v>
      </c>
      <c r="I815" s="4" t="s">
        <v>3508</v>
      </c>
      <c r="J815" s="4">
        <v>15.7767</v>
      </c>
      <c r="K815" s="4">
        <v>15.163600000000001</v>
      </c>
      <c r="L815" s="4">
        <v>15.8017</v>
      </c>
      <c r="M815" s="4">
        <f t="shared" si="49"/>
        <v>15.580666666666668</v>
      </c>
      <c r="Q815" s="43" t="s">
        <v>3701</v>
      </c>
      <c r="R815" s="4">
        <v>15.3778564089698</v>
      </c>
      <c r="S815" s="4">
        <v>15.210121962741701</v>
      </c>
      <c r="T815" s="4">
        <v>15.4744226623061</v>
      </c>
      <c r="U815" s="4">
        <f t="shared" si="50"/>
        <v>15.354133678005866</v>
      </c>
      <c r="X815" s="43" t="s">
        <v>4049</v>
      </c>
      <c r="Y815" s="4">
        <v>15.426589904184</v>
      </c>
      <c r="Z815" s="4">
        <v>15.4035207452718</v>
      </c>
      <c r="AA815" s="4">
        <v>15.3763402339164</v>
      </c>
      <c r="AB815" s="4">
        <f t="shared" si="51"/>
        <v>15.4021502944574</v>
      </c>
    </row>
    <row r="816" spans="2:28" x14ac:dyDescent="0.2">
      <c r="B816" s="4" t="s">
        <v>3782</v>
      </c>
      <c r="C816" s="4">
        <v>15.5443</v>
      </c>
      <c r="D816" s="4">
        <v>15.3812</v>
      </c>
      <c r="E816" s="4">
        <v>15.7012</v>
      </c>
      <c r="F816" s="4">
        <f t="shared" si="48"/>
        <v>15.542233333333334</v>
      </c>
      <c r="I816" s="4" t="s">
        <v>3732</v>
      </c>
      <c r="J816" s="4">
        <v>15.4754</v>
      </c>
      <c r="K816" s="4">
        <v>15.505699999999999</v>
      </c>
      <c r="L816" s="4">
        <v>15.753399999999999</v>
      </c>
      <c r="M816" s="4">
        <f t="shared" si="49"/>
        <v>15.578166666666666</v>
      </c>
      <c r="Q816" s="43" t="s">
        <v>692</v>
      </c>
      <c r="R816" s="4">
        <v>15.480596099722</v>
      </c>
      <c r="S816" s="4">
        <v>15.4771268384248</v>
      </c>
      <c r="T816" s="4">
        <v>15.101782232015999</v>
      </c>
      <c r="U816" s="4">
        <f t="shared" si="50"/>
        <v>15.353168390054266</v>
      </c>
      <c r="X816" s="43" t="s">
        <v>3629</v>
      </c>
      <c r="Y816" s="4">
        <v>15.410057031855199</v>
      </c>
      <c r="Z816" s="4">
        <v>15.492022378507899</v>
      </c>
      <c r="AA816" s="4">
        <v>15.2920735648835</v>
      </c>
      <c r="AB816" s="4">
        <f t="shared" si="51"/>
        <v>15.398050991748867</v>
      </c>
    </row>
    <row r="817" spans="2:28" x14ac:dyDescent="0.2">
      <c r="B817" s="4" t="s">
        <v>829</v>
      </c>
      <c r="C817" s="4">
        <v>15.559900000000001</v>
      </c>
      <c r="D817" s="4">
        <v>15.4178</v>
      </c>
      <c r="E817" s="4">
        <v>15.636699999999999</v>
      </c>
      <c r="F817" s="4">
        <f t="shared" si="48"/>
        <v>15.538133333333333</v>
      </c>
      <c r="I817" s="4" t="s">
        <v>1668</v>
      </c>
      <c r="J817" s="4">
        <v>15.6424</v>
      </c>
      <c r="K817" s="4">
        <v>15.1915</v>
      </c>
      <c r="L817" s="4">
        <v>15.893800000000001</v>
      </c>
      <c r="M817" s="4">
        <f t="shared" si="49"/>
        <v>15.575899999999999</v>
      </c>
      <c r="Q817" s="43" t="s">
        <v>1904</v>
      </c>
      <c r="R817" s="4">
        <v>15.3953773717727</v>
      </c>
      <c r="S817" s="4">
        <v>15.311008018449</v>
      </c>
      <c r="T817" s="4">
        <v>15.350302751780999</v>
      </c>
      <c r="U817" s="4">
        <f t="shared" si="50"/>
        <v>15.352229380667566</v>
      </c>
      <c r="X817" s="43" t="s">
        <v>3715</v>
      </c>
      <c r="Y817" s="4">
        <v>15.497520086017699</v>
      </c>
      <c r="Z817" s="4">
        <v>15.2707973604701</v>
      </c>
      <c r="AA817" s="4">
        <v>15.422843345493201</v>
      </c>
      <c r="AB817" s="4">
        <f t="shared" si="51"/>
        <v>15.397053597327</v>
      </c>
    </row>
    <row r="818" spans="2:28" x14ac:dyDescent="0.2">
      <c r="B818" s="4" t="s">
        <v>3598</v>
      </c>
      <c r="C818" s="4">
        <v>15.3826</v>
      </c>
      <c r="D818" s="4">
        <v>15.6607</v>
      </c>
      <c r="E818" s="4">
        <v>15.5684</v>
      </c>
      <c r="F818" s="4">
        <f t="shared" si="48"/>
        <v>15.537233333333333</v>
      </c>
      <c r="I818" s="4" t="s">
        <v>2252</v>
      </c>
      <c r="J818" s="4">
        <v>15.7279</v>
      </c>
      <c r="K818" s="4">
        <v>15.2727</v>
      </c>
      <c r="L818" s="4">
        <v>15.723000000000001</v>
      </c>
      <c r="M818" s="4">
        <f t="shared" si="49"/>
        <v>15.574533333333333</v>
      </c>
      <c r="Q818" s="43" t="s">
        <v>3954</v>
      </c>
      <c r="R818" s="4">
        <v>15.548347308312501</v>
      </c>
      <c r="S818" s="4">
        <v>15.3120430353011</v>
      </c>
      <c r="T818" s="4">
        <v>15.1861468618531</v>
      </c>
      <c r="U818" s="4">
        <f t="shared" si="50"/>
        <v>15.348845735155569</v>
      </c>
      <c r="X818" s="43" t="s">
        <v>2805</v>
      </c>
      <c r="Y818" s="4">
        <v>15.4614977984959</v>
      </c>
      <c r="Z818" s="4">
        <v>15.363888414170299</v>
      </c>
      <c r="AA818" s="4">
        <v>15.3537008526927</v>
      </c>
      <c r="AB818" s="4">
        <f t="shared" si="51"/>
        <v>15.393029021786299</v>
      </c>
    </row>
    <row r="819" spans="2:28" x14ac:dyDescent="0.2">
      <c r="B819" s="4" t="s">
        <v>2266</v>
      </c>
      <c r="C819" s="4">
        <v>15.289</v>
      </c>
      <c r="D819" s="4">
        <v>15.732699999999999</v>
      </c>
      <c r="E819" s="4">
        <v>15.589</v>
      </c>
      <c r="F819" s="4">
        <f t="shared" si="48"/>
        <v>15.536900000000001</v>
      </c>
      <c r="I819" s="4" t="s">
        <v>3078</v>
      </c>
      <c r="J819" s="4">
        <v>15.598699999999999</v>
      </c>
      <c r="K819" s="4">
        <v>15.403700000000001</v>
      </c>
      <c r="L819" s="4">
        <v>15.712999999999999</v>
      </c>
      <c r="M819" s="4">
        <f t="shared" si="49"/>
        <v>15.571800000000001</v>
      </c>
      <c r="Q819" s="43" t="s">
        <v>1295</v>
      </c>
      <c r="R819" s="4">
        <v>15.3897951547155</v>
      </c>
      <c r="S819" s="4">
        <v>15.3598977310526</v>
      </c>
      <c r="T819" s="4">
        <v>15.2911587091802</v>
      </c>
      <c r="U819" s="4">
        <f t="shared" si="50"/>
        <v>15.346950531649433</v>
      </c>
      <c r="X819" s="43" t="s">
        <v>1714</v>
      </c>
      <c r="Y819" s="4">
        <v>15.446209211452601</v>
      </c>
      <c r="Z819" s="4">
        <v>15.6268004797882</v>
      </c>
      <c r="AA819" s="4">
        <v>15.103215613345499</v>
      </c>
      <c r="AB819" s="4">
        <f t="shared" si="51"/>
        <v>15.392075101528766</v>
      </c>
    </row>
    <row r="820" spans="2:28" x14ac:dyDescent="0.2">
      <c r="B820" s="4" t="s">
        <v>921</v>
      </c>
      <c r="C820" s="4">
        <v>14.9396</v>
      </c>
      <c r="D820" s="4">
        <v>15.585900000000001</v>
      </c>
      <c r="E820" s="4">
        <v>16.078900000000001</v>
      </c>
      <c r="F820" s="4">
        <f t="shared" si="48"/>
        <v>15.534799999999999</v>
      </c>
      <c r="I820" s="4" t="s">
        <v>3716</v>
      </c>
      <c r="J820" s="4">
        <v>15.418699999999999</v>
      </c>
      <c r="K820" s="4">
        <v>15.7881</v>
      </c>
      <c r="L820" s="4">
        <v>15.501200000000001</v>
      </c>
      <c r="M820" s="4">
        <f t="shared" si="49"/>
        <v>15.569333333333333</v>
      </c>
      <c r="Q820" s="43" t="s">
        <v>678</v>
      </c>
      <c r="R820" s="4">
        <v>15.446194977720101</v>
      </c>
      <c r="S820" s="4">
        <v>14.980396251356</v>
      </c>
      <c r="T820" s="4">
        <v>15.608623181696</v>
      </c>
      <c r="U820" s="4">
        <f t="shared" si="50"/>
        <v>15.345071470257366</v>
      </c>
      <c r="X820" s="43" t="s">
        <v>4068</v>
      </c>
      <c r="Y820" s="4">
        <v>15.4829861708675</v>
      </c>
      <c r="Z820" s="4">
        <v>15.2700344520883</v>
      </c>
      <c r="AA820" s="4">
        <v>15.421621220388801</v>
      </c>
      <c r="AB820" s="4">
        <f t="shared" si="51"/>
        <v>15.391547281114867</v>
      </c>
    </row>
    <row r="821" spans="2:28" x14ac:dyDescent="0.2">
      <c r="B821" s="4" t="s">
        <v>2631</v>
      </c>
      <c r="C821" s="4">
        <v>15.536300000000001</v>
      </c>
      <c r="D821" s="4">
        <v>15.523899999999999</v>
      </c>
      <c r="E821" s="4">
        <v>15.537000000000001</v>
      </c>
      <c r="F821" s="4">
        <f t="shared" si="48"/>
        <v>15.532400000000001</v>
      </c>
      <c r="I821" s="4" t="s">
        <v>2820</v>
      </c>
      <c r="J821" s="4">
        <v>15.769</v>
      </c>
      <c r="K821" s="4">
        <v>15.1441</v>
      </c>
      <c r="L821" s="4">
        <v>15.7948</v>
      </c>
      <c r="M821" s="4">
        <f t="shared" si="49"/>
        <v>15.5693</v>
      </c>
      <c r="Q821" s="43" t="s">
        <v>1933</v>
      </c>
      <c r="R821" s="4">
        <v>15.400520917957399</v>
      </c>
      <c r="S821" s="4">
        <v>15.1984051570772</v>
      </c>
      <c r="T821" s="4">
        <v>15.427499428843401</v>
      </c>
      <c r="U821" s="4">
        <f t="shared" si="50"/>
        <v>15.342141834626</v>
      </c>
      <c r="X821" s="43" t="s">
        <v>2836</v>
      </c>
      <c r="Y821" s="4">
        <v>15.381795801205</v>
      </c>
      <c r="Z821" s="4">
        <v>15.2802680366948</v>
      </c>
      <c r="AA821" s="4">
        <v>15.5124671076487</v>
      </c>
      <c r="AB821" s="4">
        <f t="shared" si="51"/>
        <v>15.391510315182833</v>
      </c>
    </row>
    <row r="822" spans="2:28" x14ac:dyDescent="0.2">
      <c r="B822" s="4" t="s">
        <v>477</v>
      </c>
      <c r="C822" s="4">
        <v>15.237399999999999</v>
      </c>
      <c r="D822" s="4">
        <v>15.4198</v>
      </c>
      <c r="E822" s="4">
        <v>15.9358</v>
      </c>
      <c r="F822" s="4">
        <f t="shared" si="48"/>
        <v>15.531000000000001</v>
      </c>
      <c r="I822" s="4" t="s">
        <v>2836</v>
      </c>
      <c r="J822" s="4">
        <v>15.4331</v>
      </c>
      <c r="K822" s="4">
        <v>15.760899999999999</v>
      </c>
      <c r="L822" s="4">
        <v>15.5016</v>
      </c>
      <c r="M822" s="4">
        <f t="shared" si="49"/>
        <v>15.565199999999999</v>
      </c>
      <c r="Q822" s="43" t="s">
        <v>1682</v>
      </c>
      <c r="R822" s="4">
        <v>15.2243487952157</v>
      </c>
      <c r="S822" s="4">
        <v>15.4645467476027</v>
      </c>
      <c r="T822" s="4">
        <v>15.327423036912201</v>
      </c>
      <c r="U822" s="4">
        <f t="shared" si="50"/>
        <v>15.3387728599102</v>
      </c>
      <c r="X822" s="43" t="s">
        <v>2172</v>
      </c>
      <c r="Y822" s="4">
        <v>15.4945157044769</v>
      </c>
      <c r="Z822" s="4">
        <v>15.824483889202201</v>
      </c>
      <c r="AA822" s="4">
        <v>14.849236141689801</v>
      </c>
      <c r="AB822" s="4">
        <f t="shared" si="51"/>
        <v>15.389411911789635</v>
      </c>
    </row>
    <row r="823" spans="2:28" x14ac:dyDescent="0.2">
      <c r="B823" s="4" t="s">
        <v>3793</v>
      </c>
      <c r="C823" s="4">
        <v>15.4445</v>
      </c>
      <c r="D823" s="4">
        <v>15.514200000000001</v>
      </c>
      <c r="E823" s="4">
        <v>15.6241</v>
      </c>
      <c r="F823" s="4">
        <f t="shared" si="48"/>
        <v>15.5276</v>
      </c>
      <c r="I823" s="4" t="s">
        <v>1366</v>
      </c>
      <c r="J823" s="4">
        <v>15.4131</v>
      </c>
      <c r="K823" s="4">
        <v>15.5497</v>
      </c>
      <c r="L823" s="4">
        <v>15.7277</v>
      </c>
      <c r="M823" s="4">
        <f t="shared" si="49"/>
        <v>15.563499999999999</v>
      </c>
      <c r="Q823" s="43" t="s">
        <v>1146</v>
      </c>
      <c r="R823" s="4">
        <v>15.564069392964001</v>
      </c>
      <c r="S823" s="4">
        <v>15.0408453947101</v>
      </c>
      <c r="T823" s="4">
        <v>15.4106131169343</v>
      </c>
      <c r="U823" s="4">
        <f t="shared" si="50"/>
        <v>15.338509301536135</v>
      </c>
      <c r="X823" s="43" t="s">
        <v>3203</v>
      </c>
      <c r="Y823" s="4">
        <v>15.422599082409301</v>
      </c>
      <c r="Z823" s="4">
        <v>15.4643630025202</v>
      </c>
      <c r="AA823" s="4">
        <v>15.280044706334101</v>
      </c>
      <c r="AB823" s="4">
        <f t="shared" si="51"/>
        <v>15.389002263754534</v>
      </c>
    </row>
    <row r="824" spans="2:28" x14ac:dyDescent="0.2">
      <c r="B824" s="4" t="s">
        <v>2851</v>
      </c>
      <c r="C824" s="4">
        <v>15.084199999999999</v>
      </c>
      <c r="D824" s="4">
        <v>15.622999999999999</v>
      </c>
      <c r="E824" s="4">
        <v>15.873799999999999</v>
      </c>
      <c r="F824" s="4">
        <f t="shared" si="48"/>
        <v>15.527000000000001</v>
      </c>
      <c r="I824" s="4" t="s">
        <v>3092</v>
      </c>
      <c r="J824" s="4">
        <v>15.4177</v>
      </c>
      <c r="K824" s="4">
        <v>15.6899</v>
      </c>
      <c r="L824" s="4">
        <v>15.571300000000001</v>
      </c>
      <c r="M824" s="4">
        <f t="shared" si="49"/>
        <v>15.559633333333332</v>
      </c>
      <c r="Q824" s="43" t="s">
        <v>689</v>
      </c>
      <c r="R824" s="4">
        <v>15.2251024776939</v>
      </c>
      <c r="S824" s="4">
        <v>15.413707516726101</v>
      </c>
      <c r="T824" s="4">
        <v>15.3765660935582</v>
      </c>
      <c r="U824" s="4">
        <f t="shared" si="50"/>
        <v>15.338458695992733</v>
      </c>
      <c r="X824" s="43" t="s">
        <v>2373</v>
      </c>
      <c r="Y824" s="4">
        <v>15.2834982060822</v>
      </c>
      <c r="Z824" s="4">
        <v>15.457529006829001</v>
      </c>
      <c r="AA824" s="4">
        <v>15.3989706843186</v>
      </c>
      <c r="AB824" s="4">
        <f t="shared" si="51"/>
        <v>15.3799992990766</v>
      </c>
    </row>
    <row r="825" spans="2:28" x14ac:dyDescent="0.2">
      <c r="B825" s="4" t="s">
        <v>3284</v>
      </c>
      <c r="C825" s="4">
        <v>15.362500000000001</v>
      </c>
      <c r="D825" s="4">
        <v>15.4017</v>
      </c>
      <c r="E825" s="4">
        <v>15.8155</v>
      </c>
      <c r="F825" s="4">
        <f t="shared" si="48"/>
        <v>15.526566666666668</v>
      </c>
      <c r="I825" s="4" t="s">
        <v>3537</v>
      </c>
      <c r="J825" s="4">
        <v>15.4323</v>
      </c>
      <c r="K825" s="4">
        <v>15.694800000000001</v>
      </c>
      <c r="L825" s="4">
        <v>15.543100000000001</v>
      </c>
      <c r="M825" s="4">
        <f t="shared" si="49"/>
        <v>15.556733333333334</v>
      </c>
      <c r="Q825" s="43" t="s">
        <v>1436</v>
      </c>
      <c r="R825" s="4">
        <v>15.659562273518199</v>
      </c>
      <c r="S825" s="4">
        <v>15.1807654406834</v>
      </c>
      <c r="T825" s="4">
        <v>15.1412050007687</v>
      </c>
      <c r="U825" s="4">
        <f t="shared" si="50"/>
        <v>15.327177571656767</v>
      </c>
      <c r="X825" s="43" t="s">
        <v>3797</v>
      </c>
      <c r="Y825" s="4">
        <v>15.411121867148101</v>
      </c>
      <c r="Z825" s="4">
        <v>15.099175404913</v>
      </c>
      <c r="AA825" s="4">
        <v>15.6264942513455</v>
      </c>
      <c r="AB825" s="4">
        <f t="shared" si="51"/>
        <v>15.378930507802201</v>
      </c>
    </row>
    <row r="826" spans="2:28" x14ac:dyDescent="0.2">
      <c r="B826" s="4" t="s">
        <v>912</v>
      </c>
      <c r="C826" s="4">
        <v>15.7423</v>
      </c>
      <c r="D826" s="4">
        <v>15.229799999999999</v>
      </c>
      <c r="E826" s="4">
        <v>15.594900000000001</v>
      </c>
      <c r="F826" s="4">
        <f t="shared" si="48"/>
        <v>15.522333333333334</v>
      </c>
      <c r="I826" s="4" t="s">
        <v>802</v>
      </c>
      <c r="J826" s="4">
        <v>15.8447</v>
      </c>
      <c r="K826" s="4">
        <v>15.132899999999999</v>
      </c>
      <c r="L826" s="4">
        <v>15.6889</v>
      </c>
      <c r="M826" s="4">
        <f t="shared" si="49"/>
        <v>15.5555</v>
      </c>
      <c r="Q826" s="43" t="s">
        <v>2263</v>
      </c>
      <c r="R826" s="4">
        <v>15.321228822571999</v>
      </c>
      <c r="S826" s="4">
        <v>15.2177523950633</v>
      </c>
      <c r="T826" s="4">
        <v>15.4418728778996</v>
      </c>
      <c r="U826" s="4">
        <f t="shared" si="50"/>
        <v>15.326951365178301</v>
      </c>
      <c r="X826" s="43" t="s">
        <v>1070</v>
      </c>
      <c r="Y826" s="4">
        <v>15.4152054950266</v>
      </c>
      <c r="Z826" s="4">
        <v>15.372867696909299</v>
      </c>
      <c r="AA826" s="4">
        <v>15.344223419915</v>
      </c>
      <c r="AB826" s="4">
        <f t="shared" si="51"/>
        <v>15.377432203950301</v>
      </c>
    </row>
    <row r="827" spans="2:28" x14ac:dyDescent="0.2">
      <c r="B827" s="4" t="s">
        <v>3956</v>
      </c>
      <c r="C827" s="4">
        <v>15.1226</v>
      </c>
      <c r="D827" s="4">
        <v>15.6311</v>
      </c>
      <c r="E827" s="4">
        <v>15.8133</v>
      </c>
      <c r="F827" s="4">
        <f t="shared" si="48"/>
        <v>15.522333333333334</v>
      </c>
      <c r="I827" s="4" t="s">
        <v>3674</v>
      </c>
      <c r="J827" s="4">
        <v>15.558400000000001</v>
      </c>
      <c r="K827" s="4">
        <v>15.737399999999999</v>
      </c>
      <c r="L827" s="4">
        <v>15.369199999999999</v>
      </c>
      <c r="M827" s="4">
        <f t="shared" si="49"/>
        <v>15.555</v>
      </c>
      <c r="Q827" s="43" t="s">
        <v>2759</v>
      </c>
      <c r="R827" s="4">
        <v>15.388935209952299</v>
      </c>
      <c r="S827" s="4">
        <v>15.388290187857899</v>
      </c>
      <c r="T827" s="4">
        <v>15.2035455646856</v>
      </c>
      <c r="U827" s="4">
        <f t="shared" si="50"/>
        <v>15.326923654165265</v>
      </c>
      <c r="X827" s="43" t="s">
        <v>1766</v>
      </c>
      <c r="Y827" s="4">
        <v>15.692803822265301</v>
      </c>
      <c r="Z827" s="4">
        <v>15.318545178676001</v>
      </c>
      <c r="AA827" s="4">
        <v>15.115128325843701</v>
      </c>
      <c r="AB827" s="4">
        <f t="shared" si="51"/>
        <v>15.375492442261667</v>
      </c>
    </row>
    <row r="828" spans="2:28" x14ac:dyDescent="0.2">
      <c r="B828" s="4" t="s">
        <v>98</v>
      </c>
      <c r="C828" s="4">
        <v>14.9941</v>
      </c>
      <c r="D828" s="4">
        <v>15.762600000000001</v>
      </c>
      <c r="E828" s="4">
        <v>15.809799999999999</v>
      </c>
      <c r="F828" s="4">
        <f t="shared" si="48"/>
        <v>15.522166666666669</v>
      </c>
      <c r="I828" s="4" t="s">
        <v>1671</v>
      </c>
      <c r="J828" s="4">
        <v>15.8344</v>
      </c>
      <c r="K828" s="4">
        <v>15.077999999999999</v>
      </c>
      <c r="L828" s="4">
        <v>15.7438</v>
      </c>
      <c r="M828" s="4">
        <f t="shared" si="49"/>
        <v>15.552066666666667</v>
      </c>
      <c r="Q828" s="43" t="s">
        <v>858</v>
      </c>
      <c r="R828" s="4">
        <v>14.9956877424186</v>
      </c>
      <c r="S828" s="4">
        <v>15.545045829385201</v>
      </c>
      <c r="T828" s="4">
        <v>15.439401984271001</v>
      </c>
      <c r="U828" s="4">
        <f t="shared" si="50"/>
        <v>15.326711852024934</v>
      </c>
      <c r="X828" s="43" t="s">
        <v>859</v>
      </c>
      <c r="Y828" s="4">
        <v>15.1877725891897</v>
      </c>
      <c r="Z828" s="4">
        <v>15.4220343787744</v>
      </c>
      <c r="AA828" s="4">
        <v>15.515955332691099</v>
      </c>
      <c r="AB828" s="4">
        <f t="shared" si="51"/>
        <v>15.375254100218399</v>
      </c>
    </row>
    <row r="829" spans="2:28" x14ac:dyDescent="0.2">
      <c r="B829" s="4" t="s">
        <v>3553</v>
      </c>
      <c r="C829" s="4">
        <v>15.7247</v>
      </c>
      <c r="D829" s="4">
        <v>15.5059</v>
      </c>
      <c r="E829" s="4">
        <v>15.326700000000001</v>
      </c>
      <c r="F829" s="4">
        <f t="shared" si="48"/>
        <v>15.519100000000002</v>
      </c>
      <c r="I829" s="4" t="s">
        <v>466</v>
      </c>
      <c r="J829" s="4">
        <v>15.6448</v>
      </c>
      <c r="K829" s="4">
        <v>15.3466</v>
      </c>
      <c r="L829" s="4">
        <v>15.648899999999999</v>
      </c>
      <c r="M829" s="4">
        <f t="shared" si="49"/>
        <v>15.546766666666665</v>
      </c>
      <c r="Q829" s="43" t="s">
        <v>2171</v>
      </c>
      <c r="R829" s="4">
        <v>14.761742412813801</v>
      </c>
      <c r="S829" s="4">
        <v>15.16432994232</v>
      </c>
      <c r="T829" s="4">
        <v>16.047718370364102</v>
      </c>
      <c r="U829" s="4">
        <f t="shared" si="50"/>
        <v>15.324596908499302</v>
      </c>
      <c r="X829" s="43" t="s">
        <v>1510</v>
      </c>
      <c r="Y829" s="4">
        <v>16.289761500542198</v>
      </c>
      <c r="Z829" s="4">
        <v>16.175883048590102</v>
      </c>
      <c r="AA829" s="4">
        <v>13.6565784098061</v>
      </c>
      <c r="AB829" s="4">
        <f t="shared" si="51"/>
        <v>15.374074319646134</v>
      </c>
    </row>
    <row r="830" spans="2:28" x14ac:dyDescent="0.2">
      <c r="B830" s="4" t="s">
        <v>133</v>
      </c>
      <c r="C830" s="4">
        <v>15.659599999999999</v>
      </c>
      <c r="D830" s="4">
        <v>15.4255</v>
      </c>
      <c r="E830" s="4">
        <v>15.467000000000001</v>
      </c>
      <c r="F830" s="4">
        <f t="shared" si="48"/>
        <v>15.517366666666666</v>
      </c>
      <c r="I830" s="4" t="s">
        <v>2898</v>
      </c>
      <c r="J830" s="4">
        <v>15.5509</v>
      </c>
      <c r="K830" s="4">
        <v>15.5205</v>
      </c>
      <c r="L830" s="4">
        <v>15.5678</v>
      </c>
      <c r="M830" s="4">
        <f t="shared" si="49"/>
        <v>15.5464</v>
      </c>
      <c r="Q830" s="43" t="s">
        <v>2408</v>
      </c>
      <c r="R830" s="4">
        <v>15.8366549656884</v>
      </c>
      <c r="S830" s="4">
        <v>15.032164631584299</v>
      </c>
      <c r="T830" s="4">
        <v>15.091616300299901</v>
      </c>
      <c r="U830" s="4">
        <f t="shared" si="50"/>
        <v>15.320145299190864</v>
      </c>
      <c r="X830" s="43" t="s">
        <v>3456</v>
      </c>
      <c r="Y830" s="4">
        <v>15.252020227677001</v>
      </c>
      <c r="Z830" s="4">
        <v>15.4002009431176</v>
      </c>
      <c r="AA830" s="4">
        <v>15.469720530158799</v>
      </c>
      <c r="AB830" s="4">
        <f t="shared" si="51"/>
        <v>15.373980566984466</v>
      </c>
    </row>
    <row r="831" spans="2:28" x14ac:dyDescent="0.2">
      <c r="B831" s="4" t="s">
        <v>518</v>
      </c>
      <c r="C831" s="4">
        <v>15.8691</v>
      </c>
      <c r="D831" s="4">
        <v>15.502800000000001</v>
      </c>
      <c r="E831" s="4">
        <v>15.1784</v>
      </c>
      <c r="F831" s="4">
        <f t="shared" si="48"/>
        <v>15.516766666666667</v>
      </c>
      <c r="I831" s="4" t="s">
        <v>763</v>
      </c>
      <c r="J831" s="4">
        <v>15.786</v>
      </c>
      <c r="K831" s="4">
        <v>15.1069</v>
      </c>
      <c r="L831" s="4">
        <v>15.744999999999999</v>
      </c>
      <c r="M831" s="4">
        <f t="shared" si="49"/>
        <v>15.545966666666665</v>
      </c>
      <c r="Q831" s="43" t="s">
        <v>2926</v>
      </c>
      <c r="R831" s="4">
        <v>15.4133276229829</v>
      </c>
      <c r="S831" s="4">
        <v>15.203009205467101</v>
      </c>
      <c r="T831" s="4">
        <v>15.332301160859499</v>
      </c>
      <c r="U831" s="4">
        <f t="shared" si="50"/>
        <v>15.316212663103167</v>
      </c>
      <c r="X831" s="43" t="s">
        <v>3981</v>
      </c>
      <c r="Y831" s="4">
        <v>15.409281182829799</v>
      </c>
      <c r="Z831" s="4">
        <v>15.4477410430055</v>
      </c>
      <c r="AA831" s="4">
        <v>15.257357137533001</v>
      </c>
      <c r="AB831" s="4">
        <f t="shared" si="51"/>
        <v>15.371459787789433</v>
      </c>
    </row>
    <row r="832" spans="2:28" x14ac:dyDescent="0.2">
      <c r="B832" s="4" t="s">
        <v>2750</v>
      </c>
      <c r="C832" s="4">
        <v>15.3452</v>
      </c>
      <c r="D832" s="4">
        <v>15.626899999999999</v>
      </c>
      <c r="E832" s="4">
        <v>15.574199999999999</v>
      </c>
      <c r="F832" s="4">
        <f t="shared" si="48"/>
        <v>15.515433333333332</v>
      </c>
      <c r="I832" s="4" t="s">
        <v>2102</v>
      </c>
      <c r="J832" s="4">
        <v>15.6012</v>
      </c>
      <c r="K832" s="4">
        <v>15.5082</v>
      </c>
      <c r="L832" s="4">
        <v>15.5237</v>
      </c>
      <c r="M832" s="4">
        <f t="shared" si="49"/>
        <v>15.544366666666667</v>
      </c>
      <c r="Q832" s="43" t="s">
        <v>3070</v>
      </c>
      <c r="R832" s="4">
        <v>15.3866233720341</v>
      </c>
      <c r="S832" s="4">
        <v>15.3771745032432</v>
      </c>
      <c r="T832" s="4">
        <v>15.1797341498275</v>
      </c>
      <c r="U832" s="4">
        <f t="shared" si="50"/>
        <v>15.314510675034933</v>
      </c>
      <c r="X832" s="43" t="s">
        <v>355</v>
      </c>
      <c r="Y832" s="4">
        <v>15.1202896210558</v>
      </c>
      <c r="Z832" s="4">
        <v>15.332541970552199</v>
      </c>
      <c r="AA832" s="4">
        <v>15.6505727284058</v>
      </c>
      <c r="AB832" s="4">
        <f t="shared" si="51"/>
        <v>15.3678014400046</v>
      </c>
    </row>
    <row r="833" spans="2:28" x14ac:dyDescent="0.2">
      <c r="B833" s="4" t="s">
        <v>2252</v>
      </c>
      <c r="C833" s="4">
        <v>15.578900000000001</v>
      </c>
      <c r="D833" s="4">
        <v>15.4932</v>
      </c>
      <c r="E833" s="4">
        <v>15.47</v>
      </c>
      <c r="F833" s="4">
        <f t="shared" si="48"/>
        <v>15.514033333333332</v>
      </c>
      <c r="I833" s="4" t="s">
        <v>3873</v>
      </c>
      <c r="J833" s="4">
        <v>14.8956</v>
      </c>
      <c r="K833" s="4">
        <v>16.488800000000001</v>
      </c>
      <c r="L833" s="4">
        <v>15.238</v>
      </c>
      <c r="M833" s="4">
        <f t="shared" si="49"/>
        <v>15.540799999999999</v>
      </c>
      <c r="Q833" s="43" t="s">
        <v>2738</v>
      </c>
      <c r="R833" s="4">
        <v>15.3608553495908</v>
      </c>
      <c r="S833" s="4">
        <v>15.2778734639682</v>
      </c>
      <c r="T833" s="4">
        <v>15.2871618786279</v>
      </c>
      <c r="U833" s="4">
        <f t="shared" si="50"/>
        <v>15.308630230728966</v>
      </c>
      <c r="X833" s="43" t="s">
        <v>1648</v>
      </c>
      <c r="Y833" s="4">
        <v>15.373263869261599</v>
      </c>
      <c r="Z833" s="4">
        <v>15.388155385954001</v>
      </c>
      <c r="AA833" s="4">
        <v>15.339623306931699</v>
      </c>
      <c r="AB833" s="4">
        <f t="shared" si="51"/>
        <v>15.367014187382432</v>
      </c>
    </row>
    <row r="834" spans="2:28" x14ac:dyDescent="0.2">
      <c r="B834" s="4" t="s">
        <v>2902</v>
      </c>
      <c r="C834" s="4">
        <v>15.7577</v>
      </c>
      <c r="D834" s="4">
        <v>15.4443</v>
      </c>
      <c r="E834" s="4">
        <v>15.334300000000001</v>
      </c>
      <c r="F834" s="4">
        <f t="shared" ref="F834:F897" si="52">(C834+D834+E834)/3</f>
        <v>15.512099999999998</v>
      </c>
      <c r="I834" s="4" t="s">
        <v>3919</v>
      </c>
      <c r="J834" s="4">
        <v>15.508900000000001</v>
      </c>
      <c r="K834" s="4">
        <v>15.7629</v>
      </c>
      <c r="L834" s="4">
        <v>15.3474</v>
      </c>
      <c r="M834" s="4">
        <f t="shared" ref="M834:M897" si="53">(J834+K834+L834)/3</f>
        <v>15.539733333333333</v>
      </c>
      <c r="Q834" s="43" t="s">
        <v>2474</v>
      </c>
      <c r="R834" s="4">
        <v>15.249876075915701</v>
      </c>
      <c r="S834" s="4">
        <v>15.256417909473299</v>
      </c>
      <c r="T834" s="4">
        <v>15.412146687778399</v>
      </c>
      <c r="U834" s="4">
        <f t="shared" ref="U834:U897" si="54">(R834+S834+T834)/3</f>
        <v>15.306146891055798</v>
      </c>
      <c r="X834" s="43" t="s">
        <v>4428</v>
      </c>
      <c r="Y834" s="4">
        <v>15.395877071535301</v>
      </c>
      <c r="Z834" s="4">
        <v>14.987703484669</v>
      </c>
      <c r="AA834" s="4">
        <v>15.712943155109601</v>
      </c>
      <c r="AB834" s="4">
        <f t="shared" ref="AB834:AB897" si="55">(Y834+Z834+AA834)/3</f>
        <v>15.3655079037713</v>
      </c>
    </row>
    <row r="835" spans="2:28" x14ac:dyDescent="0.2">
      <c r="B835" s="4" t="s">
        <v>1621</v>
      </c>
      <c r="C835" s="4">
        <v>15.4168</v>
      </c>
      <c r="D835" s="4">
        <v>15.4785</v>
      </c>
      <c r="E835" s="4">
        <v>15.6372</v>
      </c>
      <c r="F835" s="4">
        <f t="shared" si="52"/>
        <v>15.510833333333332</v>
      </c>
      <c r="I835" s="4" t="s">
        <v>3422</v>
      </c>
      <c r="J835" s="4">
        <v>15.378399999999999</v>
      </c>
      <c r="K835" s="4">
        <v>16.002800000000001</v>
      </c>
      <c r="L835" s="4">
        <v>15.233000000000001</v>
      </c>
      <c r="M835" s="4">
        <f t="shared" si="53"/>
        <v>15.538066666666666</v>
      </c>
      <c r="Q835" s="43" t="s">
        <v>63</v>
      </c>
      <c r="R835" s="4">
        <v>15.472879412166099</v>
      </c>
      <c r="S835" s="4">
        <v>15.2401996908215</v>
      </c>
      <c r="T835" s="4">
        <v>15.205314090148899</v>
      </c>
      <c r="U835" s="4">
        <f t="shared" si="54"/>
        <v>15.306131064378832</v>
      </c>
      <c r="X835" s="43" t="s">
        <v>3782</v>
      </c>
      <c r="Y835" s="4">
        <v>15.358548156515299</v>
      </c>
      <c r="Z835" s="4">
        <v>15.2312052795253</v>
      </c>
      <c r="AA835" s="4">
        <v>15.503390823977499</v>
      </c>
      <c r="AB835" s="4">
        <f t="shared" si="55"/>
        <v>15.364381420006033</v>
      </c>
    </row>
    <row r="836" spans="2:28" x14ac:dyDescent="0.2">
      <c r="B836" s="4" t="s">
        <v>2476</v>
      </c>
      <c r="C836" s="4">
        <v>14.568199999999999</v>
      </c>
      <c r="D836" s="4">
        <v>15.943099999999999</v>
      </c>
      <c r="E836" s="4">
        <v>16.016200000000001</v>
      </c>
      <c r="F836" s="4">
        <f t="shared" si="52"/>
        <v>15.509166666666667</v>
      </c>
      <c r="I836" s="4" t="s">
        <v>2711</v>
      </c>
      <c r="J836" s="4">
        <v>15.4878</v>
      </c>
      <c r="K836" s="4">
        <v>15.5467</v>
      </c>
      <c r="L836" s="4">
        <v>15.5768</v>
      </c>
      <c r="M836" s="4">
        <f t="shared" si="53"/>
        <v>15.537100000000001</v>
      </c>
      <c r="Q836" s="43" t="s">
        <v>3302</v>
      </c>
      <c r="R836" s="4">
        <v>15.154794422231401</v>
      </c>
      <c r="S836" s="4">
        <v>15.207271487239399</v>
      </c>
      <c r="T836" s="4">
        <v>15.5480479096985</v>
      </c>
      <c r="U836" s="4">
        <f t="shared" si="54"/>
        <v>15.303371273056433</v>
      </c>
      <c r="X836" s="43" t="s">
        <v>1422</v>
      </c>
      <c r="Y836" s="4">
        <v>15.356403889947</v>
      </c>
      <c r="Z836" s="4">
        <v>15.5094816962637</v>
      </c>
      <c r="AA836" s="4">
        <v>15.213472143580599</v>
      </c>
      <c r="AB836" s="4">
        <f t="shared" si="55"/>
        <v>15.359785909930432</v>
      </c>
    </row>
    <row r="837" spans="2:28" x14ac:dyDescent="0.2">
      <c r="B837" s="4" t="s">
        <v>1916</v>
      </c>
      <c r="C837" s="4">
        <v>15.588200000000001</v>
      </c>
      <c r="D837" s="4">
        <v>15.5153</v>
      </c>
      <c r="E837" s="4">
        <v>15.423299999999999</v>
      </c>
      <c r="F837" s="4">
        <f t="shared" si="52"/>
        <v>15.508933333333333</v>
      </c>
      <c r="I837" s="4" t="s">
        <v>1007</v>
      </c>
      <c r="J837" s="4">
        <v>15.624499999999999</v>
      </c>
      <c r="K837" s="4">
        <v>15.3565</v>
      </c>
      <c r="L837" s="4">
        <v>15.6297</v>
      </c>
      <c r="M837" s="4">
        <f t="shared" si="53"/>
        <v>15.536900000000001</v>
      </c>
      <c r="Q837" s="43" t="s">
        <v>768</v>
      </c>
      <c r="R837" s="4">
        <v>14.2064718316214</v>
      </c>
      <c r="S837" s="4">
        <v>15.5733380031169</v>
      </c>
      <c r="T837" s="4">
        <v>16.124909105037201</v>
      </c>
      <c r="U837" s="4">
        <f t="shared" si="54"/>
        <v>15.301572979925169</v>
      </c>
      <c r="X837" s="43" t="s">
        <v>712</v>
      </c>
      <c r="Y837" s="4">
        <v>15.3683270049189</v>
      </c>
      <c r="Z837" s="4">
        <v>15.264567946624901</v>
      </c>
      <c r="AA837" s="4">
        <v>15.4463944406252</v>
      </c>
      <c r="AB837" s="4">
        <f t="shared" si="55"/>
        <v>15.359763130723001</v>
      </c>
    </row>
    <row r="838" spans="2:28" x14ac:dyDescent="0.2">
      <c r="B838" s="4" t="s">
        <v>1437</v>
      </c>
      <c r="C838" s="4">
        <v>15.464700000000001</v>
      </c>
      <c r="D838" s="4">
        <v>15.885899999999999</v>
      </c>
      <c r="E838" s="4">
        <v>15.1745</v>
      </c>
      <c r="F838" s="4">
        <f t="shared" si="52"/>
        <v>15.508366666666667</v>
      </c>
      <c r="I838" s="4" t="s">
        <v>3356</v>
      </c>
      <c r="J838" s="4">
        <v>14.695</v>
      </c>
      <c r="K838" s="4">
        <v>17.4147</v>
      </c>
      <c r="L838" s="4">
        <v>14.494400000000001</v>
      </c>
      <c r="M838" s="4">
        <f t="shared" si="53"/>
        <v>15.534700000000001</v>
      </c>
      <c r="Q838" s="43" t="s">
        <v>2131</v>
      </c>
      <c r="R838" s="4">
        <v>15.339404429335399</v>
      </c>
      <c r="S838" s="4">
        <v>15.2788379847067</v>
      </c>
      <c r="T838" s="4">
        <v>15.286095730321</v>
      </c>
      <c r="U838" s="4">
        <f t="shared" si="54"/>
        <v>15.301446048121035</v>
      </c>
      <c r="X838" s="43" t="s">
        <v>3221</v>
      </c>
      <c r="Y838" s="4">
        <v>15.384979077646999</v>
      </c>
      <c r="Z838" s="4">
        <v>15.3619878138787</v>
      </c>
      <c r="AA838" s="4">
        <v>15.3278784417168</v>
      </c>
      <c r="AB838" s="4">
        <f t="shared" si="55"/>
        <v>15.3582817777475</v>
      </c>
    </row>
    <row r="839" spans="2:28" x14ac:dyDescent="0.2">
      <c r="B839" s="4" t="s">
        <v>3049</v>
      </c>
      <c r="C839" s="4">
        <v>15.635400000000001</v>
      </c>
      <c r="D839" s="4">
        <v>15.607200000000001</v>
      </c>
      <c r="E839" s="4">
        <v>15.277200000000001</v>
      </c>
      <c r="F839" s="4">
        <f t="shared" si="52"/>
        <v>15.506600000000001</v>
      </c>
      <c r="I839" s="4" t="s">
        <v>1644</v>
      </c>
      <c r="J839" s="4">
        <v>15.614100000000001</v>
      </c>
      <c r="K839" s="4">
        <v>15.3132</v>
      </c>
      <c r="L839" s="4">
        <v>15.673999999999999</v>
      </c>
      <c r="M839" s="4">
        <f t="shared" si="53"/>
        <v>15.533766666666667</v>
      </c>
      <c r="Q839" s="43" t="s">
        <v>713</v>
      </c>
      <c r="R839" s="4">
        <v>15.1597922156088</v>
      </c>
      <c r="S839" s="4">
        <v>15.2784616230369</v>
      </c>
      <c r="T839" s="4">
        <v>15.4586634569048</v>
      </c>
      <c r="U839" s="4">
        <f t="shared" si="54"/>
        <v>15.298972431850167</v>
      </c>
      <c r="X839" s="43" t="s">
        <v>4518</v>
      </c>
      <c r="Y839" s="4">
        <v>15.2328213549839</v>
      </c>
      <c r="Z839" s="4">
        <v>15.387736910425801</v>
      </c>
      <c r="AA839" s="4">
        <v>15.4494258868747</v>
      </c>
      <c r="AB839" s="4">
        <f t="shared" si="55"/>
        <v>15.356661384094799</v>
      </c>
    </row>
    <row r="840" spans="2:28" x14ac:dyDescent="0.2">
      <c r="B840" s="4" t="s">
        <v>2521</v>
      </c>
      <c r="C840" s="4">
        <v>15.224500000000001</v>
      </c>
      <c r="D840" s="4">
        <v>15.2925</v>
      </c>
      <c r="E840" s="4">
        <v>15.9977</v>
      </c>
      <c r="F840" s="4">
        <f t="shared" si="52"/>
        <v>15.504900000000001</v>
      </c>
      <c r="I840" s="4" t="s">
        <v>689</v>
      </c>
      <c r="J840" s="4">
        <v>15.698600000000001</v>
      </c>
      <c r="K840" s="4">
        <v>15.121</v>
      </c>
      <c r="L840" s="4">
        <v>15.777100000000001</v>
      </c>
      <c r="M840" s="4">
        <f t="shared" si="53"/>
        <v>15.532233333333332</v>
      </c>
      <c r="Q840" s="43" t="s">
        <v>4049</v>
      </c>
      <c r="R840" s="4">
        <v>15.2131703293415</v>
      </c>
      <c r="S840" s="4">
        <v>15.343690290386199</v>
      </c>
      <c r="T840" s="4">
        <v>15.334048754902099</v>
      </c>
      <c r="U840" s="4">
        <f t="shared" si="54"/>
        <v>15.296969791543267</v>
      </c>
      <c r="X840" s="43" t="s">
        <v>1805</v>
      </c>
      <c r="Y840" s="4">
        <v>15.2976876751967</v>
      </c>
      <c r="Z840" s="4">
        <v>15.3996352702731</v>
      </c>
      <c r="AA840" s="4">
        <v>15.369915717415999</v>
      </c>
      <c r="AB840" s="4">
        <f t="shared" si="55"/>
        <v>15.355746220961933</v>
      </c>
    </row>
    <row r="841" spans="2:28" x14ac:dyDescent="0.2">
      <c r="B841" s="4" t="s">
        <v>3152</v>
      </c>
      <c r="C841" s="4">
        <v>15.263500000000001</v>
      </c>
      <c r="D841" s="4">
        <v>15.542999999999999</v>
      </c>
      <c r="E841" s="4">
        <v>15.7072</v>
      </c>
      <c r="F841" s="4">
        <f t="shared" si="52"/>
        <v>15.504566666666667</v>
      </c>
      <c r="I841" s="4" t="s">
        <v>977</v>
      </c>
      <c r="J841" s="4">
        <v>15.518800000000001</v>
      </c>
      <c r="K841" s="4">
        <v>15.9428</v>
      </c>
      <c r="L841" s="4">
        <v>15.1309</v>
      </c>
      <c r="M841" s="4">
        <f t="shared" si="53"/>
        <v>15.530833333333334</v>
      </c>
      <c r="Q841" s="43" t="s">
        <v>1317</v>
      </c>
      <c r="R841" s="4">
        <v>15.5431538709632</v>
      </c>
      <c r="S841" s="4">
        <v>15.0388755722742</v>
      </c>
      <c r="T841" s="4">
        <v>15.3078333007042</v>
      </c>
      <c r="U841" s="4">
        <f t="shared" si="54"/>
        <v>15.296620914647201</v>
      </c>
      <c r="X841" s="43" t="s">
        <v>26</v>
      </c>
      <c r="Y841" s="4">
        <v>15.3179658560628</v>
      </c>
      <c r="Z841" s="4">
        <v>15.5368717243615</v>
      </c>
      <c r="AA841" s="4">
        <v>15.1964238573876</v>
      </c>
      <c r="AB841" s="4">
        <f t="shared" si="55"/>
        <v>15.350420479270634</v>
      </c>
    </row>
    <row r="842" spans="2:28" x14ac:dyDescent="0.2">
      <c r="B842" s="4" t="s">
        <v>3100</v>
      </c>
      <c r="C842" s="4">
        <v>16.120699999999999</v>
      </c>
      <c r="D842" s="4">
        <v>15.081099999999999</v>
      </c>
      <c r="E842" s="4">
        <v>15.3118</v>
      </c>
      <c r="F842" s="4">
        <f t="shared" si="52"/>
        <v>15.504533333333333</v>
      </c>
      <c r="I842" s="4" t="s">
        <v>759</v>
      </c>
      <c r="J842" s="4">
        <v>15.395200000000001</v>
      </c>
      <c r="K842" s="4">
        <v>15.2623</v>
      </c>
      <c r="L842" s="4">
        <v>15.934900000000001</v>
      </c>
      <c r="M842" s="4">
        <f t="shared" si="53"/>
        <v>15.530799999999999</v>
      </c>
      <c r="Q842" s="43" t="s">
        <v>1760</v>
      </c>
      <c r="R842" s="4">
        <v>15.2161168903922</v>
      </c>
      <c r="S842" s="4">
        <v>15.3454534479446</v>
      </c>
      <c r="T842" s="4">
        <v>15.327189033922799</v>
      </c>
      <c r="U842" s="4">
        <f t="shared" si="54"/>
        <v>15.296253124086533</v>
      </c>
      <c r="X842" s="43" t="s">
        <v>488</v>
      </c>
      <c r="Y842" s="4">
        <v>15.371132552009399</v>
      </c>
      <c r="Z842" s="4">
        <v>15.401477793338399</v>
      </c>
      <c r="AA842" s="4">
        <v>15.275406604885299</v>
      </c>
      <c r="AB842" s="4">
        <f t="shared" si="55"/>
        <v>15.349338983411032</v>
      </c>
    </row>
    <row r="843" spans="2:28" x14ac:dyDescent="0.2">
      <c r="B843" s="4" t="s">
        <v>4067</v>
      </c>
      <c r="C843" s="4">
        <v>15.5625</v>
      </c>
      <c r="D843" s="4">
        <v>15.6142</v>
      </c>
      <c r="E843" s="4">
        <v>15.3255</v>
      </c>
      <c r="F843" s="4">
        <f t="shared" si="52"/>
        <v>15.500733333333335</v>
      </c>
      <c r="I843" s="4" t="s">
        <v>574</v>
      </c>
      <c r="J843" s="4">
        <v>15.454700000000001</v>
      </c>
      <c r="K843" s="4">
        <v>16.340299999999999</v>
      </c>
      <c r="L843" s="4">
        <v>14.791399999999999</v>
      </c>
      <c r="M843" s="4">
        <f t="shared" si="53"/>
        <v>15.528799999999999</v>
      </c>
      <c r="Q843" s="43" t="s">
        <v>456</v>
      </c>
      <c r="R843" s="4">
        <v>15.4628758190093</v>
      </c>
      <c r="S843" s="4">
        <v>15.2784424981137</v>
      </c>
      <c r="T843" s="4">
        <v>15.1464982311669</v>
      </c>
      <c r="U843" s="4">
        <f t="shared" si="54"/>
        <v>15.295938849429966</v>
      </c>
      <c r="X843" s="43" t="s">
        <v>3816</v>
      </c>
      <c r="Y843" s="4">
        <v>15.3162600761747</v>
      </c>
      <c r="Z843" s="4">
        <v>15.229071880527099</v>
      </c>
      <c r="AA843" s="4">
        <v>15.4936600372043</v>
      </c>
      <c r="AB843" s="4">
        <f t="shared" si="55"/>
        <v>15.346330664635367</v>
      </c>
    </row>
    <row r="844" spans="2:28" x14ac:dyDescent="0.2">
      <c r="B844" s="4" t="s">
        <v>2131</v>
      </c>
      <c r="C844" s="4">
        <v>15.532500000000001</v>
      </c>
      <c r="D844" s="4">
        <v>15.595599999999999</v>
      </c>
      <c r="E844" s="4">
        <v>15.3688</v>
      </c>
      <c r="F844" s="4">
        <f t="shared" si="52"/>
        <v>15.498966666666666</v>
      </c>
      <c r="I844" s="4" t="s">
        <v>4053</v>
      </c>
      <c r="J844" s="4">
        <v>15.618600000000001</v>
      </c>
      <c r="K844" s="4">
        <v>15.352499999999999</v>
      </c>
      <c r="L844" s="4">
        <v>15.6149</v>
      </c>
      <c r="M844" s="4">
        <f t="shared" si="53"/>
        <v>15.528666666666666</v>
      </c>
      <c r="Q844" s="43" t="s">
        <v>293</v>
      </c>
      <c r="R844" s="4">
        <v>15.633633193470899</v>
      </c>
      <c r="S844" s="4">
        <v>15.015688293647999</v>
      </c>
      <c r="T844" s="4">
        <v>15.2355660084928</v>
      </c>
      <c r="U844" s="4">
        <f t="shared" si="54"/>
        <v>15.294962498537231</v>
      </c>
      <c r="X844" s="43" t="s">
        <v>3823</v>
      </c>
      <c r="Y844" s="4">
        <v>15.395829697424301</v>
      </c>
      <c r="Z844" s="4">
        <v>15.5673430591614</v>
      </c>
      <c r="AA844" s="4">
        <v>15.063751098583399</v>
      </c>
      <c r="AB844" s="4">
        <f t="shared" si="55"/>
        <v>15.342307951723035</v>
      </c>
    </row>
    <row r="845" spans="2:28" x14ac:dyDescent="0.2">
      <c r="B845" s="4" t="s">
        <v>1710</v>
      </c>
      <c r="C845" s="4">
        <v>15.352</v>
      </c>
      <c r="D845" s="4">
        <v>15.6831</v>
      </c>
      <c r="E845" s="4">
        <v>15.4596</v>
      </c>
      <c r="F845" s="4">
        <f t="shared" si="52"/>
        <v>15.498233333333333</v>
      </c>
      <c r="I845" s="4" t="s">
        <v>2457</v>
      </c>
      <c r="J845" s="4">
        <v>15.3164</v>
      </c>
      <c r="K845" s="4">
        <v>15.2273</v>
      </c>
      <c r="L845" s="4">
        <v>16.038699999999999</v>
      </c>
      <c r="M845" s="4">
        <f t="shared" si="53"/>
        <v>15.527466666666667</v>
      </c>
      <c r="Q845" s="43" t="s">
        <v>565</v>
      </c>
      <c r="R845" s="4">
        <v>15.229780628759499</v>
      </c>
      <c r="S845" s="4">
        <v>15.3698302677393</v>
      </c>
      <c r="T845" s="4">
        <v>15.271017176167801</v>
      </c>
      <c r="U845" s="4">
        <f t="shared" si="54"/>
        <v>15.290209357555533</v>
      </c>
      <c r="X845" s="43" t="s">
        <v>1227</v>
      </c>
      <c r="Y845" s="4">
        <v>15.2278391703629</v>
      </c>
      <c r="Z845" s="4">
        <v>15.292811054679399</v>
      </c>
      <c r="AA845" s="4">
        <v>15.5041311375684</v>
      </c>
      <c r="AB845" s="4">
        <f t="shared" si="55"/>
        <v>15.341593787536899</v>
      </c>
    </row>
    <row r="846" spans="2:28" x14ac:dyDescent="0.2">
      <c r="B846" s="4" t="s">
        <v>750</v>
      </c>
      <c r="C846" s="4">
        <v>15.629</v>
      </c>
      <c r="D846" s="4">
        <v>15.641999999999999</v>
      </c>
      <c r="E846" s="4">
        <v>15.2187</v>
      </c>
      <c r="F846" s="4">
        <f t="shared" si="52"/>
        <v>15.496566666666666</v>
      </c>
      <c r="I846" s="4" t="s">
        <v>1538</v>
      </c>
      <c r="J846" s="4">
        <v>15.111499999999999</v>
      </c>
      <c r="K846" s="4">
        <v>15.946199999999999</v>
      </c>
      <c r="L846" s="4">
        <v>15.4962</v>
      </c>
      <c r="M846" s="4">
        <f t="shared" si="53"/>
        <v>15.517966666666666</v>
      </c>
      <c r="Q846" s="43" t="s">
        <v>2539</v>
      </c>
      <c r="R846" s="4">
        <v>15.2526747844667</v>
      </c>
      <c r="S846" s="4">
        <v>15.378152592541699</v>
      </c>
      <c r="T846" s="4">
        <v>15.229058611940699</v>
      </c>
      <c r="U846" s="4">
        <f t="shared" si="54"/>
        <v>15.286628662983034</v>
      </c>
      <c r="X846" s="43" t="s">
        <v>4071</v>
      </c>
      <c r="Y846" s="4">
        <v>15.545617794882901</v>
      </c>
      <c r="Z846" s="4">
        <v>15.216258861489401</v>
      </c>
      <c r="AA846" s="4">
        <v>15.256535072879601</v>
      </c>
      <c r="AB846" s="4">
        <f t="shared" si="55"/>
        <v>15.3394705764173</v>
      </c>
    </row>
    <row r="847" spans="2:28" x14ac:dyDescent="0.2">
      <c r="B847" s="4" t="s">
        <v>2445</v>
      </c>
      <c r="C847" s="4">
        <v>15.3344</v>
      </c>
      <c r="D847" s="4">
        <v>15.531700000000001</v>
      </c>
      <c r="E847" s="4">
        <v>15.607900000000001</v>
      </c>
      <c r="F847" s="4">
        <f t="shared" si="52"/>
        <v>15.491333333333335</v>
      </c>
      <c r="I847" s="4" t="s">
        <v>1331</v>
      </c>
      <c r="J847" s="4">
        <v>15.7308</v>
      </c>
      <c r="K847" s="4">
        <v>15.08</v>
      </c>
      <c r="L847" s="4">
        <v>15.74</v>
      </c>
      <c r="M847" s="4">
        <f t="shared" si="53"/>
        <v>15.516933333333334</v>
      </c>
      <c r="Q847" s="43" t="s">
        <v>2515</v>
      </c>
      <c r="R847" s="4">
        <v>15.0732872416632</v>
      </c>
      <c r="S847" s="4">
        <v>15.3944491616082</v>
      </c>
      <c r="T847" s="4">
        <v>15.391629322711101</v>
      </c>
      <c r="U847" s="4">
        <f t="shared" si="54"/>
        <v>15.286455241994167</v>
      </c>
      <c r="X847" s="43" t="s">
        <v>660</v>
      </c>
      <c r="Y847" s="4">
        <v>15.3796247634787</v>
      </c>
      <c r="Z847" s="4">
        <v>15.330732434272299</v>
      </c>
      <c r="AA847" s="4">
        <v>15.3016631006134</v>
      </c>
      <c r="AB847" s="4">
        <f t="shared" si="55"/>
        <v>15.337340099454801</v>
      </c>
    </row>
    <row r="848" spans="2:28" x14ac:dyDescent="0.2">
      <c r="B848" s="4" t="s">
        <v>3753</v>
      </c>
      <c r="C848" s="4">
        <v>15.521800000000001</v>
      </c>
      <c r="D848" s="4">
        <v>15.5276</v>
      </c>
      <c r="E848" s="4">
        <v>15.4184</v>
      </c>
      <c r="F848" s="4">
        <f t="shared" si="52"/>
        <v>15.489266666666666</v>
      </c>
      <c r="I848" s="4" t="s">
        <v>2779</v>
      </c>
      <c r="J848" s="4">
        <v>15.706200000000001</v>
      </c>
      <c r="K848" s="4">
        <v>15.1632</v>
      </c>
      <c r="L848" s="4">
        <v>15.6805</v>
      </c>
      <c r="M848" s="4">
        <f t="shared" si="53"/>
        <v>15.516633333333333</v>
      </c>
      <c r="Q848" s="43" t="s">
        <v>1945</v>
      </c>
      <c r="R848" s="4">
        <v>15.3798797967405</v>
      </c>
      <c r="S848" s="4">
        <v>15.1710866070365</v>
      </c>
      <c r="T848" s="4">
        <v>15.2890943225922</v>
      </c>
      <c r="U848" s="4">
        <f t="shared" si="54"/>
        <v>15.280020242123067</v>
      </c>
      <c r="X848" s="43" t="s">
        <v>1058</v>
      </c>
      <c r="Y848" s="4">
        <v>15.342558530018</v>
      </c>
      <c r="Z848" s="4">
        <v>15.6192665583593</v>
      </c>
      <c r="AA848" s="4">
        <v>15.049059020072701</v>
      </c>
      <c r="AB848" s="4">
        <f t="shared" si="55"/>
        <v>15.336961369483333</v>
      </c>
    </row>
    <row r="849" spans="2:28" x14ac:dyDescent="0.2">
      <c r="B849" s="4" t="s">
        <v>1628</v>
      </c>
      <c r="C849" s="4">
        <v>15.494</v>
      </c>
      <c r="D849" s="4">
        <v>15.3126</v>
      </c>
      <c r="E849" s="4">
        <v>15.6557</v>
      </c>
      <c r="F849" s="4">
        <f t="shared" si="52"/>
        <v>15.487433333333334</v>
      </c>
      <c r="I849" s="4" t="s">
        <v>775</v>
      </c>
      <c r="J849" s="4">
        <v>15.7646</v>
      </c>
      <c r="K849" s="4">
        <v>14.9291</v>
      </c>
      <c r="L849" s="4">
        <v>15.853</v>
      </c>
      <c r="M849" s="4">
        <f t="shared" si="53"/>
        <v>15.515566666666667</v>
      </c>
      <c r="Q849" s="43" t="s">
        <v>1673</v>
      </c>
      <c r="R849" s="4">
        <v>15.2840899809179</v>
      </c>
      <c r="S849" s="4">
        <v>15.206618749461001</v>
      </c>
      <c r="T849" s="4">
        <v>15.349027911975901</v>
      </c>
      <c r="U849" s="4">
        <f t="shared" si="54"/>
        <v>15.279912214118267</v>
      </c>
      <c r="X849" s="43" t="s">
        <v>1501</v>
      </c>
      <c r="Y849" s="4">
        <v>15.3661183509523</v>
      </c>
      <c r="Z849" s="4">
        <v>15.5405251943048</v>
      </c>
      <c r="AA849" s="4">
        <v>15.1034563375127</v>
      </c>
      <c r="AB849" s="4">
        <f t="shared" si="55"/>
        <v>15.336699960923267</v>
      </c>
    </row>
    <row r="850" spans="2:28" x14ac:dyDescent="0.2">
      <c r="B850" s="4" t="s">
        <v>2373</v>
      </c>
      <c r="C850" s="4">
        <v>15.437099999999999</v>
      </c>
      <c r="D850" s="4">
        <v>15.4701</v>
      </c>
      <c r="E850" s="4">
        <v>15.5326</v>
      </c>
      <c r="F850" s="4">
        <f t="shared" si="52"/>
        <v>15.479933333333333</v>
      </c>
      <c r="I850" s="4" t="s">
        <v>1534</v>
      </c>
      <c r="J850" s="4">
        <v>15.026400000000001</v>
      </c>
      <c r="K850" s="4">
        <v>15.883599999999999</v>
      </c>
      <c r="L850" s="4">
        <v>15.625</v>
      </c>
      <c r="M850" s="4">
        <f t="shared" si="53"/>
        <v>15.511666666666665</v>
      </c>
      <c r="Q850" s="43" t="s">
        <v>2978</v>
      </c>
      <c r="R850" s="4">
        <v>15.287465424966101</v>
      </c>
      <c r="S850" s="4">
        <v>15.250194954581399</v>
      </c>
      <c r="T850" s="4">
        <v>15.289799741071199</v>
      </c>
      <c r="U850" s="4">
        <f t="shared" si="54"/>
        <v>15.275820040206233</v>
      </c>
      <c r="X850" s="43" t="s">
        <v>902</v>
      </c>
      <c r="Y850" s="4">
        <v>15.0139199286922</v>
      </c>
      <c r="Z850" s="4">
        <v>15.5451956203758</v>
      </c>
      <c r="AA850" s="4">
        <v>15.4467878713284</v>
      </c>
      <c r="AB850" s="4">
        <f t="shared" si="55"/>
        <v>15.335301140132133</v>
      </c>
    </row>
    <row r="851" spans="2:28" x14ac:dyDescent="0.2">
      <c r="B851" s="4" t="s">
        <v>1043</v>
      </c>
      <c r="C851" s="4">
        <v>15.047000000000001</v>
      </c>
      <c r="D851" s="4">
        <v>15.1119</v>
      </c>
      <c r="E851" s="4">
        <v>16.278500000000001</v>
      </c>
      <c r="F851" s="4">
        <f t="shared" si="52"/>
        <v>15.479133333333335</v>
      </c>
      <c r="I851" s="4" t="s">
        <v>937</v>
      </c>
      <c r="J851" s="4">
        <v>15.4673</v>
      </c>
      <c r="K851" s="4">
        <v>16.097100000000001</v>
      </c>
      <c r="L851" s="4">
        <v>14.959</v>
      </c>
      <c r="M851" s="4">
        <f t="shared" si="53"/>
        <v>15.507799999999998</v>
      </c>
      <c r="Q851" s="43" t="s">
        <v>4144</v>
      </c>
      <c r="R851" s="4">
        <v>15.332312632175499</v>
      </c>
      <c r="S851" s="4">
        <v>15.369479089755499</v>
      </c>
      <c r="T851" s="4">
        <v>15.118303604992199</v>
      </c>
      <c r="U851" s="4">
        <f t="shared" si="54"/>
        <v>15.273365108974398</v>
      </c>
      <c r="X851" s="43" t="s">
        <v>2453</v>
      </c>
      <c r="Y851" s="4">
        <v>15.348135197538699</v>
      </c>
      <c r="Z851" s="4">
        <v>15.226599698826</v>
      </c>
      <c r="AA851" s="4">
        <v>15.4214889892291</v>
      </c>
      <c r="AB851" s="4">
        <f t="shared" si="55"/>
        <v>15.332074628531267</v>
      </c>
    </row>
    <row r="852" spans="2:28" x14ac:dyDescent="0.2">
      <c r="B852" s="4" t="s">
        <v>1429</v>
      </c>
      <c r="C852" s="4">
        <v>15.1988</v>
      </c>
      <c r="D852" s="4">
        <v>15.1738</v>
      </c>
      <c r="E852" s="4">
        <v>16.0642</v>
      </c>
      <c r="F852" s="4">
        <f t="shared" si="52"/>
        <v>15.478933333333332</v>
      </c>
      <c r="I852" s="4" t="s">
        <v>443</v>
      </c>
      <c r="J852" s="4">
        <v>15.780799999999999</v>
      </c>
      <c r="K852" s="4">
        <v>14.907299999999999</v>
      </c>
      <c r="L852" s="4">
        <v>15.831300000000001</v>
      </c>
      <c r="M852" s="4">
        <f t="shared" si="53"/>
        <v>15.506466666666666</v>
      </c>
      <c r="Q852" s="43" t="s">
        <v>977</v>
      </c>
      <c r="R852" s="4">
        <v>15.1892077983427</v>
      </c>
      <c r="S852" s="4">
        <v>15.3964974807927</v>
      </c>
      <c r="T852" s="4">
        <v>15.2272918171809</v>
      </c>
      <c r="U852" s="4">
        <f t="shared" si="54"/>
        <v>15.270999032105435</v>
      </c>
      <c r="X852" s="43" t="s">
        <v>3053</v>
      </c>
      <c r="Y852" s="4">
        <v>15.260007363877</v>
      </c>
      <c r="Z852" s="4">
        <v>15.346892152770501</v>
      </c>
      <c r="AA852" s="4">
        <v>15.379058105979</v>
      </c>
      <c r="AB852" s="4">
        <f t="shared" si="55"/>
        <v>15.328652540875501</v>
      </c>
    </row>
    <row r="853" spans="2:28" x14ac:dyDescent="0.2">
      <c r="B853" s="4" t="s">
        <v>91</v>
      </c>
      <c r="C853" s="4">
        <v>15.3371</v>
      </c>
      <c r="D853" s="4">
        <v>15.5657</v>
      </c>
      <c r="E853" s="4">
        <v>15.5307</v>
      </c>
      <c r="F853" s="4">
        <f t="shared" si="52"/>
        <v>15.477833333333331</v>
      </c>
      <c r="I853" s="4" t="s">
        <v>2198</v>
      </c>
      <c r="J853" s="4">
        <v>15.231299999999999</v>
      </c>
      <c r="K853" s="4">
        <v>16.223400000000002</v>
      </c>
      <c r="L853" s="4">
        <v>15.0563</v>
      </c>
      <c r="M853" s="4">
        <f t="shared" si="53"/>
        <v>15.503666666666668</v>
      </c>
      <c r="Q853" s="43" t="s">
        <v>2351</v>
      </c>
      <c r="R853" s="4">
        <v>15.160114262599601</v>
      </c>
      <c r="S853" s="4">
        <v>15.3777043425968</v>
      </c>
      <c r="T853" s="4">
        <v>15.2725996816337</v>
      </c>
      <c r="U853" s="4">
        <f t="shared" si="54"/>
        <v>15.270139428943367</v>
      </c>
      <c r="X853" s="43" t="s">
        <v>1557</v>
      </c>
      <c r="Y853" s="4">
        <v>15.226795497363</v>
      </c>
      <c r="Z853" s="4">
        <v>15.269177720376801</v>
      </c>
      <c r="AA853" s="4">
        <v>15.485517927575</v>
      </c>
      <c r="AB853" s="4">
        <f t="shared" si="55"/>
        <v>15.327163715104936</v>
      </c>
    </row>
    <row r="854" spans="2:28" x14ac:dyDescent="0.2">
      <c r="B854" s="4" t="s">
        <v>2637</v>
      </c>
      <c r="C854" s="4">
        <v>15.2933</v>
      </c>
      <c r="D854" s="4">
        <v>15.0107</v>
      </c>
      <c r="E854" s="4">
        <v>16.1081</v>
      </c>
      <c r="F854" s="4">
        <f t="shared" si="52"/>
        <v>15.470700000000001</v>
      </c>
      <c r="I854" s="4" t="s">
        <v>859</v>
      </c>
      <c r="J854" s="4">
        <v>15.590199999999999</v>
      </c>
      <c r="K854" s="4">
        <v>14.9473</v>
      </c>
      <c r="L854" s="4">
        <v>15.9733</v>
      </c>
      <c r="M854" s="4">
        <f t="shared" si="53"/>
        <v>15.5036</v>
      </c>
      <c r="Q854" s="43" t="s">
        <v>3838</v>
      </c>
      <c r="R854" s="4">
        <v>15.4056044259806</v>
      </c>
      <c r="S854" s="4">
        <v>15.2334785018292</v>
      </c>
      <c r="T854" s="4">
        <v>15.147460309814701</v>
      </c>
      <c r="U854" s="4">
        <f t="shared" si="54"/>
        <v>15.262181079208167</v>
      </c>
      <c r="X854" s="43" t="s">
        <v>3982</v>
      </c>
      <c r="Y854" s="4">
        <v>15.227859590829</v>
      </c>
      <c r="Z854" s="4">
        <v>15.4373465587719</v>
      </c>
      <c r="AA854" s="4">
        <v>15.3149998300149</v>
      </c>
      <c r="AB854" s="4">
        <f t="shared" si="55"/>
        <v>15.326735326538598</v>
      </c>
    </row>
    <row r="855" spans="2:28" x14ac:dyDescent="0.2">
      <c r="B855" s="4" t="s">
        <v>3010</v>
      </c>
      <c r="C855" s="4">
        <v>15.4565</v>
      </c>
      <c r="D855" s="4">
        <v>15.743</v>
      </c>
      <c r="E855" s="4">
        <v>15.2096</v>
      </c>
      <c r="F855" s="4">
        <f t="shared" si="52"/>
        <v>15.469700000000001</v>
      </c>
      <c r="I855" s="4" t="s">
        <v>2931</v>
      </c>
      <c r="J855" s="4">
        <v>15.372299999999999</v>
      </c>
      <c r="K855" s="4">
        <v>15.646000000000001</v>
      </c>
      <c r="L855" s="4">
        <v>15.4877</v>
      </c>
      <c r="M855" s="4">
        <f t="shared" si="53"/>
        <v>15.502000000000001</v>
      </c>
      <c r="Q855" s="43" t="s">
        <v>657</v>
      </c>
      <c r="R855" s="4">
        <v>14.753457591978499</v>
      </c>
      <c r="S855" s="4">
        <v>15.2426316600666</v>
      </c>
      <c r="T855" s="4">
        <v>15.7892128637219</v>
      </c>
      <c r="U855" s="4">
        <f t="shared" si="54"/>
        <v>15.261767371922332</v>
      </c>
      <c r="X855" s="43" t="s">
        <v>2189</v>
      </c>
      <c r="Y855" s="4">
        <v>15.2781096045866</v>
      </c>
      <c r="Z855" s="4">
        <v>15.353813163253699</v>
      </c>
      <c r="AA855" s="4">
        <v>15.3475189371381</v>
      </c>
      <c r="AB855" s="4">
        <f t="shared" si="55"/>
        <v>15.326480568326133</v>
      </c>
    </row>
    <row r="856" spans="2:28" x14ac:dyDescent="0.2">
      <c r="B856" s="4" t="s">
        <v>2636</v>
      </c>
      <c r="C856" s="4">
        <v>15.4459</v>
      </c>
      <c r="D856" s="4">
        <v>15.581200000000001</v>
      </c>
      <c r="E856" s="4">
        <v>15.3809</v>
      </c>
      <c r="F856" s="4">
        <f t="shared" si="52"/>
        <v>15.469333333333333</v>
      </c>
      <c r="I856" s="4" t="s">
        <v>3649</v>
      </c>
      <c r="J856" s="4">
        <v>15.4604</v>
      </c>
      <c r="K856" s="4">
        <v>15.7453</v>
      </c>
      <c r="L856" s="4">
        <v>15.280900000000001</v>
      </c>
      <c r="M856" s="4">
        <f t="shared" si="53"/>
        <v>15.495533333333334</v>
      </c>
      <c r="Q856" s="43" t="s">
        <v>4059</v>
      </c>
      <c r="R856" s="4">
        <v>15.067216130522</v>
      </c>
      <c r="S856" s="4">
        <v>15.589051764085299</v>
      </c>
      <c r="T856" s="4">
        <v>15.1280269628457</v>
      </c>
      <c r="U856" s="4">
        <f t="shared" si="54"/>
        <v>15.261431619150999</v>
      </c>
      <c r="X856" s="43" t="s">
        <v>409</v>
      </c>
      <c r="Y856" s="4">
        <v>15.1883577758977</v>
      </c>
      <c r="Z856" s="4">
        <v>15.9254063471872</v>
      </c>
      <c r="AA856" s="4">
        <v>14.865257609212801</v>
      </c>
      <c r="AB856" s="4">
        <f t="shared" si="55"/>
        <v>15.326340577432566</v>
      </c>
    </row>
    <row r="857" spans="2:28" x14ac:dyDescent="0.2">
      <c r="B857" s="4" t="s">
        <v>708</v>
      </c>
      <c r="C857" s="4">
        <v>15.2841</v>
      </c>
      <c r="D857" s="4">
        <v>15.359500000000001</v>
      </c>
      <c r="E857" s="4">
        <v>15.7568</v>
      </c>
      <c r="F857" s="4">
        <f t="shared" si="52"/>
        <v>15.466799999999999</v>
      </c>
      <c r="I857" s="4" t="s">
        <v>3138</v>
      </c>
      <c r="J857" s="4">
        <v>15.4078</v>
      </c>
      <c r="K857" s="4">
        <v>16.6036</v>
      </c>
      <c r="L857" s="4">
        <v>14.445399999999999</v>
      </c>
      <c r="M857" s="4">
        <f t="shared" si="53"/>
        <v>15.4856</v>
      </c>
      <c r="Q857" s="43" t="s">
        <v>3412</v>
      </c>
      <c r="R857" s="4">
        <v>15.266030932228601</v>
      </c>
      <c r="S857" s="4">
        <v>15.2945884951676</v>
      </c>
      <c r="T857" s="4">
        <v>15.222431082443499</v>
      </c>
      <c r="U857" s="4">
        <f t="shared" si="54"/>
        <v>15.261016836613232</v>
      </c>
      <c r="X857" s="43" t="s">
        <v>2672</v>
      </c>
      <c r="Y857" s="4">
        <v>15.3437228593982</v>
      </c>
      <c r="Z857" s="4">
        <v>15.3032360104507</v>
      </c>
      <c r="AA857" s="4">
        <v>15.3283704570329</v>
      </c>
      <c r="AB857" s="4">
        <f t="shared" si="55"/>
        <v>15.325109775627269</v>
      </c>
    </row>
    <row r="858" spans="2:28" x14ac:dyDescent="0.2">
      <c r="B858" s="4" t="s">
        <v>2298</v>
      </c>
      <c r="C858" s="4">
        <v>15.2841</v>
      </c>
      <c r="D858" s="4">
        <v>15.6258</v>
      </c>
      <c r="E858" s="4">
        <v>15.476599999999999</v>
      </c>
      <c r="F858" s="4">
        <f t="shared" si="52"/>
        <v>15.462166666666667</v>
      </c>
      <c r="I858" s="4" t="s">
        <v>57</v>
      </c>
      <c r="J858" s="4">
        <v>15.7743</v>
      </c>
      <c r="K858" s="4">
        <v>14.824999999999999</v>
      </c>
      <c r="L858" s="4">
        <v>15.8507</v>
      </c>
      <c r="M858" s="4">
        <f t="shared" si="53"/>
        <v>15.483333333333334</v>
      </c>
      <c r="Q858" s="43" t="s">
        <v>3635</v>
      </c>
      <c r="R858" s="4">
        <v>15.202110336150101</v>
      </c>
      <c r="S858" s="4">
        <v>15.3549483425091</v>
      </c>
      <c r="T858" s="4">
        <v>15.2204002332571</v>
      </c>
      <c r="U858" s="4">
        <f t="shared" si="54"/>
        <v>15.259152970638768</v>
      </c>
      <c r="X858" s="43" t="s">
        <v>3623</v>
      </c>
      <c r="Y858" s="4">
        <v>15.372168088392799</v>
      </c>
      <c r="Z858" s="4">
        <v>15.449311624681901</v>
      </c>
      <c r="AA858" s="4">
        <v>15.146474976643701</v>
      </c>
      <c r="AB858" s="4">
        <f t="shared" si="55"/>
        <v>15.322651563239468</v>
      </c>
    </row>
    <row r="859" spans="2:28" x14ac:dyDescent="0.2">
      <c r="B859" s="4" t="s">
        <v>1945</v>
      </c>
      <c r="C859" s="4">
        <v>15.6174</v>
      </c>
      <c r="D859" s="4">
        <v>15.4155</v>
      </c>
      <c r="E859" s="4">
        <v>15.352600000000001</v>
      </c>
      <c r="F859" s="4">
        <f t="shared" si="52"/>
        <v>15.461833333333333</v>
      </c>
      <c r="I859" s="4" t="s">
        <v>3216</v>
      </c>
      <c r="J859" s="4">
        <v>15.294600000000001</v>
      </c>
      <c r="K859" s="4">
        <v>16.1004</v>
      </c>
      <c r="L859" s="4">
        <v>15.0532</v>
      </c>
      <c r="M859" s="4">
        <f t="shared" si="53"/>
        <v>15.482733333333334</v>
      </c>
      <c r="Q859" s="43" t="s">
        <v>2659</v>
      </c>
      <c r="R859" s="4">
        <v>15.2153584978408</v>
      </c>
      <c r="S859" s="4">
        <v>15.3083374688139</v>
      </c>
      <c r="T859" s="4">
        <v>15.248934098569601</v>
      </c>
      <c r="U859" s="4">
        <f t="shared" si="54"/>
        <v>15.257543355074766</v>
      </c>
      <c r="X859" s="43" t="s">
        <v>1865</v>
      </c>
      <c r="Y859" s="4">
        <v>15.3796431446822</v>
      </c>
      <c r="Z859" s="4">
        <v>14.779498289054001</v>
      </c>
      <c r="AA859" s="4">
        <v>15.798857031051799</v>
      </c>
      <c r="AB859" s="4">
        <f t="shared" si="55"/>
        <v>15.319332821596001</v>
      </c>
    </row>
    <row r="860" spans="2:28" x14ac:dyDescent="0.2">
      <c r="B860" s="4" t="s">
        <v>698</v>
      </c>
      <c r="C860" s="4">
        <v>15.576700000000001</v>
      </c>
      <c r="D860" s="4">
        <v>15.293100000000001</v>
      </c>
      <c r="E860" s="4">
        <v>15.5085</v>
      </c>
      <c r="F860" s="4">
        <f t="shared" si="52"/>
        <v>15.459433333333335</v>
      </c>
      <c r="I860" s="4" t="s">
        <v>2744</v>
      </c>
      <c r="J860" s="4">
        <v>15.9217</v>
      </c>
      <c r="K860" s="4">
        <v>14.7608</v>
      </c>
      <c r="L860" s="4">
        <v>15.750500000000001</v>
      </c>
      <c r="M860" s="4">
        <f t="shared" si="53"/>
        <v>15.477666666666666</v>
      </c>
      <c r="Q860" s="43" t="s">
        <v>1864</v>
      </c>
      <c r="R860" s="4">
        <v>14.994781925536399</v>
      </c>
      <c r="S860" s="4">
        <v>15.3425968071674</v>
      </c>
      <c r="T860" s="4">
        <v>15.4349236271155</v>
      </c>
      <c r="U860" s="4">
        <f t="shared" si="54"/>
        <v>15.257434119939767</v>
      </c>
      <c r="X860" s="43" t="s">
        <v>3322</v>
      </c>
      <c r="Y860" s="4">
        <v>15.2753916119997</v>
      </c>
      <c r="Z860" s="4">
        <v>15.390516622273299</v>
      </c>
      <c r="AA860" s="4">
        <v>15.2876125097602</v>
      </c>
      <c r="AB860" s="4">
        <f t="shared" si="55"/>
        <v>15.317840248011066</v>
      </c>
    </row>
    <row r="861" spans="2:28" x14ac:dyDescent="0.2">
      <c r="B861" s="4" t="s">
        <v>3190</v>
      </c>
      <c r="C861" s="4">
        <v>15.505699999999999</v>
      </c>
      <c r="D861" s="4">
        <v>15.560700000000001</v>
      </c>
      <c r="E861" s="4">
        <v>15.299200000000001</v>
      </c>
      <c r="F861" s="4">
        <f t="shared" si="52"/>
        <v>15.4552</v>
      </c>
      <c r="I861" s="4" t="s">
        <v>702</v>
      </c>
      <c r="J861" s="4">
        <v>15.663399999999999</v>
      </c>
      <c r="K861" s="4">
        <v>15.1564</v>
      </c>
      <c r="L861" s="4">
        <v>15.609299999999999</v>
      </c>
      <c r="M861" s="4">
        <f t="shared" si="53"/>
        <v>15.476366666666665</v>
      </c>
      <c r="Q861" s="43" t="s">
        <v>1158</v>
      </c>
      <c r="R861" s="4">
        <v>15.099370087701301</v>
      </c>
      <c r="S861" s="4">
        <v>15.196460758632201</v>
      </c>
      <c r="T861" s="4">
        <v>15.471543523040999</v>
      </c>
      <c r="U861" s="4">
        <f t="shared" si="54"/>
        <v>15.255791456458168</v>
      </c>
      <c r="X861" s="43" t="s">
        <v>3033</v>
      </c>
      <c r="Y861" s="4">
        <v>15.100905756928199</v>
      </c>
      <c r="Z861" s="4">
        <v>15.3762316899148</v>
      </c>
      <c r="AA861" s="4">
        <v>15.473760909827799</v>
      </c>
      <c r="AB861" s="4">
        <f t="shared" si="55"/>
        <v>15.316966118890265</v>
      </c>
    </row>
    <row r="862" spans="2:28" x14ac:dyDescent="0.2">
      <c r="B862" s="4" t="s">
        <v>535</v>
      </c>
      <c r="C862" s="4">
        <v>15.558400000000001</v>
      </c>
      <c r="D862" s="4">
        <v>15.384499999999999</v>
      </c>
      <c r="E862" s="4">
        <v>15.417299999999999</v>
      </c>
      <c r="F862" s="4">
        <f t="shared" si="52"/>
        <v>15.4534</v>
      </c>
      <c r="I862" s="4" t="s">
        <v>2545</v>
      </c>
      <c r="J862" s="4">
        <v>15.6305</v>
      </c>
      <c r="K862" s="4">
        <v>15.2486</v>
      </c>
      <c r="L862" s="4">
        <v>15.5443</v>
      </c>
      <c r="M862" s="4">
        <f t="shared" si="53"/>
        <v>15.474466666666666</v>
      </c>
      <c r="Q862" s="43" t="s">
        <v>797</v>
      </c>
      <c r="R862" s="4">
        <v>15.4516533173776</v>
      </c>
      <c r="S862" s="4">
        <v>14.851046435171099</v>
      </c>
      <c r="T862" s="4">
        <v>15.453576114543701</v>
      </c>
      <c r="U862" s="4">
        <f t="shared" si="54"/>
        <v>15.252091955697466</v>
      </c>
      <c r="X862" s="43" t="s">
        <v>1418</v>
      </c>
      <c r="Y862" s="4">
        <v>15.2283983232316</v>
      </c>
      <c r="Z862" s="4">
        <v>15.3744862927377</v>
      </c>
      <c r="AA862" s="4">
        <v>15.3428872361453</v>
      </c>
      <c r="AB862" s="4">
        <f t="shared" si="55"/>
        <v>15.315257284038202</v>
      </c>
    </row>
    <row r="863" spans="2:28" x14ac:dyDescent="0.2">
      <c r="B863" s="4" t="s">
        <v>2776</v>
      </c>
      <c r="C863" s="4">
        <v>15.462300000000001</v>
      </c>
      <c r="D863" s="4">
        <v>15.3621</v>
      </c>
      <c r="E863" s="4">
        <v>15.515499999999999</v>
      </c>
      <c r="F863" s="4">
        <f t="shared" si="52"/>
        <v>15.446633333333333</v>
      </c>
      <c r="I863" s="4" t="s">
        <v>3581</v>
      </c>
      <c r="J863" s="4">
        <v>15.3901</v>
      </c>
      <c r="K863" s="4">
        <v>15.5939</v>
      </c>
      <c r="L863" s="4">
        <v>15.438599999999999</v>
      </c>
      <c r="M863" s="4">
        <f t="shared" si="53"/>
        <v>15.474200000000002</v>
      </c>
      <c r="Q863" s="43" t="s">
        <v>1668</v>
      </c>
      <c r="R863" s="4">
        <v>15.1961281768343</v>
      </c>
      <c r="S863" s="4">
        <v>15.162730407456801</v>
      </c>
      <c r="T863" s="4">
        <v>15.3891778009907</v>
      </c>
      <c r="U863" s="4">
        <f t="shared" si="54"/>
        <v>15.249345461760599</v>
      </c>
      <c r="X863" s="43" t="s">
        <v>3839</v>
      </c>
      <c r="Y863" s="4">
        <v>15.2280566664073</v>
      </c>
      <c r="Z863" s="4">
        <v>15.5165778949778</v>
      </c>
      <c r="AA863" s="4">
        <v>15.2001411528692</v>
      </c>
      <c r="AB863" s="4">
        <f t="shared" si="55"/>
        <v>15.314925238084767</v>
      </c>
    </row>
    <row r="864" spans="2:28" x14ac:dyDescent="0.2">
      <c r="B864" s="4" t="s">
        <v>180</v>
      </c>
      <c r="C864" s="4">
        <v>15.627599999999999</v>
      </c>
      <c r="D864" s="4">
        <v>15.561400000000001</v>
      </c>
      <c r="E864" s="4">
        <v>15.148099999999999</v>
      </c>
      <c r="F864" s="4">
        <f t="shared" si="52"/>
        <v>15.4457</v>
      </c>
      <c r="I864" s="4" t="s">
        <v>791</v>
      </c>
      <c r="J864" s="4">
        <v>14.9024</v>
      </c>
      <c r="K864" s="4">
        <v>16.873799999999999</v>
      </c>
      <c r="L864" s="4">
        <v>14.6435</v>
      </c>
      <c r="M864" s="4">
        <f t="shared" si="53"/>
        <v>15.473233333333333</v>
      </c>
      <c r="Q864" s="43" t="s">
        <v>2862</v>
      </c>
      <c r="R864" s="4">
        <v>15.4051027062165</v>
      </c>
      <c r="S864" s="4">
        <v>15.152968918968201</v>
      </c>
      <c r="T864" s="4">
        <v>15.1889655316216</v>
      </c>
      <c r="U864" s="4">
        <f t="shared" si="54"/>
        <v>15.2490123856021</v>
      </c>
      <c r="X864" s="43" t="s">
        <v>440</v>
      </c>
      <c r="Y864" s="4">
        <v>15.2910545700444</v>
      </c>
      <c r="Z864" s="4">
        <v>15.2148214588698</v>
      </c>
      <c r="AA864" s="4">
        <v>15.4373440394758</v>
      </c>
      <c r="AB864" s="4">
        <f t="shared" si="55"/>
        <v>15.314406689463334</v>
      </c>
    </row>
    <row r="865" spans="2:28" x14ac:dyDescent="0.2">
      <c r="B865" s="4" t="s">
        <v>1346</v>
      </c>
      <c r="C865" s="4">
        <v>15.4871</v>
      </c>
      <c r="D865" s="4">
        <v>15.341799999999999</v>
      </c>
      <c r="E865" s="4">
        <v>15.507400000000001</v>
      </c>
      <c r="F865" s="4">
        <f t="shared" si="52"/>
        <v>15.445433333333332</v>
      </c>
      <c r="I865" s="4" t="s">
        <v>3001</v>
      </c>
      <c r="J865" s="4">
        <v>15.5809</v>
      </c>
      <c r="K865" s="4">
        <v>15.118499999999999</v>
      </c>
      <c r="L865" s="4">
        <v>15.7149</v>
      </c>
      <c r="M865" s="4">
        <f t="shared" si="53"/>
        <v>15.471433333333332</v>
      </c>
      <c r="Q865" s="43" t="s">
        <v>295</v>
      </c>
      <c r="R865" s="4">
        <v>15.1944031496961</v>
      </c>
      <c r="S865" s="4">
        <v>15.1572452568657</v>
      </c>
      <c r="T865" s="4">
        <v>15.3731370752048</v>
      </c>
      <c r="U865" s="4">
        <f t="shared" si="54"/>
        <v>15.241595160588867</v>
      </c>
      <c r="X865" s="43" t="s">
        <v>1675</v>
      </c>
      <c r="Y865" s="4">
        <v>15.3375025822378</v>
      </c>
      <c r="Z865" s="4">
        <v>15.3350670414716</v>
      </c>
      <c r="AA865" s="4">
        <v>15.211413537269401</v>
      </c>
      <c r="AB865" s="4">
        <f t="shared" si="55"/>
        <v>15.294661053659601</v>
      </c>
    </row>
    <row r="866" spans="2:28" x14ac:dyDescent="0.2">
      <c r="B866" s="4" t="s">
        <v>2484</v>
      </c>
      <c r="C866" s="4">
        <v>15.4015</v>
      </c>
      <c r="D866" s="4">
        <v>15.6547</v>
      </c>
      <c r="E866" s="4">
        <v>15.2796</v>
      </c>
      <c r="F866" s="4">
        <f t="shared" si="52"/>
        <v>15.445266666666667</v>
      </c>
      <c r="I866" s="4" t="s">
        <v>2601</v>
      </c>
      <c r="J866" s="4">
        <v>15.7074</v>
      </c>
      <c r="K866" s="4">
        <v>14.6631</v>
      </c>
      <c r="L866" s="4">
        <v>16.033899999999999</v>
      </c>
      <c r="M866" s="4">
        <f t="shared" si="53"/>
        <v>15.468133333333332</v>
      </c>
      <c r="Q866" s="43" t="s">
        <v>876</v>
      </c>
      <c r="R866" s="4">
        <v>15.136762325545201</v>
      </c>
      <c r="S866" s="4">
        <v>15.355798437047</v>
      </c>
      <c r="T866" s="4">
        <v>15.2289138633887</v>
      </c>
      <c r="U866" s="4">
        <f t="shared" si="54"/>
        <v>15.240491541993633</v>
      </c>
      <c r="X866" s="43" t="s">
        <v>1290</v>
      </c>
      <c r="Y866" s="4">
        <v>15.2858369315147</v>
      </c>
      <c r="Z866" s="4">
        <v>15.264516864149799</v>
      </c>
      <c r="AA866" s="4">
        <v>15.332936113645101</v>
      </c>
      <c r="AB866" s="4">
        <f t="shared" si="55"/>
        <v>15.294429969769865</v>
      </c>
    </row>
    <row r="867" spans="2:28" x14ac:dyDescent="0.2">
      <c r="B867" s="4" t="s">
        <v>1677</v>
      </c>
      <c r="C867" s="4">
        <v>15.4175</v>
      </c>
      <c r="D867" s="4">
        <v>15.414999999999999</v>
      </c>
      <c r="E867" s="4">
        <v>15.4818</v>
      </c>
      <c r="F867" s="4">
        <f t="shared" si="52"/>
        <v>15.4381</v>
      </c>
      <c r="I867" s="4" t="s">
        <v>111</v>
      </c>
      <c r="J867" s="4">
        <v>15.4894</v>
      </c>
      <c r="K867" s="4">
        <v>15.519</v>
      </c>
      <c r="L867" s="4">
        <v>15.3935</v>
      </c>
      <c r="M867" s="4">
        <f t="shared" si="53"/>
        <v>15.4673</v>
      </c>
      <c r="Q867" s="43" t="s">
        <v>705</v>
      </c>
      <c r="R867" s="4">
        <v>15.211585610316799</v>
      </c>
      <c r="S867" s="4">
        <v>15.0366786455102</v>
      </c>
      <c r="T867" s="4">
        <v>15.4595389854156</v>
      </c>
      <c r="U867" s="4">
        <f t="shared" si="54"/>
        <v>15.235934413747534</v>
      </c>
      <c r="X867" s="43" t="s">
        <v>677</v>
      </c>
      <c r="Y867" s="4">
        <v>15.3441062633103</v>
      </c>
      <c r="Z867" s="4">
        <v>15.777895564540801</v>
      </c>
      <c r="AA867" s="4">
        <v>14.7609885767039</v>
      </c>
      <c r="AB867" s="4">
        <f t="shared" si="55"/>
        <v>15.294330134851668</v>
      </c>
    </row>
    <row r="868" spans="2:28" x14ac:dyDescent="0.2">
      <c r="B868" s="4" t="s">
        <v>1467</v>
      </c>
      <c r="C868" s="4">
        <v>15.5023</v>
      </c>
      <c r="D868" s="4">
        <v>15.035299999999999</v>
      </c>
      <c r="E868" s="4">
        <v>15.770899999999999</v>
      </c>
      <c r="F868" s="4">
        <f t="shared" si="52"/>
        <v>15.436166666666665</v>
      </c>
      <c r="I868" s="4" t="s">
        <v>2131</v>
      </c>
      <c r="J868" s="4">
        <v>15.618499999999999</v>
      </c>
      <c r="K868" s="4">
        <v>15.1724</v>
      </c>
      <c r="L868" s="4">
        <v>15.6045</v>
      </c>
      <c r="M868" s="4">
        <f t="shared" si="53"/>
        <v>15.465133333333334</v>
      </c>
      <c r="Q868" s="43" t="s">
        <v>3294</v>
      </c>
      <c r="R868" s="4">
        <v>15.578837443687</v>
      </c>
      <c r="S868" s="4">
        <v>15.2154995759266</v>
      </c>
      <c r="T868" s="4">
        <v>14.910265106135499</v>
      </c>
      <c r="U868" s="4">
        <f t="shared" si="54"/>
        <v>15.234867375249699</v>
      </c>
      <c r="X868" s="43" t="s">
        <v>2762</v>
      </c>
      <c r="Y868" s="4">
        <v>15.3087976793061</v>
      </c>
      <c r="Z868" s="4">
        <v>15.3175053334609</v>
      </c>
      <c r="AA868" s="4">
        <v>15.2562937070985</v>
      </c>
      <c r="AB868" s="4">
        <f t="shared" si="55"/>
        <v>15.294198906621835</v>
      </c>
    </row>
    <row r="869" spans="2:28" x14ac:dyDescent="0.2">
      <c r="B869" s="4" t="s">
        <v>1501</v>
      </c>
      <c r="C869" s="4">
        <v>15.3927</v>
      </c>
      <c r="D869" s="4">
        <v>14.8809</v>
      </c>
      <c r="E869" s="4">
        <v>16.033300000000001</v>
      </c>
      <c r="F869" s="4">
        <f t="shared" si="52"/>
        <v>15.435633333333334</v>
      </c>
      <c r="I869" s="4" t="s">
        <v>1966</v>
      </c>
      <c r="J869" s="4">
        <v>15.519</v>
      </c>
      <c r="K869" s="4">
        <v>15.3985</v>
      </c>
      <c r="L869" s="4">
        <v>15.475099999999999</v>
      </c>
      <c r="M869" s="4">
        <f t="shared" si="53"/>
        <v>15.4642</v>
      </c>
      <c r="Q869" s="43" t="s">
        <v>1433</v>
      </c>
      <c r="R869" s="4">
        <v>15.4207768746762</v>
      </c>
      <c r="S869" s="4">
        <v>14.981445323103699</v>
      </c>
      <c r="T869" s="4">
        <v>15.299043778948199</v>
      </c>
      <c r="U869" s="4">
        <f t="shared" si="54"/>
        <v>15.233755325576032</v>
      </c>
      <c r="X869" s="43" t="s">
        <v>602</v>
      </c>
      <c r="Y869" s="4">
        <v>15.167633820777001</v>
      </c>
      <c r="Z869" s="4">
        <v>15.2569716772188</v>
      </c>
      <c r="AA869" s="4">
        <v>15.4544628252546</v>
      </c>
      <c r="AB869" s="4">
        <f t="shared" si="55"/>
        <v>15.2930227744168</v>
      </c>
    </row>
    <row r="870" spans="2:28" x14ac:dyDescent="0.2">
      <c r="B870" s="4" t="s">
        <v>169</v>
      </c>
      <c r="C870" s="4">
        <v>15.446999999999999</v>
      </c>
      <c r="D870" s="4">
        <v>15.389699999999999</v>
      </c>
      <c r="E870" s="4">
        <v>15.4659</v>
      </c>
      <c r="F870" s="4">
        <f t="shared" si="52"/>
        <v>15.434199999999999</v>
      </c>
      <c r="I870" s="4" t="s">
        <v>3221</v>
      </c>
      <c r="J870" s="4">
        <v>15.6351</v>
      </c>
      <c r="K870" s="4">
        <v>14.9579</v>
      </c>
      <c r="L870" s="4">
        <v>15.794499999999999</v>
      </c>
      <c r="M870" s="4">
        <f t="shared" si="53"/>
        <v>15.4625</v>
      </c>
      <c r="Q870" s="43" t="s">
        <v>2590</v>
      </c>
      <c r="R870" s="4">
        <v>15.2557918113573</v>
      </c>
      <c r="S870" s="4">
        <v>15.266596740987</v>
      </c>
      <c r="T870" s="4">
        <v>15.1751865003473</v>
      </c>
      <c r="U870" s="4">
        <f t="shared" si="54"/>
        <v>15.232525017563866</v>
      </c>
      <c r="X870" s="43" t="s">
        <v>4062</v>
      </c>
      <c r="Y870" s="4">
        <v>15.1737710474626</v>
      </c>
      <c r="Z870" s="4">
        <v>15.3555778425201</v>
      </c>
      <c r="AA870" s="4">
        <v>15.348116284595299</v>
      </c>
      <c r="AB870" s="4">
        <f t="shared" si="55"/>
        <v>15.292488391526</v>
      </c>
    </row>
    <row r="871" spans="2:28" x14ac:dyDescent="0.2">
      <c r="B871" s="4" t="s">
        <v>1423</v>
      </c>
      <c r="C871" s="4">
        <v>15.3734</v>
      </c>
      <c r="D871" s="4">
        <v>15.6517</v>
      </c>
      <c r="E871" s="4">
        <v>15.271800000000001</v>
      </c>
      <c r="F871" s="4">
        <f t="shared" si="52"/>
        <v>15.4323</v>
      </c>
      <c r="I871" s="4" t="s">
        <v>3388</v>
      </c>
      <c r="J871" s="4">
        <v>15.400600000000001</v>
      </c>
      <c r="K871" s="4">
        <v>15.4117</v>
      </c>
      <c r="L871" s="4">
        <v>15.555899999999999</v>
      </c>
      <c r="M871" s="4">
        <f t="shared" si="53"/>
        <v>15.456066666666667</v>
      </c>
      <c r="Q871" s="43" t="s">
        <v>2678</v>
      </c>
      <c r="R871" s="4">
        <v>15.403999368212</v>
      </c>
      <c r="S871" s="4">
        <v>15.146076587849</v>
      </c>
      <c r="T871" s="4">
        <v>15.142646672247499</v>
      </c>
      <c r="U871" s="4">
        <f t="shared" si="54"/>
        <v>15.230907542769501</v>
      </c>
      <c r="X871" s="43" t="s">
        <v>1563</v>
      </c>
      <c r="Y871" s="4">
        <v>15.131825887738099</v>
      </c>
      <c r="Z871" s="4">
        <v>15.3098312935865</v>
      </c>
      <c r="AA871" s="4">
        <v>15.430481700879801</v>
      </c>
      <c r="AB871" s="4">
        <f t="shared" si="55"/>
        <v>15.290712960734801</v>
      </c>
    </row>
    <row r="872" spans="2:28" x14ac:dyDescent="0.2">
      <c r="B872" s="4" t="s">
        <v>3911</v>
      </c>
      <c r="C872" s="4">
        <v>15.430099999999999</v>
      </c>
      <c r="D872" s="4">
        <v>15.3187</v>
      </c>
      <c r="E872" s="4">
        <v>15.5448</v>
      </c>
      <c r="F872" s="4">
        <f t="shared" si="52"/>
        <v>15.431199999999999</v>
      </c>
      <c r="I872" s="4" t="s">
        <v>3973</v>
      </c>
      <c r="J872" s="4">
        <v>15.5244</v>
      </c>
      <c r="K872" s="4">
        <v>15.1586</v>
      </c>
      <c r="L872" s="4">
        <v>15.6774</v>
      </c>
      <c r="M872" s="4">
        <f t="shared" si="53"/>
        <v>15.453466666666666</v>
      </c>
      <c r="Q872" s="43" t="s">
        <v>4433</v>
      </c>
      <c r="R872" s="4">
        <v>14.8202015992343</v>
      </c>
      <c r="S872" s="4">
        <v>15.3616851511219</v>
      </c>
      <c r="T872" s="4">
        <v>15.4909358327973</v>
      </c>
      <c r="U872" s="4">
        <f t="shared" si="54"/>
        <v>15.224274194384499</v>
      </c>
      <c r="X872" s="43" t="s">
        <v>3278</v>
      </c>
      <c r="Y872" s="4">
        <v>15.375975789112401</v>
      </c>
      <c r="Z872" s="4">
        <v>15.304949961286001</v>
      </c>
      <c r="AA872" s="4">
        <v>15.176287740668901</v>
      </c>
      <c r="AB872" s="4">
        <f t="shared" si="55"/>
        <v>15.285737830355766</v>
      </c>
    </row>
    <row r="873" spans="2:28" x14ac:dyDescent="0.2">
      <c r="B873" s="4" t="s">
        <v>3028</v>
      </c>
      <c r="C873" s="4">
        <v>15.197900000000001</v>
      </c>
      <c r="D873" s="4">
        <v>15.429399999999999</v>
      </c>
      <c r="E873" s="4">
        <v>15.6631</v>
      </c>
      <c r="F873" s="4">
        <f t="shared" si="52"/>
        <v>15.430133333333332</v>
      </c>
      <c r="I873" s="4" t="s">
        <v>264</v>
      </c>
      <c r="J873" s="4">
        <v>15.496600000000001</v>
      </c>
      <c r="K873" s="4">
        <v>15.5283</v>
      </c>
      <c r="L873" s="4">
        <v>15.3355</v>
      </c>
      <c r="M873" s="4">
        <f t="shared" si="53"/>
        <v>15.453466666666666</v>
      </c>
      <c r="Q873" s="43" t="s">
        <v>3793</v>
      </c>
      <c r="R873" s="4">
        <v>15.0800805762699</v>
      </c>
      <c r="S873" s="4">
        <v>15.4287565191041</v>
      </c>
      <c r="T873" s="4">
        <v>15.161973360108499</v>
      </c>
      <c r="U873" s="4">
        <f t="shared" si="54"/>
        <v>15.223603485160831</v>
      </c>
      <c r="X873" s="43" t="s">
        <v>2582</v>
      </c>
      <c r="Y873" s="4">
        <v>15.385721930816199</v>
      </c>
      <c r="Z873" s="4">
        <v>15.368289464945301</v>
      </c>
      <c r="AA873" s="4">
        <v>15.1013550139416</v>
      </c>
      <c r="AB873" s="4">
        <f t="shared" si="55"/>
        <v>15.285122136567701</v>
      </c>
    </row>
    <row r="874" spans="2:28" x14ac:dyDescent="0.2">
      <c r="B874" s="4" t="s">
        <v>80</v>
      </c>
      <c r="C874" s="4">
        <v>15.430099999999999</v>
      </c>
      <c r="D874" s="4">
        <v>15.125500000000001</v>
      </c>
      <c r="E874" s="4">
        <v>15.7279</v>
      </c>
      <c r="F874" s="4">
        <f t="shared" si="52"/>
        <v>15.427833333333332</v>
      </c>
      <c r="I874" s="4" t="s">
        <v>3635</v>
      </c>
      <c r="J874" s="4">
        <v>15.4724</v>
      </c>
      <c r="K874" s="4">
        <v>15.2959</v>
      </c>
      <c r="L874" s="4">
        <v>15.5876</v>
      </c>
      <c r="M874" s="4">
        <f t="shared" si="53"/>
        <v>15.451966666666666</v>
      </c>
      <c r="Q874" s="43" t="s">
        <v>3078</v>
      </c>
      <c r="R874" s="4">
        <v>15.121514948484799</v>
      </c>
      <c r="S874" s="4">
        <v>15.178541752822699</v>
      </c>
      <c r="T874" s="4">
        <v>15.3639342558042</v>
      </c>
      <c r="U874" s="4">
        <f t="shared" si="54"/>
        <v>15.22133031903723</v>
      </c>
      <c r="X874" s="43" t="s">
        <v>2694</v>
      </c>
      <c r="Y874" s="4">
        <v>15.3484821687455</v>
      </c>
      <c r="Z874" s="4">
        <v>15.1781638256167</v>
      </c>
      <c r="AA874" s="4">
        <v>15.328519938333899</v>
      </c>
      <c r="AB874" s="4">
        <f t="shared" si="55"/>
        <v>15.285055310898699</v>
      </c>
    </row>
    <row r="875" spans="2:28" x14ac:dyDescent="0.2">
      <c r="B875" s="4" t="s">
        <v>2198</v>
      </c>
      <c r="C875" s="4">
        <v>15.5999</v>
      </c>
      <c r="D875" s="4">
        <v>15.361000000000001</v>
      </c>
      <c r="E875" s="4">
        <v>15.3177</v>
      </c>
      <c r="F875" s="4">
        <f t="shared" si="52"/>
        <v>15.426200000000001</v>
      </c>
      <c r="I875" s="4" t="s">
        <v>1380</v>
      </c>
      <c r="J875" s="4">
        <v>15.5632</v>
      </c>
      <c r="K875" s="4">
        <v>15.3521</v>
      </c>
      <c r="L875" s="4">
        <v>15.439</v>
      </c>
      <c r="M875" s="4">
        <f t="shared" si="53"/>
        <v>15.451433333333334</v>
      </c>
      <c r="Q875" s="43" t="s">
        <v>3153</v>
      </c>
      <c r="R875" s="4">
        <v>15.1641313620294</v>
      </c>
      <c r="S875" s="4">
        <v>15.2589332555523</v>
      </c>
      <c r="T875" s="4">
        <v>15.240651715146701</v>
      </c>
      <c r="U875" s="4">
        <f t="shared" si="54"/>
        <v>15.221238777576133</v>
      </c>
      <c r="X875" s="43" t="s">
        <v>390</v>
      </c>
      <c r="Y875" s="4">
        <v>15.3115764706773</v>
      </c>
      <c r="Z875" s="4">
        <v>15.392872812135099</v>
      </c>
      <c r="AA875" s="4">
        <v>15.143421632227399</v>
      </c>
      <c r="AB875" s="4">
        <f t="shared" si="55"/>
        <v>15.2826236383466</v>
      </c>
    </row>
    <row r="876" spans="2:28" x14ac:dyDescent="0.2">
      <c r="B876" s="4" t="s">
        <v>2326</v>
      </c>
      <c r="C876" s="4">
        <v>15.7591</v>
      </c>
      <c r="D876" s="4">
        <v>15.355</v>
      </c>
      <c r="E876" s="4">
        <v>15.163500000000001</v>
      </c>
      <c r="F876" s="4">
        <f t="shared" si="52"/>
        <v>15.425866666666666</v>
      </c>
      <c r="I876" s="4" t="s">
        <v>438</v>
      </c>
      <c r="J876" s="4">
        <v>15.5405</v>
      </c>
      <c r="K876" s="4">
        <v>15.279400000000001</v>
      </c>
      <c r="L876" s="4">
        <v>15.5191</v>
      </c>
      <c r="M876" s="4">
        <f t="shared" si="53"/>
        <v>15.446333333333333</v>
      </c>
      <c r="Q876" s="43" t="s">
        <v>1020</v>
      </c>
      <c r="R876" s="4">
        <v>15.228110615372801</v>
      </c>
      <c r="S876" s="4">
        <v>15.413459222392</v>
      </c>
      <c r="T876" s="4">
        <v>15.021747894977199</v>
      </c>
      <c r="U876" s="4">
        <f t="shared" si="54"/>
        <v>15.221105910914</v>
      </c>
      <c r="X876" s="43" t="s">
        <v>2539</v>
      </c>
      <c r="Y876" s="4">
        <v>15.2339244398233</v>
      </c>
      <c r="Z876" s="4">
        <v>15.400386135287</v>
      </c>
      <c r="AA876" s="4">
        <v>15.2123014532766</v>
      </c>
      <c r="AB876" s="4">
        <f t="shared" si="55"/>
        <v>15.2822040094623</v>
      </c>
    </row>
    <row r="877" spans="2:28" x14ac:dyDescent="0.2">
      <c r="B877" s="4" t="s">
        <v>2870</v>
      </c>
      <c r="C877" s="4">
        <v>15.149100000000001</v>
      </c>
      <c r="D877" s="4">
        <v>15.5367</v>
      </c>
      <c r="E877" s="4">
        <v>15.5907</v>
      </c>
      <c r="F877" s="4">
        <f t="shared" si="52"/>
        <v>15.4255</v>
      </c>
      <c r="I877" s="4" t="s">
        <v>3124</v>
      </c>
      <c r="J877" s="4">
        <v>15.4261</v>
      </c>
      <c r="K877" s="4">
        <v>15.3794</v>
      </c>
      <c r="L877" s="4">
        <v>15.533099999999999</v>
      </c>
      <c r="M877" s="4">
        <f t="shared" si="53"/>
        <v>15.446199999999999</v>
      </c>
      <c r="Q877" s="43" t="s">
        <v>3738</v>
      </c>
      <c r="R877" s="4">
        <v>15.1738519727803</v>
      </c>
      <c r="S877" s="4">
        <v>15.238998149430699</v>
      </c>
      <c r="T877" s="4">
        <v>15.2419029302886</v>
      </c>
      <c r="U877" s="4">
        <f t="shared" si="54"/>
        <v>15.218251017499867</v>
      </c>
      <c r="X877" s="43" t="s">
        <v>2810</v>
      </c>
      <c r="Y877" s="4">
        <v>15.2817219670369</v>
      </c>
      <c r="Z877" s="4">
        <v>15.315094779931</v>
      </c>
      <c r="AA877" s="4">
        <v>15.248903548891301</v>
      </c>
      <c r="AB877" s="4">
        <f t="shared" si="55"/>
        <v>15.281906765286401</v>
      </c>
    </row>
    <row r="878" spans="2:28" x14ac:dyDescent="0.2">
      <c r="B878" s="4" t="s">
        <v>1638</v>
      </c>
      <c r="C878" s="4">
        <v>15.6083</v>
      </c>
      <c r="D878" s="4">
        <v>15.4604</v>
      </c>
      <c r="E878" s="4">
        <v>15.1989</v>
      </c>
      <c r="F878" s="4">
        <f t="shared" si="52"/>
        <v>15.422533333333334</v>
      </c>
      <c r="I878" s="4" t="s">
        <v>3702</v>
      </c>
      <c r="J878" s="4">
        <v>15.2117</v>
      </c>
      <c r="K878" s="4">
        <v>16.018999999999998</v>
      </c>
      <c r="L878" s="4">
        <v>15.106400000000001</v>
      </c>
      <c r="M878" s="4">
        <f t="shared" si="53"/>
        <v>15.4457</v>
      </c>
      <c r="Q878" s="43" t="s">
        <v>1300</v>
      </c>
      <c r="R878" s="4">
        <v>15.2048465743599</v>
      </c>
      <c r="S878" s="4">
        <v>15.321198901582401</v>
      </c>
      <c r="T878" s="4">
        <v>15.107328234471099</v>
      </c>
      <c r="U878" s="4">
        <f t="shared" si="54"/>
        <v>15.2111245701378</v>
      </c>
      <c r="X878" s="43" t="s">
        <v>2119</v>
      </c>
      <c r="Y878" s="4">
        <v>15.3401709861045</v>
      </c>
      <c r="Z878" s="4">
        <v>15.347916452517699</v>
      </c>
      <c r="AA878" s="4">
        <v>15.1526160750779</v>
      </c>
      <c r="AB878" s="4">
        <f t="shared" si="55"/>
        <v>15.2802345045667</v>
      </c>
    </row>
    <row r="879" spans="2:28" x14ac:dyDescent="0.2">
      <c r="B879" s="4" t="s">
        <v>3926</v>
      </c>
      <c r="C879" s="4">
        <v>15.507999999999999</v>
      </c>
      <c r="D879" s="4">
        <v>15.6783</v>
      </c>
      <c r="E879" s="4">
        <v>15.0633</v>
      </c>
      <c r="F879" s="4">
        <f t="shared" si="52"/>
        <v>15.416533333333334</v>
      </c>
      <c r="I879" s="4" t="s">
        <v>335</v>
      </c>
      <c r="J879" s="4">
        <v>15.8619</v>
      </c>
      <c r="K879" s="4">
        <v>14.805099999999999</v>
      </c>
      <c r="L879" s="4">
        <v>15.6694</v>
      </c>
      <c r="M879" s="4">
        <f t="shared" si="53"/>
        <v>15.445466666666666</v>
      </c>
      <c r="Q879" s="43" t="s">
        <v>606</v>
      </c>
      <c r="R879" s="4">
        <v>14.7276952659836</v>
      </c>
      <c r="S879" s="4">
        <v>15.150132048786</v>
      </c>
      <c r="T879" s="4">
        <v>15.7470203548221</v>
      </c>
      <c r="U879" s="4">
        <f t="shared" si="54"/>
        <v>15.208282556530568</v>
      </c>
      <c r="X879" s="43" t="s">
        <v>527</v>
      </c>
      <c r="Y879" s="4">
        <v>15.167134155525201</v>
      </c>
      <c r="Z879" s="4">
        <v>15.3564900905165</v>
      </c>
      <c r="AA879" s="4">
        <v>15.315420367022799</v>
      </c>
      <c r="AB879" s="4">
        <f t="shared" si="55"/>
        <v>15.279681537688168</v>
      </c>
    </row>
    <row r="880" spans="2:28" x14ac:dyDescent="0.2">
      <c r="B880" s="4" t="s">
        <v>3322</v>
      </c>
      <c r="C880" s="4">
        <v>15.272500000000001</v>
      </c>
      <c r="D880" s="4">
        <v>15.434699999999999</v>
      </c>
      <c r="E880" s="4">
        <v>15.535399999999999</v>
      </c>
      <c r="F880" s="4">
        <f t="shared" si="52"/>
        <v>15.414199999999999</v>
      </c>
      <c r="I880" s="4" t="s">
        <v>2503</v>
      </c>
      <c r="J880" s="4">
        <v>15.643700000000001</v>
      </c>
      <c r="K880" s="4">
        <v>15.1175</v>
      </c>
      <c r="L880" s="4">
        <v>15.5716</v>
      </c>
      <c r="M880" s="4">
        <f t="shared" si="53"/>
        <v>15.444266666666669</v>
      </c>
      <c r="Q880" s="43" t="s">
        <v>3383</v>
      </c>
      <c r="R880" s="4">
        <v>15.102084496612999</v>
      </c>
      <c r="S880" s="4">
        <v>15.2079636897602</v>
      </c>
      <c r="T880" s="4">
        <v>15.3124771214107</v>
      </c>
      <c r="U880" s="4">
        <f t="shared" si="54"/>
        <v>15.207508435927968</v>
      </c>
      <c r="X880" s="43" t="s">
        <v>2162</v>
      </c>
      <c r="Y880" s="4">
        <v>15.283544979737799</v>
      </c>
      <c r="Z880" s="4">
        <v>15.385330109261</v>
      </c>
      <c r="AA880" s="4">
        <v>15.170119983614599</v>
      </c>
      <c r="AB880" s="4">
        <f t="shared" si="55"/>
        <v>15.279665024204467</v>
      </c>
    </row>
    <row r="881" spans="2:28" x14ac:dyDescent="0.2">
      <c r="B881" s="4" t="s">
        <v>1472</v>
      </c>
      <c r="C881" s="4">
        <v>15.2532</v>
      </c>
      <c r="D881" s="4">
        <v>15.442399999999999</v>
      </c>
      <c r="E881" s="4">
        <v>15.543100000000001</v>
      </c>
      <c r="F881" s="4">
        <f t="shared" si="52"/>
        <v>15.4129</v>
      </c>
      <c r="I881" s="4" t="s">
        <v>2795</v>
      </c>
      <c r="J881" s="4">
        <v>15.7508</v>
      </c>
      <c r="K881" s="4">
        <v>14.994300000000001</v>
      </c>
      <c r="L881" s="4">
        <v>15.570399999999999</v>
      </c>
      <c r="M881" s="4">
        <f t="shared" si="53"/>
        <v>15.438499999999999</v>
      </c>
      <c r="Q881" s="43" t="s">
        <v>3703</v>
      </c>
      <c r="R881" s="4">
        <v>15.535426142287699</v>
      </c>
      <c r="S881" s="4">
        <v>15.0340255520863</v>
      </c>
      <c r="T881" s="4">
        <v>15.0493823690048</v>
      </c>
      <c r="U881" s="4">
        <f t="shared" si="54"/>
        <v>15.206278021126266</v>
      </c>
      <c r="X881" s="43" t="s">
        <v>1245</v>
      </c>
      <c r="Y881" s="4">
        <v>15.22428186552</v>
      </c>
      <c r="Z881" s="4">
        <v>15.4424371664009</v>
      </c>
      <c r="AA881" s="4">
        <v>15.1677054837659</v>
      </c>
      <c r="AB881" s="4">
        <f t="shared" si="55"/>
        <v>15.278141505228932</v>
      </c>
    </row>
    <row r="882" spans="2:28" x14ac:dyDescent="0.2">
      <c r="B882" s="4" t="s">
        <v>3129</v>
      </c>
      <c r="C882" s="4">
        <v>15.241</v>
      </c>
      <c r="D882" s="4">
        <v>15.3012</v>
      </c>
      <c r="E882" s="4">
        <v>15.6807</v>
      </c>
      <c r="F882" s="4">
        <f t="shared" si="52"/>
        <v>15.407633333333335</v>
      </c>
      <c r="I882" s="4" t="s">
        <v>2449</v>
      </c>
      <c r="J882" s="4">
        <v>15.2118</v>
      </c>
      <c r="K882" s="4">
        <v>15.504300000000001</v>
      </c>
      <c r="L882" s="4">
        <v>15.591100000000001</v>
      </c>
      <c r="M882" s="4">
        <f t="shared" si="53"/>
        <v>15.435733333333333</v>
      </c>
      <c r="Q882" s="43" t="s">
        <v>53</v>
      </c>
      <c r="R882" s="4">
        <v>15.0332882673619</v>
      </c>
      <c r="S882" s="4">
        <v>15.3204309978229</v>
      </c>
      <c r="T882" s="4">
        <v>15.260384776754901</v>
      </c>
      <c r="U882" s="4">
        <f t="shared" si="54"/>
        <v>15.204701347313232</v>
      </c>
      <c r="X882" s="43" t="s">
        <v>1462</v>
      </c>
      <c r="Y882" s="4">
        <v>15.454520617885899</v>
      </c>
      <c r="Z882" s="4">
        <v>15.0606839265215</v>
      </c>
      <c r="AA882" s="4">
        <v>15.301801174320801</v>
      </c>
      <c r="AB882" s="4">
        <f t="shared" si="55"/>
        <v>15.272335239576066</v>
      </c>
    </row>
    <row r="883" spans="2:28" x14ac:dyDescent="0.2">
      <c r="B883" s="4" t="s">
        <v>2341</v>
      </c>
      <c r="C883" s="4">
        <v>15.8978</v>
      </c>
      <c r="D883" s="4">
        <v>15.1835</v>
      </c>
      <c r="E883" s="4">
        <v>15.141500000000001</v>
      </c>
      <c r="F883" s="4">
        <f t="shared" si="52"/>
        <v>15.4076</v>
      </c>
      <c r="I883" s="4" t="s">
        <v>3213</v>
      </c>
      <c r="J883" s="4">
        <v>15.443300000000001</v>
      </c>
      <c r="K883" s="4">
        <v>15.432700000000001</v>
      </c>
      <c r="L883" s="4">
        <v>15.419</v>
      </c>
      <c r="M883" s="4">
        <f t="shared" si="53"/>
        <v>15.431666666666667</v>
      </c>
      <c r="Q883" s="43" t="s">
        <v>4553</v>
      </c>
      <c r="R883" s="4">
        <v>15.2890866572432</v>
      </c>
      <c r="S883" s="4">
        <v>15.2301044305625</v>
      </c>
      <c r="T883" s="4">
        <v>15.094753600250501</v>
      </c>
      <c r="U883" s="4">
        <f t="shared" si="54"/>
        <v>15.204648229352067</v>
      </c>
      <c r="X883" s="43" t="s">
        <v>1461</v>
      </c>
      <c r="Y883" s="4">
        <v>15.263979464146299</v>
      </c>
      <c r="Z883" s="4">
        <v>15.2665227644375</v>
      </c>
      <c r="AA883" s="4">
        <v>15.285381807607999</v>
      </c>
      <c r="AB883" s="4">
        <f t="shared" si="55"/>
        <v>15.271961345397266</v>
      </c>
    </row>
    <row r="884" spans="2:28" x14ac:dyDescent="0.2">
      <c r="B884" s="4" t="s">
        <v>1966</v>
      </c>
      <c r="C884" s="4">
        <v>15.6976</v>
      </c>
      <c r="D884" s="4">
        <v>15.4</v>
      </c>
      <c r="E884" s="4">
        <v>15.123200000000001</v>
      </c>
      <c r="F884" s="4">
        <f t="shared" si="52"/>
        <v>15.406933333333333</v>
      </c>
      <c r="I884" s="4" t="s">
        <v>3</v>
      </c>
      <c r="J884" s="4">
        <v>15.4779</v>
      </c>
      <c r="K884" s="4">
        <v>15.426600000000001</v>
      </c>
      <c r="L884" s="4">
        <v>15.388400000000001</v>
      </c>
      <c r="M884" s="4">
        <f t="shared" si="53"/>
        <v>15.430966666666668</v>
      </c>
      <c r="Q884" s="43" t="s">
        <v>748</v>
      </c>
      <c r="R884" s="4">
        <v>15.2012536403635</v>
      </c>
      <c r="S884" s="4">
        <v>15.276599231048699</v>
      </c>
      <c r="T884" s="4">
        <v>15.133536290962001</v>
      </c>
      <c r="U884" s="4">
        <f t="shared" si="54"/>
        <v>15.203796387458068</v>
      </c>
      <c r="X884" s="43" t="s">
        <v>1718</v>
      </c>
      <c r="Y884" s="4">
        <v>15.265910480687401</v>
      </c>
      <c r="Z884" s="4">
        <v>15.449987403093299</v>
      </c>
      <c r="AA884" s="4">
        <v>15.0929384259379</v>
      </c>
      <c r="AB884" s="4">
        <f t="shared" si="55"/>
        <v>15.269612103239533</v>
      </c>
    </row>
    <row r="885" spans="2:28" x14ac:dyDescent="0.2">
      <c r="B885" s="4" t="s">
        <v>1443</v>
      </c>
      <c r="C885" s="4">
        <v>15.2181</v>
      </c>
      <c r="D885" s="4">
        <v>15.1846</v>
      </c>
      <c r="E885" s="4">
        <v>15.8085</v>
      </c>
      <c r="F885" s="4">
        <f t="shared" si="52"/>
        <v>15.403733333333333</v>
      </c>
      <c r="I885" s="4" t="s">
        <v>2780</v>
      </c>
      <c r="J885" s="4">
        <v>15.3119</v>
      </c>
      <c r="K885" s="4">
        <v>15.811299999999999</v>
      </c>
      <c r="L885" s="4">
        <v>15.167999999999999</v>
      </c>
      <c r="M885" s="4">
        <f t="shared" si="53"/>
        <v>15.430399999999999</v>
      </c>
      <c r="Q885" s="43" t="s">
        <v>3419</v>
      </c>
      <c r="R885" s="4">
        <v>15.291463603892799</v>
      </c>
      <c r="S885" s="4">
        <v>14.931779262073199</v>
      </c>
      <c r="T885" s="4">
        <v>15.384357773279699</v>
      </c>
      <c r="U885" s="4">
        <f t="shared" si="54"/>
        <v>15.202533546415234</v>
      </c>
      <c r="X885" s="43" t="s">
        <v>1966</v>
      </c>
      <c r="Y885" s="4">
        <v>15.376095743620001</v>
      </c>
      <c r="Z885" s="4">
        <v>15.2881585488089</v>
      </c>
      <c r="AA885" s="4">
        <v>15.143215590509</v>
      </c>
      <c r="AB885" s="4">
        <f t="shared" si="55"/>
        <v>15.269156627645968</v>
      </c>
    </row>
    <row r="886" spans="2:28" x14ac:dyDescent="0.2">
      <c r="B886" s="4" t="s">
        <v>2227</v>
      </c>
      <c r="C886" s="4">
        <v>15.5177</v>
      </c>
      <c r="D886" s="4">
        <v>15.3896</v>
      </c>
      <c r="E886" s="4">
        <v>15.303599999999999</v>
      </c>
      <c r="F886" s="4">
        <f t="shared" si="52"/>
        <v>15.403633333333332</v>
      </c>
      <c r="I886" s="4" t="s">
        <v>245</v>
      </c>
      <c r="J886" s="4">
        <v>15.4015</v>
      </c>
      <c r="K886" s="4">
        <v>15.393599999999999</v>
      </c>
      <c r="L886" s="4">
        <v>15.487299999999999</v>
      </c>
      <c r="M886" s="4">
        <f t="shared" si="53"/>
        <v>15.427466666666666</v>
      </c>
      <c r="Q886" s="43" t="s">
        <v>3889</v>
      </c>
      <c r="R886" s="4">
        <v>15.3464244570351</v>
      </c>
      <c r="S886" s="4">
        <v>15.0497277933357</v>
      </c>
      <c r="T886" s="4">
        <v>15.211011980399499</v>
      </c>
      <c r="U886" s="4">
        <f t="shared" si="54"/>
        <v>15.202388076923434</v>
      </c>
      <c r="X886" s="43" t="s">
        <v>3589</v>
      </c>
      <c r="Y886" s="4">
        <v>15.303381402997401</v>
      </c>
      <c r="Z886" s="4">
        <v>15.315000832267399</v>
      </c>
      <c r="AA886" s="4">
        <v>15.185012961070401</v>
      </c>
      <c r="AB886" s="4">
        <f t="shared" si="55"/>
        <v>15.267798398778401</v>
      </c>
    </row>
    <row r="887" spans="2:28" x14ac:dyDescent="0.2">
      <c r="B887" s="4" t="s">
        <v>3042</v>
      </c>
      <c r="C887" s="4">
        <v>15.4498</v>
      </c>
      <c r="D887" s="4">
        <v>15.3703</v>
      </c>
      <c r="E887" s="4">
        <v>15.3794</v>
      </c>
      <c r="F887" s="4">
        <f t="shared" si="52"/>
        <v>15.399833333333333</v>
      </c>
      <c r="I887" s="4" t="s">
        <v>1334</v>
      </c>
      <c r="J887" s="4">
        <v>14.8164</v>
      </c>
      <c r="K887" s="4">
        <v>16.857099999999999</v>
      </c>
      <c r="L887" s="4">
        <v>14.6061</v>
      </c>
      <c r="M887" s="4">
        <f t="shared" si="53"/>
        <v>15.426533333333332</v>
      </c>
      <c r="Q887" s="43" t="s">
        <v>3873</v>
      </c>
      <c r="R887" s="4">
        <v>15.2672038342038</v>
      </c>
      <c r="S887" s="4">
        <v>14.941458640099601</v>
      </c>
      <c r="T887" s="4">
        <v>15.3598383747442</v>
      </c>
      <c r="U887" s="4">
        <f t="shared" si="54"/>
        <v>15.189500283015867</v>
      </c>
      <c r="X887" s="43" t="s">
        <v>2462</v>
      </c>
      <c r="Y887" s="4">
        <v>15.460478262252201</v>
      </c>
      <c r="Z887" s="4">
        <v>15.2686819338721</v>
      </c>
      <c r="AA887" s="4">
        <v>15.073160612114499</v>
      </c>
      <c r="AB887" s="4">
        <f t="shared" si="55"/>
        <v>15.267440269412935</v>
      </c>
    </row>
    <row r="888" spans="2:28" x14ac:dyDescent="0.2">
      <c r="B888" s="4" t="s">
        <v>3556</v>
      </c>
      <c r="C888" s="4">
        <v>15.5151</v>
      </c>
      <c r="D888" s="4">
        <v>15.338200000000001</v>
      </c>
      <c r="E888" s="4">
        <v>15.327199999999999</v>
      </c>
      <c r="F888" s="4">
        <f t="shared" si="52"/>
        <v>15.393500000000001</v>
      </c>
      <c r="I888" s="4" t="s">
        <v>497</v>
      </c>
      <c r="J888" s="4">
        <v>15.2668</v>
      </c>
      <c r="K888" s="4">
        <v>15.698499999999999</v>
      </c>
      <c r="L888" s="4">
        <v>15.313700000000001</v>
      </c>
      <c r="M888" s="4">
        <f t="shared" si="53"/>
        <v>15.426333333333332</v>
      </c>
      <c r="Q888" s="43" t="s">
        <v>2604</v>
      </c>
      <c r="R888" s="4">
        <v>15.7992378163685</v>
      </c>
      <c r="S888" s="4">
        <v>14.898483829609701</v>
      </c>
      <c r="T888" s="4">
        <v>14.864490814698</v>
      </c>
      <c r="U888" s="4">
        <f t="shared" si="54"/>
        <v>15.187404153558733</v>
      </c>
      <c r="X888" s="43" t="s">
        <v>257</v>
      </c>
      <c r="Y888" s="4">
        <v>15.329061400831501</v>
      </c>
      <c r="Z888" s="4">
        <v>15.2831997878677</v>
      </c>
      <c r="AA888" s="4">
        <v>15.188838847054001</v>
      </c>
      <c r="AB888" s="4">
        <f t="shared" si="55"/>
        <v>15.267033345251066</v>
      </c>
    </row>
    <row r="889" spans="2:28" x14ac:dyDescent="0.2">
      <c r="B889" s="4" t="s">
        <v>2711</v>
      </c>
      <c r="C889" s="4">
        <v>15.3355</v>
      </c>
      <c r="D889" s="4">
        <v>15.3424</v>
      </c>
      <c r="E889" s="4">
        <v>15.498699999999999</v>
      </c>
      <c r="F889" s="4">
        <f t="shared" si="52"/>
        <v>15.392200000000001</v>
      </c>
      <c r="I889" s="4" t="s">
        <v>1195</v>
      </c>
      <c r="J889" s="4">
        <v>15.512499999999999</v>
      </c>
      <c r="K889" s="4">
        <v>15.1419</v>
      </c>
      <c r="L889" s="4">
        <v>15.6182</v>
      </c>
      <c r="M889" s="4">
        <f t="shared" si="53"/>
        <v>15.424199999999999</v>
      </c>
      <c r="Q889" s="43" t="s">
        <v>2429</v>
      </c>
      <c r="R889" s="4">
        <v>15.115061618404299</v>
      </c>
      <c r="S889" s="4">
        <v>15.3255386325547</v>
      </c>
      <c r="T889" s="4">
        <v>15.119433101948999</v>
      </c>
      <c r="U889" s="4">
        <f t="shared" si="54"/>
        <v>15.186677784302667</v>
      </c>
      <c r="X889" s="43" t="s">
        <v>1855</v>
      </c>
      <c r="Y889" s="4">
        <v>15.3453154939091</v>
      </c>
      <c r="Z889" s="4">
        <v>15.1846472466777</v>
      </c>
      <c r="AA889" s="4">
        <v>15.2653084673093</v>
      </c>
      <c r="AB889" s="4">
        <f t="shared" si="55"/>
        <v>15.265090402632033</v>
      </c>
    </row>
    <row r="890" spans="2:28" x14ac:dyDescent="0.2">
      <c r="B890" s="4" t="s">
        <v>1948</v>
      </c>
      <c r="C890" s="4">
        <v>15.6416</v>
      </c>
      <c r="D890" s="4">
        <v>15.3658</v>
      </c>
      <c r="E890" s="4">
        <v>15.1683</v>
      </c>
      <c r="F890" s="4">
        <f t="shared" si="52"/>
        <v>15.3919</v>
      </c>
      <c r="I890" s="4" t="s">
        <v>3488</v>
      </c>
      <c r="J890" s="4">
        <v>15.131500000000001</v>
      </c>
      <c r="K890" s="4">
        <v>15.510300000000001</v>
      </c>
      <c r="L890" s="4">
        <v>15.6287</v>
      </c>
      <c r="M890" s="4">
        <f t="shared" si="53"/>
        <v>15.423500000000002</v>
      </c>
      <c r="Q890" s="43" t="s">
        <v>1428</v>
      </c>
      <c r="R890" s="4">
        <v>15.239275361377199</v>
      </c>
      <c r="S890" s="4">
        <v>15.177853098775</v>
      </c>
      <c r="T890" s="4">
        <v>15.137991103512499</v>
      </c>
      <c r="U890" s="4">
        <f t="shared" si="54"/>
        <v>15.185039854554899</v>
      </c>
      <c r="X890" s="43" t="s">
        <v>564</v>
      </c>
      <c r="Y890" s="4">
        <v>15.2562663921022</v>
      </c>
      <c r="Z890" s="4">
        <v>15.2695612850339</v>
      </c>
      <c r="AA890" s="4">
        <v>15.261985822655101</v>
      </c>
      <c r="AB890" s="4">
        <f t="shared" si="55"/>
        <v>15.262604499930399</v>
      </c>
    </row>
    <row r="891" spans="2:28" x14ac:dyDescent="0.2">
      <c r="B891" s="4" t="s">
        <v>316</v>
      </c>
      <c r="C891" s="4">
        <v>15.486800000000001</v>
      </c>
      <c r="D891" s="4">
        <v>15.3459</v>
      </c>
      <c r="E891" s="4">
        <v>15.3362</v>
      </c>
      <c r="F891" s="4">
        <f t="shared" si="52"/>
        <v>15.389633333333334</v>
      </c>
      <c r="I891" s="4" t="s">
        <v>3889</v>
      </c>
      <c r="J891" s="4">
        <v>15.2081</v>
      </c>
      <c r="K891" s="4">
        <v>15.928599999999999</v>
      </c>
      <c r="L891" s="4">
        <v>15.1327</v>
      </c>
      <c r="M891" s="4">
        <f t="shared" si="53"/>
        <v>15.423133333333332</v>
      </c>
      <c r="Q891" s="43" t="s">
        <v>3744</v>
      </c>
      <c r="R891" s="4">
        <v>15.0729238242108</v>
      </c>
      <c r="S891" s="4">
        <v>15.2247791772906</v>
      </c>
      <c r="T891" s="4">
        <v>15.2484419396213</v>
      </c>
      <c r="U891" s="4">
        <f t="shared" si="54"/>
        <v>15.182048313707567</v>
      </c>
      <c r="X891" s="43" t="s">
        <v>534</v>
      </c>
      <c r="Y891" s="4">
        <v>15.332512786009699</v>
      </c>
      <c r="Z891" s="4">
        <v>15.056248497464599</v>
      </c>
      <c r="AA891" s="4">
        <v>15.391936593764999</v>
      </c>
      <c r="AB891" s="4">
        <f t="shared" si="55"/>
        <v>15.260232625746433</v>
      </c>
    </row>
    <row r="892" spans="2:28" x14ac:dyDescent="0.2">
      <c r="B892" s="4" t="s">
        <v>3128</v>
      </c>
      <c r="C892" s="4">
        <v>15.5572</v>
      </c>
      <c r="D892" s="4">
        <v>15.2956</v>
      </c>
      <c r="E892" s="4">
        <v>15.3156</v>
      </c>
      <c r="F892" s="4">
        <f t="shared" si="52"/>
        <v>15.389466666666669</v>
      </c>
      <c r="I892" s="4" t="s">
        <v>3659</v>
      </c>
      <c r="J892" s="4">
        <v>15.5319</v>
      </c>
      <c r="K892" s="4">
        <v>15.3248</v>
      </c>
      <c r="L892" s="4">
        <v>15.410299999999999</v>
      </c>
      <c r="M892" s="4">
        <f t="shared" si="53"/>
        <v>15.422333333333333</v>
      </c>
      <c r="Q892" s="43" t="s">
        <v>3781</v>
      </c>
      <c r="R892" s="4">
        <v>15.1884148655608</v>
      </c>
      <c r="S892" s="4">
        <v>15.146446247535501</v>
      </c>
      <c r="T892" s="4">
        <v>15.199906862394</v>
      </c>
      <c r="U892" s="4">
        <f t="shared" si="54"/>
        <v>15.178255991830101</v>
      </c>
      <c r="X892" s="43" t="s">
        <v>4218</v>
      </c>
      <c r="Y892" s="4">
        <v>15.3280608147475</v>
      </c>
      <c r="Z892" s="4">
        <v>14.663884254577701</v>
      </c>
      <c r="AA892" s="4">
        <v>15.7659552755894</v>
      </c>
      <c r="AB892" s="4">
        <f t="shared" si="55"/>
        <v>15.252633448304868</v>
      </c>
    </row>
    <row r="893" spans="2:28" x14ac:dyDescent="0.2">
      <c r="B893" s="4" t="s">
        <v>1436</v>
      </c>
      <c r="C893" s="4">
        <v>15.4565</v>
      </c>
      <c r="D893" s="4">
        <v>15.5221</v>
      </c>
      <c r="E893" s="4">
        <v>15.1675</v>
      </c>
      <c r="F893" s="4">
        <f t="shared" si="52"/>
        <v>15.382033333333334</v>
      </c>
      <c r="I893" s="4" t="s">
        <v>175</v>
      </c>
      <c r="J893" s="4">
        <v>15.658300000000001</v>
      </c>
      <c r="K893" s="4">
        <v>15.093999999999999</v>
      </c>
      <c r="L893" s="4">
        <v>15.503399999999999</v>
      </c>
      <c r="M893" s="4">
        <f t="shared" si="53"/>
        <v>15.418566666666665</v>
      </c>
      <c r="Q893" s="43" t="s">
        <v>2430</v>
      </c>
      <c r="R893" s="4">
        <v>15.2455992901758</v>
      </c>
      <c r="S893" s="4">
        <v>15.234147987676099</v>
      </c>
      <c r="T893" s="4">
        <v>15.040908358325501</v>
      </c>
      <c r="U893" s="4">
        <f t="shared" si="54"/>
        <v>15.173551878725801</v>
      </c>
      <c r="X893" s="43" t="s">
        <v>2626</v>
      </c>
      <c r="Y893" s="4">
        <v>15.268324753637399</v>
      </c>
      <c r="Z893" s="4">
        <v>15.3225528952864</v>
      </c>
      <c r="AA893" s="4">
        <v>15.162531463811</v>
      </c>
      <c r="AB893" s="4">
        <f t="shared" si="55"/>
        <v>15.251136370911601</v>
      </c>
    </row>
    <row r="894" spans="2:28" x14ac:dyDescent="0.2">
      <c r="B894" s="4" t="s">
        <v>3083</v>
      </c>
      <c r="C894" s="4">
        <v>14.769299999999999</v>
      </c>
      <c r="D894" s="4">
        <v>15.3058</v>
      </c>
      <c r="E894" s="4">
        <v>16.0642</v>
      </c>
      <c r="F894" s="4">
        <f t="shared" si="52"/>
        <v>15.379766666666667</v>
      </c>
      <c r="I894" s="4" t="s">
        <v>3442</v>
      </c>
      <c r="J894" s="4">
        <v>15.344200000000001</v>
      </c>
      <c r="K894" s="4">
        <v>15.5039</v>
      </c>
      <c r="L894" s="4">
        <v>15.401999999999999</v>
      </c>
      <c r="M894" s="4">
        <f t="shared" si="53"/>
        <v>15.416700000000001</v>
      </c>
      <c r="Q894" s="43" t="s">
        <v>3891</v>
      </c>
      <c r="R894" s="4">
        <v>15.5690516567839</v>
      </c>
      <c r="S894" s="4">
        <v>14.621125646788199</v>
      </c>
      <c r="T894" s="4">
        <v>15.3214199161167</v>
      </c>
      <c r="U894" s="4">
        <f t="shared" si="54"/>
        <v>15.170532406562932</v>
      </c>
      <c r="X894" s="43" t="s">
        <v>156</v>
      </c>
      <c r="Y894" s="4">
        <v>15.2783185081399</v>
      </c>
      <c r="Z894" s="4">
        <v>15.2649486272555</v>
      </c>
      <c r="AA894" s="4">
        <v>15.2086883363616</v>
      </c>
      <c r="AB894" s="4">
        <f t="shared" si="55"/>
        <v>15.250651823919</v>
      </c>
    </row>
    <row r="895" spans="2:28" x14ac:dyDescent="0.2">
      <c r="B895" s="4" t="s">
        <v>2267</v>
      </c>
      <c r="C895" s="4">
        <v>15.561299999999999</v>
      </c>
      <c r="D895" s="4">
        <v>15.308400000000001</v>
      </c>
      <c r="E895" s="4">
        <v>15.2646</v>
      </c>
      <c r="F895" s="4">
        <f t="shared" si="52"/>
        <v>15.378100000000002</v>
      </c>
      <c r="I895" s="4" t="s">
        <v>2376</v>
      </c>
      <c r="J895" s="4">
        <v>13.8733</v>
      </c>
      <c r="K895" s="4">
        <v>18.116099999999999</v>
      </c>
      <c r="L895" s="4">
        <v>14.2583</v>
      </c>
      <c r="M895" s="4">
        <f t="shared" si="53"/>
        <v>15.415900000000001</v>
      </c>
      <c r="Q895" s="43" t="s">
        <v>3716</v>
      </c>
      <c r="R895" s="4">
        <v>15.312919316332801</v>
      </c>
      <c r="S895" s="4">
        <v>15.0441670832348</v>
      </c>
      <c r="T895" s="4">
        <v>15.146499473863001</v>
      </c>
      <c r="U895" s="4">
        <f t="shared" si="54"/>
        <v>15.167861957810201</v>
      </c>
      <c r="X895" s="43" t="s">
        <v>1957</v>
      </c>
      <c r="Y895" s="4">
        <v>15.209362304334601</v>
      </c>
      <c r="Z895" s="4">
        <v>15.412683133462201</v>
      </c>
      <c r="AA895" s="4">
        <v>15.1204837849969</v>
      </c>
      <c r="AB895" s="4">
        <f t="shared" si="55"/>
        <v>15.247509740931234</v>
      </c>
    </row>
    <row r="896" spans="2:28" x14ac:dyDescent="0.2">
      <c r="B896" s="4" t="s">
        <v>3832</v>
      </c>
      <c r="C896" s="4">
        <v>15.247199999999999</v>
      </c>
      <c r="D896" s="4">
        <v>15.4099</v>
      </c>
      <c r="E896" s="4">
        <v>15.4741</v>
      </c>
      <c r="F896" s="4">
        <f t="shared" si="52"/>
        <v>15.377066666666666</v>
      </c>
      <c r="I896" s="4" t="s">
        <v>1067</v>
      </c>
      <c r="J896" s="4">
        <v>14.7166</v>
      </c>
      <c r="K896" s="4">
        <v>15.844799999999999</v>
      </c>
      <c r="L896" s="4">
        <v>15.6785</v>
      </c>
      <c r="M896" s="4">
        <f t="shared" si="53"/>
        <v>15.4133</v>
      </c>
      <c r="Q896" s="43" t="s">
        <v>1423</v>
      </c>
      <c r="R896" s="4">
        <v>15.4568637300698</v>
      </c>
      <c r="S896" s="4">
        <v>15.103392500817099</v>
      </c>
      <c r="T896" s="4">
        <v>14.938705868518101</v>
      </c>
      <c r="U896" s="4">
        <f t="shared" si="54"/>
        <v>15.166320699801666</v>
      </c>
      <c r="X896" s="43" t="s">
        <v>3988</v>
      </c>
      <c r="Y896" s="4">
        <v>15.1727229548334</v>
      </c>
      <c r="Z896" s="4">
        <v>15.305688742204101</v>
      </c>
      <c r="AA896" s="4">
        <v>15.2588112831516</v>
      </c>
      <c r="AB896" s="4">
        <f t="shared" si="55"/>
        <v>15.245740993396367</v>
      </c>
    </row>
    <row r="897" spans="2:28" x14ac:dyDescent="0.2">
      <c r="B897" s="4" t="s">
        <v>54</v>
      </c>
      <c r="C897" s="4">
        <v>15.4413</v>
      </c>
      <c r="D897" s="4">
        <v>15.3378</v>
      </c>
      <c r="E897" s="4">
        <v>15.348599999999999</v>
      </c>
      <c r="F897" s="4">
        <f t="shared" si="52"/>
        <v>15.3759</v>
      </c>
      <c r="I897" s="4" t="s">
        <v>1710</v>
      </c>
      <c r="J897" s="4">
        <v>15.1454</v>
      </c>
      <c r="K897" s="4">
        <v>15.921099999999999</v>
      </c>
      <c r="L897" s="4">
        <v>15.172700000000001</v>
      </c>
      <c r="M897" s="4">
        <f t="shared" si="53"/>
        <v>15.413066666666666</v>
      </c>
      <c r="Q897" s="43" t="s">
        <v>869</v>
      </c>
      <c r="R897" s="4">
        <v>14.5740741106701</v>
      </c>
      <c r="S897" s="4">
        <v>15.513878288695301</v>
      </c>
      <c r="T897" s="4">
        <v>15.405638404524</v>
      </c>
      <c r="U897" s="4">
        <f t="shared" si="54"/>
        <v>15.164530267963132</v>
      </c>
      <c r="X897" s="43" t="s">
        <v>728</v>
      </c>
      <c r="Y897" s="4">
        <v>15.2542347135524</v>
      </c>
      <c r="Z897" s="4">
        <v>15.327938260926301</v>
      </c>
      <c r="AA897" s="4">
        <v>15.1522796470133</v>
      </c>
      <c r="AB897" s="4">
        <f t="shared" si="55"/>
        <v>15.244817540497335</v>
      </c>
    </row>
    <row r="898" spans="2:28" x14ac:dyDescent="0.2">
      <c r="B898" s="4" t="s">
        <v>3619</v>
      </c>
      <c r="C898" s="4">
        <v>15.455500000000001</v>
      </c>
      <c r="D898" s="4">
        <v>15.428599999999999</v>
      </c>
      <c r="E898" s="4">
        <v>15.236599999999999</v>
      </c>
      <c r="F898" s="4">
        <f t="shared" ref="F898:F961" si="56">(C898+D898+E898)/3</f>
        <v>15.373566666666667</v>
      </c>
      <c r="I898" s="4" t="s">
        <v>452</v>
      </c>
      <c r="J898" s="4">
        <v>15.6401</v>
      </c>
      <c r="K898" s="4">
        <v>15.1241</v>
      </c>
      <c r="L898" s="4">
        <v>15.474600000000001</v>
      </c>
      <c r="M898" s="4">
        <f t="shared" ref="M898:M961" si="57">(J898+K898+L898)/3</f>
        <v>15.412933333333335</v>
      </c>
      <c r="Q898" s="43" t="s">
        <v>3495</v>
      </c>
      <c r="R898" s="4">
        <v>15.1949584767445</v>
      </c>
      <c r="S898" s="4">
        <v>15.1268246221836</v>
      </c>
      <c r="T898" s="4">
        <v>15.1642649874464</v>
      </c>
      <c r="U898" s="4">
        <f t="shared" ref="U898:U961" si="58">(R898+S898+T898)/3</f>
        <v>15.1620160287915</v>
      </c>
      <c r="X898" s="43" t="s">
        <v>1269</v>
      </c>
      <c r="Y898" s="4">
        <v>15.2105348006917</v>
      </c>
      <c r="Z898" s="4">
        <v>15.2412034548104</v>
      </c>
      <c r="AA898" s="4">
        <v>15.2818227485528</v>
      </c>
      <c r="AB898" s="4">
        <f t="shared" ref="AB898:AB961" si="59">(Y898+Z898+AA898)/3</f>
        <v>15.244520334684966</v>
      </c>
    </row>
    <row r="899" spans="2:28" x14ac:dyDescent="0.2">
      <c r="B899" s="4" t="s">
        <v>2564</v>
      </c>
      <c r="C899" s="4">
        <v>15.3949</v>
      </c>
      <c r="D899" s="4">
        <v>15.464600000000001</v>
      </c>
      <c r="E899" s="4">
        <v>15.2393</v>
      </c>
      <c r="F899" s="4">
        <f t="shared" si="56"/>
        <v>15.366266666666666</v>
      </c>
      <c r="I899" s="4" t="s">
        <v>3929</v>
      </c>
      <c r="J899" s="4">
        <v>15.2858</v>
      </c>
      <c r="K899" s="4">
        <v>15.4262</v>
      </c>
      <c r="L899" s="4">
        <v>15.5116</v>
      </c>
      <c r="M899" s="4">
        <f t="shared" si="57"/>
        <v>15.407866666666665</v>
      </c>
      <c r="Q899" s="43" t="s">
        <v>2479</v>
      </c>
      <c r="R899" s="4">
        <v>15.2503900703935</v>
      </c>
      <c r="S899" s="4">
        <v>15.1904387047481</v>
      </c>
      <c r="T899" s="4">
        <v>15.0408098582222</v>
      </c>
      <c r="U899" s="4">
        <f t="shared" si="58"/>
        <v>15.160546211121266</v>
      </c>
      <c r="X899" s="43" t="s">
        <v>3886</v>
      </c>
      <c r="Y899" s="4">
        <v>15.203865026370099</v>
      </c>
      <c r="Z899" s="4">
        <v>15.316528838286301</v>
      </c>
      <c r="AA899" s="4">
        <v>15.212769894171901</v>
      </c>
      <c r="AB899" s="4">
        <f t="shared" si="59"/>
        <v>15.244387919609432</v>
      </c>
    </row>
    <row r="900" spans="2:28" x14ac:dyDescent="0.2">
      <c r="B900" s="4" t="s">
        <v>383</v>
      </c>
      <c r="C900" s="4">
        <v>14.8042</v>
      </c>
      <c r="D900" s="4">
        <v>15.4421</v>
      </c>
      <c r="E900" s="4">
        <v>15.847799999999999</v>
      </c>
      <c r="F900" s="4">
        <f t="shared" si="56"/>
        <v>15.364699999999999</v>
      </c>
      <c r="I900" s="4" t="s">
        <v>92</v>
      </c>
      <c r="J900" s="4">
        <v>15.6227</v>
      </c>
      <c r="K900" s="4">
        <v>15.1218</v>
      </c>
      <c r="L900" s="4">
        <v>15.4756</v>
      </c>
      <c r="M900" s="4">
        <f t="shared" si="57"/>
        <v>15.406700000000001</v>
      </c>
      <c r="Q900" s="43" t="s">
        <v>1227</v>
      </c>
      <c r="R900" s="4">
        <v>15.295651356036</v>
      </c>
      <c r="S900" s="4">
        <v>15.1581431022678</v>
      </c>
      <c r="T900" s="4">
        <v>15.015566552265801</v>
      </c>
      <c r="U900" s="4">
        <f t="shared" si="58"/>
        <v>15.156453670189867</v>
      </c>
      <c r="X900" s="43" t="s">
        <v>825</v>
      </c>
      <c r="Y900" s="4">
        <v>15.219853731626101</v>
      </c>
      <c r="Z900" s="4">
        <v>15.2878203655071</v>
      </c>
      <c r="AA900" s="4">
        <v>15.220209358370999</v>
      </c>
      <c r="AB900" s="4">
        <f t="shared" si="59"/>
        <v>15.242627818501399</v>
      </c>
    </row>
    <row r="901" spans="2:28" x14ac:dyDescent="0.2">
      <c r="B901" s="4" t="s">
        <v>1379</v>
      </c>
      <c r="C901" s="4">
        <v>15.230700000000001</v>
      </c>
      <c r="D901" s="4">
        <v>15.318099999999999</v>
      </c>
      <c r="E901" s="4">
        <v>15.5434</v>
      </c>
      <c r="F901" s="4">
        <f t="shared" si="56"/>
        <v>15.364066666666666</v>
      </c>
      <c r="I901" s="4" t="s">
        <v>1273</v>
      </c>
      <c r="J901" s="4">
        <v>15.547499999999999</v>
      </c>
      <c r="K901" s="4">
        <v>15.103</v>
      </c>
      <c r="L901" s="4">
        <v>15.5619</v>
      </c>
      <c r="M901" s="4">
        <f t="shared" si="57"/>
        <v>15.404133333333334</v>
      </c>
      <c r="Q901" s="43" t="s">
        <v>2593</v>
      </c>
      <c r="R901" s="4">
        <v>15.2892339661877</v>
      </c>
      <c r="S901" s="4">
        <v>15.2337533075679</v>
      </c>
      <c r="T901" s="4">
        <v>14.9456153233746</v>
      </c>
      <c r="U901" s="4">
        <f t="shared" si="58"/>
        <v>15.156200865710067</v>
      </c>
      <c r="X901" s="43" t="s">
        <v>3787</v>
      </c>
      <c r="Y901" s="4">
        <v>15.2823344609745</v>
      </c>
      <c r="Z901" s="4">
        <v>15.325629847983899</v>
      </c>
      <c r="AA901" s="4">
        <v>15.1171677908199</v>
      </c>
      <c r="AB901" s="4">
        <f t="shared" si="59"/>
        <v>15.241710699926101</v>
      </c>
    </row>
    <row r="902" spans="2:28" x14ac:dyDescent="0.2">
      <c r="B902" s="4" t="s">
        <v>1744</v>
      </c>
      <c r="C902" s="4">
        <v>15.428800000000001</v>
      </c>
      <c r="D902" s="4">
        <v>15.5809</v>
      </c>
      <c r="E902" s="4">
        <v>15.0662</v>
      </c>
      <c r="F902" s="4">
        <f t="shared" si="56"/>
        <v>15.358633333333335</v>
      </c>
      <c r="I902" s="4" t="s">
        <v>1615</v>
      </c>
      <c r="J902" s="4">
        <v>15.5349</v>
      </c>
      <c r="K902" s="4">
        <v>15.116400000000001</v>
      </c>
      <c r="L902" s="4">
        <v>15.5565</v>
      </c>
      <c r="M902" s="4">
        <f t="shared" si="57"/>
        <v>15.4026</v>
      </c>
      <c r="Q902" s="43" t="s">
        <v>1905</v>
      </c>
      <c r="R902" s="4">
        <v>15.304486589777699</v>
      </c>
      <c r="S902" s="4">
        <v>15.137803000342601</v>
      </c>
      <c r="T902" s="4">
        <v>15.0245268998983</v>
      </c>
      <c r="U902" s="4">
        <f t="shared" si="58"/>
        <v>15.155605496672868</v>
      </c>
      <c r="X902" s="43" t="s">
        <v>4091</v>
      </c>
      <c r="Y902" s="4">
        <v>15.3523519691917</v>
      </c>
      <c r="Z902" s="4">
        <v>15.410888709031299</v>
      </c>
      <c r="AA902" s="4">
        <v>14.954517275187101</v>
      </c>
      <c r="AB902" s="4">
        <f t="shared" si="59"/>
        <v>15.239252651136701</v>
      </c>
    </row>
    <row r="903" spans="2:28" x14ac:dyDescent="0.2">
      <c r="B903" s="4" t="s">
        <v>917</v>
      </c>
      <c r="C903" s="4">
        <v>15.281700000000001</v>
      </c>
      <c r="D903" s="4">
        <v>15.3225</v>
      </c>
      <c r="E903" s="4">
        <v>15.4666</v>
      </c>
      <c r="F903" s="4">
        <f t="shared" si="56"/>
        <v>15.356933333333332</v>
      </c>
      <c r="I903" s="4" t="s">
        <v>1206</v>
      </c>
      <c r="J903" s="4">
        <v>15.664899999999999</v>
      </c>
      <c r="K903" s="4">
        <v>15.0344</v>
      </c>
      <c r="L903" s="4">
        <v>15.5062</v>
      </c>
      <c r="M903" s="4">
        <f t="shared" si="57"/>
        <v>15.401833333333334</v>
      </c>
      <c r="Q903" s="43" t="s">
        <v>294</v>
      </c>
      <c r="R903" s="4">
        <v>15.2074497522679</v>
      </c>
      <c r="S903" s="4">
        <v>15.113574959772</v>
      </c>
      <c r="T903" s="4">
        <v>15.1386280696978</v>
      </c>
      <c r="U903" s="4">
        <f t="shared" si="58"/>
        <v>15.153217593912567</v>
      </c>
      <c r="X903" s="43" t="s">
        <v>4620</v>
      </c>
      <c r="Y903" s="4">
        <v>15.1597739944728</v>
      </c>
      <c r="Z903" s="4">
        <v>15.2406449243216</v>
      </c>
      <c r="AA903" s="4">
        <v>15.315735600713699</v>
      </c>
      <c r="AB903" s="4">
        <f t="shared" si="59"/>
        <v>15.238718173169367</v>
      </c>
    </row>
    <row r="904" spans="2:28" x14ac:dyDescent="0.2">
      <c r="B904" s="4" t="s">
        <v>3851</v>
      </c>
      <c r="C904" s="4">
        <v>15.163399999999999</v>
      </c>
      <c r="D904" s="4">
        <v>15.3606</v>
      </c>
      <c r="E904" s="4">
        <v>15.5426</v>
      </c>
      <c r="F904" s="4">
        <f t="shared" si="56"/>
        <v>15.355533333333334</v>
      </c>
      <c r="I904" s="4" t="s">
        <v>8</v>
      </c>
      <c r="J904" s="4">
        <v>15.5844</v>
      </c>
      <c r="K904" s="4">
        <v>15.174899999999999</v>
      </c>
      <c r="L904" s="4">
        <v>15.444900000000001</v>
      </c>
      <c r="M904" s="4">
        <f t="shared" si="57"/>
        <v>15.401400000000001</v>
      </c>
      <c r="Q904" s="43" t="s">
        <v>3967</v>
      </c>
      <c r="R904" s="4">
        <v>15.199498599991999</v>
      </c>
      <c r="S904" s="4">
        <v>15.231559581068799</v>
      </c>
      <c r="T904" s="4">
        <v>15.0273203579426</v>
      </c>
      <c r="U904" s="4">
        <f t="shared" si="58"/>
        <v>15.152792846334465</v>
      </c>
      <c r="X904" s="43" t="s">
        <v>76</v>
      </c>
      <c r="Y904" s="4">
        <v>15.189290793738101</v>
      </c>
      <c r="Z904" s="4">
        <v>15.300474266807001</v>
      </c>
      <c r="AA904" s="4">
        <v>15.2166504487507</v>
      </c>
      <c r="AB904" s="4">
        <f t="shared" si="59"/>
        <v>15.235471836431934</v>
      </c>
    </row>
    <row r="905" spans="2:28" x14ac:dyDescent="0.2">
      <c r="B905" s="4" t="s">
        <v>2600</v>
      </c>
      <c r="C905" s="4">
        <v>15.2544</v>
      </c>
      <c r="D905" s="4">
        <v>15.3825</v>
      </c>
      <c r="E905" s="4">
        <v>15.4291</v>
      </c>
      <c r="F905" s="4">
        <f t="shared" si="56"/>
        <v>15.355333333333334</v>
      </c>
      <c r="I905" s="4" t="s">
        <v>2298</v>
      </c>
      <c r="J905" s="4">
        <v>15.461</v>
      </c>
      <c r="K905" s="4">
        <v>15.4146</v>
      </c>
      <c r="L905" s="4">
        <v>15.321999999999999</v>
      </c>
      <c r="M905" s="4">
        <f t="shared" si="57"/>
        <v>15.399199999999999</v>
      </c>
      <c r="Q905" s="43" t="s">
        <v>2092</v>
      </c>
      <c r="R905" s="4">
        <v>15.486407960211301</v>
      </c>
      <c r="S905" s="4">
        <v>15.035275999240101</v>
      </c>
      <c r="T905" s="4">
        <v>14.934108095601699</v>
      </c>
      <c r="U905" s="4">
        <f t="shared" si="58"/>
        <v>15.151930685017701</v>
      </c>
      <c r="X905" s="43" t="s">
        <v>2560</v>
      </c>
      <c r="Y905" s="4">
        <v>15.2534711736995</v>
      </c>
      <c r="Z905" s="4">
        <v>15.3256180217242</v>
      </c>
      <c r="AA905" s="4">
        <v>15.1272038445703</v>
      </c>
      <c r="AB905" s="4">
        <f t="shared" si="59"/>
        <v>15.235431013331331</v>
      </c>
    </row>
    <row r="906" spans="2:28" x14ac:dyDescent="0.2">
      <c r="B906" s="4" t="s">
        <v>700</v>
      </c>
      <c r="C906" s="4">
        <v>15.495900000000001</v>
      </c>
      <c r="D906" s="4">
        <v>15.409599999999999</v>
      </c>
      <c r="E906" s="4">
        <v>15.1599</v>
      </c>
      <c r="F906" s="4">
        <f t="shared" si="56"/>
        <v>15.355133333333333</v>
      </c>
      <c r="I906" s="4" t="s">
        <v>2373</v>
      </c>
      <c r="J906" s="4">
        <v>15.4442</v>
      </c>
      <c r="K906" s="4">
        <v>15.118</v>
      </c>
      <c r="L906" s="4">
        <v>15.6206</v>
      </c>
      <c r="M906" s="4">
        <f t="shared" si="57"/>
        <v>15.394266666666667</v>
      </c>
      <c r="Q906" s="43" t="s">
        <v>1277</v>
      </c>
      <c r="R906" s="4">
        <v>15.1953435481926</v>
      </c>
      <c r="S906" s="4">
        <v>15.0885143417648</v>
      </c>
      <c r="T906" s="4">
        <v>15.164232526877299</v>
      </c>
      <c r="U906" s="4">
        <f t="shared" si="58"/>
        <v>15.149363472278234</v>
      </c>
      <c r="X906" s="43" t="s">
        <v>3070</v>
      </c>
      <c r="Y906" s="4">
        <v>15.1586961919916</v>
      </c>
      <c r="Z906" s="4">
        <v>15.307120197273999</v>
      </c>
      <c r="AA906" s="4">
        <v>15.238827206847301</v>
      </c>
      <c r="AB906" s="4">
        <f t="shared" si="59"/>
        <v>15.234881198704301</v>
      </c>
    </row>
    <row r="907" spans="2:28" x14ac:dyDescent="0.2">
      <c r="B907" s="4" t="s">
        <v>3865</v>
      </c>
      <c r="C907" s="4">
        <v>15.4899</v>
      </c>
      <c r="D907" s="4">
        <v>15.1579</v>
      </c>
      <c r="E907" s="4">
        <v>15.4156</v>
      </c>
      <c r="F907" s="4">
        <f t="shared" si="56"/>
        <v>15.354466666666667</v>
      </c>
      <c r="I907" s="4" t="s">
        <v>63</v>
      </c>
      <c r="J907" s="4">
        <v>15.1808</v>
      </c>
      <c r="K907" s="4">
        <v>15.9247</v>
      </c>
      <c r="L907" s="4">
        <v>15.0724</v>
      </c>
      <c r="M907" s="4">
        <f t="shared" si="57"/>
        <v>15.392633333333334</v>
      </c>
      <c r="Q907" s="43" t="s">
        <v>3327</v>
      </c>
      <c r="R907" s="4">
        <v>15.337214258036701</v>
      </c>
      <c r="S907" s="4">
        <v>15.041795895824199</v>
      </c>
      <c r="T907" s="4">
        <v>15.066851103882399</v>
      </c>
      <c r="U907" s="4">
        <f t="shared" si="58"/>
        <v>15.148620419247768</v>
      </c>
      <c r="X907" s="43" t="s">
        <v>462</v>
      </c>
      <c r="Y907" s="4">
        <v>15.1518640306913</v>
      </c>
      <c r="Z907" s="4">
        <v>15.2735475074668</v>
      </c>
      <c r="AA907" s="4">
        <v>15.2785893821887</v>
      </c>
      <c r="AB907" s="4">
        <f t="shared" si="59"/>
        <v>15.234666973448933</v>
      </c>
    </row>
    <row r="908" spans="2:28" x14ac:dyDescent="0.2">
      <c r="B908" s="4" t="s">
        <v>601</v>
      </c>
      <c r="C908" s="4">
        <v>15.519</v>
      </c>
      <c r="D908" s="4">
        <v>15.115500000000001</v>
      </c>
      <c r="E908" s="4">
        <v>15.425800000000001</v>
      </c>
      <c r="F908" s="4">
        <f t="shared" si="56"/>
        <v>15.353433333333335</v>
      </c>
      <c r="I908" s="4" t="s">
        <v>2857</v>
      </c>
      <c r="J908" s="4">
        <v>15.480600000000001</v>
      </c>
      <c r="K908" s="4">
        <v>15.3491</v>
      </c>
      <c r="L908" s="4">
        <v>15.3287</v>
      </c>
      <c r="M908" s="4">
        <f t="shared" si="57"/>
        <v>15.386133333333333</v>
      </c>
      <c r="Q908" s="43" t="s">
        <v>2159</v>
      </c>
      <c r="R908" s="4">
        <v>15.005746513439201</v>
      </c>
      <c r="S908" s="4">
        <v>15.269918308696401</v>
      </c>
      <c r="T908" s="4">
        <v>15.1642802627556</v>
      </c>
      <c r="U908" s="4">
        <f t="shared" si="58"/>
        <v>15.146648361630403</v>
      </c>
      <c r="X908" s="43" t="s">
        <v>750</v>
      </c>
      <c r="Y908" s="4">
        <v>15.1914741837049</v>
      </c>
      <c r="Z908" s="4">
        <v>15.304827355652399</v>
      </c>
      <c r="AA908" s="4">
        <v>15.203521395286799</v>
      </c>
      <c r="AB908" s="4">
        <f t="shared" si="59"/>
        <v>15.233274311548032</v>
      </c>
    </row>
    <row r="909" spans="2:28" x14ac:dyDescent="0.2">
      <c r="B909" s="4" t="s">
        <v>1529</v>
      </c>
      <c r="C909" s="4">
        <v>15.4704</v>
      </c>
      <c r="D909" s="4">
        <v>15.1388</v>
      </c>
      <c r="E909" s="4">
        <v>15.445600000000001</v>
      </c>
      <c r="F909" s="4">
        <f t="shared" si="56"/>
        <v>15.351599999999999</v>
      </c>
      <c r="I909" s="4" t="s">
        <v>2445</v>
      </c>
      <c r="J909" s="4">
        <v>15.480499999999999</v>
      </c>
      <c r="K909" s="4">
        <v>15.1008</v>
      </c>
      <c r="L909" s="4">
        <v>15.563800000000001</v>
      </c>
      <c r="M909" s="4">
        <f t="shared" si="57"/>
        <v>15.3817</v>
      </c>
      <c r="Q909" s="43" t="s">
        <v>3775</v>
      </c>
      <c r="R909" s="4">
        <v>15.1342072328356</v>
      </c>
      <c r="S909" s="4">
        <v>15.296734484165199</v>
      </c>
      <c r="T909" s="4">
        <v>15.007621804870601</v>
      </c>
      <c r="U909" s="4">
        <f t="shared" si="58"/>
        <v>15.146187840623801</v>
      </c>
      <c r="X909" s="43" t="s">
        <v>3543</v>
      </c>
      <c r="Y909" s="4">
        <v>15.06879290286</v>
      </c>
      <c r="Z909" s="4">
        <v>15.307733828685601</v>
      </c>
      <c r="AA909" s="4">
        <v>15.3205651723749</v>
      </c>
      <c r="AB909" s="4">
        <f t="shared" si="59"/>
        <v>15.2323639679735</v>
      </c>
    </row>
    <row r="910" spans="2:28" x14ac:dyDescent="0.2">
      <c r="B910" s="4" t="s">
        <v>987</v>
      </c>
      <c r="C910" s="4">
        <v>15.4186</v>
      </c>
      <c r="D910" s="4">
        <v>15.2728</v>
      </c>
      <c r="E910" s="4">
        <v>15.363099999999999</v>
      </c>
      <c r="F910" s="4">
        <f t="shared" si="56"/>
        <v>15.351500000000001</v>
      </c>
      <c r="I910" s="4" t="s">
        <v>3757</v>
      </c>
      <c r="J910" s="4">
        <v>15.561999999999999</v>
      </c>
      <c r="K910" s="4">
        <v>14.9414</v>
      </c>
      <c r="L910" s="4">
        <v>15.641</v>
      </c>
      <c r="M910" s="4">
        <f t="shared" si="57"/>
        <v>15.381466666666666</v>
      </c>
      <c r="Q910" s="43" t="s">
        <v>1380</v>
      </c>
      <c r="R910" s="4">
        <v>15.065763778934301</v>
      </c>
      <c r="S910" s="4">
        <v>15.1123238363865</v>
      </c>
      <c r="T910" s="4">
        <v>15.2569666265181</v>
      </c>
      <c r="U910" s="4">
        <f t="shared" si="58"/>
        <v>15.145018080612966</v>
      </c>
      <c r="X910" s="43" t="s">
        <v>701</v>
      </c>
      <c r="Y910" s="4">
        <v>15.0338880475003</v>
      </c>
      <c r="Z910" s="4">
        <v>15.003139502664499</v>
      </c>
      <c r="AA910" s="4">
        <v>15.658456538189499</v>
      </c>
      <c r="AB910" s="4">
        <f t="shared" si="59"/>
        <v>15.231828029451433</v>
      </c>
    </row>
    <row r="911" spans="2:28" x14ac:dyDescent="0.2">
      <c r="B911" s="4" t="s">
        <v>1796</v>
      </c>
      <c r="C911" s="4">
        <v>15.563599999999999</v>
      </c>
      <c r="D911" s="4">
        <v>15.189299999999999</v>
      </c>
      <c r="E911" s="4">
        <v>15.2964</v>
      </c>
      <c r="F911" s="4">
        <f t="shared" si="56"/>
        <v>15.349766666666666</v>
      </c>
      <c r="I911" s="4" t="s">
        <v>941</v>
      </c>
      <c r="J911" s="4">
        <v>14.907</v>
      </c>
      <c r="K911" s="4">
        <v>16.0867</v>
      </c>
      <c r="L911" s="4">
        <v>15.1496</v>
      </c>
      <c r="M911" s="4">
        <f t="shared" si="57"/>
        <v>15.381099999999998</v>
      </c>
      <c r="Q911" s="43" t="s">
        <v>1073</v>
      </c>
      <c r="R911" s="4">
        <v>15.1884970930913</v>
      </c>
      <c r="S911" s="4">
        <v>15.0479251081386</v>
      </c>
      <c r="T911" s="4">
        <v>15.1947859149702</v>
      </c>
      <c r="U911" s="4">
        <f t="shared" si="58"/>
        <v>15.143736038733365</v>
      </c>
      <c r="X911" s="43" t="s">
        <v>3419</v>
      </c>
      <c r="Y911" s="4">
        <v>15.1871855388888</v>
      </c>
      <c r="Z911" s="4">
        <v>15.275611032432</v>
      </c>
      <c r="AA911" s="4">
        <v>15.2298462531017</v>
      </c>
      <c r="AB911" s="4">
        <f t="shared" si="59"/>
        <v>15.230880941474167</v>
      </c>
    </row>
    <row r="912" spans="2:28" x14ac:dyDescent="0.2">
      <c r="B912" s="4" t="s">
        <v>1822</v>
      </c>
      <c r="C912" s="4">
        <v>15.6732</v>
      </c>
      <c r="D912" s="4">
        <v>15.411099999999999</v>
      </c>
      <c r="E912" s="4">
        <v>14.9628</v>
      </c>
      <c r="F912" s="4">
        <f t="shared" si="56"/>
        <v>15.349033333333333</v>
      </c>
      <c r="I912" s="4" t="s">
        <v>2340</v>
      </c>
      <c r="J912" s="4">
        <v>15.4735</v>
      </c>
      <c r="K912" s="4">
        <v>15.1693</v>
      </c>
      <c r="L912" s="4">
        <v>15.495100000000001</v>
      </c>
      <c r="M912" s="4">
        <f t="shared" si="57"/>
        <v>15.379300000000001</v>
      </c>
      <c r="Q912" s="43" t="s">
        <v>91</v>
      </c>
      <c r="R912" s="4">
        <v>15.1816672018345</v>
      </c>
      <c r="S912" s="4">
        <v>15.0728485073128</v>
      </c>
      <c r="T912" s="4">
        <v>15.1708384557469</v>
      </c>
      <c r="U912" s="4">
        <f t="shared" si="58"/>
        <v>15.141784721631401</v>
      </c>
      <c r="X912" s="43" t="s">
        <v>2190</v>
      </c>
      <c r="Y912" s="4">
        <v>15.3788305904731</v>
      </c>
      <c r="Z912" s="4">
        <v>15.1013599829136</v>
      </c>
      <c r="AA912" s="4">
        <v>15.2023737939043</v>
      </c>
      <c r="AB912" s="4">
        <f t="shared" si="59"/>
        <v>15.227521455763666</v>
      </c>
    </row>
    <row r="913" spans="2:28" x14ac:dyDescent="0.2">
      <c r="B913" s="4" t="s">
        <v>795</v>
      </c>
      <c r="C913" s="4">
        <v>15.5244</v>
      </c>
      <c r="D913" s="4">
        <v>15.2986</v>
      </c>
      <c r="E913" s="4">
        <v>15.2197</v>
      </c>
      <c r="F913" s="4">
        <f t="shared" si="56"/>
        <v>15.347566666666665</v>
      </c>
      <c r="I913" s="4" t="s">
        <v>1214</v>
      </c>
      <c r="J913" s="4">
        <v>14.472</v>
      </c>
      <c r="K913" s="4">
        <v>16.987400000000001</v>
      </c>
      <c r="L913" s="4">
        <v>14.6637</v>
      </c>
      <c r="M913" s="4">
        <f t="shared" si="57"/>
        <v>15.374366666666667</v>
      </c>
      <c r="Q913" s="43" t="s">
        <v>2163</v>
      </c>
      <c r="R913" s="4">
        <v>15.1402722157013</v>
      </c>
      <c r="S913" s="4">
        <v>15.111900988970801</v>
      </c>
      <c r="T913" s="4">
        <v>15.169218384542299</v>
      </c>
      <c r="U913" s="4">
        <f t="shared" si="58"/>
        <v>15.140463863071467</v>
      </c>
      <c r="X913" s="43" t="s">
        <v>3180</v>
      </c>
      <c r="Y913" s="4">
        <v>15.102384912577801</v>
      </c>
      <c r="Z913" s="4">
        <v>15.3756261765967</v>
      </c>
      <c r="AA913" s="4">
        <v>15.202557624877</v>
      </c>
      <c r="AB913" s="4">
        <f t="shared" si="59"/>
        <v>15.226856238017168</v>
      </c>
    </row>
    <row r="914" spans="2:28" x14ac:dyDescent="0.2">
      <c r="B914" s="4" t="s">
        <v>2320</v>
      </c>
      <c r="C914" s="4">
        <v>15.020200000000001</v>
      </c>
      <c r="D914" s="4">
        <v>15.3599</v>
      </c>
      <c r="E914" s="4">
        <v>15.6623</v>
      </c>
      <c r="F914" s="4">
        <f t="shared" si="56"/>
        <v>15.347466666666667</v>
      </c>
      <c r="I914" s="4" t="s">
        <v>936</v>
      </c>
      <c r="J914" s="4">
        <v>15.217499999999999</v>
      </c>
      <c r="K914" s="4">
        <v>15.514200000000001</v>
      </c>
      <c r="L914" s="4">
        <v>15.3819</v>
      </c>
      <c r="M914" s="4">
        <f t="shared" si="57"/>
        <v>15.3712</v>
      </c>
      <c r="Q914" s="43" t="s">
        <v>2835</v>
      </c>
      <c r="R914" s="4">
        <v>15.050971152216301</v>
      </c>
      <c r="S914" s="4">
        <v>15.087821680354599</v>
      </c>
      <c r="T914" s="4">
        <v>15.2798423793729</v>
      </c>
      <c r="U914" s="4">
        <f t="shared" si="58"/>
        <v>15.139545070647934</v>
      </c>
      <c r="X914" s="43" t="s">
        <v>3329</v>
      </c>
      <c r="Y914" s="4">
        <v>15.1549501640205</v>
      </c>
      <c r="Z914" s="4">
        <v>15.2460989613128</v>
      </c>
      <c r="AA914" s="4">
        <v>15.277540886597899</v>
      </c>
      <c r="AB914" s="4">
        <f t="shared" si="59"/>
        <v>15.226196670643732</v>
      </c>
    </row>
    <row r="915" spans="2:28" x14ac:dyDescent="0.2">
      <c r="B915" s="4" t="s">
        <v>2615</v>
      </c>
      <c r="C915" s="4">
        <v>15.287699999999999</v>
      </c>
      <c r="D915" s="4">
        <v>15.4039</v>
      </c>
      <c r="E915" s="4">
        <v>15.3507</v>
      </c>
      <c r="F915" s="4">
        <f t="shared" si="56"/>
        <v>15.347433333333333</v>
      </c>
      <c r="I915" s="4" t="s">
        <v>210</v>
      </c>
      <c r="J915" s="4">
        <v>15.4209</v>
      </c>
      <c r="K915" s="4">
        <v>15.3238</v>
      </c>
      <c r="L915" s="4">
        <v>15.363200000000001</v>
      </c>
      <c r="M915" s="4">
        <f t="shared" si="57"/>
        <v>15.369300000000001</v>
      </c>
      <c r="Q915" s="43" t="s">
        <v>1588</v>
      </c>
      <c r="R915" s="4">
        <v>15.321934190930101</v>
      </c>
      <c r="S915" s="4">
        <v>15.084160429452201</v>
      </c>
      <c r="T915" s="4">
        <v>15.002718427689</v>
      </c>
      <c r="U915" s="4">
        <f t="shared" si="58"/>
        <v>15.136271016023768</v>
      </c>
      <c r="X915" s="43" t="s">
        <v>2332</v>
      </c>
      <c r="Y915" s="4">
        <v>14.9937425220718</v>
      </c>
      <c r="Z915" s="4">
        <v>15.2654877709496</v>
      </c>
      <c r="AA915" s="4">
        <v>15.416466114543599</v>
      </c>
      <c r="AB915" s="4">
        <f t="shared" si="59"/>
        <v>15.225232135855</v>
      </c>
    </row>
    <row r="916" spans="2:28" x14ac:dyDescent="0.2">
      <c r="B916" s="4" t="s">
        <v>3942</v>
      </c>
      <c r="C916" s="4">
        <v>15.086600000000001</v>
      </c>
      <c r="D916" s="4">
        <v>15.3362</v>
      </c>
      <c r="E916" s="4">
        <v>15.617000000000001</v>
      </c>
      <c r="F916" s="4">
        <f t="shared" si="56"/>
        <v>15.3466</v>
      </c>
      <c r="I916" s="4" t="s">
        <v>1364</v>
      </c>
      <c r="J916" s="4">
        <v>14.9604</v>
      </c>
      <c r="K916" s="4">
        <v>15.611700000000001</v>
      </c>
      <c r="L916" s="4">
        <v>15.53</v>
      </c>
      <c r="M916" s="4">
        <f t="shared" si="57"/>
        <v>15.367366666666667</v>
      </c>
      <c r="Q916" s="43" t="s">
        <v>2889</v>
      </c>
      <c r="R916" s="4">
        <v>15.1231320310758</v>
      </c>
      <c r="S916" s="4">
        <v>15.104483042366301</v>
      </c>
      <c r="T916" s="4">
        <v>15.178824550852299</v>
      </c>
      <c r="U916" s="4">
        <f t="shared" si="58"/>
        <v>15.135479874764799</v>
      </c>
      <c r="X916" s="43" t="s">
        <v>1622</v>
      </c>
      <c r="Y916" s="4">
        <v>15.101515605277999</v>
      </c>
      <c r="Z916" s="4">
        <v>15.277471369512901</v>
      </c>
      <c r="AA916" s="4">
        <v>15.296288376782</v>
      </c>
      <c r="AB916" s="4">
        <f t="shared" si="59"/>
        <v>15.225091783857634</v>
      </c>
    </row>
    <row r="917" spans="2:28" x14ac:dyDescent="0.2">
      <c r="B917" s="4" t="s">
        <v>3308</v>
      </c>
      <c r="C917" s="4">
        <v>15.337300000000001</v>
      </c>
      <c r="D917" s="4">
        <v>15.3993</v>
      </c>
      <c r="E917" s="4">
        <v>15.3027</v>
      </c>
      <c r="F917" s="4">
        <f t="shared" si="56"/>
        <v>15.346433333333335</v>
      </c>
      <c r="I917" s="4" t="s">
        <v>660</v>
      </c>
      <c r="J917" s="4">
        <v>15.4565</v>
      </c>
      <c r="K917" s="4">
        <v>15.3789</v>
      </c>
      <c r="L917" s="4">
        <v>15.2654</v>
      </c>
      <c r="M917" s="4">
        <f t="shared" si="57"/>
        <v>15.366933333333334</v>
      </c>
      <c r="Q917" s="43" t="s">
        <v>3269</v>
      </c>
      <c r="R917" s="4">
        <v>15.153084488125</v>
      </c>
      <c r="S917" s="4">
        <v>15.1800949095047</v>
      </c>
      <c r="T917" s="4">
        <v>15.071509195640401</v>
      </c>
      <c r="U917" s="4">
        <f t="shared" si="58"/>
        <v>15.134896197756701</v>
      </c>
      <c r="X917" s="43" t="s">
        <v>4065</v>
      </c>
      <c r="Y917" s="4">
        <v>15.2177658393525</v>
      </c>
      <c r="Z917" s="4">
        <v>15.1866139524696</v>
      </c>
      <c r="AA917" s="4">
        <v>15.2644105873309</v>
      </c>
      <c r="AB917" s="4">
        <f t="shared" si="59"/>
        <v>15.222930126384334</v>
      </c>
    </row>
    <row r="918" spans="2:28" x14ac:dyDescent="0.2">
      <c r="B918" s="4" t="s">
        <v>2676</v>
      </c>
      <c r="C918" s="4">
        <v>15.5143</v>
      </c>
      <c r="D918" s="4">
        <v>15.3431</v>
      </c>
      <c r="E918" s="4">
        <v>15.1812</v>
      </c>
      <c r="F918" s="4">
        <f t="shared" si="56"/>
        <v>15.346200000000001</v>
      </c>
      <c r="I918" s="4" t="s">
        <v>722</v>
      </c>
      <c r="J918" s="4">
        <v>15.428800000000001</v>
      </c>
      <c r="K918" s="4">
        <v>15.0183</v>
      </c>
      <c r="L918" s="4">
        <v>15.651400000000001</v>
      </c>
      <c r="M918" s="4">
        <f t="shared" si="57"/>
        <v>15.366166666666667</v>
      </c>
      <c r="Q918" s="43" t="s">
        <v>1245</v>
      </c>
      <c r="R918" s="4">
        <v>15.161400338652999</v>
      </c>
      <c r="S918" s="4">
        <v>15.087466459077</v>
      </c>
      <c r="T918" s="4">
        <v>15.146480004834499</v>
      </c>
      <c r="U918" s="4">
        <f t="shared" si="58"/>
        <v>15.131782267521499</v>
      </c>
      <c r="X918" s="43" t="s">
        <v>2761</v>
      </c>
      <c r="Y918" s="4">
        <v>15.222518563340801</v>
      </c>
      <c r="Z918" s="4">
        <v>15.2768899029709</v>
      </c>
      <c r="AA918" s="4">
        <v>15.161518339606401</v>
      </c>
      <c r="AB918" s="4">
        <f t="shared" si="59"/>
        <v>15.220308935306035</v>
      </c>
    </row>
    <row r="919" spans="2:28" x14ac:dyDescent="0.2">
      <c r="B919" s="4" t="s">
        <v>892</v>
      </c>
      <c r="C919" s="4">
        <v>15.403700000000001</v>
      </c>
      <c r="D919" s="4">
        <v>15.0845</v>
      </c>
      <c r="E919" s="4">
        <v>15.529299999999999</v>
      </c>
      <c r="F919" s="4">
        <f t="shared" si="56"/>
        <v>15.339166666666666</v>
      </c>
      <c r="I919" s="4" t="s">
        <v>474</v>
      </c>
      <c r="J919" s="4">
        <v>15.3637</v>
      </c>
      <c r="K919" s="4">
        <v>15.1058</v>
      </c>
      <c r="L919" s="4">
        <v>15.614699999999999</v>
      </c>
      <c r="M919" s="4">
        <f t="shared" si="57"/>
        <v>15.361399999999998</v>
      </c>
      <c r="Q919" s="43" t="s">
        <v>3272</v>
      </c>
      <c r="R919" s="4">
        <v>15.029043217433101</v>
      </c>
      <c r="S919" s="4">
        <v>15.088531530086399</v>
      </c>
      <c r="T919" s="4">
        <v>15.2747339016694</v>
      </c>
      <c r="U919" s="4">
        <f t="shared" si="58"/>
        <v>15.130769549729633</v>
      </c>
      <c r="X919" s="43" t="s">
        <v>3791</v>
      </c>
      <c r="Y919" s="4">
        <v>15.075144975233799</v>
      </c>
      <c r="Z919" s="4">
        <v>15.479392420389299</v>
      </c>
      <c r="AA919" s="4">
        <v>15.1009937976836</v>
      </c>
      <c r="AB919" s="4">
        <f t="shared" si="59"/>
        <v>15.218510397768901</v>
      </c>
    </row>
    <row r="920" spans="2:28" x14ac:dyDescent="0.2">
      <c r="B920" s="4" t="s">
        <v>2451</v>
      </c>
      <c r="C920" s="4">
        <v>15.343</v>
      </c>
      <c r="D920" s="4">
        <v>15.365</v>
      </c>
      <c r="E920" s="4">
        <v>15.305</v>
      </c>
      <c r="F920" s="4">
        <f t="shared" si="56"/>
        <v>15.337666666666665</v>
      </c>
      <c r="I920" s="4" t="s">
        <v>564</v>
      </c>
      <c r="J920" s="4">
        <v>15.2364</v>
      </c>
      <c r="K920" s="4">
        <v>15.6965</v>
      </c>
      <c r="L920" s="4">
        <v>15.144</v>
      </c>
      <c r="M920" s="4">
        <f t="shared" si="57"/>
        <v>15.358966666666667</v>
      </c>
      <c r="Q920" s="43" t="s">
        <v>3147</v>
      </c>
      <c r="R920" s="4">
        <v>15.2873899261985</v>
      </c>
      <c r="S920" s="4">
        <v>15.0315468474851</v>
      </c>
      <c r="T920" s="4">
        <v>15.0673577763514</v>
      </c>
      <c r="U920" s="4">
        <f t="shared" si="58"/>
        <v>15.128764850011668</v>
      </c>
      <c r="X920" s="43" t="s">
        <v>2917</v>
      </c>
      <c r="Y920" s="4">
        <v>15.3029937737079</v>
      </c>
      <c r="Z920" s="4">
        <v>15.543706370730799</v>
      </c>
      <c r="AA920" s="4">
        <v>14.8075272183313</v>
      </c>
      <c r="AB920" s="4">
        <f t="shared" si="59"/>
        <v>15.218075787590001</v>
      </c>
    </row>
    <row r="921" spans="2:28" x14ac:dyDescent="0.2">
      <c r="B921" s="4" t="s">
        <v>2449</v>
      </c>
      <c r="C921" s="4">
        <v>15.239599999999999</v>
      </c>
      <c r="D921" s="4">
        <v>15.3467</v>
      </c>
      <c r="E921" s="4">
        <v>15.4169</v>
      </c>
      <c r="F921" s="4">
        <f t="shared" si="56"/>
        <v>15.3344</v>
      </c>
      <c r="I921" s="4" t="s">
        <v>1675</v>
      </c>
      <c r="J921" s="4">
        <v>15.257300000000001</v>
      </c>
      <c r="K921" s="4">
        <v>15.1752</v>
      </c>
      <c r="L921" s="4">
        <v>15.644399999999999</v>
      </c>
      <c r="M921" s="4">
        <f t="shared" si="57"/>
        <v>15.358966666666667</v>
      </c>
      <c r="Q921" s="43" t="s">
        <v>1013</v>
      </c>
      <c r="R921" s="4">
        <v>15.2370337763734</v>
      </c>
      <c r="S921" s="4">
        <v>15.0474788741837</v>
      </c>
      <c r="T921" s="4">
        <v>15.0983038912778</v>
      </c>
      <c r="U921" s="4">
        <f t="shared" si="58"/>
        <v>15.127605513944966</v>
      </c>
      <c r="X921" s="43" t="s">
        <v>1939</v>
      </c>
      <c r="Y921" s="4">
        <v>15.2991040926313</v>
      </c>
      <c r="Z921" s="4">
        <v>15.219565447268501</v>
      </c>
      <c r="AA921" s="4">
        <v>15.1218884594828</v>
      </c>
      <c r="AB921" s="4">
        <f t="shared" si="59"/>
        <v>15.213519333127534</v>
      </c>
    </row>
    <row r="922" spans="2:28" x14ac:dyDescent="0.2">
      <c r="B922" s="4" t="s">
        <v>15</v>
      </c>
      <c r="C922" s="4">
        <v>14.9124</v>
      </c>
      <c r="D922" s="4">
        <v>15.2539</v>
      </c>
      <c r="E922" s="4">
        <v>15.834199999999999</v>
      </c>
      <c r="F922" s="4">
        <f t="shared" si="56"/>
        <v>15.333500000000001</v>
      </c>
      <c r="I922" s="4" t="s">
        <v>1744</v>
      </c>
      <c r="J922" s="4">
        <v>15.512499999999999</v>
      </c>
      <c r="K922" s="4">
        <v>15.0862</v>
      </c>
      <c r="L922" s="4">
        <v>15.4755</v>
      </c>
      <c r="M922" s="4">
        <f t="shared" si="57"/>
        <v>15.358066666666668</v>
      </c>
      <c r="Q922" s="43" t="s">
        <v>1844</v>
      </c>
      <c r="R922" s="4">
        <v>15.003702589171001</v>
      </c>
      <c r="S922" s="4">
        <v>15.219347353739201</v>
      </c>
      <c r="T922" s="4">
        <v>15.155308230498401</v>
      </c>
      <c r="U922" s="4">
        <f t="shared" si="58"/>
        <v>15.1261193911362</v>
      </c>
      <c r="X922" s="43" t="s">
        <v>1485</v>
      </c>
      <c r="Y922" s="4">
        <v>15.1707771767535</v>
      </c>
      <c r="Z922" s="4">
        <v>15.2744089581112</v>
      </c>
      <c r="AA922" s="4">
        <v>15.186668769227699</v>
      </c>
      <c r="AB922" s="4">
        <f t="shared" si="59"/>
        <v>15.210618301364134</v>
      </c>
    </row>
    <row r="923" spans="2:28" x14ac:dyDescent="0.2">
      <c r="B923" s="4" t="s">
        <v>3719</v>
      </c>
      <c r="C923" s="4">
        <v>15.355</v>
      </c>
      <c r="D923" s="4">
        <v>15.3346</v>
      </c>
      <c r="E923" s="4">
        <v>15.301500000000001</v>
      </c>
      <c r="F923" s="4">
        <f t="shared" si="56"/>
        <v>15.330366666666668</v>
      </c>
      <c r="I923" s="4" t="s">
        <v>3246</v>
      </c>
      <c r="J923" s="4">
        <v>15.507099999999999</v>
      </c>
      <c r="K923" s="4">
        <v>14.901999999999999</v>
      </c>
      <c r="L923" s="4">
        <v>15.6591</v>
      </c>
      <c r="M923" s="4">
        <f t="shared" si="57"/>
        <v>15.356066666666665</v>
      </c>
      <c r="Q923" s="43" t="s">
        <v>1925</v>
      </c>
      <c r="R923" s="4">
        <v>16.278062944335499</v>
      </c>
      <c r="S923" s="4">
        <v>14.475572998580301</v>
      </c>
      <c r="T923" s="4">
        <v>14.6179932429605</v>
      </c>
      <c r="U923" s="4">
        <f t="shared" si="58"/>
        <v>15.1238763952921</v>
      </c>
      <c r="X923" s="43" t="s">
        <v>2590</v>
      </c>
      <c r="Y923" s="4">
        <v>15.1621876649664</v>
      </c>
      <c r="Z923" s="4">
        <v>15.2044439503126</v>
      </c>
      <c r="AA923" s="4">
        <v>15.2480643896097</v>
      </c>
      <c r="AB923" s="4">
        <f t="shared" si="59"/>
        <v>15.204898668296233</v>
      </c>
    </row>
    <row r="924" spans="2:28" x14ac:dyDescent="0.2">
      <c r="B924" s="4" t="s">
        <v>2696</v>
      </c>
      <c r="C924" s="4">
        <v>15.482900000000001</v>
      </c>
      <c r="D924" s="4">
        <v>15.2247</v>
      </c>
      <c r="E924" s="4">
        <v>15.2788</v>
      </c>
      <c r="F924" s="4">
        <f t="shared" si="56"/>
        <v>15.328800000000001</v>
      </c>
      <c r="I924" s="4" t="s">
        <v>310</v>
      </c>
      <c r="J924" s="4">
        <v>15.351699999999999</v>
      </c>
      <c r="K924" s="4">
        <v>15.412599999999999</v>
      </c>
      <c r="L924" s="4">
        <v>15.300599999999999</v>
      </c>
      <c r="M924" s="4">
        <f t="shared" si="57"/>
        <v>15.354966666666664</v>
      </c>
      <c r="Q924" s="43" t="s">
        <v>3493</v>
      </c>
      <c r="R924" s="4">
        <v>15.3865035623497</v>
      </c>
      <c r="S924" s="4">
        <v>14.890308793291201</v>
      </c>
      <c r="T924" s="4">
        <v>15.087174000688</v>
      </c>
      <c r="U924" s="4">
        <f t="shared" si="58"/>
        <v>15.121328785442968</v>
      </c>
      <c r="X924" s="43" t="s">
        <v>2816</v>
      </c>
      <c r="Y924" s="4">
        <v>15.176105719293901</v>
      </c>
      <c r="Z924" s="4">
        <v>15.2144951063022</v>
      </c>
      <c r="AA924" s="4">
        <v>15.2229250031137</v>
      </c>
      <c r="AB924" s="4">
        <f t="shared" si="59"/>
        <v>15.204508609569935</v>
      </c>
    </row>
    <row r="925" spans="2:28" x14ac:dyDescent="0.2">
      <c r="B925" s="4" t="s">
        <v>1146</v>
      </c>
      <c r="C925" s="4">
        <v>15.1837</v>
      </c>
      <c r="D925" s="4">
        <v>15.3406</v>
      </c>
      <c r="E925" s="4">
        <v>15.457000000000001</v>
      </c>
      <c r="F925" s="4">
        <f t="shared" si="56"/>
        <v>15.327100000000002</v>
      </c>
      <c r="I925" s="4" t="s">
        <v>1825</v>
      </c>
      <c r="J925" s="4">
        <v>15.238099999999999</v>
      </c>
      <c r="K925" s="4">
        <v>16.453900000000001</v>
      </c>
      <c r="L925" s="4">
        <v>14.3718</v>
      </c>
      <c r="M925" s="4">
        <f t="shared" si="57"/>
        <v>15.3546</v>
      </c>
      <c r="Q925" s="43" t="s">
        <v>1166</v>
      </c>
      <c r="R925" s="4">
        <v>15.248437785881</v>
      </c>
      <c r="S925" s="4">
        <v>15.033748392392001</v>
      </c>
      <c r="T925" s="4">
        <v>15.0783713449031</v>
      </c>
      <c r="U925" s="4">
        <f t="shared" si="58"/>
        <v>15.120185841058699</v>
      </c>
      <c r="X925" s="43" t="s">
        <v>1639</v>
      </c>
      <c r="Y925" s="4">
        <v>15.255065983193299</v>
      </c>
      <c r="Z925" s="4">
        <v>15.22855212939</v>
      </c>
      <c r="AA925" s="4">
        <v>15.128220754044801</v>
      </c>
      <c r="AB925" s="4">
        <f t="shared" si="59"/>
        <v>15.203946288876034</v>
      </c>
    </row>
    <row r="926" spans="2:28" x14ac:dyDescent="0.2">
      <c r="B926" s="4" t="s">
        <v>3726</v>
      </c>
      <c r="C926" s="4">
        <v>15.3131</v>
      </c>
      <c r="D926" s="4">
        <v>15.3605</v>
      </c>
      <c r="E926" s="4">
        <v>15.3028</v>
      </c>
      <c r="F926" s="4">
        <f t="shared" si="56"/>
        <v>15.325466666666665</v>
      </c>
      <c r="I926" s="4" t="s">
        <v>1677</v>
      </c>
      <c r="J926" s="4">
        <v>15.503</v>
      </c>
      <c r="K926" s="4">
        <v>14.917199999999999</v>
      </c>
      <c r="L926" s="4">
        <v>15.641999999999999</v>
      </c>
      <c r="M926" s="4">
        <f t="shared" si="57"/>
        <v>15.354066666666668</v>
      </c>
      <c r="Q926" s="43" t="s">
        <v>647</v>
      </c>
      <c r="R926" s="4">
        <v>14.830676266131</v>
      </c>
      <c r="S926" s="4">
        <v>15.2217820498491</v>
      </c>
      <c r="T926" s="4">
        <v>15.3003832740695</v>
      </c>
      <c r="U926" s="4">
        <f t="shared" si="58"/>
        <v>15.117613863349867</v>
      </c>
      <c r="X926" s="43" t="s">
        <v>4591</v>
      </c>
      <c r="Y926" s="4">
        <v>15.151654183156699</v>
      </c>
      <c r="Z926" s="4">
        <v>15.326296837326201</v>
      </c>
      <c r="AA926" s="4">
        <v>15.1327170899946</v>
      </c>
      <c r="AB926" s="4">
        <f t="shared" si="59"/>
        <v>15.203556036825832</v>
      </c>
    </row>
    <row r="927" spans="2:28" x14ac:dyDescent="0.2">
      <c r="B927" s="4" t="s">
        <v>1868</v>
      </c>
      <c r="C927" s="4">
        <v>15.603899999999999</v>
      </c>
      <c r="D927" s="4">
        <v>15.298400000000001</v>
      </c>
      <c r="E927" s="4">
        <v>15.065200000000001</v>
      </c>
      <c r="F927" s="4">
        <f t="shared" si="56"/>
        <v>15.3225</v>
      </c>
      <c r="I927" s="4" t="s">
        <v>3125</v>
      </c>
      <c r="J927" s="4">
        <v>15.087300000000001</v>
      </c>
      <c r="K927" s="4">
        <v>15.7538</v>
      </c>
      <c r="L927" s="4">
        <v>15.2142</v>
      </c>
      <c r="M927" s="4">
        <f t="shared" si="57"/>
        <v>15.351766666666668</v>
      </c>
      <c r="Q927" s="43" t="s">
        <v>3969</v>
      </c>
      <c r="R927" s="4">
        <v>14.912691083381601</v>
      </c>
      <c r="S927" s="4">
        <v>15.0194945560226</v>
      </c>
      <c r="T927" s="4">
        <v>15.414723366623999</v>
      </c>
      <c r="U927" s="4">
        <f t="shared" si="58"/>
        <v>15.115636335342733</v>
      </c>
      <c r="X927" s="43" t="s">
        <v>2645</v>
      </c>
      <c r="Y927" s="4">
        <v>15.304359141474199</v>
      </c>
      <c r="Z927" s="4">
        <v>15.059901401630301</v>
      </c>
      <c r="AA927" s="4">
        <v>15.2405791828351</v>
      </c>
      <c r="AB927" s="4">
        <f t="shared" si="59"/>
        <v>15.201613241979866</v>
      </c>
    </row>
    <row r="928" spans="2:28" x14ac:dyDescent="0.2">
      <c r="B928" s="4" t="s">
        <v>1528</v>
      </c>
      <c r="C928" s="4">
        <v>14.6227</v>
      </c>
      <c r="D928" s="4">
        <v>14.9436</v>
      </c>
      <c r="E928" s="4">
        <v>16.400300000000001</v>
      </c>
      <c r="F928" s="4">
        <f t="shared" si="56"/>
        <v>15.3222</v>
      </c>
      <c r="I928" s="4" t="s">
        <v>228</v>
      </c>
      <c r="J928" s="4">
        <v>15.2111</v>
      </c>
      <c r="K928" s="4">
        <v>15.292999999999999</v>
      </c>
      <c r="L928" s="4">
        <v>15.5433</v>
      </c>
      <c r="M928" s="4">
        <f t="shared" si="57"/>
        <v>15.349133333333334</v>
      </c>
      <c r="Q928" s="43" t="s">
        <v>651</v>
      </c>
      <c r="R928" s="4">
        <v>14.6966918832058</v>
      </c>
      <c r="S928" s="4">
        <v>15.2839058649015</v>
      </c>
      <c r="T928" s="4">
        <v>15.3377120076241</v>
      </c>
      <c r="U928" s="4">
        <f t="shared" si="58"/>
        <v>15.106103251910467</v>
      </c>
      <c r="X928" s="43" t="s">
        <v>71</v>
      </c>
      <c r="Y928" s="4">
        <v>15.065558212537701</v>
      </c>
      <c r="Z928" s="4">
        <v>15.609576107264701</v>
      </c>
      <c r="AA928" s="4">
        <v>14.929124135643701</v>
      </c>
      <c r="AB928" s="4">
        <f t="shared" si="59"/>
        <v>15.201419485148699</v>
      </c>
    </row>
    <row r="929" spans="2:28" x14ac:dyDescent="0.2">
      <c r="B929" s="4" t="s">
        <v>1673</v>
      </c>
      <c r="C929" s="4">
        <v>15.29</v>
      </c>
      <c r="D929" s="4">
        <v>15.387700000000001</v>
      </c>
      <c r="E929" s="4">
        <v>15.2875</v>
      </c>
      <c r="F929" s="4">
        <f t="shared" si="56"/>
        <v>15.321733333333334</v>
      </c>
      <c r="I929" s="4" t="s">
        <v>3293</v>
      </c>
      <c r="J929" s="4">
        <v>15.464399999999999</v>
      </c>
      <c r="K929" s="4">
        <v>15.315099999999999</v>
      </c>
      <c r="L929" s="4">
        <v>15.264799999999999</v>
      </c>
      <c r="M929" s="4">
        <f t="shared" si="57"/>
        <v>15.348100000000001</v>
      </c>
      <c r="Q929" s="43" t="s">
        <v>94</v>
      </c>
      <c r="R929" s="4">
        <v>15.219819082279299</v>
      </c>
      <c r="S929" s="4">
        <v>15.0283380481448</v>
      </c>
      <c r="T929" s="4">
        <v>15.0584076084542</v>
      </c>
      <c r="U929" s="4">
        <f t="shared" si="58"/>
        <v>15.102188246292764</v>
      </c>
      <c r="X929" s="43" t="s">
        <v>3028</v>
      </c>
      <c r="Y929" s="4">
        <v>15.110847286508699</v>
      </c>
      <c r="Z929" s="4">
        <v>15.232828374448699</v>
      </c>
      <c r="AA929" s="4">
        <v>15.244978945069001</v>
      </c>
      <c r="AB929" s="4">
        <f t="shared" si="59"/>
        <v>15.196218202008799</v>
      </c>
    </row>
    <row r="930" spans="2:28" x14ac:dyDescent="0.2">
      <c r="B930" s="4" t="s">
        <v>3507</v>
      </c>
      <c r="C930" s="4">
        <v>15.526999999999999</v>
      </c>
      <c r="D930" s="4">
        <v>15.584099999999999</v>
      </c>
      <c r="E930" s="4">
        <v>14.847</v>
      </c>
      <c r="F930" s="4">
        <f t="shared" si="56"/>
        <v>15.319366666666667</v>
      </c>
      <c r="I930" s="4" t="s">
        <v>320</v>
      </c>
      <c r="J930" s="4">
        <v>15.4404</v>
      </c>
      <c r="K930" s="4">
        <v>14.992599999999999</v>
      </c>
      <c r="L930" s="4">
        <v>15.608000000000001</v>
      </c>
      <c r="M930" s="4">
        <f t="shared" si="57"/>
        <v>15.347</v>
      </c>
      <c r="Q930" s="43" t="s">
        <v>2887</v>
      </c>
      <c r="R930" s="4">
        <v>14.8837038562842</v>
      </c>
      <c r="S930" s="4">
        <v>15.179323920135101</v>
      </c>
      <c r="T930" s="4">
        <v>15.242419546423999</v>
      </c>
      <c r="U930" s="4">
        <f t="shared" si="58"/>
        <v>15.1018157742811</v>
      </c>
      <c r="X930" s="43" t="s">
        <v>828</v>
      </c>
      <c r="Y930" s="4">
        <v>15.1499866786891</v>
      </c>
      <c r="Z930" s="4">
        <v>15.2953597434934</v>
      </c>
      <c r="AA930" s="4">
        <v>15.137463061212999</v>
      </c>
      <c r="AB930" s="4">
        <f t="shared" si="59"/>
        <v>15.1942698277985</v>
      </c>
    </row>
    <row r="931" spans="2:28" x14ac:dyDescent="0.2">
      <c r="B931" s="4" t="s">
        <v>3724</v>
      </c>
      <c r="C931" s="4">
        <v>15.504200000000001</v>
      </c>
      <c r="D931" s="4">
        <v>15.347099999999999</v>
      </c>
      <c r="E931" s="4">
        <v>15.104200000000001</v>
      </c>
      <c r="F931" s="4">
        <f t="shared" si="56"/>
        <v>15.3185</v>
      </c>
      <c r="I931" s="4" t="s">
        <v>1552</v>
      </c>
      <c r="J931" s="4">
        <v>14.4755</v>
      </c>
      <c r="K931" s="4">
        <v>16.724399999999999</v>
      </c>
      <c r="L931" s="4">
        <v>14.840999999999999</v>
      </c>
      <c r="M931" s="4">
        <f t="shared" si="57"/>
        <v>15.346966666666667</v>
      </c>
      <c r="Q931" s="43" t="s">
        <v>3450</v>
      </c>
      <c r="R931" s="4">
        <v>15.1955364706668</v>
      </c>
      <c r="S931" s="4">
        <v>15.1629359400703</v>
      </c>
      <c r="T931" s="4">
        <v>14.9464106991812</v>
      </c>
      <c r="U931" s="4">
        <f t="shared" si="58"/>
        <v>15.1016277033061</v>
      </c>
      <c r="X931" s="43" t="s">
        <v>3804</v>
      </c>
      <c r="Y931" s="4">
        <v>15.1499756936475</v>
      </c>
      <c r="Z931" s="4">
        <v>15.0561312095841</v>
      </c>
      <c r="AA931" s="4">
        <v>15.3755504959357</v>
      </c>
      <c r="AB931" s="4">
        <f t="shared" si="59"/>
        <v>15.193885799722432</v>
      </c>
    </row>
    <row r="932" spans="2:28" x14ac:dyDescent="0.2">
      <c r="B932" s="4" t="s">
        <v>3077</v>
      </c>
      <c r="C932" s="4">
        <v>15.4292</v>
      </c>
      <c r="D932" s="4">
        <v>15.4513</v>
      </c>
      <c r="E932" s="4">
        <v>15.0749</v>
      </c>
      <c r="F932" s="4">
        <f t="shared" si="56"/>
        <v>15.318466666666666</v>
      </c>
      <c r="I932" s="4" t="s">
        <v>2784</v>
      </c>
      <c r="J932" s="4">
        <v>15.587899999999999</v>
      </c>
      <c r="K932" s="4">
        <v>14.9673</v>
      </c>
      <c r="L932" s="4">
        <v>15.4854</v>
      </c>
      <c r="M932" s="4">
        <f t="shared" si="57"/>
        <v>15.346866666666665</v>
      </c>
      <c r="Q932" s="43" t="s">
        <v>3660</v>
      </c>
      <c r="R932" s="4">
        <v>15.084052677351099</v>
      </c>
      <c r="S932" s="4">
        <v>15.144003172234299</v>
      </c>
      <c r="T932" s="4">
        <v>15.0744478107797</v>
      </c>
      <c r="U932" s="4">
        <f t="shared" si="58"/>
        <v>15.100834553455032</v>
      </c>
      <c r="X932" s="43" t="s">
        <v>1436</v>
      </c>
      <c r="Y932" s="4">
        <v>15.395078187583801</v>
      </c>
      <c r="Z932" s="4">
        <v>15.074468141301301</v>
      </c>
      <c r="AA932" s="4">
        <v>15.1118911892013</v>
      </c>
      <c r="AB932" s="4">
        <f t="shared" si="59"/>
        <v>15.193812506028801</v>
      </c>
    </row>
    <row r="933" spans="2:28" x14ac:dyDescent="0.2">
      <c r="B933" s="4" t="s">
        <v>2850</v>
      </c>
      <c r="C933" s="4">
        <v>15.300599999999999</v>
      </c>
      <c r="D933" s="4">
        <v>15.2943</v>
      </c>
      <c r="E933" s="4">
        <v>15.3505</v>
      </c>
      <c r="F933" s="4">
        <f t="shared" si="56"/>
        <v>15.315133333333334</v>
      </c>
      <c r="I933" s="4" t="s">
        <v>2762</v>
      </c>
      <c r="J933" s="4">
        <v>15.523</v>
      </c>
      <c r="K933" s="4">
        <v>14.971500000000001</v>
      </c>
      <c r="L933" s="4">
        <v>15.5459</v>
      </c>
      <c r="M933" s="4">
        <f t="shared" si="57"/>
        <v>15.346800000000002</v>
      </c>
      <c r="Q933" s="43" t="s">
        <v>3111</v>
      </c>
      <c r="R933" s="4">
        <v>15.1462581218249</v>
      </c>
      <c r="S933" s="4">
        <v>15.0078846107627</v>
      </c>
      <c r="T933" s="4">
        <v>15.145258039330001</v>
      </c>
      <c r="U933" s="4">
        <f t="shared" si="58"/>
        <v>15.099800257305867</v>
      </c>
      <c r="X933" s="43" t="s">
        <v>2159</v>
      </c>
      <c r="Y933" s="4">
        <v>15.361158013036199</v>
      </c>
      <c r="Z933" s="4">
        <v>14.980096902125601</v>
      </c>
      <c r="AA933" s="4">
        <v>15.2398246102494</v>
      </c>
      <c r="AB933" s="4">
        <f t="shared" si="59"/>
        <v>15.193693175137065</v>
      </c>
    </row>
    <row r="934" spans="2:28" x14ac:dyDescent="0.2">
      <c r="B934" s="4" t="s">
        <v>3134</v>
      </c>
      <c r="C934" s="4">
        <v>15.0871</v>
      </c>
      <c r="D934" s="4">
        <v>15.2942</v>
      </c>
      <c r="E934" s="4">
        <v>15.5572</v>
      </c>
      <c r="F934" s="4">
        <f t="shared" si="56"/>
        <v>15.312833333333332</v>
      </c>
      <c r="I934" s="4" t="s">
        <v>1314</v>
      </c>
      <c r="J934" s="4">
        <v>15.546799999999999</v>
      </c>
      <c r="K934" s="4">
        <v>14.7789</v>
      </c>
      <c r="L934" s="4">
        <v>15.7072</v>
      </c>
      <c r="M934" s="4">
        <f t="shared" si="57"/>
        <v>15.344299999999999</v>
      </c>
      <c r="Q934" s="43" t="s">
        <v>2564</v>
      </c>
      <c r="R934" s="4">
        <v>14.981364679872399</v>
      </c>
      <c r="S934" s="4">
        <v>15.1373500634992</v>
      </c>
      <c r="T934" s="4">
        <v>15.172202951402801</v>
      </c>
      <c r="U934" s="4">
        <f t="shared" si="58"/>
        <v>15.096972564924799</v>
      </c>
      <c r="X934" s="43" t="s">
        <v>39</v>
      </c>
      <c r="Y934" s="4">
        <v>15.2071477032615</v>
      </c>
      <c r="Z934" s="4">
        <v>15.273182859573099</v>
      </c>
      <c r="AA934" s="4">
        <v>15.086544321851299</v>
      </c>
      <c r="AB934" s="4">
        <f t="shared" si="59"/>
        <v>15.188958294895301</v>
      </c>
    </row>
    <row r="935" spans="2:28" x14ac:dyDescent="0.2">
      <c r="B935" s="4" t="s">
        <v>173</v>
      </c>
      <c r="C935" s="4">
        <v>15.367900000000001</v>
      </c>
      <c r="D935" s="4">
        <v>15.329599999999999</v>
      </c>
      <c r="E935" s="4">
        <v>15.2354</v>
      </c>
      <c r="F935" s="4">
        <f t="shared" si="56"/>
        <v>15.310966666666666</v>
      </c>
      <c r="I935" s="4" t="s">
        <v>2227</v>
      </c>
      <c r="J935" s="4">
        <v>15.521100000000001</v>
      </c>
      <c r="K935" s="4">
        <v>14.982699999999999</v>
      </c>
      <c r="L935" s="4">
        <v>15.526400000000001</v>
      </c>
      <c r="M935" s="4">
        <f t="shared" si="57"/>
        <v>15.343400000000001</v>
      </c>
      <c r="Q935" s="43" t="s">
        <v>1924</v>
      </c>
      <c r="R935" s="4">
        <v>15.3512054556076</v>
      </c>
      <c r="S935" s="4">
        <v>14.9520018080678</v>
      </c>
      <c r="T935" s="4">
        <v>14.9873513260893</v>
      </c>
      <c r="U935" s="4">
        <f t="shared" si="58"/>
        <v>15.096852863254901</v>
      </c>
      <c r="X935" s="43" t="s">
        <v>3956</v>
      </c>
      <c r="Y935" s="4">
        <v>15.2972828186317</v>
      </c>
      <c r="Z935" s="4">
        <v>14.9753216136864</v>
      </c>
      <c r="AA935" s="4">
        <v>15.292988255872499</v>
      </c>
      <c r="AB935" s="4">
        <f t="shared" si="59"/>
        <v>15.188530896063533</v>
      </c>
    </row>
    <row r="936" spans="2:28" x14ac:dyDescent="0.2">
      <c r="B936" s="4" t="s">
        <v>2779</v>
      </c>
      <c r="C936" s="4">
        <v>15.430400000000001</v>
      </c>
      <c r="D936" s="4">
        <v>15.282400000000001</v>
      </c>
      <c r="E936" s="4">
        <v>15.2133</v>
      </c>
      <c r="F936" s="4">
        <f t="shared" si="56"/>
        <v>15.308700000000002</v>
      </c>
      <c r="I936" s="4" t="s">
        <v>754</v>
      </c>
      <c r="J936" s="4">
        <v>15.0459</v>
      </c>
      <c r="K936" s="4">
        <v>16.308599999999998</v>
      </c>
      <c r="L936" s="4">
        <v>14.669</v>
      </c>
      <c r="M936" s="4">
        <f t="shared" si="57"/>
        <v>15.341166666666666</v>
      </c>
      <c r="Q936" s="43" t="s">
        <v>3305</v>
      </c>
      <c r="R936" s="4">
        <v>15.017203212682601</v>
      </c>
      <c r="S936" s="4">
        <v>15.2324195420631</v>
      </c>
      <c r="T936" s="4">
        <v>15.0399576927583</v>
      </c>
      <c r="U936" s="4">
        <f t="shared" si="58"/>
        <v>15.096526815834666</v>
      </c>
      <c r="X936" s="43" t="s">
        <v>1356</v>
      </c>
      <c r="Y936" s="4">
        <v>15.1406584093353</v>
      </c>
      <c r="Z936" s="4">
        <v>15.2106456831297</v>
      </c>
      <c r="AA936" s="4">
        <v>15.2099162676978</v>
      </c>
      <c r="AB936" s="4">
        <f t="shared" si="59"/>
        <v>15.187073453387599</v>
      </c>
    </row>
    <row r="937" spans="2:28" x14ac:dyDescent="0.2">
      <c r="B937" s="4" t="s">
        <v>1697</v>
      </c>
      <c r="C937" s="4">
        <v>15.754799999999999</v>
      </c>
      <c r="D937" s="4">
        <v>15.164899999999999</v>
      </c>
      <c r="E937" s="4">
        <v>15.0063</v>
      </c>
      <c r="F937" s="4">
        <f t="shared" si="56"/>
        <v>15.308666666666667</v>
      </c>
      <c r="I937" s="4" t="s">
        <v>2157</v>
      </c>
      <c r="J937" s="4">
        <v>15.393800000000001</v>
      </c>
      <c r="K937" s="4">
        <v>14.996499999999999</v>
      </c>
      <c r="L937" s="4">
        <v>15.631399999999999</v>
      </c>
      <c r="M937" s="4">
        <f t="shared" si="57"/>
        <v>15.340566666666666</v>
      </c>
      <c r="Q937" s="43" t="s">
        <v>1061</v>
      </c>
      <c r="R937" s="4">
        <v>15.8353108022546</v>
      </c>
      <c r="S937" s="4">
        <v>14.755542416844699</v>
      </c>
      <c r="T937" s="4">
        <v>14.6978010541812</v>
      </c>
      <c r="U937" s="4">
        <f t="shared" si="58"/>
        <v>15.096218091093499</v>
      </c>
      <c r="X937" s="43" t="s">
        <v>1641</v>
      </c>
      <c r="Y937" s="4">
        <v>15.104283289749199</v>
      </c>
      <c r="Z937" s="4">
        <v>15.343094247383901</v>
      </c>
      <c r="AA937" s="4">
        <v>15.1137408415743</v>
      </c>
      <c r="AB937" s="4">
        <f t="shared" si="59"/>
        <v>15.187039459569133</v>
      </c>
    </row>
    <row r="938" spans="2:28" x14ac:dyDescent="0.2">
      <c r="B938" s="4" t="s">
        <v>920</v>
      </c>
      <c r="C938" s="4">
        <v>15.353400000000001</v>
      </c>
      <c r="D938" s="4">
        <v>14.910399999999999</v>
      </c>
      <c r="E938" s="4">
        <v>15.6587</v>
      </c>
      <c r="F938" s="4">
        <f t="shared" si="56"/>
        <v>15.307499999999999</v>
      </c>
      <c r="I938" s="4" t="s">
        <v>463</v>
      </c>
      <c r="J938" s="4">
        <v>15.4938</v>
      </c>
      <c r="K938" s="4">
        <v>15.101000000000001</v>
      </c>
      <c r="L938" s="4">
        <v>15.4192</v>
      </c>
      <c r="M938" s="4">
        <f t="shared" si="57"/>
        <v>15.337999999999999</v>
      </c>
      <c r="Q938" s="43" t="s">
        <v>2691</v>
      </c>
      <c r="R938" s="4">
        <v>15.088747985247201</v>
      </c>
      <c r="S938" s="4">
        <v>15.1847275712902</v>
      </c>
      <c r="T938" s="4">
        <v>15.0134491786227</v>
      </c>
      <c r="U938" s="4">
        <f t="shared" si="58"/>
        <v>15.095641578386699</v>
      </c>
      <c r="X938" s="43" t="s">
        <v>3467</v>
      </c>
      <c r="Y938" s="4">
        <v>15.103909786347799</v>
      </c>
      <c r="Z938" s="4">
        <v>15.2923343657964</v>
      </c>
      <c r="AA938" s="4">
        <v>15.162573125243201</v>
      </c>
      <c r="AB938" s="4">
        <f t="shared" si="59"/>
        <v>15.186272425795799</v>
      </c>
    </row>
    <row r="939" spans="2:28" x14ac:dyDescent="0.2">
      <c r="B939" s="4" t="s">
        <v>2571</v>
      </c>
      <c r="C939" s="4">
        <v>14.8873</v>
      </c>
      <c r="D939" s="4">
        <v>15.394299999999999</v>
      </c>
      <c r="E939" s="4">
        <v>15.6373</v>
      </c>
      <c r="F939" s="4">
        <f t="shared" si="56"/>
        <v>15.306299999999998</v>
      </c>
      <c r="I939" s="4" t="s">
        <v>1221</v>
      </c>
      <c r="J939" s="4">
        <v>15.517300000000001</v>
      </c>
      <c r="K939" s="4">
        <v>15.191599999999999</v>
      </c>
      <c r="L939" s="4">
        <v>15.301500000000001</v>
      </c>
      <c r="M939" s="4">
        <f t="shared" si="57"/>
        <v>15.336800000000002</v>
      </c>
      <c r="Q939" s="43" t="s">
        <v>1357</v>
      </c>
      <c r="R939" s="4">
        <v>14.9194452091192</v>
      </c>
      <c r="S939" s="4">
        <v>15.1669901599667</v>
      </c>
      <c r="T939" s="4">
        <v>15.190658673809599</v>
      </c>
      <c r="U939" s="4">
        <f t="shared" si="58"/>
        <v>15.092364680965167</v>
      </c>
      <c r="X939" s="43" t="s">
        <v>2124</v>
      </c>
      <c r="Y939" s="4">
        <v>14.926386928502801</v>
      </c>
      <c r="Z939" s="4">
        <v>15.315708998808301</v>
      </c>
      <c r="AA939" s="4">
        <v>15.3127169559389</v>
      </c>
      <c r="AB939" s="4">
        <f t="shared" si="59"/>
        <v>15.184937627750001</v>
      </c>
    </row>
    <row r="940" spans="2:28" x14ac:dyDescent="0.2">
      <c r="B940" s="4" t="s">
        <v>741</v>
      </c>
      <c r="C940" s="4">
        <v>15.048500000000001</v>
      </c>
      <c r="D940" s="4">
        <v>15.2698</v>
      </c>
      <c r="E940" s="4">
        <v>15.5976</v>
      </c>
      <c r="F940" s="4">
        <f t="shared" si="56"/>
        <v>15.305300000000001</v>
      </c>
      <c r="I940" s="4" t="s">
        <v>1718</v>
      </c>
      <c r="J940" s="4">
        <v>15.439500000000001</v>
      </c>
      <c r="K940" s="4">
        <v>15.1892</v>
      </c>
      <c r="L940" s="4">
        <v>15.3787</v>
      </c>
      <c r="M940" s="4">
        <f t="shared" si="57"/>
        <v>15.335800000000001</v>
      </c>
      <c r="Q940" s="43" t="s">
        <v>3878</v>
      </c>
      <c r="R940" s="4">
        <v>14.885778910939999</v>
      </c>
      <c r="S940" s="4">
        <v>15.1843318166015</v>
      </c>
      <c r="T940" s="4">
        <v>15.206793115322499</v>
      </c>
      <c r="U940" s="4">
        <f t="shared" si="58"/>
        <v>15.092301280954665</v>
      </c>
      <c r="X940" s="43" t="s">
        <v>1329</v>
      </c>
      <c r="Y940" s="4">
        <v>15.1313942341535</v>
      </c>
      <c r="Z940" s="4">
        <v>15.295678052960101</v>
      </c>
      <c r="AA940" s="4">
        <v>15.1257792626254</v>
      </c>
      <c r="AB940" s="4">
        <f t="shared" si="59"/>
        <v>15.184283849913001</v>
      </c>
    </row>
    <row r="941" spans="2:28" x14ac:dyDescent="0.2">
      <c r="B941" s="4" t="s">
        <v>3952</v>
      </c>
      <c r="C941" s="4">
        <v>15.466200000000001</v>
      </c>
      <c r="D941" s="4">
        <v>15.4049</v>
      </c>
      <c r="E941" s="4">
        <v>15.037100000000001</v>
      </c>
      <c r="F941" s="4">
        <f t="shared" si="56"/>
        <v>15.302733333333334</v>
      </c>
      <c r="I941" s="4" t="s">
        <v>1073</v>
      </c>
      <c r="J941" s="4">
        <v>15.3353</v>
      </c>
      <c r="K941" s="4">
        <v>15.1677</v>
      </c>
      <c r="L941" s="4">
        <v>15.502800000000001</v>
      </c>
      <c r="M941" s="4">
        <f t="shared" si="57"/>
        <v>15.335266666666667</v>
      </c>
      <c r="Q941" s="43" t="s">
        <v>3303</v>
      </c>
      <c r="R941" s="4">
        <v>15.188304680160501</v>
      </c>
      <c r="S941" s="4">
        <v>14.9819677343253</v>
      </c>
      <c r="T941" s="4">
        <v>15.1057278185913</v>
      </c>
      <c r="U941" s="4">
        <f t="shared" si="58"/>
        <v>15.092000077692367</v>
      </c>
      <c r="X941" s="43" t="s">
        <v>1677</v>
      </c>
      <c r="Y941" s="4">
        <v>15.157604858480299</v>
      </c>
      <c r="Z941" s="4">
        <v>15.285479980307301</v>
      </c>
      <c r="AA941" s="4">
        <v>15.103686206660999</v>
      </c>
      <c r="AB941" s="4">
        <f t="shared" si="59"/>
        <v>15.182257015149531</v>
      </c>
    </row>
    <row r="942" spans="2:28" x14ac:dyDescent="0.2">
      <c r="B942" s="4" t="s">
        <v>4082</v>
      </c>
      <c r="C942" s="4">
        <v>15.4596</v>
      </c>
      <c r="D942" s="4">
        <v>15.2895</v>
      </c>
      <c r="E942" s="4">
        <v>15.158300000000001</v>
      </c>
      <c r="F942" s="4">
        <f t="shared" si="56"/>
        <v>15.302466666666666</v>
      </c>
      <c r="I942" s="4" t="s">
        <v>2326</v>
      </c>
      <c r="J942" s="4">
        <v>15.6363</v>
      </c>
      <c r="K942" s="4">
        <v>15.1243</v>
      </c>
      <c r="L942" s="4">
        <v>15.238300000000001</v>
      </c>
      <c r="M942" s="4">
        <f t="shared" si="57"/>
        <v>15.332966666666666</v>
      </c>
      <c r="Q942" s="43" t="s">
        <v>1583</v>
      </c>
      <c r="R942" s="4">
        <v>14.9728893844489</v>
      </c>
      <c r="S942" s="4">
        <v>15.204069321046299</v>
      </c>
      <c r="T942" s="4">
        <v>15.0975117403301</v>
      </c>
      <c r="U942" s="4">
        <f t="shared" si="58"/>
        <v>15.091490148608434</v>
      </c>
      <c r="X942" s="43" t="s">
        <v>4059</v>
      </c>
      <c r="Y942" s="4">
        <v>15.2023913215983</v>
      </c>
      <c r="Z942" s="4">
        <v>15.274670560076901</v>
      </c>
      <c r="AA942" s="4">
        <v>15.0656589724558</v>
      </c>
      <c r="AB942" s="4">
        <f t="shared" si="59"/>
        <v>15.180906951377002</v>
      </c>
    </row>
    <row r="943" spans="2:28" x14ac:dyDescent="0.2">
      <c r="B943" s="4" t="s">
        <v>2340</v>
      </c>
      <c r="C943" s="4">
        <v>15.504099999999999</v>
      </c>
      <c r="D943" s="4">
        <v>15.2163</v>
      </c>
      <c r="E943" s="4">
        <v>15.1835</v>
      </c>
      <c r="F943" s="4">
        <f t="shared" si="56"/>
        <v>15.301299999999999</v>
      </c>
      <c r="I943" s="4" t="s">
        <v>543</v>
      </c>
      <c r="J943" s="4">
        <v>15.414300000000001</v>
      </c>
      <c r="K943" s="4">
        <v>15.1408</v>
      </c>
      <c r="L943" s="4">
        <v>15.4434</v>
      </c>
      <c r="M943" s="4">
        <f t="shared" si="57"/>
        <v>15.332833333333335</v>
      </c>
      <c r="Q943" s="43" t="s">
        <v>1516</v>
      </c>
      <c r="R943" s="4">
        <v>15.761734352705099</v>
      </c>
      <c r="S943" s="4">
        <v>14.473237669892599</v>
      </c>
      <c r="T943" s="4">
        <v>15.0306905494524</v>
      </c>
      <c r="U943" s="4">
        <f t="shared" si="58"/>
        <v>15.088554190683366</v>
      </c>
      <c r="X943" s="43" t="s">
        <v>1403</v>
      </c>
      <c r="Y943" s="4">
        <v>15.244742746581601</v>
      </c>
      <c r="Z943" s="4">
        <v>15.4163422617388</v>
      </c>
      <c r="AA943" s="4">
        <v>14.8802548255044</v>
      </c>
      <c r="AB943" s="4">
        <f t="shared" si="59"/>
        <v>15.180446611274933</v>
      </c>
    </row>
    <row r="944" spans="2:28" x14ac:dyDescent="0.2">
      <c r="B944" s="4" t="s">
        <v>783</v>
      </c>
      <c r="C944" s="4">
        <v>15.3429</v>
      </c>
      <c r="D944" s="4">
        <v>15.5136</v>
      </c>
      <c r="E944" s="4">
        <v>15.0472</v>
      </c>
      <c r="F944" s="4">
        <f t="shared" si="56"/>
        <v>15.301233333333334</v>
      </c>
      <c r="I944" s="4" t="s">
        <v>2636</v>
      </c>
      <c r="J944" s="4">
        <v>15.361000000000001</v>
      </c>
      <c r="K944" s="4">
        <v>15.168900000000001</v>
      </c>
      <c r="L944" s="4">
        <v>15.4681</v>
      </c>
      <c r="M944" s="4">
        <f t="shared" si="57"/>
        <v>15.332666666666668</v>
      </c>
      <c r="Q944" s="43" t="s">
        <v>3782</v>
      </c>
      <c r="R944" s="4">
        <v>15.0431233654329</v>
      </c>
      <c r="S944" s="4">
        <v>14.9670221786377</v>
      </c>
      <c r="T944" s="4">
        <v>15.253901077902499</v>
      </c>
      <c r="U944" s="4">
        <f t="shared" si="58"/>
        <v>15.0880155406577</v>
      </c>
      <c r="X944" s="43" t="s">
        <v>2684</v>
      </c>
      <c r="Y944" s="4">
        <v>15.0981743879092</v>
      </c>
      <c r="Z944" s="4">
        <v>15.27986835506</v>
      </c>
      <c r="AA944" s="4">
        <v>15.1469027081926</v>
      </c>
      <c r="AB944" s="4">
        <f t="shared" si="59"/>
        <v>15.174981817053933</v>
      </c>
    </row>
    <row r="945" spans="2:28" x14ac:dyDescent="0.2">
      <c r="B945" s="4" t="s">
        <v>2157</v>
      </c>
      <c r="C945" s="4">
        <v>15.3019</v>
      </c>
      <c r="D945" s="4">
        <v>15.3405</v>
      </c>
      <c r="E945" s="4">
        <v>15.2592</v>
      </c>
      <c r="F945" s="4">
        <f t="shared" si="56"/>
        <v>15.300533333333334</v>
      </c>
      <c r="I945" s="4" t="s">
        <v>1332</v>
      </c>
      <c r="J945" s="4">
        <v>15.5006</v>
      </c>
      <c r="K945" s="4">
        <v>15.3424</v>
      </c>
      <c r="L945" s="4">
        <v>15.1465</v>
      </c>
      <c r="M945" s="4">
        <f t="shared" si="57"/>
        <v>15.329833333333333</v>
      </c>
      <c r="Q945" s="43" t="s">
        <v>2386</v>
      </c>
      <c r="R945" s="4">
        <v>15.051760814427199</v>
      </c>
      <c r="S945" s="4">
        <v>15.1175617978961</v>
      </c>
      <c r="T945" s="4">
        <v>15.0786189978972</v>
      </c>
      <c r="U945" s="4">
        <f t="shared" si="58"/>
        <v>15.082647203406834</v>
      </c>
      <c r="X945" s="43" t="s">
        <v>2429</v>
      </c>
      <c r="Y945" s="4">
        <v>15.2325764752001</v>
      </c>
      <c r="Z945" s="4">
        <v>15.201000472661899</v>
      </c>
      <c r="AA945" s="4">
        <v>15.087037694724</v>
      </c>
      <c r="AB945" s="4">
        <f t="shared" si="59"/>
        <v>15.173538214195332</v>
      </c>
    </row>
    <row r="946" spans="2:28" x14ac:dyDescent="0.2">
      <c r="B946" s="4" t="s">
        <v>2467</v>
      </c>
      <c r="C946" s="4">
        <v>15.357900000000001</v>
      </c>
      <c r="D946" s="4">
        <v>15.285299999999999</v>
      </c>
      <c r="E946" s="4">
        <v>15.2432</v>
      </c>
      <c r="F946" s="4">
        <f t="shared" si="56"/>
        <v>15.295466666666668</v>
      </c>
      <c r="I946" s="4" t="s">
        <v>1947</v>
      </c>
      <c r="J946" s="4">
        <v>14.9359</v>
      </c>
      <c r="K946" s="4">
        <v>16.008099999999999</v>
      </c>
      <c r="L946" s="4">
        <v>15.0412</v>
      </c>
      <c r="M946" s="4">
        <f t="shared" si="57"/>
        <v>15.3284</v>
      </c>
      <c r="Q946" s="43" t="s">
        <v>2788</v>
      </c>
      <c r="R946" s="4">
        <v>14.9493432656644</v>
      </c>
      <c r="S946" s="4">
        <v>15.2011189046188</v>
      </c>
      <c r="T946" s="4">
        <v>15.094710806837099</v>
      </c>
      <c r="U946" s="4">
        <f t="shared" si="58"/>
        <v>15.081724325706766</v>
      </c>
      <c r="X946" s="43" t="s">
        <v>2693</v>
      </c>
      <c r="Y946" s="4">
        <v>15.3025363622467</v>
      </c>
      <c r="Z946" s="4">
        <v>15.375954712133099</v>
      </c>
      <c r="AA946" s="4">
        <v>14.8296108368385</v>
      </c>
      <c r="AB946" s="4">
        <f t="shared" si="59"/>
        <v>15.169367303739433</v>
      </c>
    </row>
    <row r="947" spans="2:28" x14ac:dyDescent="0.2">
      <c r="B947" s="4" t="s">
        <v>3862</v>
      </c>
      <c r="C947" s="4">
        <v>15.5825</v>
      </c>
      <c r="D947" s="4">
        <v>15.277900000000001</v>
      </c>
      <c r="E947" s="4">
        <v>15.025399999999999</v>
      </c>
      <c r="F947" s="4">
        <f t="shared" si="56"/>
        <v>15.295266666666665</v>
      </c>
      <c r="I947" s="4" t="s">
        <v>2521</v>
      </c>
      <c r="J947" s="4">
        <v>15.0555</v>
      </c>
      <c r="K947" s="4">
        <v>15.6989</v>
      </c>
      <c r="L947" s="4">
        <v>15.2277</v>
      </c>
      <c r="M947" s="4">
        <f t="shared" si="57"/>
        <v>15.327366666666668</v>
      </c>
      <c r="Q947" s="43" t="s">
        <v>3644</v>
      </c>
      <c r="R947" s="4">
        <v>15.1952516712795</v>
      </c>
      <c r="S947" s="4">
        <v>14.924741709190201</v>
      </c>
      <c r="T947" s="4">
        <v>15.1250966500728</v>
      </c>
      <c r="U947" s="4">
        <f t="shared" si="58"/>
        <v>15.0816966768475</v>
      </c>
      <c r="X947" s="43" t="s">
        <v>3284</v>
      </c>
      <c r="Y947" s="4">
        <v>15.155793827220499</v>
      </c>
      <c r="Z947" s="4">
        <v>15.2566585312169</v>
      </c>
      <c r="AA947" s="4">
        <v>15.092340689885599</v>
      </c>
      <c r="AB947" s="4">
        <f t="shared" si="59"/>
        <v>15.168264349440998</v>
      </c>
    </row>
    <row r="948" spans="2:28" x14ac:dyDescent="0.2">
      <c r="B948" s="4" t="s">
        <v>3075</v>
      </c>
      <c r="C948" s="4">
        <v>15.317</v>
      </c>
      <c r="D948" s="4">
        <v>15.3461</v>
      </c>
      <c r="E948" s="4">
        <v>15.2165</v>
      </c>
      <c r="F948" s="4">
        <f t="shared" si="56"/>
        <v>15.293199999999999</v>
      </c>
      <c r="I948" s="4" t="s">
        <v>195</v>
      </c>
      <c r="J948" s="4">
        <v>15.344900000000001</v>
      </c>
      <c r="K948" s="4">
        <v>15.401899999999999</v>
      </c>
      <c r="L948" s="4">
        <v>15.2239</v>
      </c>
      <c r="M948" s="4">
        <f t="shared" si="57"/>
        <v>15.323566666666666</v>
      </c>
      <c r="Q948" s="43" t="s">
        <v>2934</v>
      </c>
      <c r="R948" s="4">
        <v>15.1468644894083</v>
      </c>
      <c r="S948" s="4">
        <v>14.9971352651648</v>
      </c>
      <c r="T948" s="4">
        <v>15.098740837628</v>
      </c>
      <c r="U948" s="4">
        <f t="shared" si="58"/>
        <v>15.080913530733701</v>
      </c>
      <c r="X948" s="43" t="s">
        <v>3973</v>
      </c>
      <c r="Y948" s="4">
        <v>15.249424440192699</v>
      </c>
      <c r="Z948" s="4">
        <v>15.1767440715848</v>
      </c>
      <c r="AA948" s="4">
        <v>15.074556647362799</v>
      </c>
      <c r="AB948" s="4">
        <f t="shared" si="59"/>
        <v>15.166908386380099</v>
      </c>
    </row>
    <row r="949" spans="2:28" x14ac:dyDescent="0.2">
      <c r="B949" s="4" t="s">
        <v>3650</v>
      </c>
      <c r="C949" s="4">
        <v>15.469200000000001</v>
      </c>
      <c r="D949" s="4">
        <v>15.2674</v>
      </c>
      <c r="E949" s="4">
        <v>15.139900000000001</v>
      </c>
      <c r="F949" s="4">
        <f t="shared" si="56"/>
        <v>15.292166666666668</v>
      </c>
      <c r="I949" s="4" t="s">
        <v>1957</v>
      </c>
      <c r="J949" s="4">
        <v>15.5373</v>
      </c>
      <c r="K949" s="4">
        <v>14.555999999999999</v>
      </c>
      <c r="L949" s="4">
        <v>15.8764</v>
      </c>
      <c r="M949" s="4">
        <f t="shared" si="57"/>
        <v>15.323233333333334</v>
      </c>
      <c r="Q949" s="43" t="s">
        <v>3598</v>
      </c>
      <c r="R949" s="4">
        <v>15.0045317503522</v>
      </c>
      <c r="S949" s="4">
        <v>15.1310372995489</v>
      </c>
      <c r="T949" s="4">
        <v>15.1032444710512</v>
      </c>
      <c r="U949" s="4">
        <f t="shared" si="58"/>
        <v>15.079604506984099</v>
      </c>
      <c r="X949" s="43" t="s">
        <v>1277</v>
      </c>
      <c r="Y949" s="4">
        <v>15.2071678841224</v>
      </c>
      <c r="Z949" s="4">
        <v>15.160092651576299</v>
      </c>
      <c r="AA949" s="4">
        <v>15.1288562781736</v>
      </c>
      <c r="AB949" s="4">
        <f t="shared" si="59"/>
        <v>15.165372271290765</v>
      </c>
    </row>
    <row r="950" spans="2:28" x14ac:dyDescent="0.2">
      <c r="B950" s="4" t="s">
        <v>2931</v>
      </c>
      <c r="C950" s="4">
        <v>15.2925</v>
      </c>
      <c r="D950" s="4">
        <v>15.210900000000001</v>
      </c>
      <c r="E950" s="4">
        <v>15.3721</v>
      </c>
      <c r="F950" s="4">
        <f t="shared" si="56"/>
        <v>15.291833333333335</v>
      </c>
      <c r="I950" s="4" t="s">
        <v>302</v>
      </c>
      <c r="J950" s="4">
        <v>15.56</v>
      </c>
      <c r="K950" s="4">
        <v>14.879899999999999</v>
      </c>
      <c r="L950" s="4">
        <v>15.5219</v>
      </c>
      <c r="M950" s="4">
        <f t="shared" si="57"/>
        <v>15.320600000000001</v>
      </c>
      <c r="Q950" s="43" t="s">
        <v>3589</v>
      </c>
      <c r="R950" s="4">
        <v>14.9954464162196</v>
      </c>
      <c r="S950" s="4">
        <v>15.1230172875078</v>
      </c>
      <c r="T950" s="4">
        <v>15.1203179252038</v>
      </c>
      <c r="U950" s="4">
        <f t="shared" si="58"/>
        <v>15.079593876310399</v>
      </c>
      <c r="X950" s="43" t="s">
        <v>2276</v>
      </c>
      <c r="Y950" s="4">
        <v>15.2908263150835</v>
      </c>
      <c r="Z950" s="4">
        <v>14.872360371574599</v>
      </c>
      <c r="AA950" s="4">
        <v>15.324850831596301</v>
      </c>
      <c r="AB950" s="4">
        <f t="shared" si="59"/>
        <v>15.162679172751467</v>
      </c>
    </row>
    <row r="951" spans="2:28" x14ac:dyDescent="0.2">
      <c r="B951" s="4" t="s">
        <v>959</v>
      </c>
      <c r="C951" s="4">
        <v>14.575100000000001</v>
      </c>
      <c r="D951" s="4">
        <v>14.7173</v>
      </c>
      <c r="E951" s="4">
        <v>16.575700000000001</v>
      </c>
      <c r="F951" s="4">
        <f t="shared" si="56"/>
        <v>15.289366666666666</v>
      </c>
      <c r="I951" s="4" t="s">
        <v>3365</v>
      </c>
      <c r="J951" s="4">
        <v>15.220499999999999</v>
      </c>
      <c r="K951" s="4">
        <v>15.3881</v>
      </c>
      <c r="L951" s="4">
        <v>15.351100000000001</v>
      </c>
      <c r="M951" s="4">
        <f t="shared" si="57"/>
        <v>15.319899999999999</v>
      </c>
      <c r="Q951" s="43" t="s">
        <v>4591</v>
      </c>
      <c r="R951" s="4">
        <v>15.196414673381399</v>
      </c>
      <c r="S951" s="4">
        <v>15.0243751592899</v>
      </c>
      <c r="T951" s="4">
        <v>14.999113811031201</v>
      </c>
      <c r="U951" s="4">
        <f t="shared" si="58"/>
        <v>15.0733012145675</v>
      </c>
      <c r="X951" s="43" t="s">
        <v>1852</v>
      </c>
      <c r="Y951" s="4">
        <v>15.161663765151999</v>
      </c>
      <c r="Z951" s="4">
        <v>15.1307721021509</v>
      </c>
      <c r="AA951" s="4">
        <v>15.1927907830409</v>
      </c>
      <c r="AB951" s="4">
        <f t="shared" si="59"/>
        <v>15.161742216781265</v>
      </c>
    </row>
    <row r="952" spans="2:28" x14ac:dyDescent="0.2">
      <c r="B952" s="4" t="s">
        <v>4065</v>
      </c>
      <c r="C952" s="4">
        <v>15.3141</v>
      </c>
      <c r="D952" s="4">
        <v>15.3531</v>
      </c>
      <c r="E952" s="4">
        <v>15.2006</v>
      </c>
      <c r="F952" s="4">
        <f t="shared" si="56"/>
        <v>15.289266666666668</v>
      </c>
      <c r="I952" s="4" t="s">
        <v>3634</v>
      </c>
      <c r="J952" s="4">
        <v>14.7888</v>
      </c>
      <c r="K952" s="4">
        <v>16.194400000000002</v>
      </c>
      <c r="L952" s="4">
        <v>14.9764</v>
      </c>
      <c r="M952" s="4">
        <f t="shared" si="57"/>
        <v>15.319866666666668</v>
      </c>
      <c r="Q952" s="43" t="s">
        <v>2374</v>
      </c>
      <c r="R952" s="4">
        <v>14.9841267531689</v>
      </c>
      <c r="S952" s="4">
        <v>15.168467818218501</v>
      </c>
      <c r="T952" s="4">
        <v>15.049855497051199</v>
      </c>
      <c r="U952" s="4">
        <f t="shared" si="58"/>
        <v>15.0674833561462</v>
      </c>
      <c r="X952" s="43" t="s">
        <v>2831</v>
      </c>
      <c r="Y952" s="4">
        <v>15.1321454957478</v>
      </c>
      <c r="Z952" s="4">
        <v>15.468732870948701</v>
      </c>
      <c r="AA952" s="4">
        <v>14.873820978322</v>
      </c>
      <c r="AB952" s="4">
        <f t="shared" si="59"/>
        <v>15.158233115006167</v>
      </c>
    </row>
    <row r="953" spans="2:28" x14ac:dyDescent="0.2">
      <c r="B953" s="4" t="s">
        <v>2810</v>
      </c>
      <c r="C953" s="4">
        <v>15.452999999999999</v>
      </c>
      <c r="D953" s="4">
        <v>15.249499999999999</v>
      </c>
      <c r="E953" s="4">
        <v>15.1617</v>
      </c>
      <c r="F953" s="4">
        <f t="shared" si="56"/>
        <v>15.288066666666666</v>
      </c>
      <c r="I953" s="4" t="s">
        <v>1282</v>
      </c>
      <c r="J953" s="4">
        <v>14.877700000000001</v>
      </c>
      <c r="K953" s="4">
        <v>16.943000000000001</v>
      </c>
      <c r="L953" s="4">
        <v>14.1363</v>
      </c>
      <c r="M953" s="4">
        <f t="shared" si="57"/>
        <v>15.319000000000001</v>
      </c>
      <c r="Q953" s="43" t="s">
        <v>1669</v>
      </c>
      <c r="R953" s="4">
        <v>15.0700375875711</v>
      </c>
      <c r="S953" s="4">
        <v>15.1068101666212</v>
      </c>
      <c r="T953" s="4">
        <v>15.024130012070501</v>
      </c>
      <c r="U953" s="4">
        <f t="shared" si="58"/>
        <v>15.066992588754268</v>
      </c>
      <c r="X953" s="43" t="s">
        <v>1049</v>
      </c>
      <c r="Y953" s="4">
        <v>15.125842360518201</v>
      </c>
      <c r="Z953" s="4">
        <v>15.171357239390399</v>
      </c>
      <c r="AA953" s="4">
        <v>15.1728133850975</v>
      </c>
      <c r="AB953" s="4">
        <f t="shared" si="59"/>
        <v>15.156670995002033</v>
      </c>
    </row>
    <row r="954" spans="2:28" x14ac:dyDescent="0.2">
      <c r="B954" s="4" t="s">
        <v>3861</v>
      </c>
      <c r="C954" s="4">
        <v>14.8635</v>
      </c>
      <c r="D954" s="4">
        <v>15.5025</v>
      </c>
      <c r="E954" s="4">
        <v>15.494400000000001</v>
      </c>
      <c r="F954" s="4">
        <f t="shared" si="56"/>
        <v>15.286799999999999</v>
      </c>
      <c r="I954" s="4" t="s">
        <v>1851</v>
      </c>
      <c r="J954" s="4">
        <v>15.336399999999999</v>
      </c>
      <c r="K954" s="4">
        <v>15.1938</v>
      </c>
      <c r="L954" s="4">
        <v>15.423299999999999</v>
      </c>
      <c r="M954" s="4">
        <f t="shared" si="57"/>
        <v>15.317833333333333</v>
      </c>
      <c r="Q954" s="43" t="s">
        <v>3650</v>
      </c>
      <c r="R954" s="4">
        <v>15.060081447956801</v>
      </c>
      <c r="S954" s="4">
        <v>15.154159402049499</v>
      </c>
      <c r="T954" s="4">
        <v>14.9837128519611</v>
      </c>
      <c r="U954" s="4">
        <f t="shared" si="58"/>
        <v>15.065984567322467</v>
      </c>
      <c r="X954" s="43" t="s">
        <v>3190</v>
      </c>
      <c r="Y954" s="4">
        <v>15.172848875650899</v>
      </c>
      <c r="Z954" s="4">
        <v>15.1966592101438</v>
      </c>
      <c r="AA954" s="4">
        <v>15.0899931501793</v>
      </c>
      <c r="AB954" s="4">
        <f t="shared" si="59"/>
        <v>15.153167078658001</v>
      </c>
    </row>
    <row r="955" spans="2:28" x14ac:dyDescent="0.2">
      <c r="B955" s="4" t="s">
        <v>2178</v>
      </c>
      <c r="C955" s="4">
        <v>15.223800000000001</v>
      </c>
      <c r="D955" s="4">
        <v>15.2448</v>
      </c>
      <c r="E955" s="4">
        <v>15.3728</v>
      </c>
      <c r="F955" s="4">
        <f t="shared" si="56"/>
        <v>15.280466666666667</v>
      </c>
      <c r="I955" s="4" t="s">
        <v>2267</v>
      </c>
      <c r="J955" s="4">
        <v>15.48</v>
      </c>
      <c r="K955" s="4">
        <v>15.025399999999999</v>
      </c>
      <c r="L955" s="4">
        <v>15.432499999999999</v>
      </c>
      <c r="M955" s="4">
        <f t="shared" si="57"/>
        <v>15.312633333333332</v>
      </c>
      <c r="Q955" s="43" t="s">
        <v>2847</v>
      </c>
      <c r="R955" s="4">
        <v>15.1429708042537</v>
      </c>
      <c r="S955" s="4">
        <v>15.0316921783179</v>
      </c>
      <c r="T955" s="4">
        <v>15.006158841222099</v>
      </c>
      <c r="U955" s="4">
        <f t="shared" si="58"/>
        <v>15.060273941264567</v>
      </c>
      <c r="X955" s="43" t="s">
        <v>1374</v>
      </c>
      <c r="Y955" s="4">
        <v>15.1336922705442</v>
      </c>
      <c r="Z955" s="4">
        <v>15.208965481628001</v>
      </c>
      <c r="AA955" s="4">
        <v>15.1110123960322</v>
      </c>
      <c r="AB955" s="4">
        <f t="shared" si="59"/>
        <v>15.1512233827348</v>
      </c>
    </row>
    <row r="956" spans="2:28" x14ac:dyDescent="0.2">
      <c r="B956" s="4" t="s">
        <v>3944</v>
      </c>
      <c r="C956" s="4">
        <v>14.6958</v>
      </c>
      <c r="D956" s="4">
        <v>15.676</v>
      </c>
      <c r="E956" s="4">
        <v>15.461399999999999</v>
      </c>
      <c r="F956" s="4">
        <f t="shared" si="56"/>
        <v>15.277733333333332</v>
      </c>
      <c r="I956" s="4" t="s">
        <v>601</v>
      </c>
      <c r="J956" s="4">
        <v>15.295299999999999</v>
      </c>
      <c r="K956" s="4">
        <v>15.3033</v>
      </c>
      <c r="L956" s="4">
        <v>15.299099999999999</v>
      </c>
      <c r="M956" s="4">
        <f t="shared" si="57"/>
        <v>15.299233333333333</v>
      </c>
      <c r="Q956" s="43" t="s">
        <v>3106</v>
      </c>
      <c r="R956" s="4">
        <v>14.9753065975135</v>
      </c>
      <c r="S956" s="4">
        <v>15.055181684874</v>
      </c>
      <c r="T956" s="4">
        <v>15.1468810690083</v>
      </c>
      <c r="U956" s="4">
        <f t="shared" si="58"/>
        <v>15.059123117131934</v>
      </c>
      <c r="X956" s="43" t="s">
        <v>4378</v>
      </c>
      <c r="Y956" s="4">
        <v>15.0542015540506</v>
      </c>
      <c r="Z956" s="4">
        <v>15.033932029553201</v>
      </c>
      <c r="AA956" s="4">
        <v>15.3645227981691</v>
      </c>
      <c r="AB956" s="4">
        <f t="shared" si="59"/>
        <v>15.150885460590965</v>
      </c>
    </row>
    <row r="957" spans="2:28" x14ac:dyDescent="0.2">
      <c r="B957" s="4" t="s">
        <v>3070</v>
      </c>
      <c r="C957" s="4">
        <v>15.424799999999999</v>
      </c>
      <c r="D957" s="4">
        <v>15.2363</v>
      </c>
      <c r="E957" s="4">
        <v>15.1585</v>
      </c>
      <c r="F957" s="4">
        <f t="shared" si="56"/>
        <v>15.273199999999997</v>
      </c>
      <c r="I957" s="4" t="s">
        <v>3389</v>
      </c>
      <c r="J957" s="4">
        <v>15.0703</v>
      </c>
      <c r="K957" s="4">
        <v>16.006</v>
      </c>
      <c r="L957" s="4">
        <v>14.820499999999999</v>
      </c>
      <c r="M957" s="4">
        <f t="shared" si="57"/>
        <v>15.298933333333332</v>
      </c>
      <c r="Q957" s="43" t="s">
        <v>2893</v>
      </c>
      <c r="R957" s="4">
        <v>14.9301928272415</v>
      </c>
      <c r="S957" s="4">
        <v>14.988266486563599</v>
      </c>
      <c r="T957" s="4">
        <v>15.257426734976301</v>
      </c>
      <c r="U957" s="4">
        <f t="shared" si="58"/>
        <v>15.058628682927134</v>
      </c>
      <c r="X957" s="43" t="s">
        <v>2956</v>
      </c>
      <c r="Y957" s="4">
        <v>15.3924669721785</v>
      </c>
      <c r="Z957" s="4">
        <v>15.181944929923199</v>
      </c>
      <c r="AA957" s="4">
        <v>14.8709532378925</v>
      </c>
      <c r="AB957" s="4">
        <f t="shared" si="59"/>
        <v>15.148455046664735</v>
      </c>
    </row>
    <row r="958" spans="2:28" x14ac:dyDescent="0.2">
      <c r="B958" s="4" t="s">
        <v>1272</v>
      </c>
      <c r="C958" s="4">
        <v>15.510199999999999</v>
      </c>
      <c r="D958" s="4">
        <v>14.9579</v>
      </c>
      <c r="E958" s="4">
        <v>15.3332</v>
      </c>
      <c r="F958" s="4">
        <f t="shared" si="56"/>
        <v>15.267099999999999</v>
      </c>
      <c r="I958" s="4" t="s">
        <v>2341</v>
      </c>
      <c r="J958" s="4">
        <v>15.118399999999999</v>
      </c>
      <c r="K958" s="4">
        <v>15.6204</v>
      </c>
      <c r="L958" s="4">
        <v>15.1556</v>
      </c>
      <c r="M958" s="4">
        <f t="shared" si="57"/>
        <v>15.298133333333332</v>
      </c>
      <c r="Q958" s="43" t="s">
        <v>1349</v>
      </c>
      <c r="R958" s="4">
        <v>14.8669676395973</v>
      </c>
      <c r="S958" s="4">
        <v>15.0275802471284</v>
      </c>
      <c r="T958" s="4">
        <v>15.275663167007</v>
      </c>
      <c r="U958" s="4">
        <f t="shared" si="58"/>
        <v>15.056737017910899</v>
      </c>
      <c r="X958" s="43" t="s">
        <v>129</v>
      </c>
      <c r="Y958" s="4">
        <v>15.1198016819357</v>
      </c>
      <c r="Z958" s="4">
        <v>15.216314479153599</v>
      </c>
      <c r="AA958" s="4">
        <v>15.0914797245118</v>
      </c>
      <c r="AB958" s="4">
        <f t="shared" si="59"/>
        <v>15.142531961867034</v>
      </c>
    </row>
    <row r="959" spans="2:28" x14ac:dyDescent="0.2">
      <c r="B959" s="4" t="s">
        <v>2170</v>
      </c>
      <c r="C959" s="4">
        <v>15.3644</v>
      </c>
      <c r="D959" s="4">
        <v>15.178599999999999</v>
      </c>
      <c r="E959" s="4">
        <v>15.255599999999999</v>
      </c>
      <c r="F959" s="4">
        <f t="shared" si="56"/>
        <v>15.2662</v>
      </c>
      <c r="I959" s="4" t="s">
        <v>430</v>
      </c>
      <c r="J959" s="4">
        <v>15.547599999999999</v>
      </c>
      <c r="K959" s="4">
        <v>14.763299999999999</v>
      </c>
      <c r="L959" s="4">
        <v>15.583500000000001</v>
      </c>
      <c r="M959" s="4">
        <f t="shared" si="57"/>
        <v>15.298133333333332</v>
      </c>
      <c r="Q959" s="43" t="s">
        <v>3949</v>
      </c>
      <c r="R959" s="4">
        <v>15.467012261647801</v>
      </c>
      <c r="S959" s="4">
        <v>14.884065880244099</v>
      </c>
      <c r="T959" s="4">
        <v>14.787334191373001</v>
      </c>
      <c r="U959" s="4">
        <f t="shared" si="58"/>
        <v>15.046137444421634</v>
      </c>
      <c r="X959" s="43" t="s">
        <v>4503</v>
      </c>
      <c r="Y959" s="4">
        <v>15.4433750817321</v>
      </c>
      <c r="Z959" s="4">
        <v>14.712244986948001</v>
      </c>
      <c r="AA959" s="4">
        <v>15.264299139736099</v>
      </c>
      <c r="AB959" s="4">
        <f t="shared" si="59"/>
        <v>15.139973069472068</v>
      </c>
    </row>
    <row r="960" spans="2:28" x14ac:dyDescent="0.2">
      <c r="B960" s="4" t="s">
        <v>1426</v>
      </c>
      <c r="C960" s="4">
        <v>15.214399999999999</v>
      </c>
      <c r="D960" s="4">
        <v>15.1724</v>
      </c>
      <c r="E960" s="4">
        <v>15.4094</v>
      </c>
      <c r="F960" s="4">
        <f t="shared" si="56"/>
        <v>15.2654</v>
      </c>
      <c r="I960" s="4" t="s">
        <v>3360</v>
      </c>
      <c r="J960" s="4">
        <v>15.4305</v>
      </c>
      <c r="K960" s="4">
        <v>15.068199999999999</v>
      </c>
      <c r="L960" s="4">
        <v>15.3903</v>
      </c>
      <c r="M960" s="4">
        <f t="shared" si="57"/>
        <v>15.296333333333331</v>
      </c>
      <c r="Q960" s="43" t="s">
        <v>2684</v>
      </c>
      <c r="R960" s="4">
        <v>14.995879016046</v>
      </c>
      <c r="S960" s="4">
        <v>14.954686656728599</v>
      </c>
      <c r="T960" s="4">
        <v>15.185028363314901</v>
      </c>
      <c r="U960" s="4">
        <f t="shared" si="58"/>
        <v>15.045198012029834</v>
      </c>
      <c r="X960" s="43" t="s">
        <v>3308</v>
      </c>
      <c r="Y960" s="4">
        <v>14.9885418386417</v>
      </c>
      <c r="Z960" s="4">
        <v>15.380412347484301</v>
      </c>
      <c r="AA960" s="4">
        <v>15.0255220356732</v>
      </c>
      <c r="AB960" s="4">
        <f t="shared" si="59"/>
        <v>15.131492073933067</v>
      </c>
    </row>
    <row r="961" spans="2:28" x14ac:dyDescent="0.2">
      <c r="B961" s="4" t="s">
        <v>1396</v>
      </c>
      <c r="C961" s="4">
        <v>15.2056</v>
      </c>
      <c r="D961" s="4">
        <v>14.9985</v>
      </c>
      <c r="E961" s="4">
        <v>15.5905</v>
      </c>
      <c r="F961" s="4">
        <f t="shared" si="56"/>
        <v>15.264866666666668</v>
      </c>
      <c r="I961" s="4" t="s">
        <v>393</v>
      </c>
      <c r="J961" s="4">
        <v>15.435700000000001</v>
      </c>
      <c r="K961" s="4">
        <v>15.0929</v>
      </c>
      <c r="L961" s="4">
        <v>15.3596</v>
      </c>
      <c r="M961" s="4">
        <f t="shared" si="57"/>
        <v>15.296066666666666</v>
      </c>
      <c r="Q961" s="43" t="s">
        <v>1865</v>
      </c>
      <c r="R961" s="4">
        <v>15.086814099672299</v>
      </c>
      <c r="S961" s="4">
        <v>14.940243685279899</v>
      </c>
      <c r="T961" s="4">
        <v>15.107530963374799</v>
      </c>
      <c r="U961" s="4">
        <f t="shared" si="58"/>
        <v>15.044862916108999</v>
      </c>
      <c r="X961" s="43" t="s">
        <v>1930</v>
      </c>
      <c r="Y961" s="4">
        <v>15.2825177652379</v>
      </c>
      <c r="Z961" s="4">
        <v>14.991870465146899</v>
      </c>
      <c r="AA961" s="4">
        <v>15.119025323463401</v>
      </c>
      <c r="AB961" s="4">
        <f t="shared" si="59"/>
        <v>15.131137851282736</v>
      </c>
    </row>
    <row r="962" spans="2:28" x14ac:dyDescent="0.2">
      <c r="B962" s="4" t="s">
        <v>3808</v>
      </c>
      <c r="C962" s="4">
        <v>15.4526</v>
      </c>
      <c r="D962" s="4">
        <v>15.186299999999999</v>
      </c>
      <c r="E962" s="4">
        <v>15.154299999999999</v>
      </c>
      <c r="F962" s="4">
        <f t="shared" ref="F962:F1025" si="60">(C962+D962+E962)/3</f>
        <v>15.2644</v>
      </c>
      <c r="I962" s="4" t="s">
        <v>1916</v>
      </c>
      <c r="J962" s="4">
        <v>15.4933</v>
      </c>
      <c r="K962" s="4">
        <v>14.947900000000001</v>
      </c>
      <c r="L962" s="4">
        <v>15.4361</v>
      </c>
      <c r="M962" s="4">
        <f t="shared" ref="M962:M1025" si="61">(J962+K962+L962)/3</f>
        <v>15.292433333333335</v>
      </c>
      <c r="Q962" s="43" t="s">
        <v>3050</v>
      </c>
      <c r="R962" s="4">
        <v>15.047536959473501</v>
      </c>
      <c r="S962" s="4">
        <v>14.987980866733899</v>
      </c>
      <c r="T962" s="4">
        <v>15.097778695377301</v>
      </c>
      <c r="U962" s="4">
        <f t="shared" ref="U962:U1025" si="62">(R962+S962+T962)/3</f>
        <v>15.044432173861566</v>
      </c>
      <c r="X962" s="43" t="s">
        <v>579</v>
      </c>
      <c r="Y962" s="4">
        <v>15.118669288686</v>
      </c>
      <c r="Z962" s="4">
        <v>15.1514724041135</v>
      </c>
      <c r="AA962" s="4">
        <v>15.0976180775577</v>
      </c>
      <c r="AB962" s="4">
        <f t="shared" ref="AB962:AB1025" si="63">(Y962+Z962+AA962)/3</f>
        <v>15.122586590119065</v>
      </c>
    </row>
    <row r="963" spans="2:28" x14ac:dyDescent="0.2">
      <c r="B963" s="4" t="s">
        <v>3972</v>
      </c>
      <c r="C963" s="4">
        <v>15.3978</v>
      </c>
      <c r="D963" s="4">
        <v>15.441000000000001</v>
      </c>
      <c r="E963" s="4">
        <v>14.9353</v>
      </c>
      <c r="F963" s="4">
        <f t="shared" si="60"/>
        <v>15.258033333333332</v>
      </c>
      <c r="I963" s="4" t="s">
        <v>117</v>
      </c>
      <c r="J963" s="4">
        <v>15.100899999999999</v>
      </c>
      <c r="K963" s="4">
        <v>15.6427</v>
      </c>
      <c r="L963" s="4">
        <v>15.125299999999999</v>
      </c>
      <c r="M963" s="4">
        <f t="shared" si="61"/>
        <v>15.289633333333333</v>
      </c>
      <c r="Q963" s="43" t="s">
        <v>3329</v>
      </c>
      <c r="R963" s="4">
        <v>14.9867156547144</v>
      </c>
      <c r="S963" s="4">
        <v>15.062638655775499</v>
      </c>
      <c r="T963" s="4">
        <v>15.0832859065408</v>
      </c>
      <c r="U963" s="4">
        <f t="shared" si="62"/>
        <v>15.044213405676899</v>
      </c>
      <c r="X963" s="43" t="s">
        <v>456</v>
      </c>
      <c r="Y963" s="4">
        <v>15.135642053423201</v>
      </c>
      <c r="Z963" s="4">
        <v>15.231449031847299</v>
      </c>
      <c r="AA963" s="4">
        <v>14.998669010253399</v>
      </c>
      <c r="AB963" s="4">
        <f t="shared" si="63"/>
        <v>15.121920031841301</v>
      </c>
    </row>
    <row r="964" spans="2:28" x14ac:dyDescent="0.2">
      <c r="B964" s="4" t="s">
        <v>1356</v>
      </c>
      <c r="C964" s="4">
        <v>15.2066</v>
      </c>
      <c r="D964" s="4">
        <v>15.1991</v>
      </c>
      <c r="E964" s="4">
        <v>15.365500000000001</v>
      </c>
      <c r="F964" s="4">
        <f t="shared" si="60"/>
        <v>15.257066666666667</v>
      </c>
      <c r="I964" s="4" t="s">
        <v>388</v>
      </c>
      <c r="J964" s="4">
        <v>15.286099999999999</v>
      </c>
      <c r="K964" s="4">
        <v>15.401300000000001</v>
      </c>
      <c r="L964" s="4">
        <v>15.174200000000001</v>
      </c>
      <c r="M964" s="4">
        <f t="shared" si="61"/>
        <v>15.2872</v>
      </c>
      <c r="Q964" s="43" t="s">
        <v>3221</v>
      </c>
      <c r="R964" s="4">
        <v>15.2796475210978</v>
      </c>
      <c r="S964" s="4">
        <v>14.7627258369368</v>
      </c>
      <c r="T964" s="4">
        <v>15.0847876116019</v>
      </c>
      <c r="U964" s="4">
        <f t="shared" si="62"/>
        <v>15.042386989878835</v>
      </c>
      <c r="X964" s="43" t="s">
        <v>2847</v>
      </c>
      <c r="Y964" s="4">
        <v>15.138377899201499</v>
      </c>
      <c r="Z964" s="4">
        <v>15.2204687699523</v>
      </c>
      <c r="AA964" s="4">
        <v>15.006122302004201</v>
      </c>
      <c r="AB964" s="4">
        <f t="shared" si="63"/>
        <v>15.121656323719334</v>
      </c>
    </row>
    <row r="965" spans="2:28" x14ac:dyDescent="0.2">
      <c r="B965" s="4" t="s">
        <v>348</v>
      </c>
      <c r="C965" s="4">
        <v>14.6831</v>
      </c>
      <c r="D965" s="4">
        <v>15.4945</v>
      </c>
      <c r="E965" s="4">
        <v>15.587</v>
      </c>
      <c r="F965" s="4">
        <f t="shared" si="60"/>
        <v>15.254866666666667</v>
      </c>
      <c r="I965" s="4" t="s">
        <v>272</v>
      </c>
      <c r="J965" s="4">
        <v>15.425000000000001</v>
      </c>
      <c r="K965" s="4">
        <v>15.1913</v>
      </c>
      <c r="L965" s="4">
        <v>15.2439</v>
      </c>
      <c r="M965" s="4">
        <f t="shared" si="61"/>
        <v>15.286733333333336</v>
      </c>
      <c r="Q965" s="43" t="s">
        <v>320</v>
      </c>
      <c r="R965" s="4">
        <v>15.189189003384501</v>
      </c>
      <c r="S965" s="4">
        <v>14.8809506768443</v>
      </c>
      <c r="T965" s="4">
        <v>15.055997376134499</v>
      </c>
      <c r="U965" s="4">
        <f t="shared" si="62"/>
        <v>15.042045685454433</v>
      </c>
      <c r="X965" s="43" t="s">
        <v>2374</v>
      </c>
      <c r="Y965" s="4">
        <v>15.192121075204801</v>
      </c>
      <c r="Z965" s="4">
        <v>15.0910701841558</v>
      </c>
      <c r="AA965" s="4">
        <v>15.062658402974501</v>
      </c>
      <c r="AB965" s="4">
        <f t="shared" si="63"/>
        <v>15.115283220778366</v>
      </c>
    </row>
    <row r="966" spans="2:28" x14ac:dyDescent="0.2">
      <c r="B966" s="4" t="s">
        <v>1913</v>
      </c>
      <c r="C966" s="4">
        <v>15.349</v>
      </c>
      <c r="D966" s="4">
        <v>15.317399999999999</v>
      </c>
      <c r="E966" s="4">
        <v>15.092000000000001</v>
      </c>
      <c r="F966" s="4">
        <f t="shared" si="60"/>
        <v>15.252800000000001</v>
      </c>
      <c r="I966" s="4" t="s">
        <v>2484</v>
      </c>
      <c r="J966" s="4">
        <v>15.6739</v>
      </c>
      <c r="K966" s="4">
        <v>14.758599999999999</v>
      </c>
      <c r="L966" s="4">
        <v>15.4236</v>
      </c>
      <c r="M966" s="4">
        <f t="shared" si="61"/>
        <v>15.285366666666667</v>
      </c>
      <c r="Q966" s="43" t="s">
        <v>1969</v>
      </c>
      <c r="R966" s="4">
        <v>15.3335641426634</v>
      </c>
      <c r="S966" s="4">
        <v>14.8959405487835</v>
      </c>
      <c r="T966" s="4">
        <v>14.8916171173466</v>
      </c>
      <c r="U966" s="4">
        <f t="shared" si="62"/>
        <v>15.040373936264499</v>
      </c>
      <c r="X966" s="43" t="s">
        <v>2170</v>
      </c>
      <c r="Y966" s="4">
        <v>15.1105334997184</v>
      </c>
      <c r="Z966" s="4">
        <v>15.058407116661099</v>
      </c>
      <c r="AA966" s="4">
        <v>15.1696618101948</v>
      </c>
      <c r="AB966" s="4">
        <f t="shared" si="63"/>
        <v>15.112867475524766</v>
      </c>
    </row>
    <row r="967" spans="2:28" x14ac:dyDescent="0.2">
      <c r="B967" s="4" t="s">
        <v>2409</v>
      </c>
      <c r="C967" s="4">
        <v>15.206799999999999</v>
      </c>
      <c r="D967" s="4">
        <v>15.139799999999999</v>
      </c>
      <c r="E967" s="4">
        <v>15.3901</v>
      </c>
      <c r="F967" s="4">
        <f t="shared" si="60"/>
        <v>15.245566666666667</v>
      </c>
      <c r="I967" s="4" t="s">
        <v>262</v>
      </c>
      <c r="J967" s="4">
        <v>15.407500000000001</v>
      </c>
      <c r="K967" s="4">
        <v>15.1419</v>
      </c>
      <c r="L967" s="4">
        <v>15.299899999999999</v>
      </c>
      <c r="M967" s="4">
        <f t="shared" si="61"/>
        <v>15.283099999999999</v>
      </c>
      <c r="Q967" s="43" t="s">
        <v>984</v>
      </c>
      <c r="R967" s="4">
        <v>15.484495551782</v>
      </c>
      <c r="S967" s="4">
        <v>14.8467856596011</v>
      </c>
      <c r="T967" s="4">
        <v>14.779657983870299</v>
      </c>
      <c r="U967" s="4">
        <f t="shared" si="62"/>
        <v>15.036979731751133</v>
      </c>
      <c r="X967" s="43" t="s">
        <v>190</v>
      </c>
      <c r="Y967" s="4">
        <v>15.177097866066401</v>
      </c>
      <c r="Z967" s="4">
        <v>15.071267065673499</v>
      </c>
      <c r="AA967" s="4">
        <v>15.0898769167895</v>
      </c>
      <c r="AB967" s="4">
        <f t="shared" si="63"/>
        <v>15.112747282843133</v>
      </c>
    </row>
    <row r="968" spans="2:28" x14ac:dyDescent="0.2">
      <c r="B968" s="4" t="s">
        <v>3981</v>
      </c>
      <c r="C968" s="4">
        <v>15.071899999999999</v>
      </c>
      <c r="D968" s="4">
        <v>15.2372</v>
      </c>
      <c r="E968" s="4">
        <v>15.422599999999999</v>
      </c>
      <c r="F968" s="4">
        <f t="shared" si="60"/>
        <v>15.243900000000002</v>
      </c>
      <c r="I968" s="4" t="s">
        <v>1638</v>
      </c>
      <c r="J968" s="4">
        <v>15.472200000000001</v>
      </c>
      <c r="K968" s="4">
        <v>14.968</v>
      </c>
      <c r="L968" s="4">
        <v>15.3948</v>
      </c>
      <c r="M968" s="4">
        <f t="shared" si="61"/>
        <v>15.278333333333334</v>
      </c>
      <c r="Q968" s="43" t="s">
        <v>2166</v>
      </c>
      <c r="R968" s="4">
        <v>14.500427636522399</v>
      </c>
      <c r="S968" s="4">
        <v>15.5980919110436</v>
      </c>
      <c r="T968" s="4">
        <v>15.010375929832</v>
      </c>
      <c r="U968" s="4">
        <f t="shared" si="62"/>
        <v>15.036298492466001</v>
      </c>
      <c r="X968" s="43" t="s">
        <v>4020</v>
      </c>
      <c r="Y968" s="4">
        <v>15.3521572629896</v>
      </c>
      <c r="Z968" s="4">
        <v>14.8632863979291</v>
      </c>
      <c r="AA968" s="4">
        <v>15.1180855387279</v>
      </c>
      <c r="AB968" s="4">
        <f t="shared" si="63"/>
        <v>15.111176399882202</v>
      </c>
    </row>
    <row r="969" spans="2:28" x14ac:dyDescent="0.2">
      <c r="B969" s="4" t="s">
        <v>373</v>
      </c>
      <c r="C969" s="4">
        <v>15.225300000000001</v>
      </c>
      <c r="D969" s="4">
        <v>14.922499999999999</v>
      </c>
      <c r="E969" s="4">
        <v>15.575699999999999</v>
      </c>
      <c r="F969" s="4">
        <f t="shared" si="60"/>
        <v>15.241166666666667</v>
      </c>
      <c r="I969" s="4" t="s">
        <v>878</v>
      </c>
      <c r="J969" s="4">
        <v>15.016</v>
      </c>
      <c r="K969" s="4">
        <v>15.7455</v>
      </c>
      <c r="L969" s="4">
        <v>15.0649</v>
      </c>
      <c r="M969" s="4">
        <f t="shared" si="61"/>
        <v>15.275466666666667</v>
      </c>
      <c r="Q969" s="43" t="s">
        <v>2027</v>
      </c>
      <c r="R969" s="4">
        <v>15.0548724842971</v>
      </c>
      <c r="S969" s="4">
        <v>14.901668427984101</v>
      </c>
      <c r="T969" s="4">
        <v>15.120801669135901</v>
      </c>
      <c r="U969" s="4">
        <f t="shared" si="62"/>
        <v>15.025780860472366</v>
      </c>
      <c r="X969" s="43" t="s">
        <v>335</v>
      </c>
      <c r="Y969" s="4">
        <v>15.091399719215699</v>
      </c>
      <c r="Z969" s="4">
        <v>15.1452167595764</v>
      </c>
      <c r="AA969" s="4">
        <v>15.096574543899299</v>
      </c>
      <c r="AB969" s="4">
        <f t="shared" si="63"/>
        <v>15.111063674230467</v>
      </c>
    </row>
    <row r="970" spans="2:28" x14ac:dyDescent="0.2">
      <c r="B970" s="4" t="s">
        <v>2859</v>
      </c>
      <c r="C970" s="4">
        <v>15.232900000000001</v>
      </c>
      <c r="D970" s="4">
        <v>15.0322</v>
      </c>
      <c r="E970" s="4">
        <v>15.4564</v>
      </c>
      <c r="F970" s="4">
        <f t="shared" si="60"/>
        <v>15.240499999999999</v>
      </c>
      <c r="I970" s="4" t="s">
        <v>3486</v>
      </c>
      <c r="J970" s="4">
        <v>15.169</v>
      </c>
      <c r="K970" s="4">
        <v>15.2957</v>
      </c>
      <c r="L970" s="4">
        <v>15.348599999999999</v>
      </c>
      <c r="M970" s="4">
        <f t="shared" si="61"/>
        <v>15.271099999999999</v>
      </c>
      <c r="Q970" s="43" t="s">
        <v>2557</v>
      </c>
      <c r="R970" s="4">
        <v>15.1598606587894</v>
      </c>
      <c r="S970" s="4">
        <v>14.9451380242414</v>
      </c>
      <c r="T970" s="4">
        <v>14.969039010777299</v>
      </c>
      <c r="U970" s="4">
        <f t="shared" si="62"/>
        <v>15.024679231269367</v>
      </c>
      <c r="X970" s="43" t="s">
        <v>2566</v>
      </c>
      <c r="Y970" s="4">
        <v>15.061523732908899</v>
      </c>
      <c r="Z970" s="4">
        <v>15.3455318699617</v>
      </c>
      <c r="AA970" s="4">
        <v>14.9228504169823</v>
      </c>
      <c r="AB970" s="4">
        <f t="shared" si="63"/>
        <v>15.1099686732843</v>
      </c>
    </row>
    <row r="971" spans="2:28" x14ac:dyDescent="0.2">
      <c r="B971" s="4" t="s">
        <v>3902</v>
      </c>
      <c r="C971" s="4">
        <v>15.3965</v>
      </c>
      <c r="D971" s="4">
        <v>15.4366</v>
      </c>
      <c r="E971" s="4">
        <v>14.882999999999999</v>
      </c>
      <c r="F971" s="4">
        <f t="shared" si="60"/>
        <v>15.2387</v>
      </c>
      <c r="I971" s="4" t="s">
        <v>206</v>
      </c>
      <c r="J971" s="4">
        <v>15.354900000000001</v>
      </c>
      <c r="K971" s="4">
        <v>15.410500000000001</v>
      </c>
      <c r="L971" s="4">
        <v>15.0449</v>
      </c>
      <c r="M971" s="4">
        <f t="shared" si="61"/>
        <v>15.270099999999999</v>
      </c>
      <c r="Q971" s="43" t="s">
        <v>949</v>
      </c>
      <c r="R971" s="4">
        <v>15.097482079822999</v>
      </c>
      <c r="S971" s="4">
        <v>14.9108316072042</v>
      </c>
      <c r="T971" s="4">
        <v>15.0628545167787</v>
      </c>
      <c r="U971" s="4">
        <f t="shared" si="62"/>
        <v>15.023722734601966</v>
      </c>
      <c r="X971" s="43" t="s">
        <v>3772</v>
      </c>
      <c r="Y971" s="4">
        <v>15.0766809038465</v>
      </c>
      <c r="Z971" s="4">
        <v>15.258830655979301</v>
      </c>
      <c r="AA971" s="4">
        <v>14.991803808217901</v>
      </c>
      <c r="AB971" s="4">
        <f t="shared" si="63"/>
        <v>15.109105122681234</v>
      </c>
    </row>
    <row r="972" spans="2:28" x14ac:dyDescent="0.2">
      <c r="B972" s="4" t="s">
        <v>2113</v>
      </c>
      <c r="C972" s="4">
        <v>15.0464</v>
      </c>
      <c r="D972" s="4">
        <v>15.255699999999999</v>
      </c>
      <c r="E972" s="4">
        <v>15.412599999999999</v>
      </c>
      <c r="F972" s="4">
        <f t="shared" si="60"/>
        <v>15.238233333333334</v>
      </c>
      <c r="I972" s="4" t="s">
        <v>2776</v>
      </c>
      <c r="J972" s="4">
        <v>15.0983</v>
      </c>
      <c r="K972" s="4">
        <v>15.4716</v>
      </c>
      <c r="L972" s="4">
        <v>15.2372</v>
      </c>
      <c r="M972" s="4">
        <f t="shared" si="61"/>
        <v>15.269033333333333</v>
      </c>
      <c r="Q972" s="43" t="s">
        <v>2542</v>
      </c>
      <c r="R972" s="4">
        <v>15.2478067805809</v>
      </c>
      <c r="S972" s="4">
        <v>14.780148285254599</v>
      </c>
      <c r="T972" s="4">
        <v>15.040412223829399</v>
      </c>
      <c r="U972" s="4">
        <f t="shared" si="62"/>
        <v>15.022789096554966</v>
      </c>
      <c r="X972" s="43" t="s">
        <v>1628</v>
      </c>
      <c r="Y972" s="4">
        <v>14.985250964451501</v>
      </c>
      <c r="Z972" s="4">
        <v>15.291557591295099</v>
      </c>
      <c r="AA972" s="4">
        <v>15.0500185609674</v>
      </c>
      <c r="AB972" s="4">
        <f t="shared" si="63"/>
        <v>15.108942372237999</v>
      </c>
    </row>
    <row r="973" spans="2:28" x14ac:dyDescent="0.2">
      <c r="B973" s="4" t="s">
        <v>707</v>
      </c>
      <c r="C973" s="4">
        <v>15.547800000000001</v>
      </c>
      <c r="D973" s="4">
        <v>15.546900000000001</v>
      </c>
      <c r="E973" s="4">
        <v>14.6127</v>
      </c>
      <c r="F973" s="4">
        <f t="shared" si="60"/>
        <v>15.235800000000003</v>
      </c>
      <c r="I973" s="4" t="s">
        <v>50</v>
      </c>
      <c r="J973" s="4">
        <v>14.962199999999999</v>
      </c>
      <c r="K973" s="4">
        <v>16.1478</v>
      </c>
      <c r="L973" s="4">
        <v>14.684699999999999</v>
      </c>
      <c r="M973" s="4">
        <f t="shared" si="61"/>
        <v>15.264899999999999</v>
      </c>
      <c r="Q973" s="43" t="s">
        <v>1524</v>
      </c>
      <c r="R973" s="4">
        <v>15.2921715816718</v>
      </c>
      <c r="S973" s="4">
        <v>14.508976090162101</v>
      </c>
      <c r="T973" s="4">
        <v>15.2613480651562</v>
      </c>
      <c r="U973" s="4">
        <f t="shared" si="62"/>
        <v>15.020831912330033</v>
      </c>
      <c r="X973" s="43" t="s">
        <v>1620</v>
      </c>
      <c r="Y973" s="4">
        <v>15.0940016994393</v>
      </c>
      <c r="Z973" s="4">
        <v>15.184540404254401</v>
      </c>
      <c r="AA973" s="4">
        <v>15.047501019078201</v>
      </c>
      <c r="AB973" s="4">
        <f t="shared" si="63"/>
        <v>15.108681040923969</v>
      </c>
    </row>
    <row r="974" spans="2:28" x14ac:dyDescent="0.2">
      <c r="B974" s="4" t="s">
        <v>1556</v>
      </c>
      <c r="C974" s="4">
        <v>14.5511</v>
      </c>
      <c r="D974" s="4">
        <v>15.466100000000001</v>
      </c>
      <c r="E974" s="4">
        <v>15.6858</v>
      </c>
      <c r="F974" s="4">
        <f t="shared" si="60"/>
        <v>15.234333333333334</v>
      </c>
      <c r="I974" s="4" t="s">
        <v>829</v>
      </c>
      <c r="J974" s="4">
        <v>15.3612</v>
      </c>
      <c r="K974" s="4">
        <v>15.2082</v>
      </c>
      <c r="L974" s="4">
        <v>15.2126</v>
      </c>
      <c r="M974" s="4">
        <f t="shared" si="61"/>
        <v>15.260666666666667</v>
      </c>
      <c r="Q974" s="43" t="s">
        <v>4476</v>
      </c>
      <c r="R974" s="4">
        <v>14.5188529659601</v>
      </c>
      <c r="S974" s="4">
        <v>15.253697238023401</v>
      </c>
      <c r="T974" s="4">
        <v>15.2893297088488</v>
      </c>
      <c r="U974" s="4">
        <f t="shared" si="62"/>
        <v>15.020626637610766</v>
      </c>
      <c r="X974" s="43" t="s">
        <v>1326</v>
      </c>
      <c r="Y974" s="4">
        <v>15.0525160854835</v>
      </c>
      <c r="Z974" s="4">
        <v>15.283776581480099</v>
      </c>
      <c r="AA974" s="4">
        <v>14.979668571992701</v>
      </c>
      <c r="AB974" s="4">
        <f t="shared" si="63"/>
        <v>15.105320412985435</v>
      </c>
    </row>
    <row r="975" spans="2:28" x14ac:dyDescent="0.2">
      <c r="B975" s="4" t="s">
        <v>3893</v>
      </c>
      <c r="C975" s="4">
        <v>15.1655</v>
      </c>
      <c r="D975" s="4">
        <v>15.3001</v>
      </c>
      <c r="E975" s="4">
        <v>15.2142</v>
      </c>
      <c r="F975" s="4">
        <f t="shared" si="60"/>
        <v>15.226599999999999</v>
      </c>
      <c r="I975" s="4" t="s">
        <v>23</v>
      </c>
      <c r="J975" s="4">
        <v>15.6035</v>
      </c>
      <c r="K975" s="4">
        <v>14.7668</v>
      </c>
      <c r="L975" s="4">
        <v>15.411199999999999</v>
      </c>
      <c r="M975" s="4">
        <f t="shared" si="61"/>
        <v>15.2605</v>
      </c>
      <c r="Q975" s="43" t="s">
        <v>2588</v>
      </c>
      <c r="R975" s="4">
        <v>15.123373842566201</v>
      </c>
      <c r="S975" s="4">
        <v>15.02514028665</v>
      </c>
      <c r="T975" s="4">
        <v>14.9092020039713</v>
      </c>
      <c r="U975" s="4">
        <f t="shared" si="62"/>
        <v>15.019238711062501</v>
      </c>
      <c r="X975" s="43" t="s">
        <v>2252</v>
      </c>
      <c r="Y975" s="4">
        <v>15.030835645254999</v>
      </c>
      <c r="Z975" s="4">
        <v>15.1694535380277</v>
      </c>
      <c r="AA975" s="4">
        <v>15.113088285838399</v>
      </c>
      <c r="AB975" s="4">
        <f t="shared" si="63"/>
        <v>15.1044591563737</v>
      </c>
    </row>
    <row r="976" spans="2:28" x14ac:dyDescent="0.2">
      <c r="B976" s="4" t="s">
        <v>900</v>
      </c>
      <c r="C976" s="4">
        <v>15.0519</v>
      </c>
      <c r="D976" s="4">
        <v>14.675800000000001</v>
      </c>
      <c r="E976" s="4">
        <v>15.9192</v>
      </c>
      <c r="F976" s="4">
        <f t="shared" si="60"/>
        <v>15.215633333333335</v>
      </c>
      <c r="I976" s="4" t="s">
        <v>1379</v>
      </c>
      <c r="J976" s="4">
        <v>15.4254</v>
      </c>
      <c r="K976" s="4">
        <v>14.888299999999999</v>
      </c>
      <c r="L976" s="4">
        <v>15.454499999999999</v>
      </c>
      <c r="M976" s="4">
        <f t="shared" si="61"/>
        <v>15.256066666666664</v>
      </c>
      <c r="Q976" s="43" t="s">
        <v>1369</v>
      </c>
      <c r="R976" s="4">
        <v>14.998426553289701</v>
      </c>
      <c r="S976" s="4">
        <v>14.8340661084044</v>
      </c>
      <c r="T976" s="4">
        <v>15.2212056001378</v>
      </c>
      <c r="U976" s="4">
        <f t="shared" si="62"/>
        <v>15.017899420610632</v>
      </c>
      <c r="X976" s="43" t="s">
        <v>4210</v>
      </c>
      <c r="Y976" s="4">
        <v>15.151707515932699</v>
      </c>
      <c r="Z976" s="4">
        <v>15.12788560387</v>
      </c>
      <c r="AA976" s="4">
        <v>15.029782951811599</v>
      </c>
      <c r="AB976" s="4">
        <f t="shared" si="63"/>
        <v>15.103125357204766</v>
      </c>
    </row>
    <row r="977" spans="2:28" x14ac:dyDescent="0.2">
      <c r="B977" s="4" t="s">
        <v>1668</v>
      </c>
      <c r="C977" s="4">
        <v>15.1632</v>
      </c>
      <c r="D977" s="4">
        <v>15.1647</v>
      </c>
      <c r="E977" s="4">
        <v>15.305300000000001</v>
      </c>
      <c r="F977" s="4">
        <f t="shared" si="60"/>
        <v>15.211066666666667</v>
      </c>
      <c r="I977" s="4" t="s">
        <v>3655</v>
      </c>
      <c r="J977" s="4">
        <v>15.183199999999999</v>
      </c>
      <c r="K977" s="4">
        <v>15.2897</v>
      </c>
      <c r="L977" s="4">
        <v>15.2829</v>
      </c>
      <c r="M977" s="4">
        <f t="shared" si="61"/>
        <v>15.251933333333334</v>
      </c>
      <c r="Q977" s="43" t="s">
        <v>169</v>
      </c>
      <c r="R977" s="4">
        <v>15.430616221027501</v>
      </c>
      <c r="S977" s="4">
        <v>14.8553813066838</v>
      </c>
      <c r="T977" s="4">
        <v>14.7661527573513</v>
      </c>
      <c r="U977" s="4">
        <f t="shared" si="62"/>
        <v>15.017383428354201</v>
      </c>
      <c r="X977" s="43" t="s">
        <v>3694</v>
      </c>
      <c r="Y977" s="4">
        <v>15.0043090448681</v>
      </c>
      <c r="Z977" s="4">
        <v>15.2753956825023</v>
      </c>
      <c r="AA977" s="4">
        <v>15.0288976618425</v>
      </c>
      <c r="AB977" s="4">
        <f t="shared" si="63"/>
        <v>15.102867463070966</v>
      </c>
    </row>
    <row r="978" spans="2:28" x14ac:dyDescent="0.2">
      <c r="B978" s="4" t="s">
        <v>1345</v>
      </c>
      <c r="C978" s="4">
        <v>15.4682</v>
      </c>
      <c r="D978" s="4">
        <v>15.2417</v>
      </c>
      <c r="E978" s="4">
        <v>14.918200000000001</v>
      </c>
      <c r="F978" s="4">
        <f t="shared" si="60"/>
        <v>15.209366666666666</v>
      </c>
      <c r="I978" s="4" t="s">
        <v>842</v>
      </c>
      <c r="J978" s="4">
        <v>15.527200000000001</v>
      </c>
      <c r="K978" s="4">
        <v>14.707100000000001</v>
      </c>
      <c r="L978" s="4">
        <v>15.518800000000001</v>
      </c>
      <c r="M978" s="4">
        <f t="shared" si="61"/>
        <v>15.251033333333334</v>
      </c>
      <c r="Q978" s="43" t="s">
        <v>1768</v>
      </c>
      <c r="R978" s="4">
        <v>15.398737612432299</v>
      </c>
      <c r="S978" s="4">
        <v>14.7684137260554</v>
      </c>
      <c r="T978" s="4">
        <v>14.882184533903599</v>
      </c>
      <c r="U978" s="4">
        <f t="shared" si="62"/>
        <v>15.016445290797099</v>
      </c>
      <c r="X978" s="43" t="s">
        <v>1345</v>
      </c>
      <c r="Y978" s="4">
        <v>15.048606927982799</v>
      </c>
      <c r="Z978" s="4">
        <v>15.088253248050201</v>
      </c>
      <c r="AA978" s="4">
        <v>15.1713559597817</v>
      </c>
      <c r="AB978" s="4">
        <f t="shared" si="63"/>
        <v>15.102738711938235</v>
      </c>
    </row>
    <row r="979" spans="2:28" x14ac:dyDescent="0.2">
      <c r="B979" s="4" t="s">
        <v>1321</v>
      </c>
      <c r="C979" s="4">
        <v>15.281000000000001</v>
      </c>
      <c r="D979" s="4">
        <v>15.2347</v>
      </c>
      <c r="E979" s="4">
        <v>15.101900000000001</v>
      </c>
      <c r="F979" s="4">
        <f t="shared" si="60"/>
        <v>15.205866666666667</v>
      </c>
      <c r="I979" s="4" t="s">
        <v>3209</v>
      </c>
      <c r="J979" s="4">
        <v>15.3902</v>
      </c>
      <c r="K979" s="4">
        <v>14.860200000000001</v>
      </c>
      <c r="L979" s="4">
        <v>15.4727</v>
      </c>
      <c r="M979" s="4">
        <f t="shared" si="61"/>
        <v>15.241033333333334</v>
      </c>
      <c r="Q979" s="43" t="s">
        <v>2258</v>
      </c>
      <c r="R979" s="4">
        <v>15.242056805753601</v>
      </c>
      <c r="S979" s="4">
        <v>14.7735888209757</v>
      </c>
      <c r="T979" s="4">
        <v>15.0267500667367</v>
      </c>
      <c r="U979" s="4">
        <f t="shared" si="62"/>
        <v>15.014131897822002</v>
      </c>
      <c r="X979" s="43" t="s">
        <v>3644</v>
      </c>
      <c r="Y979" s="4">
        <v>15.2201629000979</v>
      </c>
      <c r="Z979" s="4">
        <v>15.0734709308557</v>
      </c>
      <c r="AA979" s="4">
        <v>15.0122263349799</v>
      </c>
      <c r="AB979" s="4">
        <f t="shared" si="63"/>
        <v>15.101953388644501</v>
      </c>
    </row>
    <row r="980" spans="2:28" x14ac:dyDescent="0.2">
      <c r="B980" s="4" t="s">
        <v>2577</v>
      </c>
      <c r="C980" s="4">
        <v>15.4863</v>
      </c>
      <c r="D980" s="4">
        <v>15.1058</v>
      </c>
      <c r="E980" s="4">
        <v>15.0108</v>
      </c>
      <c r="F980" s="4">
        <f t="shared" si="60"/>
        <v>15.200966666666668</v>
      </c>
      <c r="I980" s="4" t="s">
        <v>273</v>
      </c>
      <c r="J980" s="4">
        <v>15.143800000000001</v>
      </c>
      <c r="K980" s="4">
        <v>15.2553</v>
      </c>
      <c r="L980" s="4">
        <v>15.319699999999999</v>
      </c>
      <c r="M980" s="4">
        <f t="shared" si="61"/>
        <v>15.239600000000001</v>
      </c>
      <c r="Q980" s="43" t="s">
        <v>1622</v>
      </c>
      <c r="R980" s="4">
        <v>15.200912429632</v>
      </c>
      <c r="S980" s="4">
        <v>14.9106293293879</v>
      </c>
      <c r="T980" s="4">
        <v>14.926217592838301</v>
      </c>
      <c r="U980" s="4">
        <f t="shared" si="62"/>
        <v>15.0125864506194</v>
      </c>
      <c r="X980" s="43" t="s">
        <v>2524</v>
      </c>
      <c r="Y980" s="4">
        <v>15.0941505810076</v>
      </c>
      <c r="Z980" s="4">
        <v>15.032285752982901</v>
      </c>
      <c r="AA980" s="4">
        <v>15.178279012199599</v>
      </c>
      <c r="AB980" s="4">
        <f t="shared" si="63"/>
        <v>15.101571782063367</v>
      </c>
    </row>
    <row r="981" spans="2:28" x14ac:dyDescent="0.2">
      <c r="B981" s="4" t="s">
        <v>53</v>
      </c>
      <c r="C981" s="4">
        <v>15.2</v>
      </c>
      <c r="D981" s="4">
        <v>15.1714</v>
      </c>
      <c r="E981" s="4">
        <v>15.229699999999999</v>
      </c>
      <c r="F981" s="4">
        <f t="shared" si="60"/>
        <v>15.200366666666667</v>
      </c>
      <c r="I981" s="4" t="s">
        <v>2178</v>
      </c>
      <c r="J981" s="4">
        <v>15.1701</v>
      </c>
      <c r="K981" s="4">
        <v>15.495200000000001</v>
      </c>
      <c r="L981" s="4">
        <v>15.052199999999999</v>
      </c>
      <c r="M981" s="4">
        <f t="shared" si="61"/>
        <v>15.239166666666668</v>
      </c>
      <c r="Q981" s="43" t="s">
        <v>2715</v>
      </c>
      <c r="R981" s="4">
        <v>15.3176181759555</v>
      </c>
      <c r="S981" s="4">
        <v>14.825598110974999</v>
      </c>
      <c r="T981" s="4">
        <v>14.8896036745905</v>
      </c>
      <c r="U981" s="4">
        <f t="shared" si="62"/>
        <v>15.010939987173666</v>
      </c>
      <c r="X981" s="43" t="s">
        <v>419</v>
      </c>
      <c r="Y981" s="4">
        <v>14.978633456806801</v>
      </c>
      <c r="Z981" s="4">
        <v>15.083340737611699</v>
      </c>
      <c r="AA981" s="4">
        <v>15.2325149137006</v>
      </c>
      <c r="AB981" s="4">
        <f t="shared" si="63"/>
        <v>15.098163036039701</v>
      </c>
    </row>
    <row r="982" spans="2:28" x14ac:dyDescent="0.2">
      <c r="B982" s="4" t="s">
        <v>777</v>
      </c>
      <c r="C982" s="4">
        <v>15.15</v>
      </c>
      <c r="D982" s="4">
        <v>15.044700000000001</v>
      </c>
      <c r="E982" s="4">
        <v>15.401899999999999</v>
      </c>
      <c r="F982" s="4">
        <f t="shared" si="60"/>
        <v>15.198866666666667</v>
      </c>
      <c r="I982" s="4" t="s">
        <v>95</v>
      </c>
      <c r="J982" s="4">
        <v>15.5436</v>
      </c>
      <c r="K982" s="4">
        <v>14.706</v>
      </c>
      <c r="L982" s="4">
        <v>15.466200000000001</v>
      </c>
      <c r="M982" s="4">
        <f t="shared" si="61"/>
        <v>15.2386</v>
      </c>
      <c r="Q982" s="43" t="s">
        <v>3825</v>
      </c>
      <c r="R982" s="4">
        <v>15.0564332525919</v>
      </c>
      <c r="S982" s="4">
        <v>14.8988077080294</v>
      </c>
      <c r="T982" s="4">
        <v>15.076339449062701</v>
      </c>
      <c r="U982" s="4">
        <f t="shared" si="62"/>
        <v>15.010526803227998</v>
      </c>
      <c r="X982" s="43" t="s">
        <v>3738</v>
      </c>
      <c r="Y982" s="4">
        <v>15.0609624088589</v>
      </c>
      <c r="Z982" s="4">
        <v>14.9631111994986</v>
      </c>
      <c r="AA982" s="4">
        <v>15.2681888291724</v>
      </c>
      <c r="AB982" s="4">
        <f t="shared" si="63"/>
        <v>15.097420812509966</v>
      </c>
    </row>
    <row r="983" spans="2:28" x14ac:dyDescent="0.2">
      <c r="B983" s="4" t="s">
        <v>2687</v>
      </c>
      <c r="C983" s="4">
        <v>15.3362</v>
      </c>
      <c r="D983" s="4">
        <v>15.157999999999999</v>
      </c>
      <c r="E983" s="4">
        <v>15.099600000000001</v>
      </c>
      <c r="F983" s="4">
        <f t="shared" si="60"/>
        <v>15.197933333333333</v>
      </c>
      <c r="I983" s="4" t="s">
        <v>3559</v>
      </c>
      <c r="J983" s="4">
        <v>15.3812</v>
      </c>
      <c r="K983" s="4">
        <v>14.778600000000001</v>
      </c>
      <c r="L983" s="4">
        <v>15.555300000000001</v>
      </c>
      <c r="M983" s="4">
        <f t="shared" si="61"/>
        <v>15.238366666666666</v>
      </c>
      <c r="Q983" s="43" t="s">
        <v>3136</v>
      </c>
      <c r="R983" s="4">
        <v>14.8634019130038</v>
      </c>
      <c r="S983" s="4">
        <v>15.039505615379801</v>
      </c>
      <c r="T983" s="4">
        <v>15.127527168590801</v>
      </c>
      <c r="U983" s="4">
        <f t="shared" si="62"/>
        <v>15.010144898991468</v>
      </c>
      <c r="X983" s="43" t="s">
        <v>674</v>
      </c>
      <c r="Y983" s="4">
        <v>15.2006728690746</v>
      </c>
      <c r="Z983" s="4">
        <v>15.8223509980175</v>
      </c>
      <c r="AA983" s="4">
        <v>14.2500359492242</v>
      </c>
      <c r="AB983" s="4">
        <f t="shared" si="63"/>
        <v>15.091019938772099</v>
      </c>
    </row>
    <row r="984" spans="2:28" x14ac:dyDescent="0.2">
      <c r="B984" s="4" t="s">
        <v>519</v>
      </c>
      <c r="C984" s="4">
        <v>15.0314</v>
      </c>
      <c r="D984" s="4">
        <v>15.105</v>
      </c>
      <c r="E984" s="4">
        <v>15.4512</v>
      </c>
      <c r="F984" s="4">
        <f t="shared" si="60"/>
        <v>15.195866666666667</v>
      </c>
      <c r="I984" s="4" t="s">
        <v>3273</v>
      </c>
      <c r="J984" s="4">
        <v>15.362399999999999</v>
      </c>
      <c r="K984" s="4">
        <v>15.1189</v>
      </c>
      <c r="L984" s="4">
        <v>15.228899999999999</v>
      </c>
      <c r="M984" s="4">
        <f t="shared" si="61"/>
        <v>15.236733333333333</v>
      </c>
      <c r="Q984" s="43" t="s">
        <v>3986</v>
      </c>
      <c r="R984" s="4">
        <v>15.286880645260499</v>
      </c>
      <c r="S984" s="4">
        <v>14.952038990569401</v>
      </c>
      <c r="T984" s="4">
        <v>14.7598271893667</v>
      </c>
      <c r="U984" s="4">
        <f t="shared" si="62"/>
        <v>14.999582275065535</v>
      </c>
      <c r="X984" s="43" t="s">
        <v>793</v>
      </c>
      <c r="Y984" s="4">
        <v>15.156620111092501</v>
      </c>
      <c r="Z984" s="4">
        <v>15.0170985403114</v>
      </c>
      <c r="AA984" s="4">
        <v>15.095306104896901</v>
      </c>
      <c r="AB984" s="4">
        <f t="shared" si="63"/>
        <v>15.089674918766933</v>
      </c>
    </row>
    <row r="985" spans="2:28" x14ac:dyDescent="0.2">
      <c r="B985" s="4" t="s">
        <v>1366</v>
      </c>
      <c r="C985" s="4">
        <v>14.976000000000001</v>
      </c>
      <c r="D985" s="4">
        <v>15.083</v>
      </c>
      <c r="E985" s="4">
        <v>15.5282</v>
      </c>
      <c r="F985" s="4">
        <f t="shared" si="60"/>
        <v>15.195733333333335</v>
      </c>
      <c r="I985" s="4" t="s">
        <v>484</v>
      </c>
      <c r="J985" s="4">
        <v>15.2044</v>
      </c>
      <c r="K985" s="4">
        <v>15.134399999999999</v>
      </c>
      <c r="L985" s="4">
        <v>15.361599999999999</v>
      </c>
      <c r="M985" s="4">
        <f t="shared" si="61"/>
        <v>15.233466666666667</v>
      </c>
      <c r="Q985" s="43" t="s">
        <v>1930</v>
      </c>
      <c r="R985" s="4">
        <v>15.330914147969001</v>
      </c>
      <c r="S985" s="4">
        <v>14.683008693751001</v>
      </c>
      <c r="T985" s="4">
        <v>14.9831924746788</v>
      </c>
      <c r="U985" s="4">
        <f t="shared" si="62"/>
        <v>14.999038438799602</v>
      </c>
      <c r="X985" s="43" t="s">
        <v>4144</v>
      </c>
      <c r="Y985" s="4">
        <v>15.357074631868</v>
      </c>
      <c r="Z985" s="4">
        <v>14.7178250082991</v>
      </c>
      <c r="AA985" s="4">
        <v>15.1876789853698</v>
      </c>
      <c r="AB985" s="4">
        <f t="shared" si="63"/>
        <v>15.087526208512301</v>
      </c>
    </row>
    <row r="986" spans="2:28" x14ac:dyDescent="0.2">
      <c r="B986" s="4" t="s">
        <v>2210</v>
      </c>
      <c r="C986" s="4">
        <v>14.8688</v>
      </c>
      <c r="D986" s="4">
        <v>15.3071</v>
      </c>
      <c r="E986" s="4">
        <v>15.4071</v>
      </c>
      <c r="F986" s="4">
        <f t="shared" si="60"/>
        <v>15.194333333333333</v>
      </c>
      <c r="I986" s="4" t="s">
        <v>1656</v>
      </c>
      <c r="J986" s="4">
        <v>14.572800000000001</v>
      </c>
      <c r="K986" s="4">
        <v>16.235499999999998</v>
      </c>
      <c r="L986" s="4">
        <v>14.8758</v>
      </c>
      <c r="M986" s="4">
        <f t="shared" si="61"/>
        <v>15.228033333333334</v>
      </c>
      <c r="Q986" s="43" t="s">
        <v>4471</v>
      </c>
      <c r="R986" s="4">
        <v>15.077010487734601</v>
      </c>
      <c r="S986" s="4">
        <v>14.8499101755258</v>
      </c>
      <c r="T986" s="4">
        <v>15.069955596593299</v>
      </c>
      <c r="U986" s="4">
        <f t="shared" si="62"/>
        <v>14.998958753284567</v>
      </c>
      <c r="X986" s="43" t="s">
        <v>684</v>
      </c>
      <c r="Y986" s="4">
        <v>15.222383018511399</v>
      </c>
      <c r="Z986" s="4">
        <v>15.651805929498799</v>
      </c>
      <c r="AA986" s="4">
        <v>14.3859976902566</v>
      </c>
      <c r="AB986" s="4">
        <f t="shared" si="63"/>
        <v>15.086728879422267</v>
      </c>
    </row>
    <row r="987" spans="2:28" x14ac:dyDescent="0.2">
      <c r="B987" s="4" t="s">
        <v>2192</v>
      </c>
      <c r="C987" s="4">
        <v>15.4381</v>
      </c>
      <c r="D987" s="4">
        <v>14.8749</v>
      </c>
      <c r="E987" s="4">
        <v>15.2684</v>
      </c>
      <c r="F987" s="4">
        <f t="shared" si="60"/>
        <v>15.193800000000001</v>
      </c>
      <c r="I987" s="4" t="s">
        <v>839</v>
      </c>
      <c r="J987" s="4">
        <v>15.601100000000001</v>
      </c>
      <c r="K987" s="4">
        <v>14.0649</v>
      </c>
      <c r="L987" s="4">
        <v>16.0139</v>
      </c>
      <c r="M987" s="4">
        <f t="shared" si="61"/>
        <v>15.226633333333334</v>
      </c>
      <c r="Q987" s="43" t="s">
        <v>852</v>
      </c>
      <c r="R987" s="4">
        <v>14.2864309526091</v>
      </c>
      <c r="S987" s="4">
        <v>15.128075781332001</v>
      </c>
      <c r="T987" s="4">
        <v>15.565278004906499</v>
      </c>
      <c r="U987" s="4">
        <f t="shared" si="62"/>
        <v>14.993261579615867</v>
      </c>
      <c r="X987" s="43" t="s">
        <v>2756</v>
      </c>
      <c r="Y987" s="4">
        <v>15.099850426867</v>
      </c>
      <c r="Z987" s="4">
        <v>15.139979126606701</v>
      </c>
      <c r="AA987" s="4">
        <v>15.0041172707082</v>
      </c>
      <c r="AB987" s="4">
        <f t="shared" si="63"/>
        <v>15.081315608060635</v>
      </c>
    </row>
    <row r="988" spans="2:28" x14ac:dyDescent="0.2">
      <c r="B988" s="4" t="s">
        <v>4007</v>
      </c>
      <c r="C988" s="4">
        <v>14.2491</v>
      </c>
      <c r="D988" s="4">
        <v>15.678900000000001</v>
      </c>
      <c r="E988" s="4">
        <v>15.6526</v>
      </c>
      <c r="F988" s="4">
        <f t="shared" si="60"/>
        <v>15.193533333333335</v>
      </c>
      <c r="I988" s="4" t="s">
        <v>1356</v>
      </c>
      <c r="J988" s="4">
        <v>15.054500000000001</v>
      </c>
      <c r="K988" s="4">
        <v>15.3688</v>
      </c>
      <c r="L988" s="4">
        <v>15.2559</v>
      </c>
      <c r="M988" s="4">
        <f t="shared" si="61"/>
        <v>15.2264</v>
      </c>
      <c r="Q988" s="43" t="s">
        <v>2645</v>
      </c>
      <c r="R988" s="4">
        <v>15.1497753043442</v>
      </c>
      <c r="S988" s="4">
        <v>14.983091528832601</v>
      </c>
      <c r="T988" s="4">
        <v>14.846831499791399</v>
      </c>
      <c r="U988" s="4">
        <f t="shared" si="62"/>
        <v>14.993232777656067</v>
      </c>
      <c r="X988" s="43" t="s">
        <v>4078</v>
      </c>
      <c r="Y988" s="4">
        <v>14.720785329601201</v>
      </c>
      <c r="Z988" s="4">
        <v>15.4925136040812</v>
      </c>
      <c r="AA988" s="4">
        <v>15.029589133884199</v>
      </c>
      <c r="AB988" s="4">
        <f t="shared" si="63"/>
        <v>15.080962689188867</v>
      </c>
    </row>
    <row r="989" spans="2:28" x14ac:dyDescent="0.2">
      <c r="B989" s="4" t="s">
        <v>3903</v>
      </c>
      <c r="C989" s="4">
        <v>14.8941</v>
      </c>
      <c r="D989" s="4">
        <v>15.093</v>
      </c>
      <c r="E989" s="4">
        <v>15.5825</v>
      </c>
      <c r="F989" s="4">
        <f t="shared" si="60"/>
        <v>15.189866666666665</v>
      </c>
      <c r="I989" s="4" t="s">
        <v>2564</v>
      </c>
      <c r="J989" s="4">
        <v>15.384</v>
      </c>
      <c r="K989" s="4">
        <v>14.870100000000001</v>
      </c>
      <c r="L989" s="4">
        <v>15.408200000000001</v>
      </c>
      <c r="M989" s="4">
        <f t="shared" si="61"/>
        <v>15.220766666666668</v>
      </c>
      <c r="Q989" s="43" t="s">
        <v>1242</v>
      </c>
      <c r="R989" s="4">
        <v>15.2132328417082</v>
      </c>
      <c r="S989" s="4">
        <v>14.832042050075399</v>
      </c>
      <c r="T989" s="4">
        <v>14.933735140268499</v>
      </c>
      <c r="U989" s="4">
        <f t="shared" si="62"/>
        <v>14.993003344017367</v>
      </c>
      <c r="X989" s="43" t="s">
        <v>2719</v>
      </c>
      <c r="Y989" s="4">
        <v>15.1196872329841</v>
      </c>
      <c r="Z989" s="4">
        <v>15.204870268728699</v>
      </c>
      <c r="AA989" s="4">
        <v>14.9178814240706</v>
      </c>
      <c r="AB989" s="4">
        <f t="shared" si="63"/>
        <v>15.080812975261134</v>
      </c>
    </row>
    <row r="990" spans="2:28" x14ac:dyDescent="0.2">
      <c r="B990" s="4" t="s">
        <v>1242</v>
      </c>
      <c r="C990" s="4">
        <v>15.3811</v>
      </c>
      <c r="D990" s="4">
        <v>15.122299999999999</v>
      </c>
      <c r="E990" s="4">
        <v>15.0616</v>
      </c>
      <c r="F990" s="4">
        <f t="shared" si="60"/>
        <v>15.188333333333333</v>
      </c>
      <c r="I990" s="4" t="s">
        <v>2318</v>
      </c>
      <c r="J990" s="4">
        <v>15.1974</v>
      </c>
      <c r="K990" s="4">
        <v>15.303100000000001</v>
      </c>
      <c r="L990" s="4">
        <v>15.157</v>
      </c>
      <c r="M990" s="4">
        <f t="shared" si="61"/>
        <v>15.219166666666666</v>
      </c>
      <c r="Q990" s="43" t="s">
        <v>1628</v>
      </c>
      <c r="R990" s="4">
        <v>14.8128831238497</v>
      </c>
      <c r="S990" s="4">
        <v>14.9371024496466</v>
      </c>
      <c r="T990" s="4">
        <v>15.2163744026407</v>
      </c>
      <c r="U990" s="4">
        <f t="shared" si="62"/>
        <v>14.988786658712334</v>
      </c>
      <c r="X990" s="43" t="s">
        <v>1031</v>
      </c>
      <c r="Y990" s="4">
        <v>14.8435110295671</v>
      </c>
      <c r="Z990" s="4">
        <v>15.223788220002501</v>
      </c>
      <c r="AA990" s="4">
        <v>15.1710202156551</v>
      </c>
      <c r="AB990" s="4">
        <f t="shared" si="63"/>
        <v>15.079439821741566</v>
      </c>
    </row>
    <row r="991" spans="2:28" x14ac:dyDescent="0.2">
      <c r="B991" s="4" t="s">
        <v>3164</v>
      </c>
      <c r="C991" s="4">
        <v>15.130699999999999</v>
      </c>
      <c r="D991" s="4">
        <v>15.0794</v>
      </c>
      <c r="E991" s="4">
        <v>15.3497</v>
      </c>
      <c r="F991" s="4">
        <f t="shared" si="60"/>
        <v>15.186599999999999</v>
      </c>
      <c r="I991" s="4" t="s">
        <v>2170</v>
      </c>
      <c r="J991" s="4">
        <v>15.452999999999999</v>
      </c>
      <c r="K991" s="4">
        <v>14.7563</v>
      </c>
      <c r="L991" s="4">
        <v>15.441599999999999</v>
      </c>
      <c r="M991" s="4">
        <f t="shared" si="61"/>
        <v>15.216966666666666</v>
      </c>
      <c r="Q991" s="43" t="s">
        <v>2170</v>
      </c>
      <c r="R991" s="4">
        <v>15.0360778117208</v>
      </c>
      <c r="S991" s="4">
        <v>14.797108143650799</v>
      </c>
      <c r="T991" s="4">
        <v>15.1184120187626</v>
      </c>
      <c r="U991" s="4">
        <f t="shared" si="62"/>
        <v>14.983865991378066</v>
      </c>
      <c r="X991" s="43" t="s">
        <v>2012</v>
      </c>
      <c r="Y991" s="4">
        <v>15.0029820036606</v>
      </c>
      <c r="Z991" s="4">
        <v>14.9064002604328</v>
      </c>
      <c r="AA991" s="4">
        <v>15.322647726526901</v>
      </c>
      <c r="AB991" s="4">
        <f t="shared" si="63"/>
        <v>15.077343330206768</v>
      </c>
    </row>
    <row r="992" spans="2:28" x14ac:dyDescent="0.2">
      <c r="B992" s="4" t="s">
        <v>2542</v>
      </c>
      <c r="C992" s="4">
        <v>14.783200000000001</v>
      </c>
      <c r="D992" s="4">
        <v>16.634499999999999</v>
      </c>
      <c r="E992" s="4">
        <v>14.141999999999999</v>
      </c>
      <c r="F992" s="4">
        <f t="shared" si="60"/>
        <v>15.186566666666666</v>
      </c>
      <c r="I992" s="4" t="s">
        <v>1691</v>
      </c>
      <c r="J992" s="4">
        <v>15.403700000000001</v>
      </c>
      <c r="K992" s="4">
        <v>14.693300000000001</v>
      </c>
      <c r="L992" s="4">
        <v>15.553699999999999</v>
      </c>
      <c r="M992" s="4">
        <f t="shared" si="61"/>
        <v>15.216900000000001</v>
      </c>
      <c r="Q992" s="43" t="s">
        <v>2843</v>
      </c>
      <c r="R992" s="4">
        <v>15.0603041680952</v>
      </c>
      <c r="S992" s="4">
        <v>14.951804010119799</v>
      </c>
      <c r="T992" s="4">
        <v>14.932941869636601</v>
      </c>
      <c r="U992" s="4">
        <f t="shared" si="62"/>
        <v>14.981683349283868</v>
      </c>
      <c r="X992" s="43" t="s">
        <v>884</v>
      </c>
      <c r="Y992" s="4">
        <v>14.864104913977</v>
      </c>
      <c r="Z992" s="4">
        <v>15.1262964877762</v>
      </c>
      <c r="AA992" s="4">
        <v>15.2410043044825</v>
      </c>
      <c r="AB992" s="4">
        <f t="shared" si="63"/>
        <v>15.0771352354119</v>
      </c>
    </row>
    <row r="993" spans="2:28" x14ac:dyDescent="0.2">
      <c r="B993" s="4" t="s">
        <v>1486</v>
      </c>
      <c r="C993" s="4">
        <v>14.700799999999999</v>
      </c>
      <c r="D993" s="4">
        <v>14.7043</v>
      </c>
      <c r="E993" s="4">
        <v>16.1462</v>
      </c>
      <c r="F993" s="4">
        <f t="shared" si="60"/>
        <v>15.183766666666665</v>
      </c>
      <c r="I993" s="4" t="s">
        <v>2320</v>
      </c>
      <c r="J993" s="4">
        <v>15.4129</v>
      </c>
      <c r="K993" s="4">
        <v>14.5206</v>
      </c>
      <c r="L993" s="4">
        <v>15.710100000000001</v>
      </c>
      <c r="M993" s="4">
        <f t="shared" si="61"/>
        <v>15.214533333333335</v>
      </c>
      <c r="Q993" s="43" t="s">
        <v>2789</v>
      </c>
      <c r="R993" s="4">
        <v>14.901715867702601</v>
      </c>
      <c r="S993" s="4">
        <v>15.1294625209805</v>
      </c>
      <c r="T993" s="4">
        <v>14.912824627137001</v>
      </c>
      <c r="U993" s="4">
        <f t="shared" si="62"/>
        <v>14.9813343386067</v>
      </c>
      <c r="X993" s="43" t="s">
        <v>1933</v>
      </c>
      <c r="Y993" s="4">
        <v>15.1177006800289</v>
      </c>
      <c r="Z993" s="4">
        <v>15.4113131342764</v>
      </c>
      <c r="AA993" s="4">
        <v>14.6995395992789</v>
      </c>
      <c r="AB993" s="4">
        <f t="shared" si="63"/>
        <v>15.076184471194734</v>
      </c>
    </row>
    <row r="994" spans="2:28" x14ac:dyDescent="0.2">
      <c r="B994" s="4" t="s">
        <v>4011</v>
      </c>
      <c r="C994" s="4">
        <v>15.098000000000001</v>
      </c>
      <c r="D994" s="4">
        <v>15.2644</v>
      </c>
      <c r="E994" s="4">
        <v>15.1806</v>
      </c>
      <c r="F994" s="4">
        <f t="shared" si="60"/>
        <v>15.180999999999999</v>
      </c>
      <c r="I994" s="4" t="s">
        <v>917</v>
      </c>
      <c r="J994" s="4">
        <v>15.379099999999999</v>
      </c>
      <c r="K994" s="4">
        <v>14.860099999999999</v>
      </c>
      <c r="L994" s="4">
        <v>15.4039</v>
      </c>
      <c r="M994" s="4">
        <f t="shared" si="61"/>
        <v>15.214366666666665</v>
      </c>
      <c r="Q994" s="43" t="s">
        <v>3028</v>
      </c>
      <c r="R994" s="4">
        <v>14.870558883305099</v>
      </c>
      <c r="S994" s="4">
        <v>15.133929652547801</v>
      </c>
      <c r="T994" s="4">
        <v>14.9368768840759</v>
      </c>
      <c r="U994" s="4">
        <f t="shared" si="62"/>
        <v>14.980455139976266</v>
      </c>
      <c r="X994" s="43" t="s">
        <v>1751</v>
      </c>
      <c r="Y994" s="4">
        <v>15.0584250029125</v>
      </c>
      <c r="Z994" s="4">
        <v>15.0498126004124</v>
      </c>
      <c r="AA994" s="4">
        <v>15.116880238965701</v>
      </c>
      <c r="AB994" s="4">
        <f t="shared" si="63"/>
        <v>15.075039280763534</v>
      </c>
    </row>
    <row r="995" spans="2:28" x14ac:dyDescent="0.2">
      <c r="B995" s="4" t="s">
        <v>3081</v>
      </c>
      <c r="C995" s="4">
        <v>15.213900000000001</v>
      </c>
      <c r="D995" s="4">
        <v>15.367599999999999</v>
      </c>
      <c r="E995" s="4">
        <v>14.957700000000001</v>
      </c>
      <c r="F995" s="4">
        <f t="shared" si="60"/>
        <v>15.179733333333333</v>
      </c>
      <c r="I995" s="4" t="s">
        <v>1481</v>
      </c>
      <c r="J995" s="4">
        <v>14.733499999999999</v>
      </c>
      <c r="K995" s="4">
        <v>16.029299999999999</v>
      </c>
      <c r="L995" s="4">
        <v>14.8797</v>
      </c>
      <c r="M995" s="4">
        <f t="shared" si="61"/>
        <v>15.214166666666666</v>
      </c>
      <c r="Q995" s="43" t="s">
        <v>4210</v>
      </c>
      <c r="R995" s="4">
        <v>14.979100610275101</v>
      </c>
      <c r="S995" s="4">
        <v>14.973851947980201</v>
      </c>
      <c r="T995" s="4">
        <v>14.9798021846811</v>
      </c>
      <c r="U995" s="4">
        <f t="shared" si="62"/>
        <v>14.977584914312134</v>
      </c>
      <c r="X995" s="43" t="s">
        <v>3902</v>
      </c>
      <c r="Y995" s="4">
        <v>15.1053989176695</v>
      </c>
      <c r="Z995" s="4">
        <v>15.2263667941761</v>
      </c>
      <c r="AA995" s="4">
        <v>14.8874007835713</v>
      </c>
      <c r="AB995" s="4">
        <f t="shared" si="63"/>
        <v>15.0730554984723</v>
      </c>
    </row>
    <row r="996" spans="2:28" x14ac:dyDescent="0.2">
      <c r="B996" s="4" t="s">
        <v>2200</v>
      </c>
      <c r="C996" s="4">
        <v>15.1967</v>
      </c>
      <c r="D996" s="4">
        <v>15.1624</v>
      </c>
      <c r="E996" s="4">
        <v>15.165900000000001</v>
      </c>
      <c r="F996" s="4">
        <f t="shared" si="60"/>
        <v>15.174999999999999</v>
      </c>
      <c r="I996" s="4" t="s">
        <v>1071</v>
      </c>
      <c r="J996" s="4">
        <v>14.5855</v>
      </c>
      <c r="K996" s="4">
        <v>16.405899999999999</v>
      </c>
      <c r="L996" s="4">
        <v>14.6419</v>
      </c>
      <c r="M996" s="4">
        <f t="shared" si="61"/>
        <v>15.2111</v>
      </c>
      <c r="Q996" s="43" t="s">
        <v>2613</v>
      </c>
      <c r="R996" s="4">
        <v>14.997042034962501</v>
      </c>
      <c r="S996" s="4">
        <v>14.9227678646527</v>
      </c>
      <c r="T996" s="4">
        <v>15.0079694550196</v>
      </c>
      <c r="U996" s="4">
        <f t="shared" si="62"/>
        <v>14.975926451544934</v>
      </c>
      <c r="X996" s="43" t="s">
        <v>4485</v>
      </c>
      <c r="Y996" s="4">
        <v>14.984721219948501</v>
      </c>
      <c r="Z996" s="4">
        <v>15.057839319455301</v>
      </c>
      <c r="AA996" s="4">
        <v>15.1744093405361</v>
      </c>
      <c r="AB996" s="4">
        <f t="shared" si="63"/>
        <v>15.072323293313302</v>
      </c>
    </row>
    <row r="997" spans="2:28" x14ac:dyDescent="0.2">
      <c r="B997" s="4" t="s">
        <v>1795</v>
      </c>
      <c r="C997" s="4">
        <v>15.0732</v>
      </c>
      <c r="D997" s="4">
        <v>15.307499999999999</v>
      </c>
      <c r="E997" s="4">
        <v>15.1264</v>
      </c>
      <c r="F997" s="4">
        <f t="shared" si="60"/>
        <v>15.169033333333331</v>
      </c>
      <c r="I997" s="4" t="s">
        <v>2615</v>
      </c>
      <c r="J997" s="4">
        <v>15.4316</v>
      </c>
      <c r="K997" s="4">
        <v>14.9832</v>
      </c>
      <c r="L997" s="4">
        <v>15.2127</v>
      </c>
      <c r="M997" s="4">
        <f t="shared" si="61"/>
        <v>15.209166666666667</v>
      </c>
      <c r="Q997" s="43" t="s">
        <v>1648</v>
      </c>
      <c r="R997" s="4">
        <v>14.841966547155801</v>
      </c>
      <c r="S997" s="4">
        <v>14.9991001555794</v>
      </c>
      <c r="T997" s="4">
        <v>15.0818866097746</v>
      </c>
      <c r="U997" s="4">
        <f t="shared" si="62"/>
        <v>14.974317770836601</v>
      </c>
      <c r="X997" s="43" t="s">
        <v>3660</v>
      </c>
      <c r="Y997" s="4">
        <v>15.1378034918756</v>
      </c>
      <c r="Z997" s="4">
        <v>15.229515157377801</v>
      </c>
      <c r="AA997" s="4">
        <v>14.842836847374601</v>
      </c>
      <c r="AB997" s="4">
        <f t="shared" si="63"/>
        <v>15.070051832209332</v>
      </c>
    </row>
    <row r="998" spans="2:28" x14ac:dyDescent="0.2">
      <c r="B998" s="4" t="s">
        <v>3715</v>
      </c>
      <c r="C998" s="4">
        <v>15.2225</v>
      </c>
      <c r="D998" s="4">
        <v>15.485900000000001</v>
      </c>
      <c r="E998" s="4">
        <v>14.7933</v>
      </c>
      <c r="F998" s="4">
        <f t="shared" si="60"/>
        <v>15.167233333333334</v>
      </c>
      <c r="I998" s="4" t="s">
        <v>2451</v>
      </c>
      <c r="J998" s="4">
        <v>15.407299999999999</v>
      </c>
      <c r="K998" s="4">
        <v>14.7453</v>
      </c>
      <c r="L998" s="4">
        <v>15.4686</v>
      </c>
      <c r="M998" s="4">
        <f t="shared" si="61"/>
        <v>15.207066666666668</v>
      </c>
      <c r="Q998" s="43" t="s">
        <v>2960</v>
      </c>
      <c r="R998" s="4">
        <v>15.105381816887499</v>
      </c>
      <c r="S998" s="4">
        <v>14.9233383967967</v>
      </c>
      <c r="T998" s="4">
        <v>14.8915054063359</v>
      </c>
      <c r="U998" s="4">
        <f t="shared" si="62"/>
        <v>14.9734085400067</v>
      </c>
      <c r="X998" s="43" t="s">
        <v>2608</v>
      </c>
      <c r="Y998" s="4">
        <v>15.115058079953799</v>
      </c>
      <c r="Z998" s="4">
        <v>15.018267059185501</v>
      </c>
      <c r="AA998" s="4">
        <v>15.0768023655544</v>
      </c>
      <c r="AB998" s="4">
        <f t="shared" si="63"/>
        <v>15.070042501564567</v>
      </c>
    </row>
    <row r="999" spans="2:28" x14ac:dyDescent="0.2">
      <c r="B999" s="4" t="s">
        <v>1465</v>
      </c>
      <c r="C999" s="4">
        <v>15.235799999999999</v>
      </c>
      <c r="D999" s="4">
        <v>15.1027</v>
      </c>
      <c r="E999" s="4">
        <v>15.1587</v>
      </c>
      <c r="F999" s="4">
        <f t="shared" si="60"/>
        <v>15.165733333333334</v>
      </c>
      <c r="I999" s="4" t="s">
        <v>3625</v>
      </c>
      <c r="J999" s="4">
        <v>15.4032</v>
      </c>
      <c r="K999" s="4">
        <v>15.0786</v>
      </c>
      <c r="L999" s="4">
        <v>15.137700000000001</v>
      </c>
      <c r="M999" s="4">
        <f t="shared" si="61"/>
        <v>15.2065</v>
      </c>
      <c r="Q999" s="43" t="s">
        <v>3453</v>
      </c>
      <c r="R999" s="4">
        <v>15.0849057204583</v>
      </c>
      <c r="S999" s="4">
        <v>14.784898633610901</v>
      </c>
      <c r="T999" s="4">
        <v>15.048670908231699</v>
      </c>
      <c r="U999" s="4">
        <f t="shared" si="62"/>
        <v>14.972825087433634</v>
      </c>
      <c r="X999" s="43" t="s">
        <v>3442</v>
      </c>
      <c r="Y999" s="4">
        <v>15.169765310640299</v>
      </c>
      <c r="Z999" s="4">
        <v>15.084688559050599</v>
      </c>
      <c r="AA999" s="4">
        <v>14.9535333642695</v>
      </c>
      <c r="AB999" s="4">
        <f t="shared" si="63"/>
        <v>15.069329077986799</v>
      </c>
    </row>
    <row r="1000" spans="2:28" x14ac:dyDescent="0.2">
      <c r="B1000" s="4" t="s">
        <v>3051</v>
      </c>
      <c r="C1000" s="4">
        <v>15.1564</v>
      </c>
      <c r="D1000" s="4">
        <v>15.102499999999999</v>
      </c>
      <c r="E1000" s="4">
        <v>15.232900000000001</v>
      </c>
      <c r="F1000" s="4">
        <f t="shared" si="60"/>
        <v>15.163933333333333</v>
      </c>
      <c r="I1000" s="4" t="s">
        <v>1693</v>
      </c>
      <c r="J1000" s="4">
        <v>14.652699999999999</v>
      </c>
      <c r="K1000" s="4">
        <v>16.480499999999999</v>
      </c>
      <c r="L1000" s="4">
        <v>14.478199999999999</v>
      </c>
      <c r="M1000" s="4">
        <f t="shared" si="61"/>
        <v>15.203799999999999</v>
      </c>
      <c r="Q1000" s="43" t="s">
        <v>1470</v>
      </c>
      <c r="R1000" s="4">
        <v>15.3057403980134</v>
      </c>
      <c r="S1000" s="4">
        <v>14.836983228300699</v>
      </c>
      <c r="T1000" s="4">
        <v>14.7727122175608</v>
      </c>
      <c r="U1000" s="4">
        <f t="shared" si="62"/>
        <v>14.971811947958301</v>
      </c>
      <c r="X1000" s="43" t="s">
        <v>3703</v>
      </c>
      <c r="Y1000" s="4">
        <v>15.0948673102023</v>
      </c>
      <c r="Z1000" s="4">
        <v>15.1030909355467</v>
      </c>
      <c r="AA1000" s="4">
        <v>15.003895474660601</v>
      </c>
      <c r="AB1000" s="4">
        <f t="shared" si="63"/>
        <v>15.067284573469868</v>
      </c>
    </row>
    <row r="1001" spans="2:28" x14ac:dyDescent="0.2">
      <c r="B1001" s="4" t="s">
        <v>3133</v>
      </c>
      <c r="C1001" s="4">
        <v>15.061999999999999</v>
      </c>
      <c r="D1001" s="4">
        <v>15.281700000000001</v>
      </c>
      <c r="E1001" s="4">
        <v>15.1424</v>
      </c>
      <c r="F1001" s="4">
        <f t="shared" si="60"/>
        <v>15.162033333333333</v>
      </c>
      <c r="I1001" s="4" t="s">
        <v>609</v>
      </c>
      <c r="J1001" s="4">
        <v>15.06</v>
      </c>
      <c r="K1001" s="4">
        <v>15.053000000000001</v>
      </c>
      <c r="L1001" s="4">
        <v>15.467499999999999</v>
      </c>
      <c r="M1001" s="4">
        <f t="shared" si="61"/>
        <v>15.1935</v>
      </c>
      <c r="Q1001" s="43" t="s">
        <v>1356</v>
      </c>
      <c r="R1001" s="4">
        <v>15.020271721002199</v>
      </c>
      <c r="S1001" s="4">
        <v>14.8677905813917</v>
      </c>
      <c r="T1001" s="4">
        <v>15.024285864801</v>
      </c>
      <c r="U1001" s="4">
        <f t="shared" si="62"/>
        <v>14.970782722398299</v>
      </c>
      <c r="X1001" s="43" t="s">
        <v>3450</v>
      </c>
      <c r="Y1001" s="4">
        <v>15.200249650416501</v>
      </c>
      <c r="Z1001" s="4">
        <v>15.143552478200601</v>
      </c>
      <c r="AA1001" s="4">
        <v>14.8496587063385</v>
      </c>
      <c r="AB1001" s="4">
        <f t="shared" si="63"/>
        <v>15.0644869449852</v>
      </c>
    </row>
    <row r="1002" spans="2:28" x14ac:dyDescent="0.2">
      <c r="B1002" s="4" t="s">
        <v>1724</v>
      </c>
      <c r="C1002" s="4">
        <v>15.357900000000001</v>
      </c>
      <c r="D1002" s="4">
        <v>15.044499999999999</v>
      </c>
      <c r="E1002" s="4">
        <v>15.0779</v>
      </c>
      <c r="F1002" s="4">
        <f t="shared" si="60"/>
        <v>15.1601</v>
      </c>
      <c r="I1002" s="4" t="s">
        <v>2113</v>
      </c>
      <c r="J1002" s="4">
        <v>15.577999999999999</v>
      </c>
      <c r="K1002" s="4">
        <v>14.517899999999999</v>
      </c>
      <c r="L1002" s="4">
        <v>15.483499999999999</v>
      </c>
      <c r="M1002" s="4">
        <f t="shared" si="61"/>
        <v>15.193133333333334</v>
      </c>
      <c r="Q1002" s="43" t="s">
        <v>2694</v>
      </c>
      <c r="R1002" s="4">
        <v>15.0229965105012</v>
      </c>
      <c r="S1002" s="4">
        <v>14.992297753112201</v>
      </c>
      <c r="T1002" s="4">
        <v>14.888629084112599</v>
      </c>
      <c r="U1002" s="4">
        <f t="shared" si="62"/>
        <v>14.967974449242</v>
      </c>
      <c r="X1002" s="43" t="s">
        <v>3732</v>
      </c>
      <c r="Y1002" s="4">
        <v>15.0635712457695</v>
      </c>
      <c r="Z1002" s="4">
        <v>15.184684422324899</v>
      </c>
      <c r="AA1002" s="4">
        <v>14.944218414178501</v>
      </c>
      <c r="AB1002" s="4">
        <f t="shared" si="63"/>
        <v>15.0641580274243</v>
      </c>
    </row>
    <row r="1003" spans="2:28" x14ac:dyDescent="0.2">
      <c r="B1003" s="4" t="s">
        <v>2744</v>
      </c>
      <c r="C1003" s="4">
        <v>14.848699999999999</v>
      </c>
      <c r="D1003" s="4">
        <v>15.161300000000001</v>
      </c>
      <c r="E1003" s="4">
        <v>15.4633</v>
      </c>
      <c r="F1003" s="4">
        <f t="shared" si="60"/>
        <v>15.157766666666666</v>
      </c>
      <c r="I1003" s="4" t="s">
        <v>233</v>
      </c>
      <c r="J1003" s="4">
        <v>15.3612</v>
      </c>
      <c r="K1003" s="4">
        <v>14.8621</v>
      </c>
      <c r="L1003" s="4">
        <v>15.356</v>
      </c>
      <c r="M1003" s="4">
        <f t="shared" si="61"/>
        <v>15.193100000000001</v>
      </c>
      <c r="Q1003" s="43" t="s">
        <v>4548</v>
      </c>
      <c r="R1003" s="4">
        <v>14.8779897565165</v>
      </c>
      <c r="S1003" s="4">
        <v>15.0324691289615</v>
      </c>
      <c r="T1003" s="4">
        <v>14.976592808525</v>
      </c>
      <c r="U1003" s="4">
        <f t="shared" si="62"/>
        <v>14.962350564667666</v>
      </c>
      <c r="X1003" s="43" t="s">
        <v>1496</v>
      </c>
      <c r="Y1003" s="4">
        <v>14.9452940269175</v>
      </c>
      <c r="Z1003" s="4">
        <v>15.104902504222199</v>
      </c>
      <c r="AA1003" s="4">
        <v>15.135465898934401</v>
      </c>
      <c r="AB1003" s="4">
        <f t="shared" si="63"/>
        <v>15.061887476691366</v>
      </c>
    </row>
    <row r="1004" spans="2:28" x14ac:dyDescent="0.2">
      <c r="B1004" s="4" t="s">
        <v>3636</v>
      </c>
      <c r="C1004" s="4">
        <v>15.1791</v>
      </c>
      <c r="D1004" s="4">
        <v>15.2095</v>
      </c>
      <c r="E1004" s="4">
        <v>15.083500000000001</v>
      </c>
      <c r="F1004" s="4">
        <f t="shared" si="60"/>
        <v>15.157366666666666</v>
      </c>
      <c r="I1004" s="4" t="s">
        <v>3049</v>
      </c>
      <c r="J1004" s="4">
        <v>15.5099</v>
      </c>
      <c r="K1004" s="4">
        <v>14.8828</v>
      </c>
      <c r="L1004" s="4">
        <v>15.1823</v>
      </c>
      <c r="M1004" s="4">
        <f t="shared" si="61"/>
        <v>15.191666666666665</v>
      </c>
      <c r="Q1004" s="43" t="s">
        <v>1677</v>
      </c>
      <c r="R1004" s="4">
        <v>14.956756211238</v>
      </c>
      <c r="S1004" s="4">
        <v>14.945464859456999</v>
      </c>
      <c r="T1004" s="4">
        <v>14.9734264055969</v>
      </c>
      <c r="U1004" s="4">
        <f t="shared" si="62"/>
        <v>14.958549158763967</v>
      </c>
      <c r="X1004" s="43" t="s">
        <v>2209</v>
      </c>
      <c r="Y1004" s="4">
        <v>14.984827714526199</v>
      </c>
      <c r="Z1004" s="4">
        <v>15.043597131404001</v>
      </c>
      <c r="AA1004" s="4">
        <v>15.154046804473399</v>
      </c>
      <c r="AB1004" s="4">
        <f t="shared" si="63"/>
        <v>15.060823883467867</v>
      </c>
    </row>
    <row r="1005" spans="2:28" x14ac:dyDescent="0.2">
      <c r="B1005" s="4" t="s">
        <v>4078</v>
      </c>
      <c r="C1005" s="4">
        <v>15.1592</v>
      </c>
      <c r="D1005" s="4">
        <v>15.1198</v>
      </c>
      <c r="E1005" s="4">
        <v>15.186400000000001</v>
      </c>
      <c r="F1005" s="4">
        <f t="shared" si="60"/>
        <v>15.155133333333334</v>
      </c>
      <c r="I1005" s="4" t="s">
        <v>3669</v>
      </c>
      <c r="J1005" s="4">
        <v>15.156499999999999</v>
      </c>
      <c r="K1005" s="4">
        <v>15.0685</v>
      </c>
      <c r="L1005" s="4">
        <v>15.3438</v>
      </c>
      <c r="M1005" s="4">
        <f t="shared" si="61"/>
        <v>15.1896</v>
      </c>
      <c r="Q1005" s="43" t="s">
        <v>2582</v>
      </c>
      <c r="R1005" s="4">
        <v>14.7167777891892</v>
      </c>
      <c r="S1005" s="4">
        <v>15.1223256078401</v>
      </c>
      <c r="T1005" s="4">
        <v>15.0362183597911</v>
      </c>
      <c r="U1005" s="4">
        <f t="shared" si="62"/>
        <v>14.9584405856068</v>
      </c>
      <c r="X1005" s="43" t="s">
        <v>443</v>
      </c>
      <c r="Y1005" s="4">
        <v>15.0231998738331</v>
      </c>
      <c r="Z1005" s="4">
        <v>15.1206853033132</v>
      </c>
      <c r="AA1005" s="4">
        <v>15.028154215632</v>
      </c>
      <c r="AB1005" s="4">
        <f t="shared" si="63"/>
        <v>15.057346464259433</v>
      </c>
    </row>
    <row r="1006" spans="2:28" x14ac:dyDescent="0.2">
      <c r="B1006" s="4" t="s">
        <v>2725</v>
      </c>
      <c r="C1006" s="4">
        <v>15.3687</v>
      </c>
      <c r="D1006" s="4">
        <v>14.974500000000001</v>
      </c>
      <c r="E1006" s="4">
        <v>15.1204</v>
      </c>
      <c r="F1006" s="4">
        <f t="shared" si="60"/>
        <v>15.154533333333333</v>
      </c>
      <c r="I1006" s="4" t="s">
        <v>4064</v>
      </c>
      <c r="J1006" s="4">
        <v>14.738</v>
      </c>
      <c r="K1006" s="4">
        <v>15.5198</v>
      </c>
      <c r="L1006" s="4">
        <v>15.307600000000001</v>
      </c>
      <c r="M1006" s="4">
        <f t="shared" si="61"/>
        <v>15.188466666666665</v>
      </c>
      <c r="Q1006" s="43" t="s">
        <v>3257</v>
      </c>
      <c r="R1006" s="4">
        <v>14.8722204759422</v>
      </c>
      <c r="S1006" s="4">
        <v>15.025228243379001</v>
      </c>
      <c r="T1006" s="4">
        <v>14.973718113438</v>
      </c>
      <c r="U1006" s="4">
        <f t="shared" si="62"/>
        <v>14.957055610919733</v>
      </c>
      <c r="X1006" s="43" t="s">
        <v>2738</v>
      </c>
      <c r="Y1006" s="4">
        <v>15.299028351378199</v>
      </c>
      <c r="Z1006" s="4">
        <v>14.9464831545425</v>
      </c>
      <c r="AA1006" s="4">
        <v>14.915660164821899</v>
      </c>
      <c r="AB1006" s="4">
        <f t="shared" si="63"/>
        <v>15.053723890247532</v>
      </c>
    </row>
    <row r="1007" spans="2:28" x14ac:dyDescent="0.2">
      <c r="B1007" s="4" t="s">
        <v>1360</v>
      </c>
      <c r="C1007" s="4">
        <v>15.370100000000001</v>
      </c>
      <c r="D1007" s="4">
        <v>15.1698</v>
      </c>
      <c r="E1007" s="4">
        <v>14.918100000000001</v>
      </c>
      <c r="F1007" s="4">
        <f t="shared" si="60"/>
        <v>15.152666666666669</v>
      </c>
      <c r="I1007" s="4" t="s">
        <v>3651</v>
      </c>
      <c r="J1007" s="4">
        <v>14.7219</v>
      </c>
      <c r="K1007" s="4">
        <v>15.897399999999999</v>
      </c>
      <c r="L1007" s="4">
        <v>14.9353</v>
      </c>
      <c r="M1007" s="4">
        <f t="shared" si="61"/>
        <v>15.184866666666666</v>
      </c>
      <c r="Q1007" s="43" t="s">
        <v>3098</v>
      </c>
      <c r="R1007" s="4">
        <v>14.7351656218584</v>
      </c>
      <c r="S1007" s="4">
        <v>14.991838805026401</v>
      </c>
      <c r="T1007" s="4">
        <v>15.1333565523807</v>
      </c>
      <c r="U1007" s="4">
        <f t="shared" si="62"/>
        <v>14.953453659755167</v>
      </c>
      <c r="X1007" s="43" t="s">
        <v>1924</v>
      </c>
      <c r="Y1007" s="4">
        <v>15.253195081945799</v>
      </c>
      <c r="Z1007" s="4">
        <v>14.857719883823</v>
      </c>
      <c r="AA1007" s="4">
        <v>15.046924023790501</v>
      </c>
      <c r="AB1007" s="4">
        <f t="shared" si="63"/>
        <v>15.052612996519768</v>
      </c>
    </row>
    <row r="1008" spans="2:28" x14ac:dyDescent="0.2">
      <c r="B1008" s="4" t="s">
        <v>2606</v>
      </c>
      <c r="C1008" s="4">
        <v>15.337300000000001</v>
      </c>
      <c r="D1008" s="4">
        <v>14.890599999999999</v>
      </c>
      <c r="E1008" s="4">
        <v>15.2286</v>
      </c>
      <c r="F1008" s="4">
        <f t="shared" si="60"/>
        <v>15.152166666666666</v>
      </c>
      <c r="I1008" s="4" t="s">
        <v>4003</v>
      </c>
      <c r="J1008" s="4">
        <v>15.2957</v>
      </c>
      <c r="K1008" s="4">
        <v>14.97</v>
      </c>
      <c r="L1008" s="4">
        <v>15.273999999999999</v>
      </c>
      <c r="M1008" s="4">
        <f t="shared" si="61"/>
        <v>15.179900000000002</v>
      </c>
      <c r="Q1008" s="43" t="s">
        <v>2646</v>
      </c>
      <c r="R1008" s="4">
        <v>14.895563347221501</v>
      </c>
      <c r="S1008" s="4">
        <v>15.1073228203756</v>
      </c>
      <c r="T1008" s="4">
        <v>14.853738100942801</v>
      </c>
      <c r="U1008" s="4">
        <f t="shared" si="62"/>
        <v>14.9522080895133</v>
      </c>
      <c r="X1008" s="43" t="s">
        <v>2102</v>
      </c>
      <c r="Y1008" s="4">
        <v>14.9735328714024</v>
      </c>
      <c r="Z1008" s="4">
        <v>15.2176382627131</v>
      </c>
      <c r="AA1008" s="4">
        <v>14.9607695042444</v>
      </c>
      <c r="AB1008" s="4">
        <f t="shared" si="63"/>
        <v>15.050646879453302</v>
      </c>
    </row>
    <row r="1009" spans="2:28" x14ac:dyDescent="0.2">
      <c r="B1009" s="4" t="s">
        <v>1166</v>
      </c>
      <c r="C1009" s="4">
        <v>15.293200000000001</v>
      </c>
      <c r="D1009" s="4">
        <v>15.4147</v>
      </c>
      <c r="E1009" s="4">
        <v>14.745900000000001</v>
      </c>
      <c r="F1009" s="4">
        <f t="shared" si="60"/>
        <v>15.151266666666666</v>
      </c>
      <c r="I1009" s="4" t="s">
        <v>1701</v>
      </c>
      <c r="J1009" s="4">
        <v>14.8263</v>
      </c>
      <c r="K1009" s="4">
        <v>15.8507</v>
      </c>
      <c r="L1009" s="4">
        <v>14.8591</v>
      </c>
      <c r="M1009" s="4">
        <f t="shared" si="61"/>
        <v>15.178699999999999</v>
      </c>
      <c r="Q1009" s="43" t="s">
        <v>3559</v>
      </c>
      <c r="R1009" s="4">
        <v>15.005648329942399</v>
      </c>
      <c r="S1009" s="4">
        <v>14.918760497189799</v>
      </c>
      <c r="T1009" s="4">
        <v>14.931618781852</v>
      </c>
      <c r="U1009" s="4">
        <f t="shared" si="62"/>
        <v>14.952009202994732</v>
      </c>
      <c r="X1009" s="43" t="s">
        <v>2584</v>
      </c>
      <c r="Y1009" s="4">
        <v>15.2605606290411</v>
      </c>
      <c r="Z1009" s="4">
        <v>14.8985454938998</v>
      </c>
      <c r="AA1009" s="4">
        <v>14.992216492032901</v>
      </c>
      <c r="AB1009" s="4">
        <f t="shared" si="63"/>
        <v>15.050440871657933</v>
      </c>
    </row>
    <row r="1010" spans="2:28" x14ac:dyDescent="0.2">
      <c r="B1010" s="4" t="s">
        <v>3459</v>
      </c>
      <c r="C1010" s="4">
        <v>15.3454</v>
      </c>
      <c r="D1010" s="4">
        <v>15.155200000000001</v>
      </c>
      <c r="E1010" s="4">
        <v>14.9506</v>
      </c>
      <c r="F1010" s="4">
        <f t="shared" si="60"/>
        <v>15.150399999999999</v>
      </c>
      <c r="I1010" s="4" t="s">
        <v>2111</v>
      </c>
      <c r="J1010" s="4">
        <v>15.3735</v>
      </c>
      <c r="K1010" s="4">
        <v>14.4925</v>
      </c>
      <c r="L1010" s="4">
        <v>15.6568</v>
      </c>
      <c r="M1010" s="4">
        <f t="shared" si="61"/>
        <v>15.174266666666668</v>
      </c>
      <c r="Q1010" s="43" t="s">
        <v>2239</v>
      </c>
      <c r="R1010" s="4">
        <v>14.9643275637331</v>
      </c>
      <c r="S1010" s="4">
        <v>15.0367644169273</v>
      </c>
      <c r="T1010" s="4">
        <v>14.8548867962008</v>
      </c>
      <c r="U1010" s="4">
        <f t="shared" si="62"/>
        <v>14.9519929256204</v>
      </c>
      <c r="X1010" s="43" t="s">
        <v>2577</v>
      </c>
      <c r="Y1010" s="4">
        <v>14.954090549100799</v>
      </c>
      <c r="Z1010" s="4">
        <v>15.0233212677596</v>
      </c>
      <c r="AA1010" s="4">
        <v>15.167728793652699</v>
      </c>
      <c r="AB1010" s="4">
        <f t="shared" si="63"/>
        <v>15.048380203504365</v>
      </c>
    </row>
    <row r="1011" spans="2:28" x14ac:dyDescent="0.2">
      <c r="B1011" s="4" t="s">
        <v>2318</v>
      </c>
      <c r="C1011" s="4">
        <v>15.287699999999999</v>
      </c>
      <c r="D1011" s="4">
        <v>15.206899999999999</v>
      </c>
      <c r="E1011" s="4">
        <v>14.9558</v>
      </c>
      <c r="F1011" s="4">
        <f t="shared" si="60"/>
        <v>15.150133333333335</v>
      </c>
      <c r="I1011" s="4" t="s">
        <v>1648</v>
      </c>
      <c r="J1011" s="4">
        <v>15.398099999999999</v>
      </c>
      <c r="K1011" s="4">
        <v>14.854799999999999</v>
      </c>
      <c r="L1011" s="4">
        <v>15.2439</v>
      </c>
      <c r="M1011" s="4">
        <f t="shared" si="61"/>
        <v>15.165599999999998</v>
      </c>
      <c r="Q1011" s="43" t="s">
        <v>3784</v>
      </c>
      <c r="R1011" s="4">
        <v>14.5587951000873</v>
      </c>
      <c r="S1011" s="4">
        <v>15.0803358477151</v>
      </c>
      <c r="T1011" s="4">
        <v>15.212978284147599</v>
      </c>
      <c r="U1011" s="4">
        <f t="shared" si="62"/>
        <v>14.950703077316666</v>
      </c>
      <c r="X1011" s="43" t="s">
        <v>949</v>
      </c>
      <c r="Y1011" s="4">
        <v>15.0461706610034</v>
      </c>
      <c r="Z1011" s="4">
        <v>14.4547818375666</v>
      </c>
      <c r="AA1011" s="4">
        <v>15.6351113770673</v>
      </c>
      <c r="AB1011" s="4">
        <f t="shared" si="63"/>
        <v>15.045354625212434</v>
      </c>
    </row>
    <row r="1012" spans="2:28" x14ac:dyDescent="0.2">
      <c r="B1012" s="4" t="s">
        <v>3001</v>
      </c>
      <c r="C1012" s="4">
        <v>14.8162</v>
      </c>
      <c r="D1012" s="4">
        <v>15.268700000000001</v>
      </c>
      <c r="E1012" s="4">
        <v>15.363300000000001</v>
      </c>
      <c r="F1012" s="4">
        <f t="shared" si="60"/>
        <v>15.1494</v>
      </c>
      <c r="I1012" s="4" t="s">
        <v>3453</v>
      </c>
      <c r="J1012" s="4">
        <v>15.2949</v>
      </c>
      <c r="K1012" s="4">
        <v>14.8222</v>
      </c>
      <c r="L1012" s="4">
        <v>15.3697</v>
      </c>
      <c r="M1012" s="4">
        <f t="shared" si="61"/>
        <v>15.162266666666667</v>
      </c>
      <c r="Q1012" s="43" t="s">
        <v>1691</v>
      </c>
      <c r="R1012" s="4">
        <v>14.984665047059901</v>
      </c>
      <c r="S1012" s="4">
        <v>14.850532994065199</v>
      </c>
      <c r="T1012" s="4">
        <v>14.9966569044477</v>
      </c>
      <c r="U1012" s="4">
        <f t="shared" si="62"/>
        <v>14.943951648524267</v>
      </c>
      <c r="X1012" s="43" t="s">
        <v>593</v>
      </c>
      <c r="Y1012" s="4">
        <v>14.947688061883699</v>
      </c>
      <c r="Z1012" s="4">
        <v>15.0252610492514</v>
      </c>
      <c r="AA1012" s="4">
        <v>15.161135833687601</v>
      </c>
      <c r="AB1012" s="4">
        <f t="shared" si="63"/>
        <v>15.044694981607568</v>
      </c>
    </row>
    <row r="1013" spans="2:28" x14ac:dyDescent="0.2">
      <c r="B1013" s="4" t="s">
        <v>449</v>
      </c>
      <c r="C1013" s="4">
        <v>15.601000000000001</v>
      </c>
      <c r="D1013" s="4">
        <v>15.2315</v>
      </c>
      <c r="E1013" s="4">
        <v>14.6074</v>
      </c>
      <c r="F1013" s="4">
        <f t="shared" si="60"/>
        <v>15.146633333333334</v>
      </c>
      <c r="I1013" s="4" t="s">
        <v>2409</v>
      </c>
      <c r="J1013" s="4">
        <v>15.183400000000001</v>
      </c>
      <c r="K1013" s="4">
        <v>15.077199999999999</v>
      </c>
      <c r="L1013" s="4">
        <v>15.2201</v>
      </c>
      <c r="M1013" s="4">
        <f t="shared" si="61"/>
        <v>15.160233333333332</v>
      </c>
      <c r="Q1013" s="43" t="s">
        <v>519</v>
      </c>
      <c r="R1013" s="4">
        <v>15.1224933250899</v>
      </c>
      <c r="S1013" s="4">
        <v>14.670632107812001</v>
      </c>
      <c r="T1013" s="4">
        <v>15.0286541568484</v>
      </c>
      <c r="U1013" s="4">
        <f t="shared" si="62"/>
        <v>14.940593196583436</v>
      </c>
      <c r="X1013" s="43" t="s">
        <v>2240</v>
      </c>
      <c r="Y1013" s="4">
        <v>15.244153029484099</v>
      </c>
      <c r="Z1013" s="4">
        <v>15.011627873515501</v>
      </c>
      <c r="AA1013" s="4">
        <v>14.8745262324182</v>
      </c>
      <c r="AB1013" s="4">
        <f t="shared" si="63"/>
        <v>15.043435711805934</v>
      </c>
    </row>
    <row r="1014" spans="2:28" x14ac:dyDescent="0.2">
      <c r="B1014" s="4" t="s">
        <v>3213</v>
      </c>
      <c r="C1014" s="4">
        <v>15.3277</v>
      </c>
      <c r="D1014" s="4">
        <v>15.0755</v>
      </c>
      <c r="E1014" s="4">
        <v>15.036199999999999</v>
      </c>
      <c r="F1014" s="4">
        <f t="shared" si="60"/>
        <v>15.146466666666667</v>
      </c>
      <c r="I1014" s="4" t="s">
        <v>373</v>
      </c>
      <c r="J1014" s="4">
        <v>14.604699999999999</v>
      </c>
      <c r="K1014" s="4">
        <v>16.6797</v>
      </c>
      <c r="L1014" s="4">
        <v>14.1951</v>
      </c>
      <c r="M1014" s="4">
        <f t="shared" si="61"/>
        <v>15.159833333333333</v>
      </c>
      <c r="Q1014" s="43" t="s">
        <v>2870</v>
      </c>
      <c r="R1014" s="4">
        <v>14.942774404942201</v>
      </c>
      <c r="S1014" s="4">
        <v>14.8499223953366</v>
      </c>
      <c r="T1014" s="4">
        <v>15.0193479646792</v>
      </c>
      <c r="U1014" s="4">
        <f t="shared" si="62"/>
        <v>14.937348254986</v>
      </c>
      <c r="X1014" s="43" t="s">
        <v>451</v>
      </c>
      <c r="Y1014" s="4">
        <v>14.9852829175077</v>
      </c>
      <c r="Z1014" s="4">
        <v>15.172321474136799</v>
      </c>
      <c r="AA1014" s="4">
        <v>14.9688537670445</v>
      </c>
      <c r="AB1014" s="4">
        <f t="shared" si="63"/>
        <v>15.042152719562999</v>
      </c>
    </row>
    <row r="1015" spans="2:28" x14ac:dyDescent="0.2">
      <c r="B1015" s="4" t="s">
        <v>2917</v>
      </c>
      <c r="C1015" s="4">
        <v>14.6076</v>
      </c>
      <c r="D1015" s="4">
        <v>15.310499999999999</v>
      </c>
      <c r="E1015" s="4">
        <v>15.5128</v>
      </c>
      <c r="F1015" s="4">
        <f t="shared" si="60"/>
        <v>15.143633333333334</v>
      </c>
      <c r="I1015" s="4" t="s">
        <v>3991</v>
      </c>
      <c r="J1015" s="4">
        <v>15.2973</v>
      </c>
      <c r="K1015" s="4">
        <v>14.922599999999999</v>
      </c>
      <c r="L1015" s="4">
        <v>15.2577</v>
      </c>
      <c r="M1015" s="4">
        <f t="shared" si="61"/>
        <v>15.159199999999998</v>
      </c>
      <c r="Q1015" s="43" t="s">
        <v>3837</v>
      </c>
      <c r="R1015" s="4">
        <v>15.4898846759599</v>
      </c>
      <c r="S1015" s="4">
        <v>14.628036960553199</v>
      </c>
      <c r="T1015" s="4">
        <v>14.688735273220599</v>
      </c>
      <c r="U1015" s="4">
        <f t="shared" si="62"/>
        <v>14.935552303244565</v>
      </c>
      <c r="X1015" s="43" t="s">
        <v>691</v>
      </c>
      <c r="Y1015" s="4">
        <v>15.0383523428951</v>
      </c>
      <c r="Z1015" s="4">
        <v>15.072366451588501</v>
      </c>
      <c r="AA1015" s="4">
        <v>15.0026501727181</v>
      </c>
      <c r="AB1015" s="4">
        <f t="shared" si="63"/>
        <v>15.037789655733901</v>
      </c>
    </row>
    <row r="1016" spans="2:28" x14ac:dyDescent="0.2">
      <c r="B1016" s="4" t="s">
        <v>1212</v>
      </c>
      <c r="C1016" s="4">
        <v>15.324299999999999</v>
      </c>
      <c r="D1016" s="4">
        <v>15.352</v>
      </c>
      <c r="E1016" s="4">
        <v>14.7439</v>
      </c>
      <c r="F1016" s="4">
        <f t="shared" si="60"/>
        <v>15.140066666666664</v>
      </c>
      <c r="I1016" s="4" t="s">
        <v>48</v>
      </c>
      <c r="J1016" s="4">
        <v>14.9193</v>
      </c>
      <c r="K1016" s="4">
        <v>15.241</v>
      </c>
      <c r="L1016" s="4">
        <v>15.2944</v>
      </c>
      <c r="M1016" s="4">
        <f t="shared" si="61"/>
        <v>15.151566666666668</v>
      </c>
      <c r="Q1016" s="43" t="s">
        <v>1632</v>
      </c>
      <c r="R1016" s="4">
        <v>14.679752147172101</v>
      </c>
      <c r="S1016" s="4">
        <v>14.9746059443888</v>
      </c>
      <c r="T1016" s="4">
        <v>15.126709331561401</v>
      </c>
      <c r="U1016" s="4">
        <f t="shared" si="62"/>
        <v>14.9270224743741</v>
      </c>
      <c r="X1016" s="43" t="s">
        <v>3041</v>
      </c>
      <c r="Y1016" s="4">
        <v>15.0632601472399</v>
      </c>
      <c r="Z1016" s="4">
        <v>14.7629604252874</v>
      </c>
      <c r="AA1016" s="4">
        <v>15.280435104472399</v>
      </c>
      <c r="AB1016" s="4">
        <f t="shared" si="63"/>
        <v>15.035551892333231</v>
      </c>
    </row>
    <row r="1017" spans="2:28" x14ac:dyDescent="0.2">
      <c r="B1017" s="4" t="s">
        <v>1281</v>
      </c>
      <c r="C1017" s="4">
        <v>14.497299999999999</v>
      </c>
      <c r="D1017" s="4">
        <v>14.8987</v>
      </c>
      <c r="E1017" s="4">
        <v>16.017399999999999</v>
      </c>
      <c r="F1017" s="4">
        <f t="shared" si="60"/>
        <v>15.137799999999999</v>
      </c>
      <c r="I1017" s="4" t="s">
        <v>2769</v>
      </c>
      <c r="J1017" s="4">
        <v>14.6568</v>
      </c>
      <c r="K1017" s="4">
        <v>16.353400000000001</v>
      </c>
      <c r="L1017" s="4">
        <v>14.4397</v>
      </c>
      <c r="M1017" s="4">
        <f t="shared" si="61"/>
        <v>15.149966666666666</v>
      </c>
      <c r="Q1017" s="43" t="s">
        <v>1345</v>
      </c>
      <c r="R1017" s="4">
        <v>14.723832537842201</v>
      </c>
      <c r="S1017" s="4">
        <v>14.955800729924499</v>
      </c>
      <c r="T1017" s="4">
        <v>15.0790952232362</v>
      </c>
      <c r="U1017" s="4">
        <f t="shared" si="62"/>
        <v>14.919576163667633</v>
      </c>
      <c r="X1017" s="43" t="s">
        <v>842</v>
      </c>
      <c r="Y1017" s="4">
        <v>14.9613951036873</v>
      </c>
      <c r="Z1017" s="4">
        <v>15.1032402921221</v>
      </c>
      <c r="AA1017" s="4">
        <v>15.0380814112299</v>
      </c>
      <c r="AB1017" s="4">
        <f t="shared" si="63"/>
        <v>15.034238935679767</v>
      </c>
    </row>
    <row r="1018" spans="2:28" x14ac:dyDescent="0.2">
      <c r="B1018" s="4" t="s">
        <v>2701</v>
      </c>
      <c r="C1018" s="4">
        <v>14.7578</v>
      </c>
      <c r="D1018" s="4">
        <v>15.3367</v>
      </c>
      <c r="E1018" s="4">
        <v>15.317600000000001</v>
      </c>
      <c r="F1018" s="4">
        <f t="shared" si="60"/>
        <v>15.137366666666667</v>
      </c>
      <c r="I1018" s="4" t="s">
        <v>2600</v>
      </c>
      <c r="J1018" s="4">
        <v>15.290699999999999</v>
      </c>
      <c r="K1018" s="4">
        <v>14.5503</v>
      </c>
      <c r="L1018" s="4">
        <v>15.6069</v>
      </c>
      <c r="M1018" s="4">
        <f t="shared" si="61"/>
        <v>15.149300000000002</v>
      </c>
      <c r="Q1018" s="43" t="s">
        <v>1392</v>
      </c>
      <c r="R1018" s="4">
        <v>15.2427492718012</v>
      </c>
      <c r="S1018" s="4">
        <v>14.6679134213217</v>
      </c>
      <c r="T1018" s="4">
        <v>14.845017205648601</v>
      </c>
      <c r="U1018" s="4">
        <f t="shared" si="62"/>
        <v>14.918559966257169</v>
      </c>
      <c r="X1018" s="43" t="s">
        <v>1905</v>
      </c>
      <c r="Y1018" s="4">
        <v>15.1746603710726</v>
      </c>
      <c r="Z1018" s="4">
        <v>15.0277843304541</v>
      </c>
      <c r="AA1018" s="4">
        <v>14.900048269318599</v>
      </c>
      <c r="AB1018" s="4">
        <f t="shared" si="63"/>
        <v>15.034164323615101</v>
      </c>
    </row>
    <row r="1019" spans="2:28" x14ac:dyDescent="0.2">
      <c r="B1019" s="4" t="s">
        <v>3386</v>
      </c>
      <c r="C1019" s="4">
        <v>14.930199999999999</v>
      </c>
      <c r="D1019" s="4">
        <v>15.1548</v>
      </c>
      <c r="E1019" s="4">
        <v>15.322800000000001</v>
      </c>
      <c r="F1019" s="4">
        <f t="shared" si="60"/>
        <v>15.135933333333334</v>
      </c>
      <c r="I1019" s="4" t="s">
        <v>2937</v>
      </c>
      <c r="J1019" s="4">
        <v>15.3371</v>
      </c>
      <c r="K1019" s="4">
        <v>14.8005</v>
      </c>
      <c r="L1019" s="4">
        <v>15.3073</v>
      </c>
      <c r="M1019" s="4">
        <f t="shared" si="61"/>
        <v>15.148299999999999</v>
      </c>
      <c r="Q1019" s="43" t="s">
        <v>1851</v>
      </c>
      <c r="R1019" s="4">
        <v>15.1096109848247</v>
      </c>
      <c r="S1019" s="4">
        <v>14.826499222385101</v>
      </c>
      <c r="T1019" s="4">
        <v>14.8171543506022</v>
      </c>
      <c r="U1019" s="4">
        <f t="shared" si="62"/>
        <v>14.917754852604</v>
      </c>
      <c r="X1019" s="43" t="s">
        <v>1919</v>
      </c>
      <c r="Y1019" s="4">
        <v>15.057702534057301</v>
      </c>
      <c r="Z1019" s="4">
        <v>15.058193485303001</v>
      </c>
      <c r="AA1019" s="4">
        <v>14.984322675596401</v>
      </c>
      <c r="AB1019" s="4">
        <f t="shared" si="63"/>
        <v>15.033406231652235</v>
      </c>
    </row>
    <row r="1020" spans="2:28" x14ac:dyDescent="0.2">
      <c r="B1020" s="4" t="s">
        <v>3352</v>
      </c>
      <c r="C1020" s="4">
        <v>14.6721</v>
      </c>
      <c r="D1020" s="4">
        <v>14.9846</v>
      </c>
      <c r="E1020" s="4">
        <v>15.7484</v>
      </c>
      <c r="F1020" s="4">
        <f t="shared" si="60"/>
        <v>15.135033333333334</v>
      </c>
      <c r="I1020" s="4" t="s">
        <v>2506</v>
      </c>
      <c r="J1020" s="4">
        <v>15.013500000000001</v>
      </c>
      <c r="K1020" s="4">
        <v>15.448600000000001</v>
      </c>
      <c r="L1020" s="4">
        <v>14.9762</v>
      </c>
      <c r="M1020" s="4">
        <f t="shared" si="61"/>
        <v>15.146099999999999</v>
      </c>
      <c r="Q1020" s="43" t="s">
        <v>2498</v>
      </c>
      <c r="R1020" s="4">
        <v>15.003079603540501</v>
      </c>
      <c r="S1020" s="4">
        <v>14.848335033665499</v>
      </c>
      <c r="T1020" s="4">
        <v>14.900927207111399</v>
      </c>
      <c r="U1020" s="4">
        <f t="shared" si="62"/>
        <v>14.917447281439133</v>
      </c>
      <c r="X1020" s="43" t="s">
        <v>3052</v>
      </c>
      <c r="Y1020" s="4">
        <v>15.0826097449107</v>
      </c>
      <c r="Z1020" s="4">
        <v>15.072107513278</v>
      </c>
      <c r="AA1020" s="4">
        <v>14.9436658902349</v>
      </c>
      <c r="AB1020" s="4">
        <f t="shared" si="63"/>
        <v>15.032794382807866</v>
      </c>
    </row>
    <row r="1021" spans="2:28" x14ac:dyDescent="0.2">
      <c r="B1021" s="4" t="s">
        <v>2111</v>
      </c>
      <c r="C1021" s="4">
        <v>15.0236</v>
      </c>
      <c r="D1021" s="4">
        <v>15.1853</v>
      </c>
      <c r="E1021" s="4">
        <v>15.182399999999999</v>
      </c>
      <c r="F1021" s="4">
        <f t="shared" si="60"/>
        <v>15.130433333333334</v>
      </c>
      <c r="I1021" s="4" t="s">
        <v>2192</v>
      </c>
      <c r="J1021" s="4">
        <v>15.305099999999999</v>
      </c>
      <c r="K1021" s="4">
        <v>15.0364</v>
      </c>
      <c r="L1021" s="4">
        <v>15.093</v>
      </c>
      <c r="M1021" s="4">
        <f t="shared" si="61"/>
        <v>15.144833333333333</v>
      </c>
      <c r="Q1021" s="43" t="s">
        <v>2810</v>
      </c>
      <c r="R1021" s="4">
        <v>14.846926058815599</v>
      </c>
      <c r="S1021" s="4">
        <v>14.9072649693366</v>
      </c>
      <c r="T1021" s="4">
        <v>14.989941089732801</v>
      </c>
      <c r="U1021" s="4">
        <f t="shared" si="62"/>
        <v>14.914710705961667</v>
      </c>
      <c r="X1021" s="43" t="s">
        <v>276</v>
      </c>
      <c r="Y1021" s="4">
        <v>15.056692101194701</v>
      </c>
      <c r="Z1021" s="4">
        <v>15.0760396268194</v>
      </c>
      <c r="AA1021" s="4">
        <v>14.9560618714762</v>
      </c>
      <c r="AB1021" s="4">
        <f t="shared" si="63"/>
        <v>15.029597866496767</v>
      </c>
    </row>
    <row r="1022" spans="2:28" x14ac:dyDescent="0.2">
      <c r="B1022" s="4" t="s">
        <v>2822</v>
      </c>
      <c r="C1022" s="4">
        <v>15.2624</v>
      </c>
      <c r="D1022" s="4">
        <v>15.0968</v>
      </c>
      <c r="E1022" s="4">
        <v>15.0275</v>
      </c>
      <c r="F1022" s="4">
        <f t="shared" si="60"/>
        <v>15.128900000000002</v>
      </c>
      <c r="I1022" s="4" t="s">
        <v>583</v>
      </c>
      <c r="J1022" s="4">
        <v>15.100199999999999</v>
      </c>
      <c r="K1022" s="4">
        <v>15.380599999999999</v>
      </c>
      <c r="L1022" s="4">
        <v>14.9428</v>
      </c>
      <c r="M1022" s="4">
        <f t="shared" si="61"/>
        <v>15.1412</v>
      </c>
      <c r="Q1022" s="43" t="s">
        <v>2192</v>
      </c>
      <c r="R1022" s="4">
        <v>15.074610973534201</v>
      </c>
      <c r="S1022" s="4">
        <v>14.7008906239246</v>
      </c>
      <c r="T1022" s="4">
        <v>14.956788833686</v>
      </c>
      <c r="U1022" s="4">
        <f t="shared" si="62"/>
        <v>14.910763477048265</v>
      </c>
      <c r="X1022" s="43" t="s">
        <v>1428</v>
      </c>
      <c r="Y1022" s="4">
        <v>14.963301811512901</v>
      </c>
      <c r="Z1022" s="4">
        <v>14.9690692142574</v>
      </c>
      <c r="AA1022" s="4">
        <v>15.134484773005401</v>
      </c>
      <c r="AB1022" s="4">
        <f t="shared" si="63"/>
        <v>15.022285266258569</v>
      </c>
    </row>
    <row r="1023" spans="2:28" x14ac:dyDescent="0.2">
      <c r="B1023" s="4" t="s">
        <v>793</v>
      </c>
      <c r="C1023" s="4">
        <v>15.1929</v>
      </c>
      <c r="D1023" s="4">
        <v>15.1792</v>
      </c>
      <c r="E1023" s="4">
        <v>15.014099999999999</v>
      </c>
      <c r="F1023" s="4">
        <f t="shared" si="60"/>
        <v>15.128733333333335</v>
      </c>
      <c r="I1023" s="4" t="s">
        <v>2850</v>
      </c>
      <c r="J1023" s="4">
        <v>15.174200000000001</v>
      </c>
      <c r="K1023" s="4">
        <v>15.183299999999999</v>
      </c>
      <c r="L1023" s="4">
        <v>15.065799999999999</v>
      </c>
      <c r="M1023" s="4">
        <f t="shared" si="61"/>
        <v>15.1411</v>
      </c>
      <c r="Q1023" s="43" t="s">
        <v>3451</v>
      </c>
      <c r="R1023" s="4">
        <v>14.9628709383613</v>
      </c>
      <c r="S1023" s="4">
        <v>14.7716500263491</v>
      </c>
      <c r="T1023" s="4">
        <v>14.997198328157101</v>
      </c>
      <c r="U1023" s="4">
        <f t="shared" si="62"/>
        <v>14.910573097622498</v>
      </c>
      <c r="X1023" s="43" t="s">
        <v>2926</v>
      </c>
      <c r="Y1023" s="4">
        <v>14.9613071506375</v>
      </c>
      <c r="Z1023" s="4">
        <v>14.981626565711499</v>
      </c>
      <c r="AA1023" s="4">
        <v>15.109342385527</v>
      </c>
      <c r="AB1023" s="4">
        <f t="shared" si="63"/>
        <v>15.017425367292001</v>
      </c>
    </row>
    <row r="1024" spans="2:28" x14ac:dyDescent="0.2">
      <c r="B1024" s="4" t="s">
        <v>2878</v>
      </c>
      <c r="C1024" s="4">
        <v>15.2973</v>
      </c>
      <c r="D1024" s="4">
        <v>15.075100000000001</v>
      </c>
      <c r="E1024" s="4">
        <v>15.011200000000001</v>
      </c>
      <c r="F1024" s="4">
        <f t="shared" si="60"/>
        <v>15.127866666666668</v>
      </c>
      <c r="I1024" s="4" t="s">
        <v>2676</v>
      </c>
      <c r="J1024" s="4">
        <v>15.464600000000001</v>
      </c>
      <c r="K1024" s="4">
        <v>14.6846</v>
      </c>
      <c r="L1024" s="4">
        <v>15.269399999999999</v>
      </c>
      <c r="M1024" s="4">
        <f t="shared" si="61"/>
        <v>15.139533333333333</v>
      </c>
      <c r="Q1024" s="43" t="s">
        <v>533</v>
      </c>
      <c r="R1024" s="4">
        <v>14.910529634165099</v>
      </c>
      <c r="S1024" s="4">
        <v>14.843986216217999</v>
      </c>
      <c r="T1024" s="4">
        <v>14.965926388246199</v>
      </c>
      <c r="U1024" s="4">
        <f t="shared" si="62"/>
        <v>14.906814079543102</v>
      </c>
      <c r="X1024" s="43" t="s">
        <v>80</v>
      </c>
      <c r="Y1024" s="4">
        <v>14.974065168539299</v>
      </c>
      <c r="Z1024" s="4">
        <v>15.034858845321899</v>
      </c>
      <c r="AA1024" s="4">
        <v>15.038940324211399</v>
      </c>
      <c r="AB1024" s="4">
        <f t="shared" si="63"/>
        <v>15.015954779357534</v>
      </c>
    </row>
    <row r="1025" spans="2:28" x14ac:dyDescent="0.2">
      <c r="B1025" s="4" t="s">
        <v>3300</v>
      </c>
      <c r="C1025" s="4">
        <v>15.166399999999999</v>
      </c>
      <c r="D1025" s="4">
        <v>15.167999999999999</v>
      </c>
      <c r="E1025" s="4">
        <v>15.039899999999999</v>
      </c>
      <c r="F1025" s="4">
        <f t="shared" si="60"/>
        <v>15.124766666666666</v>
      </c>
      <c r="I1025" s="4" t="s">
        <v>1896</v>
      </c>
      <c r="J1025" s="4">
        <v>15.1463</v>
      </c>
      <c r="K1025" s="4">
        <v>15.106299999999999</v>
      </c>
      <c r="L1025" s="4">
        <v>15.15</v>
      </c>
      <c r="M1025" s="4">
        <f t="shared" si="61"/>
        <v>15.1342</v>
      </c>
      <c r="Q1025" s="43" t="s">
        <v>3034</v>
      </c>
      <c r="R1025" s="4">
        <v>14.775278322483301</v>
      </c>
      <c r="S1025" s="4">
        <v>14.924978176900201</v>
      </c>
      <c r="T1025" s="4">
        <v>15.015326586095499</v>
      </c>
      <c r="U1025" s="4">
        <f t="shared" si="62"/>
        <v>14.905194361826332</v>
      </c>
      <c r="X1025" s="43" t="s">
        <v>2717</v>
      </c>
      <c r="Y1025" s="4">
        <v>14.903464782412501</v>
      </c>
      <c r="Z1025" s="4">
        <v>15.0111472777076</v>
      </c>
      <c r="AA1025" s="4">
        <v>15.125448248872599</v>
      </c>
      <c r="AB1025" s="4">
        <f t="shared" si="63"/>
        <v>15.013353436330901</v>
      </c>
    </row>
    <row r="1026" spans="2:28" x14ac:dyDescent="0.2">
      <c r="B1026" s="4" t="s">
        <v>788</v>
      </c>
      <c r="C1026" s="4">
        <v>15.2216</v>
      </c>
      <c r="D1026" s="4">
        <v>15.142300000000001</v>
      </c>
      <c r="E1026" s="4">
        <v>15.0097</v>
      </c>
      <c r="F1026" s="4">
        <f t="shared" ref="F1026:F1089" si="64">(C1026+D1026+E1026)/3</f>
        <v>15.124533333333334</v>
      </c>
      <c r="I1026" s="4" t="s">
        <v>2618</v>
      </c>
      <c r="J1026" s="4">
        <v>15.1067</v>
      </c>
      <c r="K1026" s="4">
        <v>15.0006</v>
      </c>
      <c r="L1026" s="4">
        <v>15.2811</v>
      </c>
      <c r="M1026" s="4">
        <f t="shared" ref="M1026:M1089" si="65">(J1026+K1026+L1026)/3</f>
        <v>15.129466666666668</v>
      </c>
      <c r="Q1026" s="43" t="s">
        <v>2880</v>
      </c>
      <c r="R1026" s="4">
        <v>14.870628030254601</v>
      </c>
      <c r="S1026" s="4">
        <v>14.8226385139562</v>
      </c>
      <c r="T1026" s="4">
        <v>15.0178126166785</v>
      </c>
      <c r="U1026" s="4">
        <f t="shared" ref="U1026:U1089" si="66">(R1026+S1026+T1026)/3</f>
        <v>14.903693053629766</v>
      </c>
      <c r="X1026" s="43" t="s">
        <v>3136</v>
      </c>
      <c r="Y1026" s="4">
        <v>15.078258456721301</v>
      </c>
      <c r="Z1026" s="4">
        <v>15.0665471942349</v>
      </c>
      <c r="AA1026" s="4">
        <v>14.8895085780764</v>
      </c>
      <c r="AB1026" s="4">
        <f t="shared" ref="AB1026:AB1089" si="67">(Y1026+Z1026+AA1026)/3</f>
        <v>15.0114380763442</v>
      </c>
    </row>
    <row r="1027" spans="2:28" x14ac:dyDescent="0.2">
      <c r="B1027" s="4" t="s">
        <v>532</v>
      </c>
      <c r="C1027" s="4">
        <v>15.4643</v>
      </c>
      <c r="D1027" s="4">
        <v>15.0457</v>
      </c>
      <c r="E1027" s="4">
        <v>14.8628</v>
      </c>
      <c r="F1027" s="4">
        <f t="shared" si="64"/>
        <v>15.124266666666665</v>
      </c>
      <c r="I1027" s="4" t="s">
        <v>698</v>
      </c>
      <c r="J1027" s="4">
        <v>14.785</v>
      </c>
      <c r="K1027" s="4">
        <v>15.9269</v>
      </c>
      <c r="L1027" s="4">
        <v>14.6761</v>
      </c>
      <c r="M1027" s="4">
        <f t="shared" si="65"/>
        <v>15.129333333333333</v>
      </c>
      <c r="Q1027" s="43" t="s">
        <v>3243</v>
      </c>
      <c r="R1027" s="4">
        <v>14.979727317642199</v>
      </c>
      <c r="S1027" s="4">
        <v>14.8449137496294</v>
      </c>
      <c r="T1027" s="4">
        <v>14.885677533227801</v>
      </c>
      <c r="U1027" s="4">
        <f t="shared" si="66"/>
        <v>14.9034395334998</v>
      </c>
      <c r="X1027" s="43" t="s">
        <v>226</v>
      </c>
      <c r="Y1027" s="4">
        <v>14.928642477040301</v>
      </c>
      <c r="Z1027" s="4">
        <v>15.0328544180308</v>
      </c>
      <c r="AA1027" s="4">
        <v>15.0724516655442</v>
      </c>
      <c r="AB1027" s="4">
        <f t="shared" si="67"/>
        <v>15.011316186871767</v>
      </c>
    </row>
    <row r="1028" spans="2:28" x14ac:dyDescent="0.2">
      <c r="B1028" s="4" t="s">
        <v>786</v>
      </c>
      <c r="C1028" s="4">
        <v>14.9846</v>
      </c>
      <c r="D1028" s="4">
        <v>15.1607</v>
      </c>
      <c r="E1028" s="4">
        <v>15.2263</v>
      </c>
      <c r="F1028" s="4">
        <f t="shared" si="64"/>
        <v>15.123866666666666</v>
      </c>
      <c r="I1028" s="4" t="s">
        <v>3190</v>
      </c>
      <c r="J1028" s="4">
        <v>15.21</v>
      </c>
      <c r="K1028" s="4">
        <v>14.847799999999999</v>
      </c>
      <c r="L1028" s="4">
        <v>15.3302</v>
      </c>
      <c r="M1028" s="4">
        <f t="shared" si="65"/>
        <v>15.129333333333333</v>
      </c>
      <c r="Q1028" s="43" t="s">
        <v>2717</v>
      </c>
      <c r="R1028" s="4">
        <v>14.655091460796401</v>
      </c>
      <c r="S1028" s="4">
        <v>14.9561967744744</v>
      </c>
      <c r="T1028" s="4">
        <v>15.0928038522721</v>
      </c>
      <c r="U1028" s="4">
        <f t="shared" si="66"/>
        <v>14.901364029180966</v>
      </c>
      <c r="X1028" s="43" t="s">
        <v>871</v>
      </c>
      <c r="Y1028" s="4">
        <v>14.9979962828435</v>
      </c>
      <c r="Z1028" s="4">
        <v>14.890643941214099</v>
      </c>
      <c r="AA1028" s="4">
        <v>15.1442936872216</v>
      </c>
      <c r="AB1028" s="4">
        <f t="shared" si="67"/>
        <v>15.010977970426401</v>
      </c>
    </row>
    <row r="1029" spans="2:28" x14ac:dyDescent="0.2">
      <c r="B1029" s="4" t="s">
        <v>3272</v>
      </c>
      <c r="C1029" s="4">
        <v>15.071199999999999</v>
      </c>
      <c r="D1029" s="4">
        <v>15.101100000000001</v>
      </c>
      <c r="E1029" s="4">
        <v>15.1974</v>
      </c>
      <c r="F1029" s="4">
        <f t="shared" si="64"/>
        <v>15.123233333333333</v>
      </c>
      <c r="I1029" s="4" t="s">
        <v>2467</v>
      </c>
      <c r="J1029" s="4">
        <v>15.467599999999999</v>
      </c>
      <c r="K1029" s="4">
        <v>14.452</v>
      </c>
      <c r="L1029" s="4">
        <v>15.4528</v>
      </c>
      <c r="M1029" s="4">
        <f t="shared" si="65"/>
        <v>15.124133333333333</v>
      </c>
      <c r="Q1029" s="43" t="s">
        <v>4114</v>
      </c>
      <c r="R1029" s="4">
        <v>15.122010440291801</v>
      </c>
      <c r="S1029" s="4">
        <v>14.780786679042199</v>
      </c>
      <c r="T1029" s="4">
        <v>14.785449490282501</v>
      </c>
      <c r="U1029" s="4">
        <f t="shared" si="66"/>
        <v>14.8960822032055</v>
      </c>
      <c r="X1029" s="43" t="s">
        <v>2277</v>
      </c>
      <c r="Y1029" s="4">
        <v>14.889070650901401</v>
      </c>
      <c r="Z1029" s="4">
        <v>14.9997455683376</v>
      </c>
      <c r="AA1029" s="4">
        <v>15.1400848534378</v>
      </c>
      <c r="AB1029" s="4">
        <f t="shared" si="67"/>
        <v>15.009633690892267</v>
      </c>
    </row>
    <row r="1030" spans="2:28" x14ac:dyDescent="0.2">
      <c r="B1030" s="4" t="s">
        <v>2630</v>
      </c>
      <c r="C1030" s="4">
        <v>14.826700000000001</v>
      </c>
      <c r="D1030" s="4">
        <v>15.353199999999999</v>
      </c>
      <c r="E1030" s="4">
        <v>15.187900000000001</v>
      </c>
      <c r="F1030" s="4">
        <f t="shared" si="64"/>
        <v>15.1226</v>
      </c>
      <c r="I1030" s="4" t="s">
        <v>77</v>
      </c>
      <c r="J1030" s="4">
        <v>15.2035</v>
      </c>
      <c r="K1030" s="4">
        <v>14.9999</v>
      </c>
      <c r="L1030" s="4">
        <v>15.168799999999999</v>
      </c>
      <c r="M1030" s="4">
        <f t="shared" si="65"/>
        <v>15.124066666666666</v>
      </c>
      <c r="Q1030" s="43" t="s">
        <v>390</v>
      </c>
      <c r="R1030" s="4">
        <v>14.856047619656</v>
      </c>
      <c r="S1030" s="4">
        <v>14.8550634627753</v>
      </c>
      <c r="T1030" s="4">
        <v>14.975503499237499</v>
      </c>
      <c r="U1030" s="4">
        <f t="shared" si="66"/>
        <v>14.8955381938896</v>
      </c>
      <c r="X1030" s="43" t="s">
        <v>1851</v>
      </c>
      <c r="Y1030" s="4">
        <v>15.1029395463901</v>
      </c>
      <c r="Z1030" s="4">
        <v>14.995381036069301</v>
      </c>
      <c r="AA1030" s="4">
        <v>14.927364636585301</v>
      </c>
      <c r="AB1030" s="4">
        <f t="shared" si="67"/>
        <v>15.008561739681568</v>
      </c>
    </row>
    <row r="1031" spans="2:28" x14ac:dyDescent="0.2">
      <c r="B1031" s="4" t="s">
        <v>1648</v>
      </c>
      <c r="C1031" s="4">
        <v>15.272600000000001</v>
      </c>
      <c r="D1031" s="4">
        <v>15.128299999999999</v>
      </c>
      <c r="E1031" s="4">
        <v>14.9649</v>
      </c>
      <c r="F1031" s="4">
        <f t="shared" si="64"/>
        <v>15.121933333333333</v>
      </c>
      <c r="I1031" s="4" t="s">
        <v>1429</v>
      </c>
      <c r="J1031" s="4">
        <v>14.029199999999999</v>
      </c>
      <c r="K1031" s="4">
        <v>17.115300000000001</v>
      </c>
      <c r="L1031" s="4">
        <v>14.2272</v>
      </c>
      <c r="M1031" s="4">
        <f t="shared" si="65"/>
        <v>15.123900000000001</v>
      </c>
      <c r="Q1031" s="43" t="s">
        <v>111</v>
      </c>
      <c r="R1031" s="4">
        <v>14.779145994759199</v>
      </c>
      <c r="S1031" s="4">
        <v>14.9775317284009</v>
      </c>
      <c r="T1031" s="4">
        <v>14.928245027620299</v>
      </c>
      <c r="U1031" s="4">
        <f t="shared" si="66"/>
        <v>14.894974250260134</v>
      </c>
      <c r="X1031" s="43" t="s">
        <v>2177</v>
      </c>
      <c r="Y1031" s="4">
        <v>14.924169314538201</v>
      </c>
      <c r="Z1031" s="4">
        <v>15.0464013219073</v>
      </c>
      <c r="AA1031" s="4">
        <v>15.053402768824499</v>
      </c>
      <c r="AB1031" s="4">
        <f t="shared" si="67"/>
        <v>15.00799113509</v>
      </c>
    </row>
    <row r="1032" spans="2:28" x14ac:dyDescent="0.2">
      <c r="B1032" s="4" t="s">
        <v>2921</v>
      </c>
      <c r="C1032" s="4">
        <v>15.1508</v>
      </c>
      <c r="D1032" s="4">
        <v>15.065099999999999</v>
      </c>
      <c r="E1032" s="4">
        <v>15.146100000000001</v>
      </c>
      <c r="F1032" s="4">
        <f t="shared" si="64"/>
        <v>15.120666666666665</v>
      </c>
      <c r="I1032" s="4" t="s">
        <v>323</v>
      </c>
      <c r="J1032" s="4">
        <v>15.206799999999999</v>
      </c>
      <c r="K1032" s="4">
        <v>15.2393</v>
      </c>
      <c r="L1032" s="4">
        <v>14.921099999999999</v>
      </c>
      <c r="M1032" s="4">
        <f t="shared" si="65"/>
        <v>15.122399999999999</v>
      </c>
      <c r="Q1032" s="43" t="s">
        <v>3892</v>
      </c>
      <c r="R1032" s="4">
        <v>15.120276683697799</v>
      </c>
      <c r="S1032" s="4">
        <v>14.746517856675</v>
      </c>
      <c r="T1032" s="4">
        <v>14.816390028091901</v>
      </c>
      <c r="U1032" s="4">
        <f t="shared" si="66"/>
        <v>14.894394856154902</v>
      </c>
      <c r="X1032" s="43" t="s">
        <v>2567</v>
      </c>
      <c r="Y1032" s="4">
        <v>15.1454050628065</v>
      </c>
      <c r="Z1032" s="4">
        <v>14.8068048243662</v>
      </c>
      <c r="AA1032" s="4">
        <v>15.0699034924078</v>
      </c>
      <c r="AB1032" s="4">
        <f t="shared" si="67"/>
        <v>15.007371126526834</v>
      </c>
    </row>
    <row r="1033" spans="2:28" x14ac:dyDescent="0.2">
      <c r="B1033" s="4" t="s">
        <v>764</v>
      </c>
      <c r="C1033" s="4">
        <v>15.412100000000001</v>
      </c>
      <c r="D1033" s="4">
        <v>15.2233</v>
      </c>
      <c r="E1033" s="4">
        <v>14.7194</v>
      </c>
      <c r="F1033" s="4">
        <f t="shared" si="64"/>
        <v>15.118266666666665</v>
      </c>
      <c r="I1033" s="4" t="s">
        <v>435</v>
      </c>
      <c r="J1033" s="4">
        <v>15.138999999999999</v>
      </c>
      <c r="K1033" s="4">
        <v>15.382199999999999</v>
      </c>
      <c r="L1033" s="4">
        <v>14.844900000000001</v>
      </c>
      <c r="M1033" s="4">
        <f t="shared" si="65"/>
        <v>15.122033333333334</v>
      </c>
      <c r="Q1033" s="43" t="s">
        <v>2346</v>
      </c>
      <c r="R1033" s="4">
        <v>14.933058610770701</v>
      </c>
      <c r="S1033" s="4">
        <v>14.9034347278489</v>
      </c>
      <c r="T1033" s="4">
        <v>14.842821817608501</v>
      </c>
      <c r="U1033" s="4">
        <f t="shared" si="66"/>
        <v>14.893105052076033</v>
      </c>
      <c r="X1033" s="43" t="s">
        <v>4031</v>
      </c>
      <c r="Y1033" s="4">
        <v>14.9291110549024</v>
      </c>
      <c r="Z1033" s="4">
        <v>14.912717762400501</v>
      </c>
      <c r="AA1033" s="4">
        <v>15.177550572743099</v>
      </c>
      <c r="AB1033" s="4">
        <f t="shared" si="67"/>
        <v>15.006459796682</v>
      </c>
    </row>
    <row r="1034" spans="2:28" x14ac:dyDescent="0.2">
      <c r="B1034" s="4" t="s">
        <v>2974</v>
      </c>
      <c r="C1034" s="4">
        <v>15.0609</v>
      </c>
      <c r="D1034" s="4">
        <v>15.0313</v>
      </c>
      <c r="E1034" s="4">
        <v>15.2622</v>
      </c>
      <c r="F1034" s="4">
        <f t="shared" si="64"/>
        <v>15.118133333333333</v>
      </c>
      <c r="I1034" s="4" t="s">
        <v>477</v>
      </c>
      <c r="J1034" s="4">
        <v>14.5938</v>
      </c>
      <c r="K1034" s="4">
        <v>15.8775</v>
      </c>
      <c r="L1034" s="4">
        <v>14.8935</v>
      </c>
      <c r="M1034" s="4">
        <f t="shared" si="65"/>
        <v>15.121600000000001</v>
      </c>
      <c r="Q1034" s="43" t="s">
        <v>3218</v>
      </c>
      <c r="R1034" s="4">
        <v>15.018645738932699</v>
      </c>
      <c r="S1034" s="4">
        <v>14.7547200135855</v>
      </c>
      <c r="T1034" s="4">
        <v>14.9042504015808</v>
      </c>
      <c r="U1034" s="4">
        <f t="shared" si="66"/>
        <v>14.892538718033</v>
      </c>
      <c r="X1034" s="43" t="s">
        <v>398</v>
      </c>
      <c r="Y1034" s="4">
        <v>15.0280005898132</v>
      </c>
      <c r="Z1034" s="4">
        <v>15.080211329526801</v>
      </c>
      <c r="AA1034" s="4">
        <v>14.9001415956467</v>
      </c>
      <c r="AB1034" s="4">
        <f t="shared" si="67"/>
        <v>15.002784504995567</v>
      </c>
    </row>
    <row r="1035" spans="2:28" x14ac:dyDescent="0.2">
      <c r="B1035" s="4" t="s">
        <v>2382</v>
      </c>
      <c r="C1035" s="4">
        <v>14.8748</v>
      </c>
      <c r="D1035" s="4">
        <v>15.0863</v>
      </c>
      <c r="E1035" s="4">
        <v>15.3736</v>
      </c>
      <c r="F1035" s="4">
        <f t="shared" si="64"/>
        <v>15.111566666666667</v>
      </c>
      <c r="I1035" s="4" t="s">
        <v>3042</v>
      </c>
      <c r="J1035" s="4">
        <v>15.3217</v>
      </c>
      <c r="K1035" s="4">
        <v>14.802899999999999</v>
      </c>
      <c r="L1035" s="4">
        <v>15.238300000000001</v>
      </c>
      <c r="M1035" s="4">
        <f t="shared" si="65"/>
        <v>15.120966666666668</v>
      </c>
      <c r="Q1035" s="43" t="s">
        <v>1704</v>
      </c>
      <c r="R1035" s="4">
        <v>14.9221671033776</v>
      </c>
      <c r="S1035" s="4">
        <v>14.7042714586582</v>
      </c>
      <c r="T1035" s="4">
        <v>15.047748855588001</v>
      </c>
      <c r="U1035" s="4">
        <f t="shared" si="66"/>
        <v>14.8913958058746</v>
      </c>
      <c r="X1035" s="43" t="s">
        <v>3755</v>
      </c>
      <c r="Y1035" s="4">
        <v>15.081725520467</v>
      </c>
      <c r="Z1035" s="4">
        <v>14.84463693202</v>
      </c>
      <c r="AA1035" s="4">
        <v>15.0739696917126</v>
      </c>
      <c r="AB1035" s="4">
        <f t="shared" si="67"/>
        <v>15.000110714733198</v>
      </c>
    </row>
    <row r="1036" spans="2:28" x14ac:dyDescent="0.2">
      <c r="B1036" s="4" t="s">
        <v>719</v>
      </c>
      <c r="C1036" s="4">
        <v>15.783300000000001</v>
      </c>
      <c r="D1036" s="4">
        <v>15.0883</v>
      </c>
      <c r="E1036" s="4">
        <v>14.4602</v>
      </c>
      <c r="F1036" s="4">
        <f t="shared" si="64"/>
        <v>15.1106</v>
      </c>
      <c r="I1036" s="4" t="s">
        <v>170</v>
      </c>
      <c r="J1036" s="4">
        <v>15.297800000000001</v>
      </c>
      <c r="K1036" s="4">
        <v>14.893000000000001</v>
      </c>
      <c r="L1036" s="4">
        <v>15.166600000000001</v>
      </c>
      <c r="M1036" s="4">
        <f t="shared" si="65"/>
        <v>15.119133333333336</v>
      </c>
      <c r="Q1036" s="43" t="s">
        <v>3960</v>
      </c>
      <c r="R1036" s="4">
        <v>14.9519849143283</v>
      </c>
      <c r="S1036" s="4">
        <v>14.784023540726499</v>
      </c>
      <c r="T1036" s="4">
        <v>14.9265181989091</v>
      </c>
      <c r="U1036" s="4">
        <f t="shared" si="66"/>
        <v>14.887508884654634</v>
      </c>
      <c r="X1036" s="43" t="s">
        <v>2306</v>
      </c>
      <c r="Y1036" s="4">
        <v>14.993566636800301</v>
      </c>
      <c r="Z1036" s="4">
        <v>15.0236360490881</v>
      </c>
      <c r="AA1036" s="4">
        <v>14.9811067550425</v>
      </c>
      <c r="AB1036" s="4">
        <f t="shared" si="67"/>
        <v>14.999436480310299</v>
      </c>
    </row>
    <row r="1037" spans="2:28" x14ac:dyDescent="0.2">
      <c r="B1037" s="4" t="s">
        <v>711</v>
      </c>
      <c r="C1037" s="4">
        <v>15.467000000000001</v>
      </c>
      <c r="D1037" s="4">
        <v>15.2616</v>
      </c>
      <c r="E1037" s="4">
        <v>14.601100000000001</v>
      </c>
      <c r="F1037" s="4">
        <f t="shared" si="64"/>
        <v>15.109900000000001</v>
      </c>
      <c r="I1037" s="4" t="s">
        <v>2210</v>
      </c>
      <c r="J1037" s="4">
        <v>15.286099999999999</v>
      </c>
      <c r="K1037" s="4">
        <v>14.5641</v>
      </c>
      <c r="L1037" s="4">
        <v>15.504899999999999</v>
      </c>
      <c r="M1037" s="4">
        <f t="shared" si="65"/>
        <v>15.118366666666667</v>
      </c>
      <c r="Q1037" s="43" t="s">
        <v>4165</v>
      </c>
      <c r="R1037" s="4">
        <v>15.0283845707325</v>
      </c>
      <c r="S1037" s="4">
        <v>14.779815881282101</v>
      </c>
      <c r="T1037" s="4">
        <v>14.843874586858099</v>
      </c>
      <c r="U1037" s="4">
        <f t="shared" si="66"/>
        <v>14.884025012957567</v>
      </c>
      <c r="X1037" s="43" t="s">
        <v>3873</v>
      </c>
      <c r="Y1037" s="4">
        <v>15.0004132532874</v>
      </c>
      <c r="Z1037" s="4">
        <v>14.977962070070401</v>
      </c>
      <c r="AA1037" s="4">
        <v>15.0181910654304</v>
      </c>
      <c r="AB1037" s="4">
        <f t="shared" si="67"/>
        <v>14.9988554629294</v>
      </c>
    </row>
    <row r="1038" spans="2:28" x14ac:dyDescent="0.2">
      <c r="B1038" s="4" t="s">
        <v>2474</v>
      </c>
      <c r="C1038" s="4">
        <v>15.039400000000001</v>
      </c>
      <c r="D1038" s="4">
        <v>15.1523</v>
      </c>
      <c r="E1038" s="4">
        <v>15.1363</v>
      </c>
      <c r="F1038" s="4">
        <f t="shared" si="64"/>
        <v>15.109333333333334</v>
      </c>
      <c r="I1038" s="4" t="s">
        <v>709</v>
      </c>
      <c r="J1038" s="4">
        <v>15.0328</v>
      </c>
      <c r="K1038" s="4">
        <v>15.4948</v>
      </c>
      <c r="L1038" s="4">
        <v>14.826599999999999</v>
      </c>
      <c r="M1038" s="4">
        <f t="shared" si="65"/>
        <v>15.118066666666666</v>
      </c>
      <c r="Q1038" s="43" t="s">
        <v>2756</v>
      </c>
      <c r="R1038" s="4">
        <v>14.8500978878496</v>
      </c>
      <c r="S1038" s="4">
        <v>14.940761453883001</v>
      </c>
      <c r="T1038" s="4">
        <v>14.857283614415</v>
      </c>
      <c r="U1038" s="4">
        <f t="shared" si="66"/>
        <v>14.882714318715864</v>
      </c>
      <c r="X1038" s="43" t="s">
        <v>2326</v>
      </c>
      <c r="Y1038" s="4">
        <v>15.0264950850641</v>
      </c>
      <c r="Z1038" s="4">
        <v>15.0578277039406</v>
      </c>
      <c r="AA1038" s="4">
        <v>14.9049633256954</v>
      </c>
      <c r="AB1038" s="4">
        <f t="shared" si="67"/>
        <v>14.996428704900033</v>
      </c>
    </row>
    <row r="1039" spans="2:28" x14ac:dyDescent="0.2">
      <c r="B1039" s="4" t="s">
        <v>1523</v>
      </c>
      <c r="C1039" s="4">
        <v>14.1579</v>
      </c>
      <c r="D1039" s="4">
        <v>14.8847</v>
      </c>
      <c r="E1039" s="4">
        <v>16.274999999999999</v>
      </c>
      <c r="F1039" s="4">
        <f t="shared" si="64"/>
        <v>15.105866666666666</v>
      </c>
      <c r="I1039" s="4" t="s">
        <v>1523</v>
      </c>
      <c r="J1039" s="4">
        <v>14.6668</v>
      </c>
      <c r="K1039" s="4">
        <v>15.625299999999999</v>
      </c>
      <c r="L1039" s="4">
        <v>15.0617</v>
      </c>
      <c r="M1039" s="4">
        <f t="shared" si="65"/>
        <v>15.117933333333333</v>
      </c>
      <c r="Q1039" s="43" t="s">
        <v>3178</v>
      </c>
      <c r="R1039" s="4">
        <v>15.051696349226599</v>
      </c>
      <c r="S1039" s="4">
        <v>14.7039162115813</v>
      </c>
      <c r="T1039" s="4">
        <v>14.886332274266801</v>
      </c>
      <c r="U1039" s="4">
        <f t="shared" si="66"/>
        <v>14.880648278358231</v>
      </c>
      <c r="X1039" s="43" t="s">
        <v>37</v>
      </c>
      <c r="Y1039" s="4">
        <v>15.0673561907407</v>
      </c>
      <c r="Z1039" s="4">
        <v>14.8129933503683</v>
      </c>
      <c r="AA1039" s="4">
        <v>15.108316443756699</v>
      </c>
      <c r="AB1039" s="4">
        <f t="shared" si="67"/>
        <v>14.996221994955233</v>
      </c>
    </row>
    <row r="1040" spans="2:28" x14ac:dyDescent="0.2">
      <c r="B1040" s="4" t="s">
        <v>3801</v>
      </c>
      <c r="C1040" s="4">
        <v>14.897</v>
      </c>
      <c r="D1040" s="4">
        <v>15.218299999999999</v>
      </c>
      <c r="E1040" s="4">
        <v>15.193899999999999</v>
      </c>
      <c r="F1040" s="4">
        <f t="shared" si="64"/>
        <v>15.103066666666665</v>
      </c>
      <c r="I1040" s="4" t="s">
        <v>3028</v>
      </c>
      <c r="J1040" s="4">
        <v>15.372400000000001</v>
      </c>
      <c r="K1040" s="4">
        <v>14.780900000000001</v>
      </c>
      <c r="L1040" s="4">
        <v>15.193199999999999</v>
      </c>
      <c r="M1040" s="4">
        <f t="shared" si="65"/>
        <v>15.115499999999999</v>
      </c>
      <c r="Q1040" s="43" t="s">
        <v>1629</v>
      </c>
      <c r="R1040" s="4">
        <v>14.758175156310299</v>
      </c>
      <c r="S1040" s="4">
        <v>14.827752282557</v>
      </c>
      <c r="T1040" s="4">
        <v>15.046771617186501</v>
      </c>
      <c r="U1040" s="4">
        <f t="shared" si="66"/>
        <v>14.877566352017935</v>
      </c>
      <c r="X1040" s="43" t="s">
        <v>2239</v>
      </c>
      <c r="Y1040" s="4">
        <v>14.8951206845584</v>
      </c>
      <c r="Z1040" s="4">
        <v>15.0235492064882</v>
      </c>
      <c r="AA1040" s="4">
        <v>15.062641501298099</v>
      </c>
      <c r="AB1040" s="4">
        <f t="shared" si="67"/>
        <v>14.993770464114897</v>
      </c>
    </row>
    <row r="1041" spans="2:28" x14ac:dyDescent="0.2">
      <c r="B1041" s="4" t="s">
        <v>3481</v>
      </c>
      <c r="C1041" s="4">
        <v>15.229699999999999</v>
      </c>
      <c r="D1041" s="4">
        <v>14.9978</v>
      </c>
      <c r="E1041" s="4">
        <v>15.0807</v>
      </c>
      <c r="F1041" s="4">
        <f t="shared" si="64"/>
        <v>15.102733333333333</v>
      </c>
      <c r="I1041" s="4" t="s">
        <v>1295</v>
      </c>
      <c r="J1041" s="4">
        <v>15.3027</v>
      </c>
      <c r="K1041" s="4">
        <v>14.8992</v>
      </c>
      <c r="L1041" s="4">
        <v>15.1433</v>
      </c>
      <c r="M1041" s="4">
        <f t="shared" si="65"/>
        <v>15.115066666666669</v>
      </c>
      <c r="Q1041" s="43" t="s">
        <v>212</v>
      </c>
      <c r="R1041" s="4">
        <v>14.6624923804158</v>
      </c>
      <c r="S1041" s="4">
        <v>14.9138929687218</v>
      </c>
      <c r="T1041" s="4">
        <v>15.0514956243406</v>
      </c>
      <c r="U1041" s="4">
        <f t="shared" si="66"/>
        <v>14.875960324492732</v>
      </c>
      <c r="X1041" s="43" t="s">
        <v>1318</v>
      </c>
      <c r="Y1041" s="4">
        <v>14.934964753570201</v>
      </c>
      <c r="Z1041" s="4">
        <v>15.1014658956595</v>
      </c>
      <c r="AA1041" s="4">
        <v>14.9383285746826</v>
      </c>
      <c r="AB1041" s="4">
        <f t="shared" si="67"/>
        <v>14.991586407970766</v>
      </c>
    </row>
    <row r="1042" spans="2:28" x14ac:dyDescent="0.2">
      <c r="B1042" s="4" t="s">
        <v>1949</v>
      </c>
      <c r="C1042" s="4">
        <v>14.720599999999999</v>
      </c>
      <c r="D1042" s="4">
        <v>15.2232</v>
      </c>
      <c r="E1042" s="4">
        <v>15.3619</v>
      </c>
      <c r="F1042" s="4">
        <f t="shared" si="64"/>
        <v>15.101900000000001</v>
      </c>
      <c r="I1042" s="4" t="s">
        <v>3037</v>
      </c>
      <c r="J1042" s="4">
        <v>14.7324</v>
      </c>
      <c r="K1042" s="4">
        <v>15.908799999999999</v>
      </c>
      <c r="L1042" s="4">
        <v>14.701700000000001</v>
      </c>
      <c r="M1042" s="4">
        <f t="shared" si="65"/>
        <v>15.1143</v>
      </c>
      <c r="Q1042" s="43" t="s">
        <v>750</v>
      </c>
      <c r="R1042" s="4">
        <v>14.958560483346901</v>
      </c>
      <c r="S1042" s="4">
        <v>14.806594754179899</v>
      </c>
      <c r="T1042" s="4">
        <v>14.861298536720099</v>
      </c>
      <c r="U1042" s="4">
        <f t="shared" si="66"/>
        <v>14.875484591415633</v>
      </c>
      <c r="X1042" s="43" t="s">
        <v>3604</v>
      </c>
      <c r="Y1042" s="4">
        <v>14.9781669090085</v>
      </c>
      <c r="Z1042" s="4">
        <v>15.0706880918005</v>
      </c>
      <c r="AA1042" s="4">
        <v>14.923250877879999</v>
      </c>
      <c r="AB1042" s="4">
        <f t="shared" si="67"/>
        <v>14.990701959562999</v>
      </c>
    </row>
    <row r="1043" spans="2:28" x14ac:dyDescent="0.2">
      <c r="B1043" s="4" t="s">
        <v>20</v>
      </c>
      <c r="C1043" s="4">
        <v>14.493</v>
      </c>
      <c r="D1043" s="4">
        <v>15.347300000000001</v>
      </c>
      <c r="E1043" s="4">
        <v>15.456300000000001</v>
      </c>
      <c r="F1043" s="4">
        <f t="shared" si="64"/>
        <v>15.098866666666666</v>
      </c>
      <c r="I1043" s="4" t="s">
        <v>2781</v>
      </c>
      <c r="J1043" s="4">
        <v>15.235300000000001</v>
      </c>
      <c r="K1043" s="4">
        <v>14.961600000000001</v>
      </c>
      <c r="L1043" s="4">
        <v>15.1457</v>
      </c>
      <c r="M1043" s="4">
        <f t="shared" si="65"/>
        <v>15.114199999999999</v>
      </c>
      <c r="Q1043" s="43" t="s">
        <v>1511</v>
      </c>
      <c r="R1043" s="4">
        <v>15.126046716986499</v>
      </c>
      <c r="S1043" s="4">
        <v>14.315866639205501</v>
      </c>
      <c r="T1043" s="4">
        <v>15.1791346536902</v>
      </c>
      <c r="U1043" s="4">
        <f t="shared" si="66"/>
        <v>14.873682669960735</v>
      </c>
      <c r="X1043" s="43" t="s">
        <v>3969</v>
      </c>
      <c r="Y1043" s="4">
        <v>14.7651789191757</v>
      </c>
      <c r="Z1043" s="4">
        <v>14.8979311016015</v>
      </c>
      <c r="AA1043" s="4">
        <v>15.304767103166499</v>
      </c>
      <c r="AB1043" s="4">
        <f t="shared" si="67"/>
        <v>14.989292374647901</v>
      </c>
    </row>
    <row r="1044" spans="2:28" x14ac:dyDescent="0.2">
      <c r="B1044" s="4" t="s">
        <v>1670</v>
      </c>
      <c r="C1044" s="4">
        <v>15.2668</v>
      </c>
      <c r="D1044" s="4">
        <v>15.0631</v>
      </c>
      <c r="E1044" s="4">
        <v>14.9619</v>
      </c>
      <c r="F1044" s="4">
        <f t="shared" si="64"/>
        <v>15.097266666666668</v>
      </c>
      <c r="I1044" s="4" t="s">
        <v>665</v>
      </c>
      <c r="J1044" s="4">
        <v>14.9659</v>
      </c>
      <c r="K1044" s="4">
        <v>15.549899999999999</v>
      </c>
      <c r="L1044" s="4">
        <v>14.8248</v>
      </c>
      <c r="M1044" s="4">
        <f t="shared" si="65"/>
        <v>15.113533333333331</v>
      </c>
      <c r="Q1044" s="43" t="s">
        <v>1418</v>
      </c>
      <c r="R1044" s="4">
        <v>14.894913544938399</v>
      </c>
      <c r="S1044" s="4">
        <v>14.878641870424101</v>
      </c>
      <c r="T1044" s="4">
        <v>14.829631583487201</v>
      </c>
      <c r="U1044" s="4">
        <f t="shared" si="66"/>
        <v>14.867728999616567</v>
      </c>
      <c r="X1044" s="43" t="s">
        <v>2031</v>
      </c>
      <c r="Y1044" s="4">
        <v>15.1093074195882</v>
      </c>
      <c r="Z1044" s="4">
        <v>14.914176344072899</v>
      </c>
      <c r="AA1044" s="4">
        <v>14.9348449304533</v>
      </c>
      <c r="AB1044" s="4">
        <f t="shared" si="67"/>
        <v>14.986109564704799</v>
      </c>
    </row>
    <row r="1045" spans="2:28" x14ac:dyDescent="0.2">
      <c r="B1045" s="4" t="s">
        <v>2986</v>
      </c>
      <c r="C1045" s="4">
        <v>14.8506</v>
      </c>
      <c r="D1045" s="4">
        <v>14.510999999999999</v>
      </c>
      <c r="E1045" s="4">
        <v>15.907999999999999</v>
      </c>
      <c r="F1045" s="4">
        <f t="shared" si="64"/>
        <v>15.089866666666666</v>
      </c>
      <c r="I1045" s="4" t="s">
        <v>334</v>
      </c>
      <c r="J1045" s="4">
        <v>14.7219</v>
      </c>
      <c r="K1045" s="4">
        <v>14.7323</v>
      </c>
      <c r="L1045" s="4">
        <v>15.8797</v>
      </c>
      <c r="M1045" s="4">
        <f t="shared" si="65"/>
        <v>15.1113</v>
      </c>
      <c r="Q1045" s="43" t="s">
        <v>2113</v>
      </c>
      <c r="R1045" s="4">
        <v>14.9079986183066</v>
      </c>
      <c r="S1045" s="4">
        <v>14.8761584436243</v>
      </c>
      <c r="T1045" s="4">
        <v>14.817667084762</v>
      </c>
      <c r="U1045" s="4">
        <f t="shared" si="66"/>
        <v>14.867274715564299</v>
      </c>
      <c r="X1045" s="43" t="s">
        <v>1661</v>
      </c>
      <c r="Y1045" s="4">
        <v>15.024983458548199</v>
      </c>
      <c r="Z1045" s="4">
        <v>14.969255554153699</v>
      </c>
      <c r="AA1045" s="4">
        <v>14.957189535076999</v>
      </c>
      <c r="AB1045" s="4">
        <f t="shared" si="67"/>
        <v>14.983809515926298</v>
      </c>
    </row>
    <row r="1046" spans="2:28" x14ac:dyDescent="0.2">
      <c r="B1046" s="4" t="s">
        <v>1924</v>
      </c>
      <c r="C1046" s="4">
        <v>14.8626</v>
      </c>
      <c r="D1046" s="4">
        <v>15.126200000000001</v>
      </c>
      <c r="E1046" s="4">
        <v>15.276300000000001</v>
      </c>
      <c r="F1046" s="4">
        <f t="shared" si="64"/>
        <v>15.088366666666667</v>
      </c>
      <c r="I1046" s="4" t="s">
        <v>3977</v>
      </c>
      <c r="J1046" s="4">
        <v>15.231199999999999</v>
      </c>
      <c r="K1046" s="4">
        <v>14.927</v>
      </c>
      <c r="L1046" s="4">
        <v>15.1729</v>
      </c>
      <c r="M1046" s="4">
        <f t="shared" si="65"/>
        <v>15.110366666666666</v>
      </c>
      <c r="Q1046" s="43" t="s">
        <v>4003</v>
      </c>
      <c r="R1046" s="4">
        <v>15.0286905379694</v>
      </c>
      <c r="S1046" s="4">
        <v>14.8224143415482</v>
      </c>
      <c r="T1046" s="4">
        <v>14.7493198368969</v>
      </c>
      <c r="U1046" s="4">
        <f t="shared" si="66"/>
        <v>14.866808238804834</v>
      </c>
      <c r="X1046" s="43" t="s">
        <v>921</v>
      </c>
      <c r="Y1046" s="4">
        <v>14.833653005229801</v>
      </c>
      <c r="Z1046" s="4">
        <v>15.025159101175401</v>
      </c>
      <c r="AA1046" s="4">
        <v>15.087361716486701</v>
      </c>
      <c r="AB1046" s="4">
        <f t="shared" si="67"/>
        <v>14.982057940963969</v>
      </c>
    </row>
    <row r="1047" spans="2:28" x14ac:dyDescent="0.2">
      <c r="B1047" s="4" t="s">
        <v>3435</v>
      </c>
      <c r="C1047" s="4">
        <v>15.1732</v>
      </c>
      <c r="D1047" s="4">
        <v>15.21</v>
      </c>
      <c r="E1047" s="4">
        <v>14.869199999999999</v>
      </c>
      <c r="F1047" s="4">
        <f t="shared" si="64"/>
        <v>15.084133333333334</v>
      </c>
      <c r="I1047" s="4" t="s">
        <v>2810</v>
      </c>
      <c r="J1047" s="4">
        <v>15.161</v>
      </c>
      <c r="K1047" s="4">
        <v>15.0097</v>
      </c>
      <c r="L1047" s="4">
        <v>15.1593</v>
      </c>
      <c r="M1047" s="4">
        <f t="shared" si="65"/>
        <v>15.11</v>
      </c>
      <c r="Q1047" s="43" t="s">
        <v>29</v>
      </c>
      <c r="R1047" s="4">
        <v>14.928354034562799</v>
      </c>
      <c r="S1047" s="4">
        <v>14.887757885399299</v>
      </c>
      <c r="T1047" s="4">
        <v>14.782912437472</v>
      </c>
      <c r="U1047" s="4">
        <f t="shared" si="66"/>
        <v>14.866341452478032</v>
      </c>
      <c r="X1047" s="43" t="s">
        <v>2588</v>
      </c>
      <c r="Y1047" s="4">
        <v>14.873311834929501</v>
      </c>
      <c r="Z1047" s="4">
        <v>15.079005295303601</v>
      </c>
      <c r="AA1047" s="4">
        <v>14.9811954296149</v>
      </c>
      <c r="AB1047" s="4">
        <f t="shared" si="67"/>
        <v>14.977837519949333</v>
      </c>
    </row>
    <row r="1048" spans="2:28" x14ac:dyDescent="0.2">
      <c r="B1048" s="4" t="s">
        <v>3811</v>
      </c>
      <c r="C1048" s="4">
        <v>15.4968</v>
      </c>
      <c r="D1048" s="4">
        <v>14.7027</v>
      </c>
      <c r="E1048" s="4">
        <v>15.0337</v>
      </c>
      <c r="F1048" s="4">
        <f t="shared" si="64"/>
        <v>15.077733333333333</v>
      </c>
      <c r="I1048" s="4" t="s">
        <v>1340</v>
      </c>
      <c r="J1048" s="4">
        <v>14.984400000000001</v>
      </c>
      <c r="K1048" s="4">
        <v>15.220599999999999</v>
      </c>
      <c r="L1048" s="4">
        <v>15.124599999999999</v>
      </c>
      <c r="M1048" s="4">
        <f t="shared" si="65"/>
        <v>15.109866666666667</v>
      </c>
      <c r="Q1048" s="43" t="s">
        <v>3572</v>
      </c>
      <c r="R1048" s="4">
        <v>14.9504273611988</v>
      </c>
      <c r="S1048" s="4">
        <v>14.7794399924129</v>
      </c>
      <c r="T1048" s="4">
        <v>14.8673544617372</v>
      </c>
      <c r="U1048" s="4">
        <f t="shared" si="66"/>
        <v>14.865740605116301</v>
      </c>
      <c r="X1048" s="43" t="s">
        <v>905</v>
      </c>
      <c r="Y1048" s="4">
        <v>14.886884410524001</v>
      </c>
      <c r="Z1048" s="4">
        <v>15.1777190813273</v>
      </c>
      <c r="AA1048" s="4">
        <v>14.865088348443701</v>
      </c>
      <c r="AB1048" s="4">
        <f t="shared" si="67"/>
        <v>14.976563946764999</v>
      </c>
    </row>
    <row r="1049" spans="2:28" x14ac:dyDescent="0.2">
      <c r="B1049" s="4" t="s">
        <v>1380</v>
      </c>
      <c r="C1049" s="4">
        <v>15.0032</v>
      </c>
      <c r="D1049" s="4">
        <v>15.147600000000001</v>
      </c>
      <c r="E1049" s="4">
        <v>15.081200000000001</v>
      </c>
      <c r="F1049" s="4">
        <f t="shared" si="64"/>
        <v>15.077333333333334</v>
      </c>
      <c r="I1049" s="4" t="s">
        <v>473</v>
      </c>
      <c r="J1049" s="4">
        <v>15.300700000000001</v>
      </c>
      <c r="K1049" s="4">
        <v>14.7135</v>
      </c>
      <c r="L1049" s="4">
        <v>15.312900000000001</v>
      </c>
      <c r="M1049" s="4">
        <f t="shared" si="65"/>
        <v>15.109033333333334</v>
      </c>
      <c r="Q1049" s="43" t="s">
        <v>2536</v>
      </c>
      <c r="R1049" s="4">
        <v>15.0180551461458</v>
      </c>
      <c r="S1049" s="4">
        <v>14.8186995659789</v>
      </c>
      <c r="T1049" s="4">
        <v>14.757499238480399</v>
      </c>
      <c r="U1049" s="4">
        <f t="shared" si="66"/>
        <v>14.864751316868366</v>
      </c>
      <c r="X1049" s="43" t="s">
        <v>2278</v>
      </c>
      <c r="Y1049" s="4">
        <v>14.828526390983001</v>
      </c>
      <c r="Z1049" s="4">
        <v>15.1114693308835</v>
      </c>
      <c r="AA1049" s="4">
        <v>14.989578311056301</v>
      </c>
      <c r="AB1049" s="4">
        <f t="shared" si="67"/>
        <v>14.976524677640933</v>
      </c>
    </row>
    <row r="1050" spans="2:28" x14ac:dyDescent="0.2">
      <c r="B1050" s="4" t="s">
        <v>878</v>
      </c>
      <c r="C1050" s="4">
        <v>14.791399999999999</v>
      </c>
      <c r="D1050" s="4">
        <v>15.112299999999999</v>
      </c>
      <c r="E1050" s="4">
        <v>15.3223</v>
      </c>
      <c r="F1050" s="4">
        <f t="shared" si="64"/>
        <v>15.075333333333333</v>
      </c>
      <c r="I1050" s="4" t="s">
        <v>1281</v>
      </c>
      <c r="J1050" s="4">
        <v>14.2614</v>
      </c>
      <c r="K1050" s="4">
        <v>16.522099999999998</v>
      </c>
      <c r="L1050" s="4">
        <v>14.5387</v>
      </c>
      <c r="M1050" s="4">
        <f t="shared" si="65"/>
        <v>15.107399999999998</v>
      </c>
      <c r="Q1050" s="43" t="s">
        <v>1618</v>
      </c>
      <c r="R1050" s="4">
        <v>14.959753064789799</v>
      </c>
      <c r="S1050" s="4">
        <v>14.7667372142975</v>
      </c>
      <c r="T1050" s="4">
        <v>14.8660470367084</v>
      </c>
      <c r="U1050" s="4">
        <f t="shared" si="66"/>
        <v>14.864179105265235</v>
      </c>
      <c r="X1050" s="43" t="s">
        <v>1030</v>
      </c>
      <c r="Y1050" s="4">
        <v>14.970641401018</v>
      </c>
      <c r="Z1050" s="4">
        <v>14.9989156117382</v>
      </c>
      <c r="AA1050" s="4">
        <v>14.951201890379</v>
      </c>
      <c r="AB1050" s="4">
        <f t="shared" si="67"/>
        <v>14.973586301045065</v>
      </c>
    </row>
    <row r="1051" spans="2:28" x14ac:dyDescent="0.2">
      <c r="B1051" s="4" t="s">
        <v>3744</v>
      </c>
      <c r="C1051" s="4">
        <v>15.672000000000001</v>
      </c>
      <c r="D1051" s="4">
        <v>14.902200000000001</v>
      </c>
      <c r="E1051" s="4">
        <v>14.6492</v>
      </c>
      <c r="F1051" s="4">
        <f t="shared" si="64"/>
        <v>15.074466666666666</v>
      </c>
      <c r="I1051" s="4" t="s">
        <v>2200</v>
      </c>
      <c r="J1051" s="4">
        <v>15.380800000000001</v>
      </c>
      <c r="K1051" s="4">
        <v>14.456099999999999</v>
      </c>
      <c r="L1051" s="4">
        <v>15.4764</v>
      </c>
      <c r="M1051" s="4">
        <f t="shared" si="65"/>
        <v>15.104433333333333</v>
      </c>
      <c r="Q1051" s="43" t="s">
        <v>1620</v>
      </c>
      <c r="R1051" s="4">
        <v>15.031937486347401</v>
      </c>
      <c r="S1051" s="4">
        <v>14.862118021306101</v>
      </c>
      <c r="T1051" s="4">
        <v>14.6971617876642</v>
      </c>
      <c r="U1051" s="4">
        <f t="shared" si="66"/>
        <v>14.863739098439234</v>
      </c>
      <c r="X1051" s="43" t="s">
        <v>92</v>
      </c>
      <c r="Y1051" s="4">
        <v>14.9871078986468</v>
      </c>
      <c r="Z1051" s="4">
        <v>15.110359731753</v>
      </c>
      <c r="AA1051" s="4">
        <v>14.807376431550701</v>
      </c>
      <c r="AB1051" s="4">
        <f t="shared" si="67"/>
        <v>14.9682813539835</v>
      </c>
    </row>
    <row r="1052" spans="2:28" x14ac:dyDescent="0.2">
      <c r="B1052" s="4" t="s">
        <v>3978</v>
      </c>
      <c r="C1052" s="4">
        <v>15.0221</v>
      </c>
      <c r="D1052" s="4">
        <v>15.0771</v>
      </c>
      <c r="E1052" s="4">
        <v>15.1241</v>
      </c>
      <c r="F1052" s="4">
        <f t="shared" si="64"/>
        <v>15.074433333333333</v>
      </c>
      <c r="I1052" s="4" t="s">
        <v>2667</v>
      </c>
      <c r="J1052" s="4">
        <v>15.235300000000001</v>
      </c>
      <c r="K1052" s="4">
        <v>14.698499999999999</v>
      </c>
      <c r="L1052" s="4">
        <v>15.372199999999999</v>
      </c>
      <c r="M1052" s="4">
        <f t="shared" si="65"/>
        <v>15.101999999999999</v>
      </c>
      <c r="Q1052" s="43" t="s">
        <v>1299</v>
      </c>
      <c r="R1052" s="4">
        <v>15.010628624258899</v>
      </c>
      <c r="S1052" s="4">
        <v>14.701841087337099</v>
      </c>
      <c r="T1052" s="4">
        <v>14.869411304638801</v>
      </c>
      <c r="U1052" s="4">
        <f t="shared" si="66"/>
        <v>14.860627005411601</v>
      </c>
      <c r="X1052" s="43" t="s">
        <v>1668</v>
      </c>
      <c r="Y1052" s="4">
        <v>14.931581577641399</v>
      </c>
      <c r="Z1052" s="4">
        <v>15.058850260268899</v>
      </c>
      <c r="AA1052" s="4">
        <v>14.9136185290065</v>
      </c>
      <c r="AB1052" s="4">
        <f t="shared" si="67"/>
        <v>14.968016788972266</v>
      </c>
    </row>
    <row r="1053" spans="2:28" x14ac:dyDescent="0.2">
      <c r="B1053" s="4" t="s">
        <v>3229</v>
      </c>
      <c r="C1053" s="4">
        <v>15.0535</v>
      </c>
      <c r="D1053" s="4">
        <v>15.033799999999999</v>
      </c>
      <c r="E1053" s="4">
        <v>15.129300000000001</v>
      </c>
      <c r="F1053" s="4">
        <f t="shared" si="64"/>
        <v>15.0722</v>
      </c>
      <c r="I1053" s="4" t="s">
        <v>3322</v>
      </c>
      <c r="J1053" s="4">
        <v>15.1487</v>
      </c>
      <c r="K1053" s="4">
        <v>15.0824</v>
      </c>
      <c r="L1053" s="4">
        <v>15.0716</v>
      </c>
      <c r="M1053" s="4">
        <f t="shared" si="65"/>
        <v>15.100900000000001</v>
      </c>
      <c r="Q1053" s="43" t="s">
        <v>3870</v>
      </c>
      <c r="R1053" s="4">
        <v>14.952723456356701</v>
      </c>
      <c r="S1053" s="4">
        <v>14.6539887402761</v>
      </c>
      <c r="T1053" s="4">
        <v>14.972599371909199</v>
      </c>
      <c r="U1053" s="4">
        <f t="shared" si="66"/>
        <v>14.859770522847333</v>
      </c>
      <c r="X1053" s="43" t="s">
        <v>3889</v>
      </c>
      <c r="Y1053" s="4">
        <v>14.977169252893599</v>
      </c>
      <c r="Z1053" s="4">
        <v>15.1167662221601</v>
      </c>
      <c r="AA1053" s="4">
        <v>14.806163428452299</v>
      </c>
      <c r="AB1053" s="4">
        <f t="shared" si="67"/>
        <v>14.966699634502</v>
      </c>
    </row>
    <row r="1054" spans="2:28" x14ac:dyDescent="0.2">
      <c r="B1054" s="4" t="s">
        <v>468</v>
      </c>
      <c r="C1054" s="4">
        <v>14.9779</v>
      </c>
      <c r="D1054" s="4">
        <v>14.98</v>
      </c>
      <c r="E1054" s="4">
        <v>15.2506</v>
      </c>
      <c r="F1054" s="4">
        <f t="shared" si="64"/>
        <v>15.0695</v>
      </c>
      <c r="I1054" s="4" t="s">
        <v>3701</v>
      </c>
      <c r="J1054" s="4">
        <v>15.472099999999999</v>
      </c>
      <c r="K1054" s="4">
        <v>14.161899999999999</v>
      </c>
      <c r="L1054" s="4">
        <v>15.665800000000001</v>
      </c>
      <c r="M1054" s="4">
        <f t="shared" si="65"/>
        <v>15.099933333333334</v>
      </c>
      <c r="Q1054" s="43" t="s">
        <v>2012</v>
      </c>
      <c r="R1054" s="4">
        <v>14.6974289566151</v>
      </c>
      <c r="S1054" s="4">
        <v>14.889558741408999</v>
      </c>
      <c r="T1054" s="4">
        <v>14.984552078821</v>
      </c>
      <c r="U1054" s="4">
        <f t="shared" si="66"/>
        <v>14.857179925615034</v>
      </c>
      <c r="X1054" s="43" t="s">
        <v>442</v>
      </c>
      <c r="Y1054" s="4">
        <v>14.9133570379537</v>
      </c>
      <c r="Z1054" s="4">
        <v>15.022378303549701</v>
      </c>
      <c r="AA1054" s="4">
        <v>14.9594739925056</v>
      </c>
      <c r="AB1054" s="4">
        <f t="shared" si="67"/>
        <v>14.965069778003</v>
      </c>
    </row>
    <row r="1055" spans="2:28" x14ac:dyDescent="0.2">
      <c r="B1055" s="4" t="s">
        <v>1432</v>
      </c>
      <c r="C1055" s="4">
        <v>14.481999999999999</v>
      </c>
      <c r="D1055" s="4">
        <v>14.984999999999999</v>
      </c>
      <c r="E1055" s="4">
        <v>15.7369</v>
      </c>
      <c r="F1055" s="4">
        <f t="shared" si="64"/>
        <v>15.067966666666665</v>
      </c>
      <c r="I1055" s="4" t="s">
        <v>1472</v>
      </c>
      <c r="J1055" s="4">
        <v>15.277900000000001</v>
      </c>
      <c r="K1055" s="4">
        <v>14.7378</v>
      </c>
      <c r="L1055" s="4">
        <v>15.273</v>
      </c>
      <c r="M1055" s="4">
        <f t="shared" si="65"/>
        <v>15.096233333333336</v>
      </c>
      <c r="Q1055" s="43" t="s">
        <v>3284</v>
      </c>
      <c r="R1055" s="4">
        <v>14.9120313521637</v>
      </c>
      <c r="S1055" s="4">
        <v>14.889668643586299</v>
      </c>
      <c r="T1055" s="4">
        <v>14.7672952012088</v>
      </c>
      <c r="U1055" s="4">
        <f t="shared" si="66"/>
        <v>14.856331732319598</v>
      </c>
      <c r="X1055" s="43" t="s">
        <v>3807</v>
      </c>
      <c r="Y1055" s="4">
        <v>15.1563701160061</v>
      </c>
      <c r="Z1055" s="4">
        <v>14.9038749984521</v>
      </c>
      <c r="AA1055" s="4">
        <v>14.833334627090199</v>
      </c>
      <c r="AB1055" s="4">
        <f t="shared" si="67"/>
        <v>14.96452658051613</v>
      </c>
    </row>
    <row r="1056" spans="2:28" x14ac:dyDescent="0.2">
      <c r="B1056" s="4" t="s">
        <v>1809</v>
      </c>
      <c r="C1056" s="4">
        <v>15.5129</v>
      </c>
      <c r="D1056" s="4">
        <v>15.0542</v>
      </c>
      <c r="E1056" s="4">
        <v>14.630800000000001</v>
      </c>
      <c r="F1056" s="4">
        <f t="shared" si="64"/>
        <v>15.065966666666668</v>
      </c>
      <c r="I1056" s="4" t="s">
        <v>663</v>
      </c>
      <c r="J1056" s="4">
        <v>14.2682</v>
      </c>
      <c r="K1056" s="4">
        <v>16.8613</v>
      </c>
      <c r="L1056" s="4">
        <v>14.1518</v>
      </c>
      <c r="M1056" s="4">
        <f t="shared" si="65"/>
        <v>15.093766666666667</v>
      </c>
      <c r="Q1056" s="43" t="s">
        <v>2636</v>
      </c>
      <c r="R1056" s="4">
        <v>15.020511043042999</v>
      </c>
      <c r="S1056" s="4">
        <v>14.7432281196064</v>
      </c>
      <c r="T1056" s="4">
        <v>14.8021132014074</v>
      </c>
      <c r="U1056" s="4">
        <f t="shared" si="66"/>
        <v>14.855284121352268</v>
      </c>
      <c r="X1056" s="43" t="s">
        <v>3863</v>
      </c>
      <c r="Y1056" s="4">
        <v>14.969006388786401</v>
      </c>
      <c r="Z1056" s="4">
        <v>15.010992720398599</v>
      </c>
      <c r="AA1056" s="4">
        <v>14.910588835045401</v>
      </c>
      <c r="AB1056" s="4">
        <f t="shared" si="67"/>
        <v>14.963529314743468</v>
      </c>
    </row>
    <row r="1057" spans="2:28" x14ac:dyDescent="0.2">
      <c r="B1057" s="4" t="s">
        <v>3857</v>
      </c>
      <c r="C1057" s="4">
        <v>14.959300000000001</v>
      </c>
      <c r="D1057" s="4">
        <v>15.1366</v>
      </c>
      <c r="E1057" s="4">
        <v>15.0989</v>
      </c>
      <c r="F1057" s="4">
        <f t="shared" si="64"/>
        <v>15.064933333333334</v>
      </c>
      <c r="I1057" s="4" t="s">
        <v>2893</v>
      </c>
      <c r="J1057" s="4">
        <v>15.212999999999999</v>
      </c>
      <c r="K1057" s="4">
        <v>14.9428</v>
      </c>
      <c r="L1057" s="4">
        <v>15.1213</v>
      </c>
      <c r="M1057" s="4">
        <f t="shared" si="65"/>
        <v>15.092366666666665</v>
      </c>
      <c r="Q1057" s="43" t="s">
        <v>2436</v>
      </c>
      <c r="R1057" s="4">
        <v>14.9923404550906</v>
      </c>
      <c r="S1057" s="4">
        <v>14.7299201791808</v>
      </c>
      <c r="T1057" s="4">
        <v>14.8432838563422</v>
      </c>
      <c r="U1057" s="4">
        <f t="shared" si="66"/>
        <v>14.855181496871202</v>
      </c>
      <c r="X1057" s="43" t="s">
        <v>294</v>
      </c>
      <c r="Y1057" s="4">
        <v>15.0339383814513</v>
      </c>
      <c r="Z1057" s="4">
        <v>15.013155790367801</v>
      </c>
      <c r="AA1057" s="4">
        <v>14.842896716474201</v>
      </c>
      <c r="AB1057" s="4">
        <f t="shared" si="67"/>
        <v>14.963330296097766</v>
      </c>
    </row>
    <row r="1058" spans="2:28" x14ac:dyDescent="0.2">
      <c r="B1058" s="4" t="s">
        <v>2880</v>
      </c>
      <c r="C1058" s="4">
        <v>15.193</v>
      </c>
      <c r="D1058" s="4">
        <v>15.0679</v>
      </c>
      <c r="E1058" s="4">
        <v>14.9321</v>
      </c>
      <c r="F1058" s="4">
        <f t="shared" si="64"/>
        <v>15.064333333333332</v>
      </c>
      <c r="I1058" s="4" t="s">
        <v>1691</v>
      </c>
      <c r="J1058" s="4">
        <v>15.2654</v>
      </c>
      <c r="K1058" s="4">
        <v>14.8809</v>
      </c>
      <c r="L1058" s="4">
        <v>15.1275</v>
      </c>
      <c r="M1058" s="4">
        <f t="shared" si="65"/>
        <v>15.091266666666668</v>
      </c>
      <c r="Q1058" s="43" t="s">
        <v>2607</v>
      </c>
      <c r="R1058" s="4">
        <v>14.929388957067101</v>
      </c>
      <c r="S1058" s="4">
        <v>14.841931724219</v>
      </c>
      <c r="T1058" s="4">
        <v>14.784210941383</v>
      </c>
      <c r="U1058" s="4">
        <f t="shared" si="66"/>
        <v>14.851843874223034</v>
      </c>
      <c r="X1058" s="43" t="s">
        <v>2099</v>
      </c>
      <c r="Y1058" s="4">
        <v>14.976048554775</v>
      </c>
      <c r="Z1058" s="4">
        <v>14.758530110403401</v>
      </c>
      <c r="AA1058" s="4">
        <v>15.154542209440001</v>
      </c>
      <c r="AB1058" s="4">
        <f t="shared" si="67"/>
        <v>14.963040291539466</v>
      </c>
    </row>
    <row r="1059" spans="2:28" x14ac:dyDescent="0.2">
      <c r="B1059" s="4" t="s">
        <v>146</v>
      </c>
      <c r="C1059" s="4">
        <v>14.896000000000001</v>
      </c>
      <c r="D1059" s="4">
        <v>15.1639</v>
      </c>
      <c r="E1059" s="4">
        <v>15.1309</v>
      </c>
      <c r="F1059" s="4">
        <f t="shared" si="64"/>
        <v>15.063599999999999</v>
      </c>
      <c r="I1059" s="4" t="s">
        <v>1716</v>
      </c>
      <c r="J1059" s="4">
        <v>15.161899999999999</v>
      </c>
      <c r="K1059" s="4">
        <v>15.065</v>
      </c>
      <c r="L1059" s="4">
        <v>15.0388</v>
      </c>
      <c r="M1059" s="4">
        <f t="shared" si="65"/>
        <v>15.088566666666667</v>
      </c>
      <c r="Q1059" s="43" t="s">
        <v>130</v>
      </c>
      <c r="R1059" s="4">
        <v>15.037185343353601</v>
      </c>
      <c r="S1059" s="4">
        <v>14.610512436811799</v>
      </c>
      <c r="T1059" s="4">
        <v>14.8916291447125</v>
      </c>
      <c r="U1059" s="4">
        <f t="shared" si="66"/>
        <v>14.846442308292632</v>
      </c>
      <c r="X1059" s="43" t="s">
        <v>2341</v>
      </c>
      <c r="Y1059" s="4">
        <v>15.1452810482707</v>
      </c>
      <c r="Z1059" s="4">
        <v>15.2707857226266</v>
      </c>
      <c r="AA1059" s="4">
        <v>14.471970375073299</v>
      </c>
      <c r="AB1059" s="4">
        <f t="shared" si="67"/>
        <v>14.962679048656867</v>
      </c>
    </row>
    <row r="1060" spans="2:28" x14ac:dyDescent="0.2">
      <c r="B1060" s="4" t="s">
        <v>606</v>
      </c>
      <c r="C1060" s="4">
        <v>13.7989</v>
      </c>
      <c r="D1060" s="4">
        <v>15.4527</v>
      </c>
      <c r="E1060" s="4">
        <v>15.9336</v>
      </c>
      <c r="F1060" s="4">
        <f t="shared" si="64"/>
        <v>15.061733333333335</v>
      </c>
      <c r="I1060" s="4" t="s">
        <v>2750</v>
      </c>
      <c r="J1060" s="4">
        <v>15.544700000000001</v>
      </c>
      <c r="K1060" s="4">
        <v>13.9864</v>
      </c>
      <c r="L1060" s="4">
        <v>15.734500000000001</v>
      </c>
      <c r="M1060" s="4">
        <f t="shared" si="65"/>
        <v>15.088533333333336</v>
      </c>
      <c r="Q1060" s="43" t="s">
        <v>451</v>
      </c>
      <c r="R1060" s="4">
        <v>14.976890884096299</v>
      </c>
      <c r="S1060" s="4">
        <v>14.705286235446399</v>
      </c>
      <c r="T1060" s="4">
        <v>14.844908464311301</v>
      </c>
      <c r="U1060" s="4">
        <f t="shared" si="66"/>
        <v>14.842361861284667</v>
      </c>
      <c r="X1060" s="43" t="s">
        <v>698</v>
      </c>
      <c r="Y1060" s="4">
        <v>15.065089011183201</v>
      </c>
      <c r="Z1060" s="4">
        <v>14.9322001102637</v>
      </c>
      <c r="AA1060" s="4">
        <v>14.885095261625001</v>
      </c>
      <c r="AB1060" s="4">
        <f t="shared" si="67"/>
        <v>14.9607947943573</v>
      </c>
    </row>
    <row r="1061" spans="2:28" x14ac:dyDescent="0.2">
      <c r="B1061" s="4" t="s">
        <v>1969</v>
      </c>
      <c r="C1061" s="4">
        <v>15.104799999999999</v>
      </c>
      <c r="D1061" s="4">
        <v>15.363099999999999</v>
      </c>
      <c r="E1061" s="4">
        <v>14.7163</v>
      </c>
      <c r="F1061" s="4">
        <f t="shared" si="64"/>
        <v>15.061400000000001</v>
      </c>
      <c r="I1061" s="4" t="s">
        <v>4031</v>
      </c>
      <c r="J1061" s="4">
        <v>15.274800000000001</v>
      </c>
      <c r="K1061" s="4">
        <v>14.7928</v>
      </c>
      <c r="L1061" s="4">
        <v>15.1973</v>
      </c>
      <c r="M1061" s="4">
        <f t="shared" si="65"/>
        <v>15.088299999999998</v>
      </c>
      <c r="Q1061" s="43" t="s">
        <v>2252</v>
      </c>
      <c r="R1061" s="4">
        <v>14.842596530797101</v>
      </c>
      <c r="S1061" s="4">
        <v>14.809759587019499</v>
      </c>
      <c r="T1061" s="4">
        <v>14.8745282398969</v>
      </c>
      <c r="U1061" s="4">
        <f t="shared" si="66"/>
        <v>14.8422947859045</v>
      </c>
      <c r="X1061" s="43" t="s">
        <v>262</v>
      </c>
      <c r="Y1061" s="4">
        <v>14.8436598546028</v>
      </c>
      <c r="Z1061" s="4">
        <v>15.1159516392865</v>
      </c>
      <c r="AA1061" s="4">
        <v>14.922283747908899</v>
      </c>
      <c r="AB1061" s="4">
        <f t="shared" si="67"/>
        <v>14.960631747266065</v>
      </c>
    </row>
    <row r="1062" spans="2:28" x14ac:dyDescent="0.2">
      <c r="B1062" s="4" t="s">
        <v>140</v>
      </c>
      <c r="C1062" s="4">
        <v>15.303699999999999</v>
      </c>
      <c r="D1062" s="4">
        <v>15.381500000000001</v>
      </c>
      <c r="E1062" s="4">
        <v>14.498699999999999</v>
      </c>
      <c r="F1062" s="4">
        <f t="shared" si="64"/>
        <v>15.061300000000001</v>
      </c>
      <c r="I1062" s="4" t="s">
        <v>3152</v>
      </c>
      <c r="J1062" s="4">
        <v>15.1891</v>
      </c>
      <c r="K1062" s="4">
        <v>14.6021</v>
      </c>
      <c r="L1062" s="4">
        <v>15.469900000000001</v>
      </c>
      <c r="M1062" s="4">
        <f t="shared" si="65"/>
        <v>15.087033333333332</v>
      </c>
      <c r="Q1062" s="43" t="s">
        <v>2566</v>
      </c>
      <c r="R1062" s="4">
        <v>15.0644002297676</v>
      </c>
      <c r="S1062" s="4">
        <v>14.666653563380599</v>
      </c>
      <c r="T1062" s="4">
        <v>14.7892642784009</v>
      </c>
      <c r="U1062" s="4">
        <f t="shared" si="66"/>
        <v>14.8401060238497</v>
      </c>
      <c r="X1062" s="43" t="s">
        <v>557</v>
      </c>
      <c r="Y1062" s="4">
        <v>14.923081685416999</v>
      </c>
      <c r="Z1062" s="4">
        <v>15.002130157054101</v>
      </c>
      <c r="AA1062" s="4">
        <v>14.945005162320999</v>
      </c>
      <c r="AB1062" s="4">
        <f t="shared" si="67"/>
        <v>14.956739001597365</v>
      </c>
    </row>
    <row r="1063" spans="2:28" x14ac:dyDescent="0.2">
      <c r="B1063" s="4" t="s">
        <v>2085</v>
      </c>
      <c r="C1063" s="4">
        <v>15.1213</v>
      </c>
      <c r="D1063" s="4">
        <v>14.9819</v>
      </c>
      <c r="E1063" s="4">
        <v>15.068300000000001</v>
      </c>
      <c r="F1063" s="4">
        <f t="shared" si="64"/>
        <v>15.057166666666667</v>
      </c>
      <c r="I1063" s="4" t="s">
        <v>3184</v>
      </c>
      <c r="J1063" s="4">
        <v>15.0785</v>
      </c>
      <c r="K1063" s="4">
        <v>15.0997</v>
      </c>
      <c r="L1063" s="4">
        <v>15.0679</v>
      </c>
      <c r="M1063" s="4">
        <f t="shared" si="65"/>
        <v>15.082033333333333</v>
      </c>
      <c r="Q1063" s="43" t="s">
        <v>4329</v>
      </c>
      <c r="R1063" s="4">
        <v>15.4197876955288</v>
      </c>
      <c r="S1063" s="4">
        <v>14.7025133536707</v>
      </c>
      <c r="T1063" s="4">
        <v>14.3933651254133</v>
      </c>
      <c r="U1063" s="4">
        <f t="shared" si="66"/>
        <v>14.838555391537602</v>
      </c>
      <c r="X1063" s="43" t="s">
        <v>3865</v>
      </c>
      <c r="Y1063" s="4">
        <v>14.8632574674645</v>
      </c>
      <c r="Z1063" s="4">
        <v>15.137995850080699</v>
      </c>
      <c r="AA1063" s="4">
        <v>14.861392775025401</v>
      </c>
      <c r="AB1063" s="4">
        <f t="shared" si="67"/>
        <v>14.954215364190199</v>
      </c>
    </row>
    <row r="1064" spans="2:28" x14ac:dyDescent="0.2">
      <c r="B1064" s="4" t="s">
        <v>2147</v>
      </c>
      <c r="C1064" s="4">
        <v>15.2569</v>
      </c>
      <c r="D1064" s="4">
        <v>15.015000000000001</v>
      </c>
      <c r="E1064" s="4">
        <v>14.8903</v>
      </c>
      <c r="F1064" s="4">
        <f t="shared" si="64"/>
        <v>15.054066666666666</v>
      </c>
      <c r="I1064" s="4" t="s">
        <v>782</v>
      </c>
      <c r="J1064" s="4">
        <v>15.095800000000001</v>
      </c>
      <c r="K1064" s="4">
        <v>16.433199999999999</v>
      </c>
      <c r="L1064" s="4">
        <v>13.715299999999999</v>
      </c>
      <c r="M1064" s="4">
        <f t="shared" si="65"/>
        <v>15.081433333333331</v>
      </c>
      <c r="Q1064" s="43" t="s">
        <v>3561</v>
      </c>
      <c r="R1064" s="4">
        <v>14.7005545072959</v>
      </c>
      <c r="S1064" s="4">
        <v>14.9888926914332</v>
      </c>
      <c r="T1064" s="4">
        <v>14.822115497034201</v>
      </c>
      <c r="U1064" s="4">
        <f t="shared" si="66"/>
        <v>14.837187565254434</v>
      </c>
      <c r="X1064" s="43" t="s">
        <v>173</v>
      </c>
      <c r="Y1064" s="4">
        <v>14.8073953243375</v>
      </c>
      <c r="Z1064" s="4">
        <v>15.027284466623399</v>
      </c>
      <c r="AA1064" s="4">
        <v>15.0249104458816</v>
      </c>
      <c r="AB1064" s="4">
        <f t="shared" si="67"/>
        <v>14.953196745614166</v>
      </c>
    </row>
    <row r="1065" spans="2:28" x14ac:dyDescent="0.2">
      <c r="B1065" s="4" t="s">
        <v>3422</v>
      </c>
      <c r="C1065" s="4">
        <v>15.0802</v>
      </c>
      <c r="D1065" s="4">
        <v>15.0753</v>
      </c>
      <c r="E1065" s="4">
        <v>15.0044</v>
      </c>
      <c r="F1065" s="4">
        <f t="shared" si="64"/>
        <v>15.0533</v>
      </c>
      <c r="I1065" s="4" t="s">
        <v>201</v>
      </c>
      <c r="J1065" s="4">
        <v>15.137600000000001</v>
      </c>
      <c r="K1065" s="4">
        <v>14.7887</v>
      </c>
      <c r="L1065" s="4">
        <v>15.3056</v>
      </c>
      <c r="M1065" s="4">
        <f t="shared" si="65"/>
        <v>15.077300000000001</v>
      </c>
      <c r="Q1065" s="43" t="s">
        <v>1316</v>
      </c>
      <c r="R1065" s="4">
        <v>14.803973204523899</v>
      </c>
      <c r="S1065" s="4">
        <v>14.793562637307501</v>
      </c>
      <c r="T1065" s="4">
        <v>14.8937970451246</v>
      </c>
      <c r="U1065" s="4">
        <f t="shared" si="66"/>
        <v>14.830444295652001</v>
      </c>
      <c r="X1065" s="43" t="s">
        <v>3493</v>
      </c>
      <c r="Y1065" s="4">
        <v>15.1455915527866</v>
      </c>
      <c r="Z1065" s="4">
        <v>14.906609158773</v>
      </c>
      <c r="AA1065" s="4">
        <v>14.806333520584699</v>
      </c>
      <c r="AB1065" s="4">
        <f t="shared" si="67"/>
        <v>14.9528447440481</v>
      </c>
    </row>
    <row r="1066" spans="2:28" x14ac:dyDescent="0.2">
      <c r="B1066" s="4" t="s">
        <v>3496</v>
      </c>
      <c r="C1066" s="4">
        <v>15.2447</v>
      </c>
      <c r="D1066" s="4">
        <v>15.0075</v>
      </c>
      <c r="E1066" s="4">
        <v>14.9077</v>
      </c>
      <c r="F1066" s="4">
        <f t="shared" si="64"/>
        <v>15.0533</v>
      </c>
      <c r="I1066" s="4" t="s">
        <v>2871</v>
      </c>
      <c r="J1066" s="4">
        <v>14.601900000000001</v>
      </c>
      <c r="K1066" s="4">
        <v>16.736699999999999</v>
      </c>
      <c r="L1066" s="4">
        <v>13.8874</v>
      </c>
      <c r="M1066" s="4">
        <f t="shared" si="65"/>
        <v>15.075333333333333</v>
      </c>
      <c r="Q1066" s="43" t="s">
        <v>3201</v>
      </c>
      <c r="R1066" s="4">
        <v>14.5835581044414</v>
      </c>
      <c r="S1066" s="4">
        <v>14.976878905408199</v>
      </c>
      <c r="T1066" s="4">
        <v>14.9288788901662</v>
      </c>
      <c r="U1066" s="4">
        <f t="shared" si="66"/>
        <v>14.829771966671933</v>
      </c>
      <c r="X1066" s="43" t="s">
        <v>1853</v>
      </c>
      <c r="Y1066" s="4">
        <v>15.2083500432881</v>
      </c>
      <c r="Z1066" s="4">
        <v>14.898227448808299</v>
      </c>
      <c r="AA1066" s="4">
        <v>14.746137993828301</v>
      </c>
      <c r="AB1066" s="4">
        <f t="shared" si="67"/>
        <v>14.9509051619749</v>
      </c>
    </row>
    <row r="1067" spans="2:28" x14ac:dyDescent="0.2">
      <c r="B1067" s="4" t="s">
        <v>3013</v>
      </c>
      <c r="C1067" s="4">
        <v>14.9125</v>
      </c>
      <c r="D1067" s="4">
        <v>14.996600000000001</v>
      </c>
      <c r="E1067" s="4">
        <v>15.246600000000001</v>
      </c>
      <c r="F1067" s="4">
        <f t="shared" si="64"/>
        <v>15.051900000000002</v>
      </c>
      <c r="I1067" s="4" t="s">
        <v>2628</v>
      </c>
      <c r="J1067" s="4">
        <v>14.955500000000001</v>
      </c>
      <c r="K1067" s="4">
        <v>15.514200000000001</v>
      </c>
      <c r="L1067" s="4">
        <v>14.7424</v>
      </c>
      <c r="M1067" s="4">
        <f t="shared" si="65"/>
        <v>15.070700000000002</v>
      </c>
      <c r="Q1067" s="43" t="s">
        <v>4542</v>
      </c>
      <c r="R1067" s="4">
        <v>14.7765077443861</v>
      </c>
      <c r="S1067" s="4">
        <v>14.773031972267701</v>
      </c>
      <c r="T1067" s="4">
        <v>14.9310641978446</v>
      </c>
      <c r="U1067" s="4">
        <f t="shared" si="66"/>
        <v>14.826867971499468</v>
      </c>
      <c r="X1067" s="43" t="s">
        <v>3495</v>
      </c>
      <c r="Y1067" s="4">
        <v>14.880200548382501</v>
      </c>
      <c r="Z1067" s="4">
        <v>14.983901525562199</v>
      </c>
      <c r="AA1067" s="4">
        <v>14.986848755819199</v>
      </c>
      <c r="AB1067" s="4">
        <f t="shared" si="67"/>
        <v>14.950316943254634</v>
      </c>
    </row>
    <row r="1068" spans="2:28" x14ac:dyDescent="0.2">
      <c r="B1068" s="4" t="s">
        <v>3703</v>
      </c>
      <c r="C1068" s="4">
        <v>14.989000000000001</v>
      </c>
      <c r="D1068" s="4">
        <v>15.2502</v>
      </c>
      <c r="E1068" s="4">
        <v>14.9163</v>
      </c>
      <c r="F1068" s="4">
        <f t="shared" si="64"/>
        <v>15.051833333333335</v>
      </c>
      <c r="I1068" s="4" t="s">
        <v>1697</v>
      </c>
      <c r="J1068" s="4">
        <v>15.4237</v>
      </c>
      <c r="K1068" s="4">
        <v>14.5839</v>
      </c>
      <c r="L1068" s="4">
        <v>15.1957</v>
      </c>
      <c r="M1068" s="4">
        <f t="shared" si="65"/>
        <v>15.067766666666666</v>
      </c>
      <c r="Q1068" s="43" t="s">
        <v>3998</v>
      </c>
      <c r="R1068" s="4">
        <v>14.965627015871499</v>
      </c>
      <c r="S1068" s="4">
        <v>14.6670791964822</v>
      </c>
      <c r="T1068" s="4">
        <v>14.8447829506222</v>
      </c>
      <c r="U1068" s="4">
        <f t="shared" si="66"/>
        <v>14.825829720991967</v>
      </c>
      <c r="X1068" s="43" t="s">
        <v>1295</v>
      </c>
      <c r="Y1068" s="4">
        <v>14.996017179933601</v>
      </c>
      <c r="Z1068" s="4">
        <v>15.0879332965483</v>
      </c>
      <c r="AA1068" s="4">
        <v>14.762945492678</v>
      </c>
      <c r="AB1068" s="4">
        <f t="shared" si="67"/>
        <v>14.948965323053301</v>
      </c>
    </row>
    <row r="1069" spans="2:28" x14ac:dyDescent="0.2">
      <c r="B1069" s="4" t="s">
        <v>1555</v>
      </c>
      <c r="C1069" s="4">
        <v>14.682499999999999</v>
      </c>
      <c r="D1069" s="4">
        <v>15.398099999999999</v>
      </c>
      <c r="E1069" s="4">
        <v>15.0747</v>
      </c>
      <c r="F1069" s="4">
        <f t="shared" si="64"/>
        <v>15.051766666666666</v>
      </c>
      <c r="I1069" s="4" t="s">
        <v>681</v>
      </c>
      <c r="J1069" s="4">
        <v>14.9277</v>
      </c>
      <c r="K1069" s="4">
        <v>15.8156</v>
      </c>
      <c r="L1069" s="4">
        <v>14.4588</v>
      </c>
      <c r="M1069" s="4">
        <f t="shared" si="65"/>
        <v>15.067366666666667</v>
      </c>
      <c r="Q1069" s="43" t="s">
        <v>2174</v>
      </c>
      <c r="R1069" s="4">
        <v>14.909352275123799</v>
      </c>
      <c r="S1069" s="4">
        <v>14.859132243714001</v>
      </c>
      <c r="T1069" s="4">
        <v>14.7045927639896</v>
      </c>
      <c r="U1069" s="4">
        <f t="shared" si="66"/>
        <v>14.824359094275801</v>
      </c>
      <c r="X1069" s="43" t="s">
        <v>1229</v>
      </c>
      <c r="Y1069" s="4">
        <v>14.8897143945041</v>
      </c>
      <c r="Z1069" s="4">
        <v>15.0398901378709</v>
      </c>
      <c r="AA1069" s="4">
        <v>14.915647220571399</v>
      </c>
      <c r="AB1069" s="4">
        <f t="shared" si="67"/>
        <v>14.948417250982134</v>
      </c>
    </row>
    <row r="1070" spans="2:28" x14ac:dyDescent="0.2">
      <c r="B1070" s="4" t="s">
        <v>3732</v>
      </c>
      <c r="C1070" s="4">
        <v>15.191700000000001</v>
      </c>
      <c r="D1070" s="4">
        <v>14.882</v>
      </c>
      <c r="E1070" s="4">
        <v>15.077199999999999</v>
      </c>
      <c r="F1070" s="4">
        <f t="shared" si="64"/>
        <v>15.0503</v>
      </c>
      <c r="I1070" s="4" t="s">
        <v>218</v>
      </c>
      <c r="J1070" s="4">
        <v>15.0044</v>
      </c>
      <c r="K1070" s="4">
        <v>15.1348</v>
      </c>
      <c r="L1070" s="4">
        <v>15.059699999999999</v>
      </c>
      <c r="M1070" s="4">
        <f t="shared" si="65"/>
        <v>15.0663</v>
      </c>
      <c r="Q1070" s="43" t="s">
        <v>3015</v>
      </c>
      <c r="R1070" s="4">
        <v>15.1087431623661</v>
      </c>
      <c r="S1070" s="4">
        <v>14.6477606600653</v>
      </c>
      <c r="T1070" s="4">
        <v>14.698754573804299</v>
      </c>
      <c r="U1070" s="4">
        <f t="shared" si="66"/>
        <v>14.8184194654119</v>
      </c>
      <c r="X1070" s="43" t="s">
        <v>2386</v>
      </c>
      <c r="Y1070" s="4">
        <v>15.0882053622353</v>
      </c>
      <c r="Z1070" s="4">
        <v>15.035719624709801</v>
      </c>
      <c r="AA1070" s="4">
        <v>14.717104754669201</v>
      </c>
      <c r="AB1070" s="4">
        <f t="shared" si="67"/>
        <v>14.947009913871433</v>
      </c>
    </row>
    <row r="1071" spans="2:28" x14ac:dyDescent="0.2">
      <c r="B1071" s="4" t="s">
        <v>1309</v>
      </c>
      <c r="C1071" s="4">
        <v>14.965999999999999</v>
      </c>
      <c r="D1071" s="4">
        <v>14.809900000000001</v>
      </c>
      <c r="E1071" s="4">
        <v>15.3644</v>
      </c>
      <c r="F1071" s="4">
        <f t="shared" si="64"/>
        <v>15.046766666666665</v>
      </c>
      <c r="I1071" s="4" t="s">
        <v>2593</v>
      </c>
      <c r="J1071" s="4">
        <v>14.8277</v>
      </c>
      <c r="K1071" s="4">
        <v>15.129899999999999</v>
      </c>
      <c r="L1071" s="4">
        <v>15.2342</v>
      </c>
      <c r="M1071" s="4">
        <f t="shared" si="65"/>
        <v>15.063933333333333</v>
      </c>
      <c r="Q1071" s="43" t="s">
        <v>402</v>
      </c>
      <c r="R1071" s="4">
        <v>14.848333243336301</v>
      </c>
      <c r="S1071" s="4">
        <v>14.6936867808279</v>
      </c>
      <c r="T1071" s="4">
        <v>14.9100286035612</v>
      </c>
      <c r="U1071" s="4">
        <f t="shared" si="66"/>
        <v>14.817349542575135</v>
      </c>
      <c r="X1071" s="43" t="s">
        <v>2092</v>
      </c>
      <c r="Y1071" s="4">
        <v>15.091207683582599</v>
      </c>
      <c r="Z1071" s="4">
        <v>14.9407700166607</v>
      </c>
      <c r="AA1071" s="4">
        <v>14.8077510160297</v>
      </c>
      <c r="AB1071" s="4">
        <f t="shared" si="67"/>
        <v>14.946576238757666</v>
      </c>
    </row>
    <row r="1072" spans="2:28" x14ac:dyDescent="0.2">
      <c r="B1072" s="4" t="s">
        <v>3293</v>
      </c>
      <c r="C1072" s="4">
        <v>15.0335</v>
      </c>
      <c r="D1072" s="4">
        <v>15.1229</v>
      </c>
      <c r="E1072" s="4">
        <v>14.9808</v>
      </c>
      <c r="F1072" s="4">
        <f t="shared" si="64"/>
        <v>15.045733333333333</v>
      </c>
      <c r="I1072" s="4" t="s">
        <v>69</v>
      </c>
      <c r="J1072" s="4">
        <v>14.9663</v>
      </c>
      <c r="K1072" s="4">
        <v>15.42</v>
      </c>
      <c r="L1072" s="4">
        <v>14.7874</v>
      </c>
      <c r="M1072" s="4">
        <f t="shared" si="65"/>
        <v>15.057899999999998</v>
      </c>
      <c r="Q1072" s="43" t="s">
        <v>3190</v>
      </c>
      <c r="R1072" s="4">
        <v>14.6919159442175</v>
      </c>
      <c r="S1072" s="4">
        <v>14.8150440555304</v>
      </c>
      <c r="T1072" s="4">
        <v>14.929310406138001</v>
      </c>
      <c r="U1072" s="4">
        <f t="shared" si="66"/>
        <v>14.8120901352953</v>
      </c>
      <c r="X1072" s="43" t="s">
        <v>726</v>
      </c>
      <c r="Y1072" s="4">
        <v>14.9853703561557</v>
      </c>
      <c r="Z1072" s="4">
        <v>15.0021983081645</v>
      </c>
      <c r="AA1072" s="4">
        <v>14.8519983681448</v>
      </c>
      <c r="AB1072" s="4">
        <f t="shared" si="67"/>
        <v>14.946522344154999</v>
      </c>
    </row>
    <row r="1073" spans="2:28" x14ac:dyDescent="0.2">
      <c r="B1073" s="4" t="s">
        <v>3027</v>
      </c>
      <c r="C1073" s="4">
        <v>15.3117</v>
      </c>
      <c r="D1073" s="4">
        <v>15.111000000000001</v>
      </c>
      <c r="E1073" s="4">
        <v>14.7143</v>
      </c>
      <c r="F1073" s="4">
        <f t="shared" si="64"/>
        <v>15.045666666666667</v>
      </c>
      <c r="I1073" s="4" t="s">
        <v>2978</v>
      </c>
      <c r="J1073" s="4">
        <v>15.1937</v>
      </c>
      <c r="K1073" s="4">
        <v>14.660600000000001</v>
      </c>
      <c r="L1073" s="4">
        <v>15.3156</v>
      </c>
      <c r="M1073" s="4">
        <f t="shared" si="65"/>
        <v>15.056633333333332</v>
      </c>
      <c r="Q1073" s="43" t="s">
        <v>3132</v>
      </c>
      <c r="R1073" s="4">
        <v>14.9806394742452</v>
      </c>
      <c r="S1073" s="4">
        <v>14.652842441457</v>
      </c>
      <c r="T1073" s="4">
        <v>14.8000602415829</v>
      </c>
      <c r="U1073" s="4">
        <f t="shared" si="66"/>
        <v>14.811180719095033</v>
      </c>
      <c r="X1073" s="43" t="s">
        <v>2621</v>
      </c>
      <c r="Y1073" s="4">
        <v>14.8083826466668</v>
      </c>
      <c r="Z1073" s="4">
        <v>14.972083423803801</v>
      </c>
      <c r="AA1073" s="4">
        <v>15.058822000731199</v>
      </c>
      <c r="AB1073" s="4">
        <f t="shared" si="67"/>
        <v>14.946429357067267</v>
      </c>
    </row>
    <row r="1074" spans="2:28" x14ac:dyDescent="0.2">
      <c r="B1074" s="4" t="s">
        <v>3937</v>
      </c>
      <c r="C1074" s="4">
        <v>14.200900000000001</v>
      </c>
      <c r="D1074" s="4">
        <v>14.4527</v>
      </c>
      <c r="E1074" s="4">
        <v>16.480599999999999</v>
      </c>
      <c r="F1074" s="4">
        <f t="shared" si="64"/>
        <v>15.044733333333333</v>
      </c>
      <c r="I1074" s="4" t="s">
        <v>345</v>
      </c>
      <c r="J1074" s="4">
        <v>14.3833</v>
      </c>
      <c r="K1074" s="4">
        <v>16.349699999999999</v>
      </c>
      <c r="L1074" s="4">
        <v>14.436</v>
      </c>
      <c r="M1074" s="4">
        <f t="shared" si="65"/>
        <v>15.056333333333333</v>
      </c>
      <c r="Q1074" s="43" t="s">
        <v>1805</v>
      </c>
      <c r="R1074" s="4">
        <v>14.717946385705799</v>
      </c>
      <c r="S1074" s="4">
        <v>14.889766271179701</v>
      </c>
      <c r="T1074" s="4">
        <v>14.8105765676508</v>
      </c>
      <c r="U1074" s="4">
        <f t="shared" si="66"/>
        <v>14.806096408178767</v>
      </c>
      <c r="X1074" s="43" t="s">
        <v>937</v>
      </c>
      <c r="Y1074" s="4">
        <v>15.1198258201333</v>
      </c>
      <c r="Z1074" s="4">
        <v>14.627619766776499</v>
      </c>
      <c r="AA1074" s="4">
        <v>15.082334100533499</v>
      </c>
      <c r="AB1074" s="4">
        <f t="shared" si="67"/>
        <v>14.943259895814434</v>
      </c>
    </row>
    <row r="1075" spans="2:28" x14ac:dyDescent="0.2">
      <c r="B1075" s="4" t="s">
        <v>1332</v>
      </c>
      <c r="C1075" s="4">
        <v>15.2607</v>
      </c>
      <c r="D1075" s="4">
        <v>14.9627</v>
      </c>
      <c r="E1075" s="4">
        <v>14.9099</v>
      </c>
      <c r="F1075" s="4">
        <f t="shared" si="64"/>
        <v>15.044433333333332</v>
      </c>
      <c r="I1075" s="4" t="s">
        <v>896</v>
      </c>
      <c r="J1075" s="4">
        <v>13.5291</v>
      </c>
      <c r="K1075" s="4">
        <v>18.176500000000001</v>
      </c>
      <c r="L1075" s="4">
        <v>13.450100000000001</v>
      </c>
      <c r="M1075" s="4">
        <f t="shared" si="65"/>
        <v>15.051900000000002</v>
      </c>
      <c r="Q1075" s="43" t="s">
        <v>3706</v>
      </c>
      <c r="R1075" s="4">
        <v>15.051185036286499</v>
      </c>
      <c r="S1075" s="4">
        <v>14.633871546246899</v>
      </c>
      <c r="T1075" s="4">
        <v>14.7324561742819</v>
      </c>
      <c r="U1075" s="4">
        <f t="shared" si="66"/>
        <v>14.805837585605099</v>
      </c>
      <c r="X1075" s="43" t="s">
        <v>2759</v>
      </c>
      <c r="Y1075" s="4">
        <v>14.973023328740201</v>
      </c>
      <c r="Z1075" s="4">
        <v>14.943560399110501</v>
      </c>
      <c r="AA1075" s="4">
        <v>14.890544420941801</v>
      </c>
      <c r="AB1075" s="4">
        <f t="shared" si="67"/>
        <v>14.935709382930833</v>
      </c>
    </row>
    <row r="1076" spans="2:28" x14ac:dyDescent="0.2">
      <c r="B1076" s="4" t="s">
        <v>3823</v>
      </c>
      <c r="C1076" s="4">
        <v>15.095000000000001</v>
      </c>
      <c r="D1076" s="4">
        <v>15.154500000000001</v>
      </c>
      <c r="E1076" s="4">
        <v>14.8817</v>
      </c>
      <c r="F1076" s="4">
        <f t="shared" si="64"/>
        <v>15.043733333333334</v>
      </c>
      <c r="I1076" s="4" t="s">
        <v>3129</v>
      </c>
      <c r="J1076" s="4">
        <v>15.0227</v>
      </c>
      <c r="K1076" s="4">
        <v>15.3786</v>
      </c>
      <c r="L1076" s="4">
        <v>14.751899999999999</v>
      </c>
      <c r="M1076" s="4">
        <f t="shared" si="65"/>
        <v>15.051066666666665</v>
      </c>
      <c r="Q1076" s="43" t="s">
        <v>409</v>
      </c>
      <c r="R1076" s="4">
        <v>15.142905524858399</v>
      </c>
      <c r="S1076" s="4">
        <v>14.2476412198655</v>
      </c>
      <c r="T1076" s="4">
        <v>15.0181283896789</v>
      </c>
      <c r="U1076" s="4">
        <f t="shared" si="66"/>
        <v>14.8028917114676</v>
      </c>
      <c r="X1076" s="43" t="s">
        <v>237</v>
      </c>
      <c r="Y1076" s="4">
        <v>14.9674309099215</v>
      </c>
      <c r="Z1076" s="4">
        <v>14.9183355344187</v>
      </c>
      <c r="AA1076" s="4">
        <v>14.919817831393001</v>
      </c>
      <c r="AB1076" s="4">
        <f t="shared" si="67"/>
        <v>14.935194758577731</v>
      </c>
    </row>
    <row r="1077" spans="2:28" x14ac:dyDescent="0.2">
      <c r="B1077" s="4" t="s">
        <v>3513</v>
      </c>
      <c r="C1077" s="4">
        <v>14.950799999999999</v>
      </c>
      <c r="D1077" s="4">
        <v>15.116300000000001</v>
      </c>
      <c r="E1077" s="4">
        <v>15.061500000000001</v>
      </c>
      <c r="F1077" s="4">
        <f t="shared" si="64"/>
        <v>15.042866666666667</v>
      </c>
      <c r="I1077" s="4" t="s">
        <v>2687</v>
      </c>
      <c r="J1077" s="4">
        <v>15.0984</v>
      </c>
      <c r="K1077" s="4">
        <v>14.949199999999999</v>
      </c>
      <c r="L1077" s="4">
        <v>15.104699999999999</v>
      </c>
      <c r="M1077" s="4">
        <f t="shared" si="65"/>
        <v>15.050766666666666</v>
      </c>
      <c r="Q1077" s="43" t="s">
        <v>1854</v>
      </c>
      <c r="R1077" s="4">
        <v>14.713122055088199</v>
      </c>
      <c r="S1077" s="4">
        <v>14.859377904527999</v>
      </c>
      <c r="T1077" s="4">
        <v>14.8238166023381</v>
      </c>
      <c r="U1077" s="4">
        <f t="shared" si="66"/>
        <v>14.7987721873181</v>
      </c>
      <c r="X1077" s="43" t="s">
        <v>2445</v>
      </c>
      <c r="Y1077" s="4">
        <v>14.9327231167614</v>
      </c>
      <c r="Z1077" s="4">
        <v>15.028703505281999</v>
      </c>
      <c r="AA1077" s="4">
        <v>14.843130920203601</v>
      </c>
      <c r="AB1077" s="4">
        <f t="shared" si="67"/>
        <v>14.934852514082332</v>
      </c>
    </row>
    <row r="1078" spans="2:28" x14ac:dyDescent="0.2">
      <c r="B1078" s="4" t="s">
        <v>3053</v>
      </c>
      <c r="C1078" s="4">
        <v>14.838100000000001</v>
      </c>
      <c r="D1078" s="4">
        <v>15.0114</v>
      </c>
      <c r="E1078" s="4">
        <v>15.2719</v>
      </c>
      <c r="F1078" s="4">
        <f t="shared" si="64"/>
        <v>15.040466666666667</v>
      </c>
      <c r="I1078" s="4" t="s">
        <v>3010</v>
      </c>
      <c r="J1078" s="4">
        <v>14.8428</v>
      </c>
      <c r="K1078" s="4">
        <v>15.696400000000001</v>
      </c>
      <c r="L1078" s="4">
        <v>14.598699999999999</v>
      </c>
      <c r="M1078" s="4">
        <f t="shared" si="65"/>
        <v>15.045966666666667</v>
      </c>
      <c r="Q1078" s="43" t="s">
        <v>3004</v>
      </c>
      <c r="R1078" s="4">
        <v>15.0696258304999</v>
      </c>
      <c r="S1078" s="4">
        <v>14.526612837642899</v>
      </c>
      <c r="T1078" s="4">
        <v>14.7900065988874</v>
      </c>
      <c r="U1078" s="4">
        <f t="shared" si="66"/>
        <v>14.795415089010065</v>
      </c>
      <c r="X1078" s="43" t="s">
        <v>3153</v>
      </c>
      <c r="Y1078" s="4">
        <v>14.8421481066756</v>
      </c>
      <c r="Z1078" s="4">
        <v>15.076653441715701</v>
      </c>
      <c r="AA1078" s="4">
        <v>14.8832303238083</v>
      </c>
      <c r="AB1078" s="4">
        <f t="shared" si="67"/>
        <v>14.934010624066532</v>
      </c>
    </row>
    <row r="1079" spans="2:28" x14ac:dyDescent="0.2">
      <c r="B1079" s="4" t="s">
        <v>372</v>
      </c>
      <c r="C1079" s="4">
        <v>15.0121</v>
      </c>
      <c r="D1079" s="4">
        <v>14.8789</v>
      </c>
      <c r="E1079" s="4">
        <v>15.2303</v>
      </c>
      <c r="F1079" s="4">
        <f t="shared" si="64"/>
        <v>15.040433333333333</v>
      </c>
      <c r="I1079" s="4" t="s">
        <v>2577</v>
      </c>
      <c r="J1079" s="4">
        <v>15.130599999999999</v>
      </c>
      <c r="K1079" s="4">
        <v>14.703799999999999</v>
      </c>
      <c r="L1079" s="4">
        <v>15.279299999999999</v>
      </c>
      <c r="M1079" s="4">
        <f t="shared" si="65"/>
        <v>15.037899999999999</v>
      </c>
      <c r="Q1079" s="43" t="s">
        <v>2638</v>
      </c>
      <c r="R1079" s="4">
        <v>14.5858443757026</v>
      </c>
      <c r="S1079" s="4">
        <v>14.704525111943999</v>
      </c>
      <c r="T1079" s="4">
        <v>15.0914940917166</v>
      </c>
      <c r="U1079" s="4">
        <f t="shared" si="66"/>
        <v>14.793954526454399</v>
      </c>
      <c r="X1079" s="43" t="s">
        <v>91</v>
      </c>
      <c r="Y1079" s="4">
        <v>14.927011073638401</v>
      </c>
      <c r="Z1079" s="4">
        <v>14.9162147268281</v>
      </c>
      <c r="AA1079" s="4">
        <v>14.9586876801807</v>
      </c>
      <c r="AB1079" s="4">
        <f t="shared" si="67"/>
        <v>14.933971160215734</v>
      </c>
    </row>
    <row r="1080" spans="2:28" x14ac:dyDescent="0.2">
      <c r="B1080" s="4" t="s">
        <v>3915</v>
      </c>
      <c r="C1080" s="4">
        <v>14.4842</v>
      </c>
      <c r="D1080" s="4">
        <v>14.978</v>
      </c>
      <c r="E1080" s="4">
        <v>15.657999999999999</v>
      </c>
      <c r="F1080" s="4">
        <f t="shared" si="64"/>
        <v>15.040066666666666</v>
      </c>
      <c r="I1080" s="4" t="s">
        <v>2870</v>
      </c>
      <c r="J1080" s="4">
        <v>15.326700000000001</v>
      </c>
      <c r="K1080" s="4">
        <v>14.2521</v>
      </c>
      <c r="L1080" s="4">
        <v>15.527699999999999</v>
      </c>
      <c r="M1080" s="4">
        <f t="shared" si="65"/>
        <v>15.035499999999999</v>
      </c>
      <c r="Q1080" s="43" t="s">
        <v>37</v>
      </c>
      <c r="R1080" s="4">
        <v>14.813925687882801</v>
      </c>
      <c r="S1080" s="4">
        <v>14.838772045505801</v>
      </c>
      <c r="T1080" s="4">
        <v>14.709802314271</v>
      </c>
      <c r="U1080" s="4">
        <f t="shared" si="66"/>
        <v>14.787500015886534</v>
      </c>
      <c r="X1080" s="43" t="s">
        <v>2843</v>
      </c>
      <c r="Y1080" s="4">
        <v>14.9321780915473</v>
      </c>
      <c r="Z1080" s="4">
        <v>14.9645237340882</v>
      </c>
      <c r="AA1080" s="4">
        <v>14.901696513730901</v>
      </c>
      <c r="AB1080" s="4">
        <f t="shared" si="67"/>
        <v>14.932799446455467</v>
      </c>
    </row>
    <row r="1081" spans="2:28" x14ac:dyDescent="0.2">
      <c r="B1081" s="4" t="s">
        <v>2613</v>
      </c>
      <c r="C1081" s="4">
        <v>15.184699999999999</v>
      </c>
      <c r="D1081" s="4">
        <v>15.231999999999999</v>
      </c>
      <c r="E1081" s="4">
        <v>14.6959</v>
      </c>
      <c r="F1081" s="4">
        <f t="shared" si="64"/>
        <v>15.037533333333334</v>
      </c>
      <c r="I1081" s="4" t="s">
        <v>3886</v>
      </c>
      <c r="J1081" s="4">
        <v>15.014900000000001</v>
      </c>
      <c r="K1081" s="4">
        <v>14.985099999999999</v>
      </c>
      <c r="L1081" s="4">
        <v>15.1037</v>
      </c>
      <c r="M1081" s="4">
        <f t="shared" si="65"/>
        <v>15.034566666666668</v>
      </c>
      <c r="Q1081" s="43" t="s">
        <v>3714</v>
      </c>
      <c r="R1081" s="4">
        <v>14.868093745532001</v>
      </c>
      <c r="S1081" s="4">
        <v>14.5712863719359</v>
      </c>
      <c r="T1081" s="4">
        <v>14.8992422487098</v>
      </c>
      <c r="U1081" s="4">
        <f t="shared" si="66"/>
        <v>14.779540788725901</v>
      </c>
      <c r="X1081" s="43" t="s">
        <v>3762</v>
      </c>
      <c r="Y1081" s="4">
        <v>14.854892773007199</v>
      </c>
      <c r="Z1081" s="4">
        <v>15.0957062530195</v>
      </c>
      <c r="AA1081" s="4">
        <v>14.832439523567199</v>
      </c>
      <c r="AB1081" s="4">
        <f t="shared" si="67"/>
        <v>14.927679516531299</v>
      </c>
    </row>
    <row r="1082" spans="2:28" x14ac:dyDescent="0.2">
      <c r="B1082" s="4" t="s">
        <v>1331</v>
      </c>
      <c r="C1082" s="4">
        <v>15.168900000000001</v>
      </c>
      <c r="D1082" s="4">
        <v>15.087899999999999</v>
      </c>
      <c r="E1082" s="4">
        <v>14.847200000000001</v>
      </c>
      <c r="F1082" s="4">
        <f t="shared" si="64"/>
        <v>15.034666666666666</v>
      </c>
      <c r="I1082" s="4" t="s">
        <v>2085</v>
      </c>
      <c r="J1082" s="4">
        <v>15.223100000000001</v>
      </c>
      <c r="K1082" s="4">
        <v>14.694000000000001</v>
      </c>
      <c r="L1082" s="4">
        <v>15.1838</v>
      </c>
      <c r="M1082" s="4">
        <f t="shared" si="65"/>
        <v>15.033633333333334</v>
      </c>
      <c r="Q1082" s="43" t="s">
        <v>534</v>
      </c>
      <c r="R1082" s="4">
        <v>14.7701130115545</v>
      </c>
      <c r="S1082" s="4">
        <v>14.665083361508</v>
      </c>
      <c r="T1082" s="4">
        <v>14.9005087309805</v>
      </c>
      <c r="U1082" s="4">
        <f t="shared" si="66"/>
        <v>14.778568368014334</v>
      </c>
      <c r="X1082" s="43" t="s">
        <v>1195</v>
      </c>
      <c r="Y1082" s="4">
        <v>14.940330159976799</v>
      </c>
      <c r="Z1082" s="4">
        <v>14.981780351350499</v>
      </c>
      <c r="AA1082" s="4">
        <v>14.8493769014676</v>
      </c>
      <c r="AB1082" s="4">
        <f t="shared" si="67"/>
        <v>14.923829137598299</v>
      </c>
    </row>
    <row r="1083" spans="2:28" x14ac:dyDescent="0.2">
      <c r="B1083" s="4" t="s">
        <v>1314</v>
      </c>
      <c r="C1083" s="4">
        <v>14.8497</v>
      </c>
      <c r="D1083" s="4">
        <v>15.1235</v>
      </c>
      <c r="E1083" s="4">
        <v>15.127000000000001</v>
      </c>
      <c r="F1083" s="4">
        <f t="shared" si="64"/>
        <v>15.0334</v>
      </c>
      <c r="I1083" s="4" t="s">
        <v>327</v>
      </c>
      <c r="J1083" s="4">
        <v>15.0617</v>
      </c>
      <c r="K1083" s="4">
        <v>14.8857</v>
      </c>
      <c r="L1083" s="4">
        <v>15.1493</v>
      </c>
      <c r="M1083" s="4">
        <f t="shared" si="65"/>
        <v>15.032233333333332</v>
      </c>
      <c r="Q1083" s="43" t="s">
        <v>304</v>
      </c>
      <c r="R1083" s="4">
        <v>14.898501711107601</v>
      </c>
      <c r="S1083" s="4">
        <v>14.6229119272778</v>
      </c>
      <c r="T1083" s="4">
        <v>14.8102359862479</v>
      </c>
      <c r="U1083" s="4">
        <f t="shared" si="66"/>
        <v>14.777216541544433</v>
      </c>
      <c r="X1083" s="43" t="s">
        <v>665</v>
      </c>
      <c r="Y1083" s="4">
        <v>15.053627562079299</v>
      </c>
      <c r="Z1083" s="4">
        <v>14.806179825183699</v>
      </c>
      <c r="AA1083" s="4">
        <v>14.910157134367701</v>
      </c>
      <c r="AB1083" s="4">
        <f t="shared" si="67"/>
        <v>14.923321507210233</v>
      </c>
    </row>
    <row r="1084" spans="2:28" x14ac:dyDescent="0.2">
      <c r="B1084" s="4" t="s">
        <v>726</v>
      </c>
      <c r="C1084" s="4">
        <v>15.1387</v>
      </c>
      <c r="D1084" s="4">
        <v>15.0418</v>
      </c>
      <c r="E1084" s="4">
        <v>14.901199999999999</v>
      </c>
      <c r="F1084" s="4">
        <f t="shared" si="64"/>
        <v>15.027233333333333</v>
      </c>
      <c r="I1084" s="4" t="s">
        <v>735</v>
      </c>
      <c r="J1084" s="4">
        <v>15.127000000000001</v>
      </c>
      <c r="K1084" s="4">
        <v>14.959099999999999</v>
      </c>
      <c r="L1084" s="4">
        <v>15.009</v>
      </c>
      <c r="M1084" s="4">
        <f t="shared" si="65"/>
        <v>15.031700000000001</v>
      </c>
      <c r="Q1084" s="43" t="s">
        <v>548</v>
      </c>
      <c r="R1084" s="4">
        <v>14.807092261191</v>
      </c>
      <c r="S1084" s="4">
        <v>14.777834743310899</v>
      </c>
      <c r="T1084" s="4">
        <v>14.7446840681258</v>
      </c>
      <c r="U1084" s="4">
        <f t="shared" si="66"/>
        <v>14.776537024209233</v>
      </c>
      <c r="X1084" s="43" t="s">
        <v>1969</v>
      </c>
      <c r="Y1084" s="4">
        <v>15.103257430724399</v>
      </c>
      <c r="Z1084" s="4">
        <v>14.7441371079435</v>
      </c>
      <c r="AA1084" s="4">
        <v>14.917745011987</v>
      </c>
      <c r="AB1084" s="4">
        <f t="shared" si="67"/>
        <v>14.921713183551633</v>
      </c>
    </row>
    <row r="1085" spans="2:28" x14ac:dyDescent="0.2">
      <c r="B1085" s="4" t="s">
        <v>381</v>
      </c>
      <c r="C1085" s="4">
        <v>15.6275</v>
      </c>
      <c r="D1085" s="4">
        <v>14.8719</v>
      </c>
      <c r="E1085" s="4">
        <v>14.5707</v>
      </c>
      <c r="F1085" s="4">
        <f t="shared" si="64"/>
        <v>15.023366666666668</v>
      </c>
      <c r="I1085" s="4" t="s">
        <v>3077</v>
      </c>
      <c r="J1085" s="4">
        <v>15.104200000000001</v>
      </c>
      <c r="K1085" s="4">
        <v>14.8262</v>
      </c>
      <c r="L1085" s="4">
        <v>15.1629</v>
      </c>
      <c r="M1085" s="4">
        <f t="shared" si="65"/>
        <v>15.0311</v>
      </c>
      <c r="Q1085" s="43" t="s">
        <v>8</v>
      </c>
      <c r="R1085" s="4">
        <v>14.8451598052199</v>
      </c>
      <c r="S1085" s="4">
        <v>14.818574423850499</v>
      </c>
      <c r="T1085" s="4">
        <v>14.662250842181701</v>
      </c>
      <c r="U1085" s="4">
        <f t="shared" si="66"/>
        <v>14.775328357084033</v>
      </c>
      <c r="X1085" s="43" t="s">
        <v>3074</v>
      </c>
      <c r="Y1085" s="4">
        <v>14.9640473391875</v>
      </c>
      <c r="Z1085" s="4">
        <v>15.3162247030647</v>
      </c>
      <c r="AA1085" s="4">
        <v>14.481968446052401</v>
      </c>
      <c r="AB1085" s="4">
        <f t="shared" si="67"/>
        <v>14.920746829434867</v>
      </c>
    </row>
    <row r="1086" spans="2:28" x14ac:dyDescent="0.2">
      <c r="B1086" s="4" t="s">
        <v>2527</v>
      </c>
      <c r="C1086" s="4">
        <v>15.243600000000001</v>
      </c>
      <c r="D1086" s="4">
        <v>15.123699999999999</v>
      </c>
      <c r="E1086" s="4">
        <v>14.701599999999999</v>
      </c>
      <c r="F1086" s="4">
        <f t="shared" si="64"/>
        <v>15.022966666666667</v>
      </c>
      <c r="I1086" s="4" t="s">
        <v>3075</v>
      </c>
      <c r="J1086" s="4">
        <v>14.991899999999999</v>
      </c>
      <c r="K1086" s="4">
        <v>15.242800000000001</v>
      </c>
      <c r="L1086" s="4">
        <v>14.8565</v>
      </c>
      <c r="M1086" s="4">
        <f t="shared" si="65"/>
        <v>15.0304</v>
      </c>
      <c r="Q1086" s="43" t="s">
        <v>3428</v>
      </c>
      <c r="R1086" s="4">
        <v>14.9457463062997</v>
      </c>
      <c r="S1086" s="4">
        <v>14.5982973744331</v>
      </c>
      <c r="T1086" s="4">
        <v>14.7795336965972</v>
      </c>
      <c r="U1086" s="4">
        <f t="shared" si="66"/>
        <v>14.774525792443333</v>
      </c>
      <c r="X1086" s="43" t="s">
        <v>699</v>
      </c>
      <c r="Y1086" s="4">
        <v>14.884638363759899</v>
      </c>
      <c r="Z1086" s="4">
        <v>15.0092832292552</v>
      </c>
      <c r="AA1086" s="4">
        <v>14.863280154153699</v>
      </c>
      <c r="AB1086" s="4">
        <f t="shared" si="67"/>
        <v>14.919067249056267</v>
      </c>
    </row>
    <row r="1087" spans="2:28" x14ac:dyDescent="0.2">
      <c r="B1087" s="4" t="s">
        <v>3530</v>
      </c>
      <c r="C1087" s="4">
        <v>14.6075</v>
      </c>
      <c r="D1087" s="4">
        <v>15.200100000000001</v>
      </c>
      <c r="E1087" s="4">
        <v>15.261100000000001</v>
      </c>
      <c r="F1087" s="4">
        <f t="shared" si="64"/>
        <v>15.0229</v>
      </c>
      <c r="I1087" s="4" t="s">
        <v>1330</v>
      </c>
      <c r="J1087" s="4">
        <v>14.912699999999999</v>
      </c>
      <c r="K1087" s="4">
        <v>15.3317</v>
      </c>
      <c r="L1087" s="4">
        <v>14.8466</v>
      </c>
      <c r="M1087" s="4">
        <f t="shared" si="65"/>
        <v>15.030333333333333</v>
      </c>
      <c r="Q1087" s="43" t="s">
        <v>2719</v>
      </c>
      <c r="R1087" s="4">
        <v>14.7191152198045</v>
      </c>
      <c r="S1087" s="4">
        <v>14.8785237331671</v>
      </c>
      <c r="T1087" s="4">
        <v>14.7246568919673</v>
      </c>
      <c r="U1087" s="4">
        <f t="shared" si="66"/>
        <v>14.774098614979634</v>
      </c>
      <c r="X1087" s="43" t="s">
        <v>3691</v>
      </c>
      <c r="Y1087" s="4">
        <v>14.8870245733433</v>
      </c>
      <c r="Z1087" s="4">
        <v>14.9207566607625</v>
      </c>
      <c r="AA1087" s="4">
        <v>14.9490239165336</v>
      </c>
      <c r="AB1087" s="4">
        <f t="shared" si="67"/>
        <v>14.918935050213134</v>
      </c>
    </row>
    <row r="1088" spans="2:28" x14ac:dyDescent="0.2">
      <c r="B1088" s="4" t="s">
        <v>3831</v>
      </c>
      <c r="C1088" s="4">
        <v>14.8573</v>
      </c>
      <c r="D1088" s="4">
        <v>15.0158</v>
      </c>
      <c r="E1088" s="4">
        <v>15.189500000000001</v>
      </c>
      <c r="F1088" s="4">
        <f t="shared" si="64"/>
        <v>15.020866666666668</v>
      </c>
      <c r="I1088" s="4" t="s">
        <v>2950</v>
      </c>
      <c r="J1088" s="4">
        <v>14.943199999999999</v>
      </c>
      <c r="K1088" s="4">
        <v>14.859</v>
      </c>
      <c r="L1088" s="4">
        <v>15.2826</v>
      </c>
      <c r="M1088" s="4">
        <f t="shared" si="65"/>
        <v>15.028266666666667</v>
      </c>
      <c r="Q1088" s="43" t="s">
        <v>860</v>
      </c>
      <c r="R1088" s="4">
        <v>14.7171440030813</v>
      </c>
      <c r="S1088" s="4">
        <v>14.354791872437101</v>
      </c>
      <c r="T1088" s="4">
        <v>15.242445643681</v>
      </c>
      <c r="U1088" s="4">
        <f t="shared" si="66"/>
        <v>14.7714605063998</v>
      </c>
      <c r="X1088" s="43" t="s">
        <v>3272</v>
      </c>
      <c r="Y1088" s="4">
        <v>15.135446828478701</v>
      </c>
      <c r="Z1088" s="4">
        <v>14.5006369716736</v>
      </c>
      <c r="AA1088" s="4">
        <v>15.117596570659501</v>
      </c>
      <c r="AB1088" s="4">
        <f t="shared" si="67"/>
        <v>14.917893456937266</v>
      </c>
    </row>
    <row r="1089" spans="2:28" x14ac:dyDescent="0.2">
      <c r="B1089" s="4" t="s">
        <v>3674</v>
      </c>
      <c r="C1089" s="4">
        <v>15.2498</v>
      </c>
      <c r="D1089" s="4">
        <v>14.9787</v>
      </c>
      <c r="E1089" s="4">
        <v>14.834</v>
      </c>
      <c r="F1089" s="4">
        <f t="shared" si="64"/>
        <v>15.020833333333334</v>
      </c>
      <c r="I1089" s="4" t="s">
        <v>932</v>
      </c>
      <c r="J1089" s="4">
        <v>14.894500000000001</v>
      </c>
      <c r="K1089" s="4">
        <v>15.1358</v>
      </c>
      <c r="L1089" s="4">
        <v>15.037699999999999</v>
      </c>
      <c r="M1089" s="4">
        <f t="shared" si="65"/>
        <v>15.022666666666666</v>
      </c>
      <c r="Q1089" s="43" t="s">
        <v>782</v>
      </c>
      <c r="R1089" s="4">
        <v>14.198728140667599</v>
      </c>
      <c r="S1089" s="4">
        <v>14.609308629434199</v>
      </c>
      <c r="T1089" s="4">
        <v>15.4895368236936</v>
      </c>
      <c r="U1089" s="4">
        <f t="shared" si="66"/>
        <v>14.765857864598466</v>
      </c>
      <c r="X1089" s="43" t="s">
        <v>1314</v>
      </c>
      <c r="Y1089" s="4">
        <v>14.8725505956545</v>
      </c>
      <c r="Z1089" s="4">
        <v>14.9527388848875</v>
      </c>
      <c r="AA1089" s="4">
        <v>14.924247590848699</v>
      </c>
      <c r="AB1089" s="4">
        <f t="shared" si="67"/>
        <v>14.916512357130232</v>
      </c>
    </row>
    <row r="1090" spans="2:28" x14ac:dyDescent="0.2">
      <c r="B1090" s="4" t="s">
        <v>1067</v>
      </c>
      <c r="C1090" s="4">
        <v>13.9491</v>
      </c>
      <c r="D1090" s="4">
        <v>14.9382</v>
      </c>
      <c r="E1090" s="4">
        <v>16.1751</v>
      </c>
      <c r="F1090" s="4">
        <f t="shared" ref="F1090:F1153" si="68">(C1090+D1090+E1090)/3</f>
        <v>15.020799999999999</v>
      </c>
      <c r="I1090" s="4" t="s">
        <v>2859</v>
      </c>
      <c r="J1090" s="4">
        <v>15.207599999999999</v>
      </c>
      <c r="K1090" s="4">
        <v>14.817399999999999</v>
      </c>
      <c r="L1090" s="4">
        <v>15.036099999999999</v>
      </c>
      <c r="M1090" s="4">
        <f t="shared" ref="M1090:M1153" si="69">(J1090+K1090+L1090)/3</f>
        <v>15.020366666666666</v>
      </c>
      <c r="Q1090" s="43" t="s">
        <v>3694</v>
      </c>
      <c r="R1090" s="4">
        <v>14.5664054350284</v>
      </c>
      <c r="S1090" s="4">
        <v>14.914437434668001</v>
      </c>
      <c r="T1090" s="4">
        <v>14.812582779255401</v>
      </c>
      <c r="U1090" s="4">
        <f t="shared" ref="U1090:U1153" si="70">(R1090+S1090+T1090)/3</f>
        <v>14.764475216317267</v>
      </c>
      <c r="X1090" s="43" t="s">
        <v>1701</v>
      </c>
      <c r="Y1090" s="4">
        <v>14.802086338359</v>
      </c>
      <c r="Z1090" s="4">
        <v>14.9674784354737</v>
      </c>
      <c r="AA1090" s="4">
        <v>14.977805526793199</v>
      </c>
      <c r="AB1090" s="4">
        <f t="shared" ref="AB1090:AB1153" si="71">(Y1090+Z1090+AA1090)/3</f>
        <v>14.915790100208632</v>
      </c>
    </row>
    <row r="1091" spans="2:28" x14ac:dyDescent="0.2">
      <c r="B1091" s="4" t="s">
        <v>2114</v>
      </c>
      <c r="C1091" s="4">
        <v>15.266400000000001</v>
      </c>
      <c r="D1091" s="4">
        <v>15.1578</v>
      </c>
      <c r="E1091" s="4">
        <v>14.6357</v>
      </c>
      <c r="F1091" s="4">
        <f t="shared" si="68"/>
        <v>15.019966666666667</v>
      </c>
      <c r="I1091" s="4" t="s">
        <v>431</v>
      </c>
      <c r="J1091" s="4">
        <v>14.085000000000001</v>
      </c>
      <c r="K1091" s="4">
        <v>16.653500000000001</v>
      </c>
      <c r="L1091" s="4">
        <v>14.3217</v>
      </c>
      <c r="M1091" s="4">
        <f t="shared" si="69"/>
        <v>15.020066666666667</v>
      </c>
      <c r="Q1091" s="43" t="s">
        <v>3349</v>
      </c>
      <c r="R1091" s="4">
        <v>15.007917842208199</v>
      </c>
      <c r="S1091" s="4">
        <v>14.616221009779</v>
      </c>
      <c r="T1091" s="4">
        <v>14.6683320954095</v>
      </c>
      <c r="U1091" s="4">
        <f t="shared" si="70"/>
        <v>14.764156982465565</v>
      </c>
      <c r="X1091" s="43" t="s">
        <v>1362</v>
      </c>
      <c r="Y1091" s="4">
        <v>14.998299533174899</v>
      </c>
      <c r="Z1091" s="4">
        <v>14.938709494002399</v>
      </c>
      <c r="AA1091" s="4">
        <v>14.7964933159012</v>
      </c>
      <c r="AB1091" s="4">
        <f t="shared" si="71"/>
        <v>14.911167447692833</v>
      </c>
    </row>
    <row r="1092" spans="2:28" x14ac:dyDescent="0.2">
      <c r="B1092" s="4" t="s">
        <v>925</v>
      </c>
      <c r="C1092" s="4">
        <v>15.2821</v>
      </c>
      <c r="D1092" s="4">
        <v>15.008699999999999</v>
      </c>
      <c r="E1092" s="4">
        <v>14.768800000000001</v>
      </c>
      <c r="F1092" s="4">
        <f t="shared" si="68"/>
        <v>15.019866666666665</v>
      </c>
      <c r="I1092" s="4" t="s">
        <v>2621</v>
      </c>
      <c r="J1092" s="4">
        <v>14.9122</v>
      </c>
      <c r="K1092" s="4">
        <v>15.371600000000001</v>
      </c>
      <c r="L1092" s="4">
        <v>14.771800000000001</v>
      </c>
      <c r="M1092" s="4">
        <f t="shared" si="69"/>
        <v>15.018533333333332</v>
      </c>
      <c r="Q1092" s="43" t="s">
        <v>2162</v>
      </c>
      <c r="R1092" s="4">
        <v>14.680982459901101</v>
      </c>
      <c r="S1092" s="4">
        <v>14.8706461344545</v>
      </c>
      <c r="T1092" s="4">
        <v>14.739628657972499</v>
      </c>
      <c r="U1092" s="4">
        <f t="shared" si="70"/>
        <v>14.763752417442698</v>
      </c>
      <c r="X1092" s="43" t="s">
        <v>3637</v>
      </c>
      <c r="Y1092" s="4">
        <v>14.920857514245601</v>
      </c>
      <c r="Z1092" s="4">
        <v>14.8282896944858</v>
      </c>
      <c r="AA1092" s="4">
        <v>14.982276076180799</v>
      </c>
      <c r="AB1092" s="4">
        <f t="shared" si="71"/>
        <v>14.910474428304065</v>
      </c>
    </row>
    <row r="1093" spans="2:28" x14ac:dyDescent="0.2">
      <c r="B1093" s="4" t="s">
        <v>3668</v>
      </c>
      <c r="C1093" s="4">
        <v>14.5275</v>
      </c>
      <c r="D1093" s="4">
        <v>15.1653</v>
      </c>
      <c r="E1093" s="4">
        <v>15.365500000000001</v>
      </c>
      <c r="F1093" s="4">
        <f t="shared" si="68"/>
        <v>15.019433333333334</v>
      </c>
      <c r="I1093" s="4" t="s">
        <v>2119</v>
      </c>
      <c r="J1093" s="4">
        <v>15.05</v>
      </c>
      <c r="K1093" s="4">
        <v>14.8521</v>
      </c>
      <c r="L1093" s="4">
        <v>15.1496</v>
      </c>
      <c r="M1093" s="4">
        <f t="shared" si="69"/>
        <v>15.017233333333332</v>
      </c>
      <c r="Q1093" s="43" t="s">
        <v>881</v>
      </c>
      <c r="R1093" s="4">
        <v>14.7714865310611</v>
      </c>
      <c r="S1093" s="4">
        <v>14.652058501271</v>
      </c>
      <c r="T1093" s="4">
        <v>14.866794138127799</v>
      </c>
      <c r="U1093" s="4">
        <f t="shared" si="70"/>
        <v>14.7634463901533</v>
      </c>
      <c r="X1093" s="43" t="s">
        <v>2069</v>
      </c>
      <c r="Y1093" s="4">
        <v>15.121276777714799</v>
      </c>
      <c r="Z1093" s="4">
        <v>14.9311625104709</v>
      </c>
      <c r="AA1093" s="4">
        <v>14.6784705401574</v>
      </c>
      <c r="AB1093" s="4">
        <f t="shared" si="71"/>
        <v>14.910303276114368</v>
      </c>
    </row>
    <row r="1094" spans="2:28" x14ac:dyDescent="0.2">
      <c r="B1094" s="4" t="s">
        <v>2506</v>
      </c>
      <c r="C1094" s="4">
        <v>15.1806</v>
      </c>
      <c r="D1094" s="4">
        <v>14.944100000000001</v>
      </c>
      <c r="E1094" s="4">
        <v>14.9331</v>
      </c>
      <c r="F1094" s="4">
        <f t="shared" si="68"/>
        <v>15.019266666666667</v>
      </c>
      <c r="I1094" s="4" t="s">
        <v>2147</v>
      </c>
      <c r="J1094" s="4">
        <v>15.2159</v>
      </c>
      <c r="K1094" s="4">
        <v>14.8651</v>
      </c>
      <c r="L1094" s="4">
        <v>14.9701</v>
      </c>
      <c r="M1094" s="4">
        <f t="shared" si="69"/>
        <v>15.017033333333332</v>
      </c>
      <c r="Q1094" s="43" t="s">
        <v>430</v>
      </c>
      <c r="R1094" s="4">
        <v>14.713715259291799</v>
      </c>
      <c r="S1094" s="4">
        <v>14.735259024191601</v>
      </c>
      <c r="T1094" s="4">
        <v>14.8392542936685</v>
      </c>
      <c r="U1094" s="4">
        <f t="shared" si="70"/>
        <v>14.762742859050633</v>
      </c>
      <c r="X1094" s="43" t="s">
        <v>1863</v>
      </c>
      <c r="Y1094" s="4">
        <v>14.9888383755529</v>
      </c>
      <c r="Z1094" s="4">
        <v>14.8882086519169</v>
      </c>
      <c r="AA1094" s="4">
        <v>14.842437219010099</v>
      </c>
      <c r="AB1094" s="4">
        <f t="shared" si="71"/>
        <v>14.906494748826633</v>
      </c>
    </row>
    <row r="1095" spans="2:28" x14ac:dyDescent="0.2">
      <c r="B1095" s="4" t="s">
        <v>3949</v>
      </c>
      <c r="C1095" s="4">
        <v>15.044</v>
      </c>
      <c r="D1095" s="4">
        <v>15.230600000000001</v>
      </c>
      <c r="E1095" s="4">
        <v>14.7821</v>
      </c>
      <c r="F1095" s="4">
        <f t="shared" si="68"/>
        <v>15.0189</v>
      </c>
      <c r="I1095" s="4" t="s">
        <v>1299</v>
      </c>
      <c r="J1095" s="4">
        <v>14.7014</v>
      </c>
      <c r="K1095" s="4">
        <v>15.851900000000001</v>
      </c>
      <c r="L1095" s="4">
        <v>14.497</v>
      </c>
      <c r="M1095" s="4">
        <f t="shared" si="69"/>
        <v>15.016766666666667</v>
      </c>
      <c r="Q1095" s="43" t="s">
        <v>1154</v>
      </c>
      <c r="R1095" s="4">
        <v>14.902313419816901</v>
      </c>
      <c r="S1095" s="4">
        <v>14.6314825854231</v>
      </c>
      <c r="T1095" s="4">
        <v>14.7516285162858</v>
      </c>
      <c r="U1095" s="4">
        <f t="shared" si="70"/>
        <v>14.761808173841933</v>
      </c>
      <c r="X1095" s="43" t="s">
        <v>373</v>
      </c>
      <c r="Y1095" s="4">
        <v>14.736889663080801</v>
      </c>
      <c r="Z1095" s="4">
        <v>14.9570545473303</v>
      </c>
      <c r="AA1095" s="4">
        <v>15.014053059106301</v>
      </c>
      <c r="AB1095" s="4">
        <f t="shared" si="71"/>
        <v>14.902665756505799</v>
      </c>
    </row>
    <row r="1096" spans="2:28" x14ac:dyDescent="0.2">
      <c r="B1096" s="4" t="s">
        <v>3382</v>
      </c>
      <c r="C1096" s="4">
        <v>14.8454</v>
      </c>
      <c r="D1096" s="4">
        <v>14.7866</v>
      </c>
      <c r="E1096" s="4">
        <v>15.422700000000001</v>
      </c>
      <c r="F1096" s="4">
        <f t="shared" si="68"/>
        <v>15.018233333333333</v>
      </c>
      <c r="I1096" s="4" t="s">
        <v>3134</v>
      </c>
      <c r="J1096" s="4">
        <v>14.9389</v>
      </c>
      <c r="K1096" s="4">
        <v>15.131399999999999</v>
      </c>
      <c r="L1096" s="4">
        <v>14.9701</v>
      </c>
      <c r="M1096" s="4">
        <f t="shared" si="69"/>
        <v>15.013466666666666</v>
      </c>
      <c r="Q1096" s="43" t="s">
        <v>2908</v>
      </c>
      <c r="R1096" s="4">
        <v>14.955990710140901</v>
      </c>
      <c r="S1096" s="4">
        <v>14.5713683699986</v>
      </c>
      <c r="T1096" s="4">
        <v>14.750332138826099</v>
      </c>
      <c r="U1096" s="4">
        <f t="shared" si="70"/>
        <v>14.759230406321867</v>
      </c>
      <c r="X1096" s="43" t="s">
        <v>583</v>
      </c>
      <c r="Y1096" s="4">
        <v>14.988930263190101</v>
      </c>
      <c r="Z1096" s="4">
        <v>14.941492082148001</v>
      </c>
      <c r="AA1096" s="4">
        <v>14.757783342298501</v>
      </c>
      <c r="AB1096" s="4">
        <f t="shared" si="71"/>
        <v>14.896068562545535</v>
      </c>
    </row>
    <row r="1097" spans="2:28" x14ac:dyDescent="0.2">
      <c r="B1097" s="4" t="s">
        <v>1152</v>
      </c>
      <c r="C1097" s="4">
        <v>14.9703</v>
      </c>
      <c r="D1097" s="4">
        <v>15.120100000000001</v>
      </c>
      <c r="E1097" s="4">
        <v>14.963800000000001</v>
      </c>
      <c r="F1097" s="4">
        <f t="shared" si="68"/>
        <v>15.018066666666668</v>
      </c>
      <c r="I1097" s="4" t="s">
        <v>457</v>
      </c>
      <c r="J1097" s="4">
        <v>15.2766</v>
      </c>
      <c r="K1097" s="4">
        <v>14.5449</v>
      </c>
      <c r="L1097" s="4">
        <v>15.2179</v>
      </c>
      <c r="M1097" s="4">
        <f t="shared" si="69"/>
        <v>15.013133333333334</v>
      </c>
      <c r="Q1097" s="43" t="s">
        <v>3861</v>
      </c>
      <c r="R1097" s="4">
        <v>14.7472274012868</v>
      </c>
      <c r="S1097" s="4">
        <v>14.816297919073</v>
      </c>
      <c r="T1097" s="4">
        <v>14.7077784880147</v>
      </c>
      <c r="U1097" s="4">
        <f t="shared" si="70"/>
        <v>14.757101269458166</v>
      </c>
      <c r="X1097" s="43" t="s">
        <v>649</v>
      </c>
      <c r="Y1097" s="4">
        <v>14.952337794659201</v>
      </c>
      <c r="Z1097" s="4">
        <v>15.085327870803299</v>
      </c>
      <c r="AA1097" s="4">
        <v>14.644644586857201</v>
      </c>
      <c r="AB1097" s="4">
        <f t="shared" si="71"/>
        <v>14.894103417439899</v>
      </c>
    </row>
    <row r="1098" spans="2:28" x14ac:dyDescent="0.2">
      <c r="B1098" s="4" t="s">
        <v>69</v>
      </c>
      <c r="C1098" s="4">
        <v>15.122199999999999</v>
      </c>
      <c r="D1098" s="4">
        <v>14.9535</v>
      </c>
      <c r="E1098" s="4">
        <v>14.976900000000001</v>
      </c>
      <c r="F1098" s="4">
        <f t="shared" si="68"/>
        <v>15.017533333333333</v>
      </c>
      <c r="I1098" s="4" t="s">
        <v>3844</v>
      </c>
      <c r="J1098" s="4">
        <v>15.059100000000001</v>
      </c>
      <c r="K1098" s="4">
        <v>14.7355</v>
      </c>
      <c r="L1098" s="4">
        <v>15.242100000000001</v>
      </c>
      <c r="M1098" s="4">
        <f t="shared" si="69"/>
        <v>15.012233333333334</v>
      </c>
      <c r="Q1098" s="43" t="s">
        <v>2222</v>
      </c>
      <c r="R1098" s="4">
        <v>15.181994792135701</v>
      </c>
      <c r="S1098" s="4">
        <v>14.6496427372401</v>
      </c>
      <c r="T1098" s="4">
        <v>14.438412236516101</v>
      </c>
      <c r="U1098" s="4">
        <f t="shared" si="70"/>
        <v>14.756683255297299</v>
      </c>
      <c r="X1098" s="43" t="s">
        <v>252</v>
      </c>
      <c r="Y1098" s="4">
        <v>15.055257091086499</v>
      </c>
      <c r="Z1098" s="4">
        <v>14.989668673452501</v>
      </c>
      <c r="AA1098" s="4">
        <v>14.636360834026499</v>
      </c>
      <c r="AB1098" s="4">
        <f t="shared" si="71"/>
        <v>14.893762199521833</v>
      </c>
    </row>
    <row r="1099" spans="2:28" x14ac:dyDescent="0.2">
      <c r="B1099" s="4" t="s">
        <v>1157</v>
      </c>
      <c r="C1099" s="4">
        <v>14.9458</v>
      </c>
      <c r="D1099" s="4">
        <v>14.8896</v>
      </c>
      <c r="E1099" s="4">
        <v>15.2104</v>
      </c>
      <c r="F1099" s="4">
        <f t="shared" si="68"/>
        <v>15.015266666666667</v>
      </c>
      <c r="I1099" s="4" t="s">
        <v>1791</v>
      </c>
      <c r="J1099" s="4">
        <v>15.2247</v>
      </c>
      <c r="K1099" s="4">
        <v>14.7668</v>
      </c>
      <c r="L1099" s="4">
        <v>15.0427</v>
      </c>
      <c r="M1099" s="4">
        <f t="shared" si="69"/>
        <v>15.0114</v>
      </c>
      <c r="Q1099" s="43" t="s">
        <v>2572</v>
      </c>
      <c r="R1099" s="4">
        <v>14.6340102288547</v>
      </c>
      <c r="S1099" s="4">
        <v>14.831434107245499</v>
      </c>
      <c r="T1099" s="4">
        <v>14.8009463417758</v>
      </c>
      <c r="U1099" s="4">
        <f t="shared" si="70"/>
        <v>14.755463559291998</v>
      </c>
      <c r="X1099" s="43" t="s">
        <v>4175</v>
      </c>
      <c r="Y1099" s="4">
        <v>15.160606008362601</v>
      </c>
      <c r="Z1099" s="4">
        <v>14.595417787085299</v>
      </c>
      <c r="AA1099" s="4">
        <v>14.9215722639013</v>
      </c>
      <c r="AB1099" s="4">
        <f t="shared" si="71"/>
        <v>14.892532019783067</v>
      </c>
    </row>
    <row r="1100" spans="2:28" x14ac:dyDescent="0.2">
      <c r="B1100" s="4" t="s">
        <v>3111</v>
      </c>
      <c r="C1100" s="4">
        <v>15.204000000000001</v>
      </c>
      <c r="D1100" s="4">
        <v>15.010400000000001</v>
      </c>
      <c r="E1100" s="4">
        <v>14.8165</v>
      </c>
      <c r="F1100" s="4">
        <f t="shared" si="68"/>
        <v>15.010300000000001</v>
      </c>
      <c r="I1100" s="4" t="s">
        <v>226</v>
      </c>
      <c r="J1100" s="4">
        <v>15.1121</v>
      </c>
      <c r="K1100" s="4">
        <v>14.692</v>
      </c>
      <c r="L1100" s="4">
        <v>15.2285</v>
      </c>
      <c r="M1100" s="4">
        <f t="shared" si="69"/>
        <v>15.010866666666667</v>
      </c>
      <c r="Q1100" s="43" t="s">
        <v>1555</v>
      </c>
      <c r="R1100" s="4">
        <v>15.1032835205309</v>
      </c>
      <c r="S1100" s="4">
        <v>14.5941552562693</v>
      </c>
      <c r="T1100" s="4">
        <v>14.5652878566541</v>
      </c>
      <c r="U1100" s="4">
        <f t="shared" si="70"/>
        <v>14.754242211151434</v>
      </c>
      <c r="X1100" s="43" t="s">
        <v>3825</v>
      </c>
      <c r="Y1100" s="4">
        <v>15.038663000521501</v>
      </c>
      <c r="Z1100" s="4">
        <v>14.8701156450194</v>
      </c>
      <c r="AA1100" s="4">
        <v>14.761987143697199</v>
      </c>
      <c r="AB1100" s="4">
        <f t="shared" si="71"/>
        <v>14.890255263079366</v>
      </c>
    </row>
    <row r="1101" spans="2:28" x14ac:dyDescent="0.2">
      <c r="B1101" s="4" t="s">
        <v>3716</v>
      </c>
      <c r="C1101" s="4">
        <v>14.8436</v>
      </c>
      <c r="D1101" s="4">
        <v>14.944100000000001</v>
      </c>
      <c r="E1101" s="4">
        <v>15.240399999999999</v>
      </c>
      <c r="F1101" s="4">
        <f t="shared" si="68"/>
        <v>15.009366666666667</v>
      </c>
      <c r="I1101" s="4" t="s">
        <v>3539</v>
      </c>
      <c r="J1101" s="4">
        <v>15.1463</v>
      </c>
      <c r="K1101" s="4">
        <v>14.596299999999999</v>
      </c>
      <c r="L1101" s="4">
        <v>15.2849</v>
      </c>
      <c r="M1101" s="4">
        <f t="shared" si="69"/>
        <v>15.009166666666667</v>
      </c>
      <c r="Q1101" s="43" t="s">
        <v>3980</v>
      </c>
      <c r="R1101" s="4">
        <v>14.9621629721735</v>
      </c>
      <c r="S1101" s="4">
        <v>14.639902486174099</v>
      </c>
      <c r="T1101" s="4">
        <v>14.6605480861733</v>
      </c>
      <c r="U1101" s="4">
        <f t="shared" si="70"/>
        <v>14.754204514840302</v>
      </c>
      <c r="X1101" s="43" t="s">
        <v>3556</v>
      </c>
      <c r="Y1101" s="4">
        <v>14.894294338866199</v>
      </c>
      <c r="Z1101" s="4">
        <v>14.909633544820201</v>
      </c>
      <c r="AA1101" s="4">
        <v>14.861018825316901</v>
      </c>
      <c r="AB1101" s="4">
        <f t="shared" si="71"/>
        <v>14.888315569667768</v>
      </c>
    </row>
    <row r="1102" spans="2:28" x14ac:dyDescent="0.2">
      <c r="B1102" s="4" t="s">
        <v>2657</v>
      </c>
      <c r="C1102" s="4">
        <v>15.0837</v>
      </c>
      <c r="D1102" s="4">
        <v>14.8215</v>
      </c>
      <c r="E1102" s="4">
        <v>15.118600000000001</v>
      </c>
      <c r="F1102" s="4">
        <f t="shared" si="68"/>
        <v>15.007933333333334</v>
      </c>
      <c r="I1102" s="4" t="s">
        <v>2606</v>
      </c>
      <c r="J1102" s="4">
        <v>14.9587</v>
      </c>
      <c r="K1102" s="4">
        <v>15.203200000000001</v>
      </c>
      <c r="L1102" s="4">
        <v>14.8459</v>
      </c>
      <c r="M1102" s="4">
        <f t="shared" si="69"/>
        <v>15.002600000000001</v>
      </c>
      <c r="Q1102" s="43" t="s">
        <v>2350</v>
      </c>
      <c r="R1102" s="4">
        <v>14.9441339071993</v>
      </c>
      <c r="S1102" s="4">
        <v>14.6816405670496</v>
      </c>
      <c r="T1102" s="4">
        <v>14.6334828971353</v>
      </c>
      <c r="U1102" s="4">
        <f t="shared" si="70"/>
        <v>14.7530857904614</v>
      </c>
      <c r="X1102" s="43" t="s">
        <v>2850</v>
      </c>
      <c r="Y1102" s="4">
        <v>14.933294436505401</v>
      </c>
      <c r="Z1102" s="4">
        <v>14.985488490736801</v>
      </c>
      <c r="AA1102" s="4">
        <v>14.7423894909367</v>
      </c>
      <c r="AB1102" s="4">
        <f t="shared" si="71"/>
        <v>14.887057472726299</v>
      </c>
    </row>
    <row r="1103" spans="2:28" x14ac:dyDescent="0.2">
      <c r="B1103" s="4" t="s">
        <v>1892</v>
      </c>
      <c r="C1103" s="4">
        <v>15.061500000000001</v>
      </c>
      <c r="D1103" s="4">
        <v>14.9558</v>
      </c>
      <c r="E1103" s="4">
        <v>14.9862</v>
      </c>
      <c r="F1103" s="4">
        <f t="shared" si="68"/>
        <v>15.001166666666668</v>
      </c>
      <c r="I1103" s="4" t="s">
        <v>1868</v>
      </c>
      <c r="J1103" s="4">
        <v>15.2407</v>
      </c>
      <c r="K1103" s="4">
        <v>14.789</v>
      </c>
      <c r="L1103" s="4">
        <v>14.977</v>
      </c>
      <c r="M1103" s="4">
        <f t="shared" si="69"/>
        <v>15.002233333333331</v>
      </c>
      <c r="Q1103" s="43" t="s">
        <v>2062</v>
      </c>
      <c r="R1103" s="4">
        <v>14.7711833959922</v>
      </c>
      <c r="S1103" s="4">
        <v>14.658818504014899</v>
      </c>
      <c r="T1103" s="4">
        <v>14.828515265736099</v>
      </c>
      <c r="U1103" s="4">
        <f t="shared" si="70"/>
        <v>14.752839055247733</v>
      </c>
      <c r="X1103" s="43" t="s">
        <v>3635</v>
      </c>
      <c r="Y1103" s="4">
        <v>14.8036015619853</v>
      </c>
      <c r="Z1103" s="4">
        <v>15.1698747197408</v>
      </c>
      <c r="AA1103" s="4">
        <v>14.6756443560303</v>
      </c>
      <c r="AB1103" s="4">
        <f t="shared" si="71"/>
        <v>14.883040212585465</v>
      </c>
    </row>
    <row r="1104" spans="2:28" x14ac:dyDescent="0.2">
      <c r="B1104" s="4" t="s">
        <v>551</v>
      </c>
      <c r="C1104" s="4">
        <v>15.028700000000001</v>
      </c>
      <c r="D1104" s="4">
        <v>14.9246</v>
      </c>
      <c r="E1104" s="4">
        <v>15.0463</v>
      </c>
      <c r="F1104" s="4">
        <f t="shared" si="68"/>
        <v>14.999866666666668</v>
      </c>
      <c r="I1104" s="4" t="s">
        <v>558</v>
      </c>
      <c r="J1104" s="4">
        <v>14.3843</v>
      </c>
      <c r="K1104" s="4">
        <v>16.307500000000001</v>
      </c>
      <c r="L1104" s="4">
        <v>14.309799999999999</v>
      </c>
      <c r="M1104" s="4">
        <f t="shared" si="69"/>
        <v>15.000533333333331</v>
      </c>
      <c r="Q1104" s="43" t="s">
        <v>62</v>
      </c>
      <c r="R1104" s="4">
        <v>14.8647271224389</v>
      </c>
      <c r="S1104" s="4">
        <v>14.5947005720259</v>
      </c>
      <c r="T1104" s="4">
        <v>14.7987238320749</v>
      </c>
      <c r="U1104" s="4">
        <f t="shared" si="70"/>
        <v>14.752717175513233</v>
      </c>
      <c r="X1104" s="43" t="s">
        <v>99</v>
      </c>
      <c r="Y1104" s="4">
        <v>14.8680204383882</v>
      </c>
      <c r="Z1104" s="4">
        <v>15.041184771544</v>
      </c>
      <c r="AA1104" s="4">
        <v>14.735330723146101</v>
      </c>
      <c r="AB1104" s="4">
        <f t="shared" si="71"/>
        <v>14.881511977692767</v>
      </c>
    </row>
    <row r="1105" spans="2:28" x14ac:dyDescent="0.2">
      <c r="B1105" s="4" t="s">
        <v>3656</v>
      </c>
      <c r="C1105" s="4">
        <v>15.0669</v>
      </c>
      <c r="D1105" s="4">
        <v>14.811199999999999</v>
      </c>
      <c r="E1105" s="4">
        <v>15.119300000000001</v>
      </c>
      <c r="F1105" s="4">
        <f t="shared" si="68"/>
        <v>14.999133333333333</v>
      </c>
      <c r="I1105" s="4" t="s">
        <v>1795</v>
      </c>
      <c r="J1105" s="4">
        <v>15.0692</v>
      </c>
      <c r="K1105" s="4">
        <v>14.8001</v>
      </c>
      <c r="L1105" s="4">
        <v>15.1149</v>
      </c>
      <c r="M1105" s="4">
        <f t="shared" si="69"/>
        <v>14.994733333333334</v>
      </c>
      <c r="Q1105" s="43" t="s">
        <v>1374</v>
      </c>
      <c r="R1105" s="4">
        <v>14.6867505903981</v>
      </c>
      <c r="S1105" s="4">
        <v>14.923308250863199</v>
      </c>
      <c r="T1105" s="4">
        <v>14.647398258478299</v>
      </c>
      <c r="U1105" s="4">
        <f t="shared" si="70"/>
        <v>14.752485699913199</v>
      </c>
      <c r="X1105" s="43" t="s">
        <v>167</v>
      </c>
      <c r="Y1105" s="4">
        <v>14.88524240716</v>
      </c>
      <c r="Z1105" s="4">
        <v>15.0312452047036</v>
      </c>
      <c r="AA1105" s="4">
        <v>14.724935818338899</v>
      </c>
      <c r="AB1105" s="4">
        <f t="shared" si="71"/>
        <v>14.880474476734166</v>
      </c>
    </row>
    <row r="1106" spans="2:28" x14ac:dyDescent="0.2">
      <c r="B1106" s="4" t="s">
        <v>1430</v>
      </c>
      <c r="C1106" s="4">
        <v>14.958299999999999</v>
      </c>
      <c r="D1106" s="4">
        <v>15.1157</v>
      </c>
      <c r="E1106" s="4">
        <v>14.9201</v>
      </c>
      <c r="F1106" s="4">
        <f t="shared" si="68"/>
        <v>14.998033333333332</v>
      </c>
      <c r="I1106" s="4" t="s">
        <v>599</v>
      </c>
      <c r="J1106" s="4">
        <v>15.0444</v>
      </c>
      <c r="K1106" s="4">
        <v>14.9071</v>
      </c>
      <c r="L1106" s="4">
        <v>15.0273</v>
      </c>
      <c r="M1106" s="4">
        <f t="shared" si="69"/>
        <v>14.992933333333333</v>
      </c>
      <c r="Q1106" s="43" t="s">
        <v>4443</v>
      </c>
      <c r="R1106" s="4">
        <v>14.878765036945</v>
      </c>
      <c r="S1106" s="4">
        <v>14.753481776436701</v>
      </c>
      <c r="T1106" s="4">
        <v>14.6231188642289</v>
      </c>
      <c r="U1106" s="4">
        <f t="shared" si="70"/>
        <v>14.751788559203533</v>
      </c>
      <c r="X1106" s="43" t="s">
        <v>4168</v>
      </c>
      <c r="Y1106" s="4">
        <v>15.4922798304243</v>
      </c>
      <c r="Z1106" s="4">
        <v>15.3104502730405</v>
      </c>
      <c r="AA1106" s="4">
        <v>13.8313367059672</v>
      </c>
      <c r="AB1106" s="4">
        <f t="shared" si="71"/>
        <v>14.878022269810666</v>
      </c>
    </row>
    <row r="1107" spans="2:28" x14ac:dyDescent="0.2">
      <c r="B1107" s="4" t="s">
        <v>3508</v>
      </c>
      <c r="C1107" s="4">
        <v>14.613</v>
      </c>
      <c r="D1107" s="4">
        <v>15.1221</v>
      </c>
      <c r="E1107" s="4">
        <v>15.2569</v>
      </c>
      <c r="F1107" s="4">
        <f t="shared" si="68"/>
        <v>14.997333333333332</v>
      </c>
      <c r="I1107" s="4" t="s">
        <v>2507</v>
      </c>
      <c r="J1107" s="4">
        <v>15.037000000000001</v>
      </c>
      <c r="K1107" s="4">
        <v>14.937900000000001</v>
      </c>
      <c r="L1107" s="4">
        <v>14.9877</v>
      </c>
      <c r="M1107" s="4">
        <f t="shared" si="69"/>
        <v>14.987533333333333</v>
      </c>
      <c r="Q1107" s="43" t="s">
        <v>1152</v>
      </c>
      <c r="R1107" s="4">
        <v>14.7993639908502</v>
      </c>
      <c r="S1107" s="4">
        <v>14.637141786069799</v>
      </c>
      <c r="T1107" s="4">
        <v>14.808175882062701</v>
      </c>
      <c r="U1107" s="4">
        <f t="shared" si="70"/>
        <v>14.748227219660899</v>
      </c>
      <c r="X1107" s="43" t="s">
        <v>3887</v>
      </c>
      <c r="Y1107" s="4">
        <v>14.7357874973739</v>
      </c>
      <c r="Z1107" s="4">
        <v>14.835412858031701</v>
      </c>
      <c r="AA1107" s="4">
        <v>15.046481262265599</v>
      </c>
      <c r="AB1107" s="4">
        <f t="shared" si="71"/>
        <v>14.872560539223734</v>
      </c>
    </row>
    <row r="1108" spans="2:28" x14ac:dyDescent="0.2">
      <c r="B1108" s="4" t="s">
        <v>1718</v>
      </c>
      <c r="C1108" s="4">
        <v>15.0015</v>
      </c>
      <c r="D1108" s="4">
        <v>15.0959</v>
      </c>
      <c r="E1108" s="4">
        <v>14.889099999999999</v>
      </c>
      <c r="F1108" s="4">
        <f t="shared" si="68"/>
        <v>14.9955</v>
      </c>
      <c r="I1108" s="4" t="s">
        <v>2114</v>
      </c>
      <c r="J1108" s="4">
        <v>14.9673</v>
      </c>
      <c r="K1108" s="4">
        <v>14.8588</v>
      </c>
      <c r="L1108" s="4">
        <v>15.1358</v>
      </c>
      <c r="M1108" s="4">
        <f t="shared" si="69"/>
        <v>14.987299999999999</v>
      </c>
      <c r="Q1108" s="43" t="s">
        <v>921</v>
      </c>
      <c r="R1108" s="4">
        <v>14.537492007551201</v>
      </c>
      <c r="S1108" s="4">
        <v>14.6622443338727</v>
      </c>
      <c r="T1108" s="4">
        <v>15.0390669436477</v>
      </c>
      <c r="U1108" s="4">
        <f t="shared" si="70"/>
        <v>14.746267761690532</v>
      </c>
      <c r="X1108" s="43" t="s">
        <v>549</v>
      </c>
      <c r="Y1108" s="4">
        <v>14.8981918862979</v>
      </c>
      <c r="Z1108" s="4">
        <v>14.8562605136773</v>
      </c>
      <c r="AA1108" s="4">
        <v>14.8587510263147</v>
      </c>
      <c r="AB1108" s="4">
        <f t="shared" si="71"/>
        <v>14.8710678087633</v>
      </c>
    </row>
    <row r="1109" spans="2:28" x14ac:dyDescent="0.2">
      <c r="B1109" s="4" t="s">
        <v>2234</v>
      </c>
      <c r="C1109" s="4">
        <v>15.232200000000001</v>
      </c>
      <c r="D1109" s="4">
        <v>14.8307</v>
      </c>
      <c r="E1109" s="4">
        <v>14.907299999999999</v>
      </c>
      <c r="F1109" s="4">
        <f t="shared" si="68"/>
        <v>14.990066666666666</v>
      </c>
      <c r="I1109" s="4" t="s">
        <v>1673</v>
      </c>
      <c r="J1109" s="4">
        <v>14.9781</v>
      </c>
      <c r="K1109" s="4">
        <v>14.685</v>
      </c>
      <c r="L1109" s="4">
        <v>15.297800000000001</v>
      </c>
      <c r="M1109" s="4">
        <f t="shared" si="69"/>
        <v>14.986966666666667</v>
      </c>
      <c r="Q1109" s="43" t="s">
        <v>11</v>
      </c>
      <c r="R1109" s="4">
        <v>14.7514213429967</v>
      </c>
      <c r="S1109" s="4">
        <v>14.837801881526699</v>
      </c>
      <c r="T1109" s="4">
        <v>14.646779600605401</v>
      </c>
      <c r="U1109" s="4">
        <f t="shared" si="70"/>
        <v>14.745334275042934</v>
      </c>
      <c r="X1109" s="43" t="s">
        <v>498</v>
      </c>
      <c r="Y1109" s="4">
        <v>14.850730453217301</v>
      </c>
      <c r="Z1109" s="4">
        <v>14.9662931821331</v>
      </c>
      <c r="AA1109" s="4">
        <v>14.7936599771903</v>
      </c>
      <c r="AB1109" s="4">
        <f t="shared" si="71"/>
        <v>14.870227870846902</v>
      </c>
    </row>
    <row r="1110" spans="2:28" x14ac:dyDescent="0.2">
      <c r="B1110" s="4" t="s">
        <v>4046</v>
      </c>
      <c r="C1110" s="4">
        <v>15.321899999999999</v>
      </c>
      <c r="D1110" s="4">
        <v>14.929</v>
      </c>
      <c r="E1110" s="4">
        <v>14.7182</v>
      </c>
      <c r="F1110" s="4">
        <f t="shared" si="68"/>
        <v>14.989699999999999</v>
      </c>
      <c r="I1110" s="4" t="s">
        <v>3014</v>
      </c>
      <c r="J1110" s="4">
        <v>15.0143</v>
      </c>
      <c r="K1110" s="4">
        <v>14.8573</v>
      </c>
      <c r="L1110" s="4">
        <v>15.0844</v>
      </c>
      <c r="M1110" s="4">
        <f t="shared" si="69"/>
        <v>14.985333333333335</v>
      </c>
      <c r="Q1110" s="43" t="s">
        <v>2428</v>
      </c>
      <c r="R1110" s="4">
        <v>15.0737197048659</v>
      </c>
      <c r="S1110" s="4">
        <v>14.537503904227</v>
      </c>
      <c r="T1110" s="4">
        <v>14.623971399837799</v>
      </c>
      <c r="U1110" s="4">
        <f t="shared" si="70"/>
        <v>14.745065002976901</v>
      </c>
      <c r="X1110" s="43" t="s">
        <v>352</v>
      </c>
      <c r="Y1110" s="4">
        <v>14.9173562623505</v>
      </c>
      <c r="Z1110" s="4">
        <v>14.8522026736727</v>
      </c>
      <c r="AA1110" s="4">
        <v>14.840108281858701</v>
      </c>
      <c r="AB1110" s="4">
        <f t="shared" si="71"/>
        <v>14.869889072627302</v>
      </c>
    </row>
    <row r="1111" spans="2:28" x14ac:dyDescent="0.2">
      <c r="B1111" s="4" t="s">
        <v>2119</v>
      </c>
      <c r="C1111" s="4">
        <v>14.8476</v>
      </c>
      <c r="D1111" s="4">
        <v>14.936999999999999</v>
      </c>
      <c r="E1111" s="4">
        <v>15.182399999999999</v>
      </c>
      <c r="F1111" s="4">
        <f t="shared" si="68"/>
        <v>14.988999999999999</v>
      </c>
      <c r="I1111" s="4" t="s">
        <v>2725</v>
      </c>
      <c r="J1111" s="4">
        <v>15.116</v>
      </c>
      <c r="K1111" s="4">
        <v>14.8644</v>
      </c>
      <c r="L1111" s="4">
        <v>14.9726</v>
      </c>
      <c r="M1111" s="4">
        <f t="shared" si="69"/>
        <v>14.984333333333334</v>
      </c>
      <c r="Q1111" s="43" t="s">
        <v>3959</v>
      </c>
      <c r="R1111" s="4">
        <v>14.935658521206101</v>
      </c>
      <c r="S1111" s="4">
        <v>14.604402267961801</v>
      </c>
      <c r="T1111" s="4">
        <v>14.6948335124507</v>
      </c>
      <c r="U1111" s="4">
        <f t="shared" si="70"/>
        <v>14.7449647672062</v>
      </c>
      <c r="X1111" s="43" t="s">
        <v>4165</v>
      </c>
      <c r="Y1111" s="4">
        <v>15.1074248119956</v>
      </c>
      <c r="Z1111" s="4">
        <v>14.7464032994693</v>
      </c>
      <c r="AA1111" s="4">
        <v>14.750484502288799</v>
      </c>
      <c r="AB1111" s="4">
        <f t="shared" si="71"/>
        <v>14.868104204584567</v>
      </c>
    </row>
    <row r="1112" spans="2:28" x14ac:dyDescent="0.2">
      <c r="B1112" s="4" t="s">
        <v>2934</v>
      </c>
      <c r="C1112" s="4">
        <v>14.7475</v>
      </c>
      <c r="D1112" s="4">
        <v>14.8408</v>
      </c>
      <c r="E1112" s="4">
        <v>15.3757</v>
      </c>
      <c r="F1112" s="4">
        <f t="shared" si="68"/>
        <v>14.988</v>
      </c>
      <c r="I1112" s="4" t="s">
        <v>1948</v>
      </c>
      <c r="J1112" s="4">
        <v>15.189500000000001</v>
      </c>
      <c r="K1112" s="4">
        <v>14.663</v>
      </c>
      <c r="L1112" s="4">
        <v>15.0997</v>
      </c>
      <c r="M1112" s="4">
        <f t="shared" si="69"/>
        <v>14.984066666666665</v>
      </c>
      <c r="Q1112" s="43" t="s">
        <v>2802</v>
      </c>
      <c r="R1112" s="4">
        <v>14.864805000284401</v>
      </c>
      <c r="S1112" s="4">
        <v>14.5806949749004</v>
      </c>
      <c r="T1112" s="4">
        <v>14.7870871025168</v>
      </c>
      <c r="U1112" s="4">
        <f t="shared" si="70"/>
        <v>14.744195692567201</v>
      </c>
      <c r="X1112" s="43" t="s">
        <v>1906</v>
      </c>
      <c r="Y1112" s="4">
        <v>14.872076345105</v>
      </c>
      <c r="Z1112" s="4">
        <v>14.77882739901</v>
      </c>
      <c r="AA1112" s="4">
        <v>14.929907728965</v>
      </c>
      <c r="AB1112" s="4">
        <f t="shared" si="71"/>
        <v>14.860270491026666</v>
      </c>
    </row>
    <row r="1113" spans="2:28" x14ac:dyDescent="0.2">
      <c r="B1113" s="4" t="s">
        <v>3397</v>
      </c>
      <c r="C1113" s="4">
        <v>15.152699999999999</v>
      </c>
      <c r="D1113" s="4">
        <v>15.1594</v>
      </c>
      <c r="E1113" s="4">
        <v>14.65</v>
      </c>
      <c r="F1113" s="4">
        <f t="shared" si="68"/>
        <v>14.987366666666667</v>
      </c>
      <c r="I1113" s="4" t="s">
        <v>3896</v>
      </c>
      <c r="J1113" s="4">
        <v>14.967000000000001</v>
      </c>
      <c r="K1113" s="4">
        <v>14.790699999999999</v>
      </c>
      <c r="L1113" s="4">
        <v>15.1945</v>
      </c>
      <c r="M1113" s="4">
        <f t="shared" si="69"/>
        <v>14.984066666666665</v>
      </c>
      <c r="Q1113" s="43" t="s">
        <v>2102</v>
      </c>
      <c r="R1113" s="4">
        <v>14.7257872221423</v>
      </c>
      <c r="S1113" s="4">
        <v>14.661155253341599</v>
      </c>
      <c r="T1113" s="4">
        <v>14.842144211300001</v>
      </c>
      <c r="U1113" s="4">
        <f t="shared" si="70"/>
        <v>14.743028895594634</v>
      </c>
      <c r="X1113" s="43" t="s">
        <v>3147</v>
      </c>
      <c r="Y1113" s="4">
        <v>14.839860658702699</v>
      </c>
      <c r="Z1113" s="4">
        <v>14.813458141377099</v>
      </c>
      <c r="AA1113" s="4">
        <v>14.9250434431058</v>
      </c>
      <c r="AB1113" s="4">
        <f t="shared" si="71"/>
        <v>14.859454081061864</v>
      </c>
    </row>
    <row r="1114" spans="2:28" x14ac:dyDescent="0.2">
      <c r="B1114" s="4" t="s">
        <v>3239</v>
      </c>
      <c r="C1114" s="4">
        <v>15.053000000000001</v>
      </c>
      <c r="D1114" s="4">
        <v>15.187200000000001</v>
      </c>
      <c r="E1114" s="4">
        <v>14.721399999999999</v>
      </c>
      <c r="F1114" s="4">
        <f t="shared" si="68"/>
        <v>14.987200000000001</v>
      </c>
      <c r="I1114" s="4" t="s">
        <v>3236</v>
      </c>
      <c r="J1114" s="4">
        <v>14.8741</v>
      </c>
      <c r="K1114" s="4">
        <v>14.894600000000001</v>
      </c>
      <c r="L1114" s="4">
        <v>15.1814</v>
      </c>
      <c r="M1114" s="4">
        <f t="shared" si="69"/>
        <v>14.983366666666669</v>
      </c>
      <c r="Q1114" s="43" t="s">
        <v>3797</v>
      </c>
      <c r="R1114" s="4">
        <v>14.366771820049101</v>
      </c>
      <c r="S1114" s="4">
        <v>14.6059193444828</v>
      </c>
      <c r="T1114" s="4">
        <v>15.249369003655801</v>
      </c>
      <c r="U1114" s="4">
        <f t="shared" si="70"/>
        <v>14.740686722729235</v>
      </c>
      <c r="X1114" s="43" t="s">
        <v>3020</v>
      </c>
      <c r="Y1114" s="4">
        <v>14.796699925337601</v>
      </c>
      <c r="Z1114" s="4">
        <v>14.9101288299546</v>
      </c>
      <c r="AA1114" s="4">
        <v>14.8700434341222</v>
      </c>
      <c r="AB1114" s="4">
        <f t="shared" si="71"/>
        <v>14.858957396471467</v>
      </c>
    </row>
    <row r="1115" spans="2:28" x14ac:dyDescent="0.2">
      <c r="B1115" s="4" t="s">
        <v>4083</v>
      </c>
      <c r="C1115" s="4">
        <v>15.0045</v>
      </c>
      <c r="D1115" s="4">
        <v>14.892300000000001</v>
      </c>
      <c r="E1115" s="4">
        <v>15.0587</v>
      </c>
      <c r="F1115" s="4">
        <f t="shared" si="68"/>
        <v>14.985166666666666</v>
      </c>
      <c r="I1115" s="4" t="s">
        <v>1259</v>
      </c>
      <c r="J1115" s="4">
        <v>15.1288</v>
      </c>
      <c r="K1115" s="4">
        <v>14.6585</v>
      </c>
      <c r="L1115" s="4">
        <v>15.157299999999999</v>
      </c>
      <c r="M1115" s="4">
        <f t="shared" si="69"/>
        <v>14.981533333333333</v>
      </c>
      <c r="Q1115" s="43" t="s">
        <v>1329</v>
      </c>
      <c r="R1115" s="4">
        <v>14.878835380761799</v>
      </c>
      <c r="S1115" s="4">
        <v>14.638930778017</v>
      </c>
      <c r="T1115" s="4">
        <v>14.701181635021101</v>
      </c>
      <c r="U1115" s="4">
        <f t="shared" si="70"/>
        <v>14.739649264599967</v>
      </c>
      <c r="X1115" s="43" t="s">
        <v>4548</v>
      </c>
      <c r="Y1115" s="4">
        <v>15.311228217479901</v>
      </c>
      <c r="Z1115" s="4">
        <v>13.9498820671733</v>
      </c>
      <c r="AA1115" s="4">
        <v>15.314566632682499</v>
      </c>
      <c r="AB1115" s="4">
        <f t="shared" si="71"/>
        <v>14.858558972445232</v>
      </c>
    </row>
    <row r="1116" spans="2:28" x14ac:dyDescent="0.2">
      <c r="B1116" s="4" t="s">
        <v>130</v>
      </c>
      <c r="C1116" s="4">
        <v>14.653</v>
      </c>
      <c r="D1116" s="4">
        <v>14.7201</v>
      </c>
      <c r="E1116" s="4">
        <v>15.574199999999999</v>
      </c>
      <c r="F1116" s="4">
        <f t="shared" si="68"/>
        <v>14.982433333333333</v>
      </c>
      <c r="I1116" s="4" t="s">
        <v>1562</v>
      </c>
      <c r="J1116" s="4">
        <v>15.057600000000001</v>
      </c>
      <c r="K1116" s="4">
        <v>14.828900000000001</v>
      </c>
      <c r="L1116" s="4">
        <v>15.0578</v>
      </c>
      <c r="M1116" s="4">
        <f t="shared" si="69"/>
        <v>14.981433333333333</v>
      </c>
      <c r="Q1116" s="43" t="s">
        <v>425</v>
      </c>
      <c r="R1116" s="4">
        <v>14.908187033761299</v>
      </c>
      <c r="S1116" s="4">
        <v>14.693644189602299</v>
      </c>
      <c r="T1116" s="4">
        <v>14.609874782456201</v>
      </c>
      <c r="U1116" s="4">
        <f t="shared" si="70"/>
        <v>14.737235335273267</v>
      </c>
      <c r="X1116" s="43" t="s">
        <v>3128</v>
      </c>
      <c r="Y1116" s="4">
        <v>14.936264076351099</v>
      </c>
      <c r="Z1116" s="4">
        <v>14.973325911395101</v>
      </c>
      <c r="AA1116" s="4">
        <v>14.6589814490431</v>
      </c>
      <c r="AB1116" s="4">
        <f t="shared" si="71"/>
        <v>14.856190478929767</v>
      </c>
    </row>
    <row r="1117" spans="2:28" x14ac:dyDescent="0.2">
      <c r="B1117" s="4" t="s">
        <v>1312</v>
      </c>
      <c r="C1117" s="4">
        <v>14.952400000000001</v>
      </c>
      <c r="D1117" s="4">
        <v>14.956099999999999</v>
      </c>
      <c r="E1117" s="4">
        <v>15.0336</v>
      </c>
      <c r="F1117" s="4">
        <f t="shared" si="68"/>
        <v>14.980699999999999</v>
      </c>
      <c r="I1117" s="4" t="s">
        <v>3193</v>
      </c>
      <c r="J1117" s="4">
        <v>14.8931</v>
      </c>
      <c r="K1117" s="4">
        <v>15.1014</v>
      </c>
      <c r="L1117" s="4">
        <v>14.942299999999999</v>
      </c>
      <c r="M1117" s="4">
        <f t="shared" si="69"/>
        <v>14.978933333333336</v>
      </c>
      <c r="Q1117" s="43" t="s">
        <v>2878</v>
      </c>
      <c r="R1117" s="4">
        <v>14.804648211983899</v>
      </c>
      <c r="S1117" s="4">
        <v>14.629039817857301</v>
      </c>
      <c r="T1117" s="4">
        <v>14.7769559735257</v>
      </c>
      <c r="U1117" s="4">
        <f t="shared" si="70"/>
        <v>14.736881334455633</v>
      </c>
      <c r="X1117" s="43" t="s">
        <v>1691</v>
      </c>
      <c r="Y1117" s="4">
        <v>14.862698448410899</v>
      </c>
      <c r="Z1117" s="4">
        <v>14.939668482314</v>
      </c>
      <c r="AA1117" s="4">
        <v>14.765416727395399</v>
      </c>
      <c r="AB1117" s="4">
        <f t="shared" si="71"/>
        <v>14.855927886040099</v>
      </c>
    </row>
    <row r="1118" spans="2:28" x14ac:dyDescent="0.2">
      <c r="B1118" s="4" t="s">
        <v>1154</v>
      </c>
      <c r="C1118" s="4">
        <v>14.437099999999999</v>
      </c>
      <c r="D1118" s="4">
        <v>15.165699999999999</v>
      </c>
      <c r="E1118" s="4">
        <v>15.3293</v>
      </c>
      <c r="F1118" s="4">
        <f t="shared" si="68"/>
        <v>14.977366666666667</v>
      </c>
      <c r="I1118" s="4" t="s">
        <v>3753</v>
      </c>
      <c r="J1118" s="4">
        <v>15.0467</v>
      </c>
      <c r="K1118" s="4">
        <v>14.7965</v>
      </c>
      <c r="L1118" s="4">
        <v>15.0936</v>
      </c>
      <c r="M1118" s="4">
        <f t="shared" si="69"/>
        <v>14.978933333333332</v>
      </c>
      <c r="Q1118" s="43" t="s">
        <v>885</v>
      </c>
      <c r="R1118" s="4">
        <v>14.5029454954923</v>
      </c>
      <c r="S1118" s="4">
        <v>14.8212523796506</v>
      </c>
      <c r="T1118" s="4">
        <v>14.8861242316424</v>
      </c>
      <c r="U1118" s="4">
        <f t="shared" si="70"/>
        <v>14.736774035595099</v>
      </c>
      <c r="X1118" s="43" t="s">
        <v>1215</v>
      </c>
      <c r="Y1118" s="4">
        <v>15.1468751269236</v>
      </c>
      <c r="Z1118" s="4">
        <v>14.8103553680268</v>
      </c>
      <c r="AA1118" s="4">
        <v>14.599919923912401</v>
      </c>
      <c r="AB1118" s="4">
        <f t="shared" si="71"/>
        <v>14.852383472954267</v>
      </c>
    </row>
    <row r="1119" spans="2:28" x14ac:dyDescent="0.2">
      <c r="B1119" s="4" t="s">
        <v>677</v>
      </c>
      <c r="C1119" s="4">
        <v>14.407999999999999</v>
      </c>
      <c r="D1119" s="4">
        <v>14.1774</v>
      </c>
      <c r="E1119" s="4">
        <v>16.346599999999999</v>
      </c>
      <c r="F1119" s="4">
        <f t="shared" si="68"/>
        <v>14.977333333333334</v>
      </c>
      <c r="I1119" s="4" t="s">
        <v>4012</v>
      </c>
      <c r="J1119" s="4">
        <v>15.0985</v>
      </c>
      <c r="K1119" s="4">
        <v>14.9358</v>
      </c>
      <c r="L1119" s="4">
        <v>14.898999999999999</v>
      </c>
      <c r="M1119" s="4">
        <f t="shared" si="69"/>
        <v>14.977766666666668</v>
      </c>
      <c r="Q1119" s="43" t="s">
        <v>1049</v>
      </c>
      <c r="R1119" s="4">
        <v>14.855249801430899</v>
      </c>
      <c r="S1119" s="4">
        <v>14.609849783836401</v>
      </c>
      <c r="T1119" s="4">
        <v>14.7402732647726</v>
      </c>
      <c r="U1119" s="4">
        <f t="shared" si="70"/>
        <v>14.735124283346634</v>
      </c>
      <c r="X1119" s="43" t="s">
        <v>2606</v>
      </c>
      <c r="Y1119" s="4">
        <v>14.920539658428</v>
      </c>
      <c r="Z1119" s="4">
        <v>14.5164385497315</v>
      </c>
      <c r="AA1119" s="4">
        <v>15.1187781066886</v>
      </c>
      <c r="AB1119" s="4">
        <f t="shared" si="71"/>
        <v>14.851918771616035</v>
      </c>
    </row>
    <row r="1120" spans="2:28" x14ac:dyDescent="0.2">
      <c r="B1120" s="4" t="s">
        <v>2673</v>
      </c>
      <c r="C1120" s="4">
        <v>14.972</v>
      </c>
      <c r="D1120" s="4">
        <v>14.9305</v>
      </c>
      <c r="E1120" s="4">
        <v>15.0243</v>
      </c>
      <c r="F1120" s="4">
        <f t="shared" si="68"/>
        <v>14.9756</v>
      </c>
      <c r="I1120" s="4" t="s">
        <v>2694</v>
      </c>
      <c r="J1120" s="4">
        <v>15.0922</v>
      </c>
      <c r="K1120" s="4">
        <v>14.707599999999999</v>
      </c>
      <c r="L1120" s="4">
        <v>15.129799999999999</v>
      </c>
      <c r="M1120" s="4">
        <f t="shared" si="69"/>
        <v>14.976533333333331</v>
      </c>
      <c r="Q1120" s="43" t="s">
        <v>2621</v>
      </c>
      <c r="R1120" s="4">
        <v>14.5288739927576</v>
      </c>
      <c r="S1120" s="4">
        <v>14.608701047733501</v>
      </c>
      <c r="T1120" s="4">
        <v>15.065843649546</v>
      </c>
      <c r="U1120" s="4">
        <f t="shared" si="70"/>
        <v>14.734472896679032</v>
      </c>
      <c r="X1120" s="43" t="s">
        <v>920</v>
      </c>
      <c r="Y1120" s="4">
        <v>14.9569450901223</v>
      </c>
      <c r="Z1120" s="4">
        <v>14.805599481275999</v>
      </c>
      <c r="AA1120" s="4">
        <v>14.789519166565899</v>
      </c>
      <c r="AB1120" s="4">
        <f t="shared" si="71"/>
        <v>14.850687912654735</v>
      </c>
    </row>
    <row r="1121" spans="2:28" x14ac:dyDescent="0.2">
      <c r="B1121" s="4" t="s">
        <v>524</v>
      </c>
      <c r="C1121" s="4">
        <v>14.452500000000001</v>
      </c>
      <c r="D1121" s="4">
        <v>14.9412</v>
      </c>
      <c r="E1121" s="4">
        <v>15.526300000000001</v>
      </c>
      <c r="F1121" s="4">
        <f t="shared" si="68"/>
        <v>14.973333333333334</v>
      </c>
      <c r="I1121" s="4" t="s">
        <v>2027</v>
      </c>
      <c r="J1121" s="4">
        <v>14.8703</v>
      </c>
      <c r="K1121" s="4">
        <v>14.856299999999999</v>
      </c>
      <c r="L1121" s="4">
        <v>15.196199999999999</v>
      </c>
      <c r="M1121" s="4">
        <f t="shared" si="69"/>
        <v>14.974266666666665</v>
      </c>
      <c r="Q1121" s="43" t="s">
        <v>4231</v>
      </c>
      <c r="R1121" s="4">
        <v>14.6797078796378</v>
      </c>
      <c r="S1121" s="4">
        <v>14.8535646120159</v>
      </c>
      <c r="T1121" s="4">
        <v>14.665518816066699</v>
      </c>
      <c r="U1121" s="4">
        <f t="shared" si="70"/>
        <v>14.7329304359068</v>
      </c>
      <c r="X1121" s="43" t="s">
        <v>1270</v>
      </c>
      <c r="Y1121" s="4">
        <v>14.839994346533</v>
      </c>
      <c r="Z1121" s="4">
        <v>14.853764134721599</v>
      </c>
      <c r="AA1121" s="4">
        <v>14.849447929320499</v>
      </c>
      <c r="AB1121" s="4">
        <f t="shared" si="71"/>
        <v>14.847735470191699</v>
      </c>
    </row>
    <row r="1122" spans="2:28" x14ac:dyDescent="0.2">
      <c r="B1122" s="4" t="s">
        <v>3730</v>
      </c>
      <c r="C1122" s="4">
        <v>15.120900000000001</v>
      </c>
      <c r="D1122" s="4">
        <v>15.1755</v>
      </c>
      <c r="E1122" s="4">
        <v>14.622199999999999</v>
      </c>
      <c r="F1122" s="4">
        <f t="shared" si="68"/>
        <v>14.972866666666667</v>
      </c>
      <c r="I1122" s="4" t="s">
        <v>3782</v>
      </c>
      <c r="J1122" s="4">
        <v>15.0343</v>
      </c>
      <c r="K1122" s="4">
        <v>14.794600000000001</v>
      </c>
      <c r="L1122" s="4">
        <v>15.091699999999999</v>
      </c>
      <c r="M1122" s="4">
        <f t="shared" si="69"/>
        <v>14.973533333333334</v>
      </c>
      <c r="Q1122" s="43" t="s">
        <v>4492</v>
      </c>
      <c r="R1122" s="4">
        <v>14.8659180441883</v>
      </c>
      <c r="S1122" s="4">
        <v>14.5887507145497</v>
      </c>
      <c r="T1122" s="4">
        <v>14.743637855081399</v>
      </c>
      <c r="U1122" s="4">
        <f t="shared" si="70"/>
        <v>14.732768871273132</v>
      </c>
      <c r="X1122" s="43" t="s">
        <v>797</v>
      </c>
      <c r="Y1122" s="4">
        <v>14.8774253090376</v>
      </c>
      <c r="Z1122" s="4">
        <v>15.3438064827824</v>
      </c>
      <c r="AA1122" s="4">
        <v>14.321818318643899</v>
      </c>
      <c r="AB1122" s="4">
        <f t="shared" si="71"/>
        <v>14.847683370154632</v>
      </c>
    </row>
    <row r="1123" spans="2:28" x14ac:dyDescent="0.2">
      <c r="B1123" s="4" t="s">
        <v>3080</v>
      </c>
      <c r="C1123" s="4">
        <v>15.509499999999999</v>
      </c>
      <c r="D1123" s="4">
        <v>15.2125</v>
      </c>
      <c r="E1123" s="4">
        <v>14.1957</v>
      </c>
      <c r="F1123" s="4">
        <f t="shared" si="68"/>
        <v>14.972566666666667</v>
      </c>
      <c r="I1123" s="4" t="s">
        <v>3809</v>
      </c>
      <c r="J1123" s="4">
        <v>15.1358</v>
      </c>
      <c r="K1123" s="4">
        <v>14.616</v>
      </c>
      <c r="L1123" s="4">
        <v>15.165800000000001</v>
      </c>
      <c r="M1123" s="4">
        <f t="shared" si="69"/>
        <v>14.972533333333333</v>
      </c>
      <c r="Q1123" s="43" t="s">
        <v>3816</v>
      </c>
      <c r="R1123" s="4">
        <v>14.8500830824237</v>
      </c>
      <c r="S1123" s="4">
        <v>14.5864377889792</v>
      </c>
      <c r="T1123" s="4">
        <v>14.7613697090607</v>
      </c>
      <c r="U1123" s="4">
        <f t="shared" si="70"/>
        <v>14.732630193487866</v>
      </c>
      <c r="X1123" s="43" t="s">
        <v>507</v>
      </c>
      <c r="Y1123" s="4">
        <v>14.799774576957001</v>
      </c>
      <c r="Z1123" s="4">
        <v>14.8617606831122</v>
      </c>
      <c r="AA1123" s="4">
        <v>14.878598848628</v>
      </c>
      <c r="AB1123" s="4">
        <f t="shared" si="71"/>
        <v>14.846711369565734</v>
      </c>
    </row>
    <row r="1124" spans="2:28" x14ac:dyDescent="0.2">
      <c r="B1124" s="4" t="s">
        <v>2191</v>
      </c>
      <c r="C1124" s="4">
        <v>15.101000000000001</v>
      </c>
      <c r="D1124" s="4">
        <v>14.811999999999999</v>
      </c>
      <c r="E1124" s="4">
        <v>15.0007</v>
      </c>
      <c r="F1124" s="4">
        <f t="shared" si="68"/>
        <v>14.971233333333332</v>
      </c>
      <c r="I1124" s="4" t="s">
        <v>3871</v>
      </c>
      <c r="J1124" s="4">
        <v>14.681900000000001</v>
      </c>
      <c r="K1124" s="4">
        <v>15.5565</v>
      </c>
      <c r="L1124" s="4">
        <v>14.679</v>
      </c>
      <c r="M1124" s="4">
        <f t="shared" si="69"/>
        <v>14.972466666666667</v>
      </c>
      <c r="Q1124" s="43" t="s">
        <v>2318</v>
      </c>
      <c r="R1124" s="4">
        <v>14.752510536916301</v>
      </c>
      <c r="S1124" s="4">
        <v>14.801589612380701</v>
      </c>
      <c r="T1124" s="4">
        <v>14.643608269219801</v>
      </c>
      <c r="U1124" s="4">
        <f t="shared" si="70"/>
        <v>14.732569472838932</v>
      </c>
      <c r="X1124" s="43" t="s">
        <v>1161</v>
      </c>
      <c r="Y1124" s="4">
        <v>14.688927216458801</v>
      </c>
      <c r="Z1124" s="4">
        <v>14.975187638714001</v>
      </c>
      <c r="AA1124" s="4">
        <v>14.8753302572403</v>
      </c>
      <c r="AB1124" s="4">
        <f t="shared" si="71"/>
        <v>14.846481704137702</v>
      </c>
    </row>
    <row r="1125" spans="2:28" x14ac:dyDescent="0.2">
      <c r="B1125" s="4" t="s">
        <v>509</v>
      </c>
      <c r="C1125" s="4">
        <v>15.038500000000001</v>
      </c>
      <c r="D1125" s="4">
        <v>14.9999</v>
      </c>
      <c r="E1125" s="4">
        <v>14.872</v>
      </c>
      <c r="F1125" s="4">
        <f t="shared" si="68"/>
        <v>14.970133333333335</v>
      </c>
      <c r="I1125" s="4" t="s">
        <v>858</v>
      </c>
      <c r="J1125" s="4">
        <v>14.805400000000001</v>
      </c>
      <c r="K1125" s="4">
        <v>15.132</v>
      </c>
      <c r="L1125" s="4">
        <v>14.976699999999999</v>
      </c>
      <c r="M1125" s="4">
        <f t="shared" si="69"/>
        <v>14.971366666666666</v>
      </c>
      <c r="Q1125" s="43" t="s">
        <v>728</v>
      </c>
      <c r="R1125" s="4">
        <v>14.704180607920399</v>
      </c>
      <c r="S1125" s="4">
        <v>14.7427717263067</v>
      </c>
      <c r="T1125" s="4">
        <v>14.743614396468599</v>
      </c>
      <c r="U1125" s="4">
        <f t="shared" si="70"/>
        <v>14.730188910231901</v>
      </c>
      <c r="X1125" s="43" t="s">
        <v>387</v>
      </c>
      <c r="Y1125" s="4">
        <v>14.962439670905299</v>
      </c>
      <c r="Z1125" s="4">
        <v>14.821931699170801</v>
      </c>
      <c r="AA1125" s="4">
        <v>14.7510302612688</v>
      </c>
      <c r="AB1125" s="4">
        <f t="shared" si="71"/>
        <v>14.845133877114968</v>
      </c>
    </row>
    <row r="1126" spans="2:28" x14ac:dyDescent="0.2">
      <c r="B1126" s="4" t="s">
        <v>2997</v>
      </c>
      <c r="C1126" s="4">
        <v>15.018599999999999</v>
      </c>
      <c r="D1126" s="4">
        <v>15.1492</v>
      </c>
      <c r="E1126" s="4">
        <v>14.737299999999999</v>
      </c>
      <c r="F1126" s="4">
        <f t="shared" si="68"/>
        <v>14.968366666666666</v>
      </c>
      <c r="I1126" s="4" t="s">
        <v>97</v>
      </c>
      <c r="J1126" s="4">
        <v>14.6494</v>
      </c>
      <c r="K1126" s="4">
        <v>15.804399999999999</v>
      </c>
      <c r="L1126" s="4">
        <v>14.4534</v>
      </c>
      <c r="M1126" s="4">
        <f t="shared" si="69"/>
        <v>14.969066666666668</v>
      </c>
      <c r="Q1126" s="43" t="s">
        <v>1968</v>
      </c>
      <c r="R1126" s="4">
        <v>14.948621461909701</v>
      </c>
      <c r="S1126" s="4">
        <v>14.585320225706299</v>
      </c>
      <c r="T1126" s="4">
        <v>14.6536100268063</v>
      </c>
      <c r="U1126" s="4">
        <f t="shared" si="70"/>
        <v>14.729183904807433</v>
      </c>
      <c r="X1126" s="43" t="s">
        <v>1704</v>
      </c>
      <c r="Y1126" s="4">
        <v>14.8148014101776</v>
      </c>
      <c r="Z1126" s="4">
        <v>14.9020048628994</v>
      </c>
      <c r="AA1126" s="4">
        <v>14.817038988508701</v>
      </c>
      <c r="AB1126" s="4">
        <f t="shared" si="71"/>
        <v>14.844615087195232</v>
      </c>
    </row>
    <row r="1127" spans="2:28" x14ac:dyDescent="0.2">
      <c r="B1127" s="4" t="s">
        <v>3365</v>
      </c>
      <c r="C1127" s="4">
        <v>14.749000000000001</v>
      </c>
      <c r="D1127" s="4">
        <v>15.087300000000001</v>
      </c>
      <c r="E1127" s="4">
        <v>15.066800000000001</v>
      </c>
      <c r="F1127" s="4">
        <f t="shared" si="68"/>
        <v>14.967700000000001</v>
      </c>
      <c r="I1127" s="4" t="s">
        <v>3284</v>
      </c>
      <c r="J1127" s="4">
        <v>15.215</v>
      </c>
      <c r="K1127" s="4">
        <v>14.307700000000001</v>
      </c>
      <c r="L1127" s="4">
        <v>15.383800000000001</v>
      </c>
      <c r="M1127" s="4">
        <f t="shared" si="69"/>
        <v>14.968833333333334</v>
      </c>
      <c r="Q1127" s="43" t="s">
        <v>3855</v>
      </c>
      <c r="R1127" s="4">
        <v>14.799257647547099</v>
      </c>
      <c r="S1127" s="4">
        <v>14.7241703700376</v>
      </c>
      <c r="T1127" s="4">
        <v>14.660564233187401</v>
      </c>
      <c r="U1127" s="4">
        <f t="shared" si="70"/>
        <v>14.727997416924033</v>
      </c>
      <c r="X1127" s="43" t="s">
        <v>1912</v>
      </c>
      <c r="Y1127" s="4">
        <v>14.8111946121308</v>
      </c>
      <c r="Z1127" s="4">
        <v>14.692066554637099</v>
      </c>
      <c r="AA1127" s="4">
        <v>15.0262204717577</v>
      </c>
      <c r="AB1127" s="4">
        <f t="shared" si="71"/>
        <v>14.843160546175199</v>
      </c>
    </row>
    <row r="1128" spans="2:28" x14ac:dyDescent="0.2">
      <c r="B1128" s="4" t="s">
        <v>2027</v>
      </c>
      <c r="C1128" s="4">
        <v>14.7926</v>
      </c>
      <c r="D1128" s="4">
        <v>14.9581</v>
      </c>
      <c r="E1128" s="4">
        <v>15.1516</v>
      </c>
      <c r="F1128" s="4">
        <f t="shared" si="68"/>
        <v>14.967433333333334</v>
      </c>
      <c r="I1128" s="4" t="s">
        <v>699</v>
      </c>
      <c r="J1128" s="4">
        <v>15.25</v>
      </c>
      <c r="K1128" s="4">
        <v>14.442</v>
      </c>
      <c r="L1128" s="4">
        <v>15.2087</v>
      </c>
      <c r="M1128" s="4">
        <f t="shared" si="69"/>
        <v>14.966900000000001</v>
      </c>
      <c r="Q1128" s="43" t="s">
        <v>3772</v>
      </c>
      <c r="R1128" s="4">
        <v>14.6967835872846</v>
      </c>
      <c r="S1128" s="4">
        <v>14.801641500018899</v>
      </c>
      <c r="T1128" s="4">
        <v>14.6693564120673</v>
      </c>
      <c r="U1128" s="4">
        <f t="shared" si="70"/>
        <v>14.722593833123598</v>
      </c>
      <c r="X1128" s="43" t="s">
        <v>466</v>
      </c>
      <c r="Y1128" s="4">
        <v>14.7523002736749</v>
      </c>
      <c r="Z1128" s="4">
        <v>14.9489685266681</v>
      </c>
      <c r="AA1128" s="4">
        <v>14.8268118387965</v>
      </c>
      <c r="AB1128" s="4">
        <f t="shared" si="71"/>
        <v>14.842693546379834</v>
      </c>
    </row>
    <row r="1129" spans="2:28" x14ac:dyDescent="0.2">
      <c r="B1129" s="4" t="s">
        <v>2087</v>
      </c>
      <c r="C1129" s="4">
        <v>15.216100000000001</v>
      </c>
      <c r="D1129" s="4">
        <v>14.9679</v>
      </c>
      <c r="E1129" s="4">
        <v>14.702299999999999</v>
      </c>
      <c r="F1129" s="4">
        <f t="shared" si="68"/>
        <v>14.9621</v>
      </c>
      <c r="I1129" s="4" t="s">
        <v>1852</v>
      </c>
      <c r="J1129" s="4">
        <v>15.034700000000001</v>
      </c>
      <c r="K1129" s="4">
        <v>14.7585</v>
      </c>
      <c r="L1129" s="4">
        <v>15.105600000000001</v>
      </c>
      <c r="M1129" s="4">
        <f t="shared" si="69"/>
        <v>14.966266666666668</v>
      </c>
      <c r="Q1129" s="43" t="s">
        <v>4289</v>
      </c>
      <c r="R1129" s="4">
        <v>14.8538585122628</v>
      </c>
      <c r="S1129" s="4">
        <v>14.6790513028256</v>
      </c>
      <c r="T1129" s="4">
        <v>14.634865754407301</v>
      </c>
      <c r="U1129" s="4">
        <f t="shared" si="70"/>
        <v>14.722591856498568</v>
      </c>
      <c r="X1129" s="43" t="s">
        <v>1481</v>
      </c>
      <c r="Y1129" s="4">
        <v>14.858785023307901</v>
      </c>
      <c r="Z1129" s="4">
        <v>14.8737902166173</v>
      </c>
      <c r="AA1129" s="4">
        <v>14.7949040523444</v>
      </c>
      <c r="AB1129" s="4">
        <f t="shared" si="71"/>
        <v>14.842493097423201</v>
      </c>
    </row>
    <row r="1130" spans="2:28" x14ac:dyDescent="0.2">
      <c r="B1130" s="4" t="s">
        <v>3714</v>
      </c>
      <c r="C1130" s="4">
        <v>14.978199999999999</v>
      </c>
      <c r="D1130" s="4">
        <v>15.091699999999999</v>
      </c>
      <c r="E1130" s="4">
        <v>14.811500000000001</v>
      </c>
      <c r="F1130" s="4">
        <f t="shared" si="68"/>
        <v>14.960466666666667</v>
      </c>
      <c r="I1130" s="4" t="s">
        <v>2166</v>
      </c>
      <c r="J1130" s="4">
        <v>14.762600000000001</v>
      </c>
      <c r="K1130" s="4">
        <v>16.035399999999999</v>
      </c>
      <c r="L1130" s="4">
        <v>14.092499999999999</v>
      </c>
      <c r="M1130" s="4">
        <f t="shared" si="69"/>
        <v>14.963500000000002</v>
      </c>
      <c r="Q1130" s="43" t="s">
        <v>2268</v>
      </c>
      <c r="R1130" s="4">
        <v>14.731381070423801</v>
      </c>
      <c r="S1130" s="4">
        <v>14.600141650009901</v>
      </c>
      <c r="T1130" s="4">
        <v>14.8280357306807</v>
      </c>
      <c r="U1130" s="4">
        <f t="shared" si="70"/>
        <v>14.719852817038136</v>
      </c>
      <c r="X1130" s="43" t="s">
        <v>1632</v>
      </c>
      <c r="Y1130" s="4">
        <v>14.6628533652518</v>
      </c>
      <c r="Z1130" s="4">
        <v>14.9164450770384</v>
      </c>
      <c r="AA1130" s="4">
        <v>14.944134471086899</v>
      </c>
      <c r="AB1130" s="4">
        <f t="shared" si="71"/>
        <v>14.841144304459034</v>
      </c>
    </row>
    <row r="1131" spans="2:28" x14ac:dyDescent="0.2">
      <c r="B1131" s="4" t="s">
        <v>1285</v>
      </c>
      <c r="C1131" s="4">
        <v>15.1424</v>
      </c>
      <c r="D1131" s="4">
        <v>14.612500000000001</v>
      </c>
      <c r="E1131" s="4">
        <v>15.1226</v>
      </c>
      <c r="F1131" s="4">
        <f t="shared" si="68"/>
        <v>14.959166666666667</v>
      </c>
      <c r="I1131" s="4" t="s">
        <v>1854</v>
      </c>
      <c r="J1131" s="4">
        <v>15.0999</v>
      </c>
      <c r="K1131" s="4">
        <v>14.8688</v>
      </c>
      <c r="L1131" s="4">
        <v>14.919600000000001</v>
      </c>
      <c r="M1131" s="4">
        <f t="shared" si="69"/>
        <v>14.962766666666667</v>
      </c>
      <c r="Q1131" s="43" t="s">
        <v>2341</v>
      </c>
      <c r="R1131" s="4">
        <v>14.8131782886013</v>
      </c>
      <c r="S1131" s="4">
        <v>14.691120516840201</v>
      </c>
      <c r="T1131" s="4">
        <v>14.6524369820409</v>
      </c>
      <c r="U1131" s="4">
        <f t="shared" si="70"/>
        <v>14.718911929160802</v>
      </c>
      <c r="X1131" s="43" t="s">
        <v>3991</v>
      </c>
      <c r="Y1131" s="4">
        <v>14.5885230899753</v>
      </c>
      <c r="Z1131" s="4">
        <v>14.8735153455342</v>
      </c>
      <c r="AA1131" s="4">
        <v>15.0503135011325</v>
      </c>
      <c r="AB1131" s="4">
        <f t="shared" si="71"/>
        <v>14.837450645547333</v>
      </c>
    </row>
    <row r="1132" spans="2:28" x14ac:dyDescent="0.2">
      <c r="B1132" s="4" t="s">
        <v>1072</v>
      </c>
      <c r="C1132" s="4">
        <v>14.103</v>
      </c>
      <c r="D1132" s="4">
        <v>14.9499</v>
      </c>
      <c r="E1132" s="4">
        <v>15.817500000000001</v>
      </c>
      <c r="F1132" s="4">
        <f t="shared" si="68"/>
        <v>14.956800000000001</v>
      </c>
      <c r="I1132" s="4" t="s">
        <v>419</v>
      </c>
      <c r="J1132" s="4">
        <v>14.8454</v>
      </c>
      <c r="K1132" s="4">
        <v>14.8954</v>
      </c>
      <c r="L1132" s="4">
        <v>15.1434</v>
      </c>
      <c r="M1132" s="4">
        <f t="shared" si="69"/>
        <v>14.961399999999999</v>
      </c>
      <c r="Q1132" s="43" t="s">
        <v>4168</v>
      </c>
      <c r="R1132" s="4">
        <v>15.6321705263148</v>
      </c>
      <c r="S1132" s="4">
        <v>14.339764117436101</v>
      </c>
      <c r="T1132" s="4">
        <v>14.1684255378968</v>
      </c>
      <c r="U1132" s="4">
        <f t="shared" si="70"/>
        <v>14.713453393882567</v>
      </c>
      <c r="X1132" s="43" t="s">
        <v>2542</v>
      </c>
      <c r="Y1132" s="4">
        <v>14.6370544741026</v>
      </c>
      <c r="Z1132" s="4">
        <v>14.698069800366699</v>
      </c>
      <c r="AA1132" s="4">
        <v>15.1704181627404</v>
      </c>
      <c r="AB1132" s="4">
        <f t="shared" si="71"/>
        <v>14.835180812403232</v>
      </c>
    </row>
    <row r="1133" spans="2:28" x14ac:dyDescent="0.2">
      <c r="B1133" s="4" t="s">
        <v>1357</v>
      </c>
      <c r="C1133" s="4">
        <v>15.104799999999999</v>
      </c>
      <c r="D1133" s="4">
        <v>14.766500000000001</v>
      </c>
      <c r="E1133" s="4">
        <v>14.995100000000001</v>
      </c>
      <c r="F1133" s="4">
        <f t="shared" si="68"/>
        <v>14.955466666666666</v>
      </c>
      <c r="I1133" s="4" t="s">
        <v>3419</v>
      </c>
      <c r="J1133" s="4">
        <v>14.656700000000001</v>
      </c>
      <c r="K1133" s="4">
        <v>15.451599999999999</v>
      </c>
      <c r="L1133" s="4">
        <v>14.770799999999999</v>
      </c>
      <c r="M1133" s="4">
        <f t="shared" si="69"/>
        <v>14.9597</v>
      </c>
      <c r="Q1133" s="43" t="s">
        <v>2769</v>
      </c>
      <c r="R1133" s="4">
        <v>14.6469895741791</v>
      </c>
      <c r="S1133" s="4">
        <v>14.806307513646599</v>
      </c>
      <c r="T1133" s="4">
        <v>14.681200698919699</v>
      </c>
      <c r="U1133" s="4">
        <f t="shared" si="70"/>
        <v>14.711499262248466</v>
      </c>
      <c r="X1133" s="43" t="s">
        <v>702</v>
      </c>
      <c r="Y1133" s="4">
        <v>14.841840918572499</v>
      </c>
      <c r="Z1133" s="4">
        <v>14.907425735911801</v>
      </c>
      <c r="AA1133" s="4">
        <v>14.755539659448599</v>
      </c>
      <c r="AB1133" s="4">
        <f t="shared" si="71"/>
        <v>14.834935437977634</v>
      </c>
    </row>
    <row r="1134" spans="2:28" x14ac:dyDescent="0.2">
      <c r="B1134" s="4" t="s">
        <v>3360</v>
      </c>
      <c r="C1134" s="4">
        <v>14.9674</v>
      </c>
      <c r="D1134" s="4">
        <v>14.948</v>
      </c>
      <c r="E1134" s="4">
        <v>14.9351</v>
      </c>
      <c r="F1134" s="4">
        <f t="shared" si="68"/>
        <v>14.950166666666666</v>
      </c>
      <c r="I1134" s="4" t="s">
        <v>532</v>
      </c>
      <c r="J1134" s="4">
        <v>15.2286</v>
      </c>
      <c r="K1134" s="4">
        <v>14.5869</v>
      </c>
      <c r="L1134" s="4">
        <v>15.0596</v>
      </c>
      <c r="M1134" s="4">
        <f t="shared" si="69"/>
        <v>14.958366666666668</v>
      </c>
      <c r="Q1134" s="43" t="s">
        <v>1779</v>
      </c>
      <c r="R1134" s="4">
        <v>15.046654452601</v>
      </c>
      <c r="S1134" s="4">
        <v>14.604876246525601</v>
      </c>
      <c r="T1134" s="4">
        <v>14.4823950494618</v>
      </c>
      <c r="U1134" s="4">
        <f t="shared" si="70"/>
        <v>14.711308582862801</v>
      </c>
      <c r="X1134" s="43" t="s">
        <v>3309</v>
      </c>
      <c r="Y1134" s="4">
        <v>14.855285123188599</v>
      </c>
      <c r="Z1134" s="4">
        <v>14.8700571774769</v>
      </c>
      <c r="AA1134" s="4">
        <v>14.774707235652899</v>
      </c>
      <c r="AB1134" s="4">
        <f t="shared" si="71"/>
        <v>14.833349845439466</v>
      </c>
    </row>
    <row r="1135" spans="2:28" x14ac:dyDescent="0.2">
      <c r="B1135" s="4" t="s">
        <v>286</v>
      </c>
      <c r="C1135" s="4">
        <v>15.046099999999999</v>
      </c>
      <c r="D1135" s="4">
        <v>14.9527</v>
      </c>
      <c r="E1135" s="4">
        <v>14.8352</v>
      </c>
      <c r="F1135" s="4">
        <f t="shared" si="68"/>
        <v>14.944666666666668</v>
      </c>
      <c r="I1135" s="4" t="s">
        <v>893</v>
      </c>
      <c r="J1135" s="4">
        <v>13.250299999999999</v>
      </c>
      <c r="K1135" s="4">
        <v>17.712499999999999</v>
      </c>
      <c r="L1135" s="4">
        <v>13.9108</v>
      </c>
      <c r="M1135" s="4">
        <f t="shared" si="69"/>
        <v>14.957866666666666</v>
      </c>
      <c r="Q1135" s="43" t="s">
        <v>1314</v>
      </c>
      <c r="R1135" s="4">
        <v>14.7318411932344</v>
      </c>
      <c r="S1135" s="4">
        <v>14.7695204687911</v>
      </c>
      <c r="T1135" s="4">
        <v>14.6324273589359</v>
      </c>
      <c r="U1135" s="4">
        <f t="shared" si="70"/>
        <v>14.711263006987133</v>
      </c>
      <c r="X1135" s="43" t="s">
        <v>69</v>
      </c>
      <c r="Y1135" s="4">
        <v>14.9344654598786</v>
      </c>
      <c r="Z1135" s="4">
        <v>14.9364975403969</v>
      </c>
      <c r="AA1135" s="4">
        <v>14.627248828679299</v>
      </c>
      <c r="AB1135" s="4">
        <f t="shared" si="71"/>
        <v>14.832737276318268</v>
      </c>
    </row>
    <row r="1136" spans="2:28" x14ac:dyDescent="0.2">
      <c r="B1136" s="4" t="s">
        <v>3635</v>
      </c>
      <c r="C1136" s="4">
        <v>14.6684</v>
      </c>
      <c r="D1136" s="4">
        <v>15.0991</v>
      </c>
      <c r="E1136" s="4">
        <v>15.059900000000001</v>
      </c>
      <c r="F1136" s="4">
        <f t="shared" si="68"/>
        <v>14.942466666666666</v>
      </c>
      <c r="I1136" s="4" t="s">
        <v>2474</v>
      </c>
      <c r="J1136" s="4">
        <v>15.109500000000001</v>
      </c>
      <c r="K1136" s="4">
        <v>14.4175</v>
      </c>
      <c r="L1136" s="4">
        <v>15.3423</v>
      </c>
      <c r="M1136" s="4">
        <f t="shared" si="69"/>
        <v>14.956433333333335</v>
      </c>
      <c r="Q1136" s="43" t="s">
        <v>3084</v>
      </c>
      <c r="R1136" s="4">
        <v>14.8938354469093</v>
      </c>
      <c r="S1136" s="4">
        <v>14.6190932399353</v>
      </c>
      <c r="T1136" s="4">
        <v>14.6167411312141</v>
      </c>
      <c r="U1136" s="4">
        <f t="shared" si="70"/>
        <v>14.7098899393529</v>
      </c>
      <c r="X1136" s="43" t="s">
        <v>3926</v>
      </c>
      <c r="Y1136" s="4">
        <v>14.807113271852099</v>
      </c>
      <c r="Z1136" s="4">
        <v>14.8862974064192</v>
      </c>
      <c r="AA1136" s="4">
        <v>14.800561826289201</v>
      </c>
      <c r="AB1136" s="4">
        <f t="shared" si="71"/>
        <v>14.831324168186834</v>
      </c>
    </row>
    <row r="1137" spans="2:28" x14ac:dyDescent="0.2">
      <c r="B1137" s="4" t="s">
        <v>387</v>
      </c>
      <c r="C1137" s="4">
        <v>14.806699999999999</v>
      </c>
      <c r="D1137" s="4">
        <v>14.4536</v>
      </c>
      <c r="E1137" s="4">
        <v>15.557700000000001</v>
      </c>
      <c r="F1137" s="4">
        <f t="shared" si="68"/>
        <v>14.939333333333332</v>
      </c>
      <c r="I1137" s="4" t="s">
        <v>149</v>
      </c>
      <c r="J1137" s="4">
        <v>15.2234</v>
      </c>
      <c r="K1137" s="4">
        <v>14.3466</v>
      </c>
      <c r="L1137" s="4">
        <v>15.2971</v>
      </c>
      <c r="M1137" s="4">
        <f t="shared" si="69"/>
        <v>14.9557</v>
      </c>
      <c r="Q1137" s="43" t="s">
        <v>2527</v>
      </c>
      <c r="R1137" s="4">
        <v>14.6833859619398</v>
      </c>
      <c r="S1137" s="4">
        <v>14.6479157369082</v>
      </c>
      <c r="T1137" s="4">
        <v>14.7968129654765</v>
      </c>
      <c r="U1137" s="4">
        <f t="shared" si="70"/>
        <v>14.709371554774833</v>
      </c>
      <c r="X1137" s="43" t="s">
        <v>601</v>
      </c>
      <c r="Y1137" s="4">
        <v>14.810497786569499</v>
      </c>
      <c r="Z1137" s="4">
        <v>14.792324260028799</v>
      </c>
      <c r="AA1137" s="4">
        <v>14.889158207582501</v>
      </c>
      <c r="AB1137" s="4">
        <f t="shared" si="71"/>
        <v>14.830660084726935</v>
      </c>
    </row>
    <row r="1138" spans="2:28" x14ac:dyDescent="0.2">
      <c r="B1138" s="4" t="s">
        <v>1707</v>
      </c>
      <c r="C1138" s="4">
        <v>14.5938</v>
      </c>
      <c r="D1138" s="4">
        <v>14.9552</v>
      </c>
      <c r="E1138" s="4">
        <v>15.267899999999999</v>
      </c>
      <c r="F1138" s="4">
        <f t="shared" si="68"/>
        <v>14.938966666666666</v>
      </c>
      <c r="I1138" s="4" t="s">
        <v>1360</v>
      </c>
      <c r="J1138" s="4">
        <v>14.972</v>
      </c>
      <c r="K1138" s="4">
        <v>14.9755</v>
      </c>
      <c r="L1138" s="4">
        <v>14.9183</v>
      </c>
      <c r="M1138" s="4">
        <f t="shared" si="69"/>
        <v>14.955266666666667</v>
      </c>
      <c r="Q1138" s="43" t="s">
        <v>4091</v>
      </c>
      <c r="R1138" s="4">
        <v>14.6760607536115</v>
      </c>
      <c r="S1138" s="4">
        <v>14.5791856293993</v>
      </c>
      <c r="T1138" s="4">
        <v>14.8693016256866</v>
      </c>
      <c r="U1138" s="4">
        <f t="shared" si="70"/>
        <v>14.708182669565801</v>
      </c>
      <c r="X1138" s="43" t="s">
        <v>654</v>
      </c>
      <c r="Y1138" s="4">
        <v>15.101085717768999</v>
      </c>
      <c r="Z1138" s="4">
        <v>15.2583446693935</v>
      </c>
      <c r="AA1138" s="4">
        <v>14.125799142688599</v>
      </c>
      <c r="AB1138" s="4">
        <f t="shared" si="71"/>
        <v>14.828409843283699</v>
      </c>
    </row>
    <row r="1139" spans="2:28" x14ac:dyDescent="0.2">
      <c r="B1139" s="4" t="s">
        <v>3479</v>
      </c>
      <c r="C1139" s="4">
        <v>14.850099999999999</v>
      </c>
      <c r="D1139" s="4">
        <v>15.059699999999999</v>
      </c>
      <c r="E1139" s="4">
        <v>14.9032</v>
      </c>
      <c r="F1139" s="4">
        <f t="shared" si="68"/>
        <v>14.937666666666665</v>
      </c>
      <c r="I1139" s="4" t="s">
        <v>3329</v>
      </c>
      <c r="J1139" s="4">
        <v>15.111499999999999</v>
      </c>
      <c r="K1139" s="4">
        <v>14.7057</v>
      </c>
      <c r="L1139" s="4">
        <v>15.045199999999999</v>
      </c>
      <c r="M1139" s="4">
        <f t="shared" si="69"/>
        <v>14.954133333333333</v>
      </c>
      <c r="Q1139" s="43" t="s">
        <v>3807</v>
      </c>
      <c r="R1139" s="4">
        <v>14.633615132352499</v>
      </c>
      <c r="S1139" s="4">
        <v>14.8424835162139</v>
      </c>
      <c r="T1139" s="4">
        <v>14.6473850858502</v>
      </c>
      <c r="U1139" s="4">
        <f t="shared" si="70"/>
        <v>14.707827911472199</v>
      </c>
      <c r="X1139" s="43" t="s">
        <v>243</v>
      </c>
      <c r="Y1139" s="4">
        <v>14.8818688933594</v>
      </c>
      <c r="Z1139" s="4">
        <v>14.808398357439501</v>
      </c>
      <c r="AA1139" s="4">
        <v>14.7917085371993</v>
      </c>
      <c r="AB1139" s="4">
        <f t="shared" si="71"/>
        <v>14.827325262666067</v>
      </c>
    </row>
    <row r="1140" spans="2:28" x14ac:dyDescent="0.2">
      <c r="B1140" s="4" t="s">
        <v>1016</v>
      </c>
      <c r="C1140" s="4">
        <v>15.4473</v>
      </c>
      <c r="D1140" s="4">
        <v>15.143000000000001</v>
      </c>
      <c r="E1140" s="4">
        <v>14.2196</v>
      </c>
      <c r="F1140" s="4">
        <f t="shared" si="68"/>
        <v>14.936633333333333</v>
      </c>
      <c r="I1140" s="4" t="s">
        <v>3641</v>
      </c>
      <c r="J1140" s="4">
        <v>14.959300000000001</v>
      </c>
      <c r="K1140" s="4">
        <v>15.0158</v>
      </c>
      <c r="L1140" s="4">
        <v>14.878</v>
      </c>
      <c r="M1140" s="4">
        <f t="shared" si="69"/>
        <v>14.951033333333333</v>
      </c>
      <c r="Q1140" s="43" t="s">
        <v>2122</v>
      </c>
      <c r="R1140" s="4">
        <v>14.8001444227361</v>
      </c>
      <c r="S1140" s="4">
        <v>14.700563811519601</v>
      </c>
      <c r="T1140" s="4">
        <v>14.621146400334901</v>
      </c>
      <c r="U1140" s="4">
        <f t="shared" si="70"/>
        <v>14.707284878196868</v>
      </c>
      <c r="X1140" s="43" t="s">
        <v>3622</v>
      </c>
      <c r="Y1140" s="4">
        <v>14.8535346736522</v>
      </c>
      <c r="Z1140" s="4">
        <v>14.823983842779199</v>
      </c>
      <c r="AA1140" s="4">
        <v>14.787526748066901</v>
      </c>
      <c r="AB1140" s="4">
        <f t="shared" si="71"/>
        <v>14.821681754832767</v>
      </c>
    </row>
    <row r="1141" spans="2:28" x14ac:dyDescent="0.2">
      <c r="B1141" s="4" t="s">
        <v>2083</v>
      </c>
      <c r="C1141" s="4">
        <v>14.8317</v>
      </c>
      <c r="D1141" s="4">
        <v>15.2295</v>
      </c>
      <c r="E1141" s="4">
        <v>14.7483</v>
      </c>
      <c r="F1141" s="4">
        <f t="shared" si="68"/>
        <v>14.936500000000001</v>
      </c>
      <c r="I1141" s="4" t="s">
        <v>2822</v>
      </c>
      <c r="J1141" s="4">
        <v>15.029199999999999</v>
      </c>
      <c r="K1141" s="4">
        <v>14.8492</v>
      </c>
      <c r="L1141" s="4">
        <v>14.9724</v>
      </c>
      <c r="M1141" s="4">
        <f t="shared" si="69"/>
        <v>14.950266666666666</v>
      </c>
      <c r="Q1141" s="43" t="s">
        <v>3186</v>
      </c>
      <c r="R1141" s="4">
        <v>14.687505459946699</v>
      </c>
      <c r="S1141" s="4">
        <v>14.628983305371801</v>
      </c>
      <c r="T1141" s="4">
        <v>14.798797016240901</v>
      </c>
      <c r="U1141" s="4">
        <f t="shared" si="70"/>
        <v>14.7050952605198</v>
      </c>
      <c r="X1141" s="43" t="s">
        <v>163</v>
      </c>
      <c r="Y1141" s="4">
        <v>14.6720692046688</v>
      </c>
      <c r="Z1141" s="4">
        <v>14.811114608140601</v>
      </c>
      <c r="AA1141" s="4">
        <v>14.9807567726039</v>
      </c>
      <c r="AB1141" s="4">
        <f t="shared" si="71"/>
        <v>14.8213135284711</v>
      </c>
    </row>
    <row r="1142" spans="2:28" x14ac:dyDescent="0.2">
      <c r="B1142" s="4" t="s">
        <v>1708</v>
      </c>
      <c r="C1142" s="4">
        <v>14.921099999999999</v>
      </c>
      <c r="D1142" s="4">
        <v>14.9641</v>
      </c>
      <c r="E1142" s="4">
        <v>14.923</v>
      </c>
      <c r="F1142" s="4">
        <f t="shared" si="68"/>
        <v>14.936066666666667</v>
      </c>
      <c r="I1142" s="4" t="s">
        <v>1029</v>
      </c>
      <c r="J1142" s="4">
        <v>14.603300000000001</v>
      </c>
      <c r="K1142" s="4">
        <v>15.5755</v>
      </c>
      <c r="L1142" s="4">
        <v>14.6652</v>
      </c>
      <c r="M1142" s="4">
        <f t="shared" si="69"/>
        <v>14.948</v>
      </c>
      <c r="Q1142" s="43" t="s">
        <v>1966</v>
      </c>
      <c r="R1142" s="4">
        <v>14.346042759608</v>
      </c>
      <c r="S1142" s="4">
        <v>14.7912083783279</v>
      </c>
      <c r="T1142" s="4">
        <v>14.973695233471201</v>
      </c>
      <c r="U1142" s="4">
        <f t="shared" si="70"/>
        <v>14.703648790469032</v>
      </c>
      <c r="X1142" s="43" t="s">
        <v>2802</v>
      </c>
      <c r="Y1142" s="4">
        <v>14.6551270962063</v>
      </c>
      <c r="Z1142" s="4">
        <v>14.900512049294999</v>
      </c>
      <c r="AA1142" s="4">
        <v>14.8978511503813</v>
      </c>
      <c r="AB1142" s="4">
        <f t="shared" si="71"/>
        <v>14.817830098627534</v>
      </c>
    </row>
    <row r="1143" spans="2:28" x14ac:dyDescent="0.2">
      <c r="B1143" s="4" t="s">
        <v>2697</v>
      </c>
      <c r="C1143" s="4">
        <v>14.727399999999999</v>
      </c>
      <c r="D1143" s="4">
        <v>15.026400000000001</v>
      </c>
      <c r="E1143" s="4">
        <v>15.0504</v>
      </c>
      <c r="F1143" s="4">
        <f t="shared" si="68"/>
        <v>14.934733333333332</v>
      </c>
      <c r="I1143" s="4" t="s">
        <v>2453</v>
      </c>
      <c r="J1143" s="4">
        <v>15.0175</v>
      </c>
      <c r="K1143" s="4">
        <v>14.6654</v>
      </c>
      <c r="L1143" s="4">
        <v>15.1554</v>
      </c>
      <c r="M1143" s="4">
        <f t="shared" si="69"/>
        <v>14.946100000000001</v>
      </c>
      <c r="Q1143" s="43" t="s">
        <v>161</v>
      </c>
      <c r="R1143" s="4">
        <v>14.840587946845</v>
      </c>
      <c r="S1143" s="4">
        <v>14.6803598941312</v>
      </c>
      <c r="T1143" s="4">
        <v>14.5859276740214</v>
      </c>
      <c r="U1143" s="4">
        <f t="shared" si="70"/>
        <v>14.702291838332533</v>
      </c>
      <c r="X1143" s="43" t="s">
        <v>1357</v>
      </c>
      <c r="Y1143" s="4">
        <v>14.616903551285301</v>
      </c>
      <c r="Z1143" s="4">
        <v>14.6058506385014</v>
      </c>
      <c r="AA1143" s="4">
        <v>15.2252044861873</v>
      </c>
      <c r="AB1143" s="4">
        <f t="shared" si="71"/>
        <v>14.815986225324666</v>
      </c>
    </row>
    <row r="1144" spans="2:28" x14ac:dyDescent="0.2">
      <c r="B1144" s="4" t="s">
        <v>3766</v>
      </c>
      <c r="C1144" s="4">
        <v>15.1578</v>
      </c>
      <c r="D1144" s="4">
        <v>14.983700000000001</v>
      </c>
      <c r="E1144" s="4">
        <v>14.6457</v>
      </c>
      <c r="F1144" s="4">
        <f t="shared" si="68"/>
        <v>14.929066666666666</v>
      </c>
      <c r="I1144" s="4" t="s">
        <v>1312</v>
      </c>
      <c r="J1144" s="4">
        <v>14.9093</v>
      </c>
      <c r="K1144" s="4">
        <v>14.7462</v>
      </c>
      <c r="L1144" s="4">
        <v>15.180400000000001</v>
      </c>
      <c r="M1144" s="4">
        <f t="shared" si="69"/>
        <v>14.945300000000001</v>
      </c>
      <c r="Q1144" s="43" t="s">
        <v>1161</v>
      </c>
      <c r="R1144" s="4">
        <v>14.6711236676943</v>
      </c>
      <c r="S1144" s="4">
        <v>14.5548140581955</v>
      </c>
      <c r="T1144" s="4">
        <v>14.879456543834999</v>
      </c>
      <c r="U1144" s="4">
        <f t="shared" si="70"/>
        <v>14.701798089908266</v>
      </c>
      <c r="X1144" s="43" t="s">
        <v>1928</v>
      </c>
      <c r="Y1144" s="4">
        <v>14.7299117617381</v>
      </c>
      <c r="Z1144" s="4">
        <v>14.8739408981046</v>
      </c>
      <c r="AA1144" s="4">
        <v>14.8250602846009</v>
      </c>
      <c r="AB1144" s="4">
        <f t="shared" si="71"/>
        <v>14.809637648147868</v>
      </c>
    </row>
    <row r="1145" spans="2:28" x14ac:dyDescent="0.2">
      <c r="B1145" s="4" t="s">
        <v>3821</v>
      </c>
      <c r="C1145" s="4">
        <v>14.173</v>
      </c>
      <c r="D1145" s="4">
        <v>15.430999999999999</v>
      </c>
      <c r="E1145" s="4">
        <v>15.1724</v>
      </c>
      <c r="F1145" s="4">
        <f t="shared" si="68"/>
        <v>14.925466666666665</v>
      </c>
      <c r="I1145" s="4" t="s">
        <v>2701</v>
      </c>
      <c r="J1145" s="4">
        <v>15.029400000000001</v>
      </c>
      <c r="K1145" s="4">
        <v>14.7783</v>
      </c>
      <c r="L1145" s="4">
        <v>15.0259</v>
      </c>
      <c r="M1145" s="4">
        <f t="shared" si="69"/>
        <v>14.944533333333334</v>
      </c>
      <c r="Q1145" s="43" t="s">
        <v>2462</v>
      </c>
      <c r="R1145" s="4">
        <v>14.6326150434592</v>
      </c>
      <c r="S1145" s="4">
        <v>14.7468062195258</v>
      </c>
      <c r="T1145" s="4">
        <v>14.717705515410101</v>
      </c>
      <c r="U1145" s="4">
        <f t="shared" si="70"/>
        <v>14.699042259465033</v>
      </c>
      <c r="X1145" s="43" t="s">
        <v>708</v>
      </c>
      <c r="Y1145" s="4">
        <v>14.8801206640507</v>
      </c>
      <c r="Z1145" s="4">
        <v>14.8784004356135</v>
      </c>
      <c r="AA1145" s="4">
        <v>14.666035758087</v>
      </c>
      <c r="AB1145" s="4">
        <f t="shared" si="71"/>
        <v>14.8081856192504</v>
      </c>
    </row>
    <row r="1146" spans="2:28" x14ac:dyDescent="0.2">
      <c r="B1146" s="4" t="s">
        <v>2388</v>
      </c>
      <c r="C1146" s="4">
        <v>14.8429</v>
      </c>
      <c r="D1146" s="4">
        <v>15.0138</v>
      </c>
      <c r="E1146" s="4">
        <v>14.9178</v>
      </c>
      <c r="F1146" s="4">
        <f t="shared" si="68"/>
        <v>14.924833333333334</v>
      </c>
      <c r="I1146" s="4" t="s">
        <v>3308</v>
      </c>
      <c r="J1146" s="4">
        <v>15.1191</v>
      </c>
      <c r="K1146" s="4">
        <v>14.5306</v>
      </c>
      <c r="L1146" s="4">
        <v>15.1769</v>
      </c>
      <c r="M1146" s="4">
        <f t="shared" si="69"/>
        <v>14.9422</v>
      </c>
      <c r="Q1146" s="43" t="s">
        <v>2507</v>
      </c>
      <c r="R1146" s="4">
        <v>14.371886766347201</v>
      </c>
      <c r="S1146" s="4">
        <v>14.8399754891093</v>
      </c>
      <c r="T1146" s="4">
        <v>14.879982241614499</v>
      </c>
      <c r="U1146" s="4">
        <f t="shared" si="70"/>
        <v>14.697281499023667</v>
      </c>
      <c r="X1146" s="43" t="s">
        <v>324</v>
      </c>
      <c r="Y1146" s="4">
        <v>15.0572263219108</v>
      </c>
      <c r="Z1146" s="4">
        <v>14.768104864493599</v>
      </c>
      <c r="AA1146" s="4">
        <v>14.5891143109182</v>
      </c>
      <c r="AB1146" s="4">
        <f t="shared" si="71"/>
        <v>14.804815165774199</v>
      </c>
    </row>
    <row r="1147" spans="2:28" x14ac:dyDescent="0.2">
      <c r="B1147" s="4" t="s">
        <v>2217</v>
      </c>
      <c r="C1147" s="4">
        <v>15.1784</v>
      </c>
      <c r="D1147" s="4">
        <v>15.0383</v>
      </c>
      <c r="E1147" s="4">
        <v>14.552899999999999</v>
      </c>
      <c r="F1147" s="4">
        <f t="shared" si="68"/>
        <v>14.9232</v>
      </c>
      <c r="I1147" s="4" t="s">
        <v>408</v>
      </c>
      <c r="J1147" s="4">
        <v>15.0379</v>
      </c>
      <c r="K1147" s="4">
        <v>14.848699999999999</v>
      </c>
      <c r="L1147" s="4">
        <v>14.9383</v>
      </c>
      <c r="M1147" s="4">
        <f t="shared" si="69"/>
        <v>14.941633333333334</v>
      </c>
      <c r="Q1147" s="43" t="s">
        <v>3382</v>
      </c>
      <c r="R1147" s="4">
        <v>14.673924408745799</v>
      </c>
      <c r="S1147" s="4">
        <v>14.7534108926101</v>
      </c>
      <c r="T1147" s="4">
        <v>14.6547900788</v>
      </c>
      <c r="U1147" s="4">
        <f t="shared" si="70"/>
        <v>14.694041793385301</v>
      </c>
      <c r="X1147" s="43" t="s">
        <v>49</v>
      </c>
      <c r="Y1147" s="4">
        <v>14.809161769056701</v>
      </c>
      <c r="Z1147" s="4">
        <v>14.8680890956532</v>
      </c>
      <c r="AA1147" s="4">
        <v>14.7307563720028</v>
      </c>
      <c r="AB1147" s="4">
        <f t="shared" si="71"/>
        <v>14.802669078904232</v>
      </c>
    </row>
    <row r="1148" spans="2:28" x14ac:dyDescent="0.2">
      <c r="B1148" s="4" t="s">
        <v>1830</v>
      </c>
      <c r="C1148" s="4">
        <v>15.2849</v>
      </c>
      <c r="D1148" s="4">
        <v>15.03</v>
      </c>
      <c r="E1148" s="4">
        <v>14.4521</v>
      </c>
      <c r="F1148" s="4">
        <f t="shared" si="68"/>
        <v>14.922333333333334</v>
      </c>
      <c r="I1148" s="4" t="s">
        <v>25</v>
      </c>
      <c r="J1148" s="4">
        <v>15.2889</v>
      </c>
      <c r="K1148" s="4">
        <v>14.1083</v>
      </c>
      <c r="L1148" s="4">
        <v>15.4261</v>
      </c>
      <c r="M1148" s="4">
        <f t="shared" si="69"/>
        <v>14.941099999999999</v>
      </c>
      <c r="Q1148" s="43" t="s">
        <v>3655</v>
      </c>
      <c r="R1148" s="4">
        <v>14.631932469832</v>
      </c>
      <c r="S1148" s="4">
        <v>14.5753527438</v>
      </c>
      <c r="T1148" s="4">
        <v>14.874780802099</v>
      </c>
      <c r="U1148" s="4">
        <f t="shared" si="70"/>
        <v>14.694022005243667</v>
      </c>
      <c r="X1148" s="43" t="s">
        <v>3775</v>
      </c>
      <c r="Y1148" s="4">
        <v>14.782030138276101</v>
      </c>
      <c r="Z1148" s="4">
        <v>14.892433187353699</v>
      </c>
      <c r="AA1148" s="4">
        <v>14.7160499971431</v>
      </c>
      <c r="AB1148" s="4">
        <f t="shared" si="71"/>
        <v>14.796837774257634</v>
      </c>
    </row>
    <row r="1149" spans="2:28" x14ac:dyDescent="0.2">
      <c r="B1149" s="4" t="s">
        <v>2231</v>
      </c>
      <c r="C1149" s="4">
        <v>15.541700000000001</v>
      </c>
      <c r="D1149" s="4">
        <v>14.8729</v>
      </c>
      <c r="E1149" s="4">
        <v>14.3497</v>
      </c>
      <c r="F1149" s="4">
        <f t="shared" si="68"/>
        <v>14.921433333333333</v>
      </c>
      <c r="I1149" s="4" t="s">
        <v>525</v>
      </c>
      <c r="J1149" s="4">
        <v>15.147</v>
      </c>
      <c r="K1149" s="4">
        <v>14.378299999999999</v>
      </c>
      <c r="L1149" s="4">
        <v>15.295</v>
      </c>
      <c r="M1149" s="4">
        <f t="shared" si="69"/>
        <v>14.940100000000001</v>
      </c>
      <c r="Q1149" s="43" t="s">
        <v>1855</v>
      </c>
      <c r="R1149" s="4">
        <v>14.7657731032855</v>
      </c>
      <c r="S1149" s="4">
        <v>14.7770164759956</v>
      </c>
      <c r="T1149" s="4">
        <v>14.5291904020152</v>
      </c>
      <c r="U1149" s="4">
        <f t="shared" si="70"/>
        <v>14.690659993765431</v>
      </c>
      <c r="X1149" s="43" t="s">
        <v>2788</v>
      </c>
      <c r="Y1149" s="4">
        <v>14.849710745786901</v>
      </c>
      <c r="Z1149" s="4">
        <v>14.789755267262001</v>
      </c>
      <c r="AA1149" s="4">
        <v>14.7490480902401</v>
      </c>
      <c r="AB1149" s="4">
        <f t="shared" si="71"/>
        <v>14.796171367763002</v>
      </c>
    </row>
    <row r="1150" spans="2:28" x14ac:dyDescent="0.2">
      <c r="B1150" s="4" t="s">
        <v>2120</v>
      </c>
      <c r="C1150" s="4">
        <v>14.343999999999999</v>
      </c>
      <c r="D1150" s="4">
        <v>14.5511</v>
      </c>
      <c r="E1150" s="4">
        <v>15.863099999999999</v>
      </c>
      <c r="F1150" s="4">
        <f t="shared" si="68"/>
        <v>14.919400000000001</v>
      </c>
      <c r="I1150" s="4" t="s">
        <v>2159</v>
      </c>
      <c r="J1150" s="4">
        <v>15.164</v>
      </c>
      <c r="K1150" s="4">
        <v>14.6265</v>
      </c>
      <c r="L1150" s="4">
        <v>15.021000000000001</v>
      </c>
      <c r="M1150" s="4">
        <f t="shared" si="69"/>
        <v>14.937166666666668</v>
      </c>
      <c r="Q1150" s="43" t="s">
        <v>753</v>
      </c>
      <c r="R1150" s="4">
        <v>14.614143919658</v>
      </c>
      <c r="S1150" s="4">
        <v>14.5896116958849</v>
      </c>
      <c r="T1150" s="4">
        <v>14.8668548985524</v>
      </c>
      <c r="U1150" s="4">
        <f t="shared" si="70"/>
        <v>14.690203504698433</v>
      </c>
      <c r="X1150" s="43" t="s">
        <v>25</v>
      </c>
      <c r="Y1150" s="4">
        <v>14.8701523759261</v>
      </c>
      <c r="Z1150" s="4">
        <v>14.6877465959549</v>
      </c>
      <c r="AA1150" s="4">
        <v>14.822655364740401</v>
      </c>
      <c r="AB1150" s="4">
        <f t="shared" si="71"/>
        <v>14.793518112207133</v>
      </c>
    </row>
    <row r="1151" spans="2:28" x14ac:dyDescent="0.2">
      <c r="B1151" s="4" t="s">
        <v>2593</v>
      </c>
      <c r="C1151" s="4">
        <v>14.991199999999999</v>
      </c>
      <c r="D1151" s="4">
        <v>14.677300000000001</v>
      </c>
      <c r="E1151" s="4">
        <v>15.0839</v>
      </c>
      <c r="F1151" s="4">
        <f t="shared" si="68"/>
        <v>14.917466666666668</v>
      </c>
      <c r="I1151" s="4" t="s">
        <v>1270</v>
      </c>
      <c r="J1151" s="4">
        <v>15.1441</v>
      </c>
      <c r="K1151" s="4">
        <v>14.6509</v>
      </c>
      <c r="L1151" s="4">
        <v>15.0161</v>
      </c>
      <c r="M1151" s="4">
        <f t="shared" si="69"/>
        <v>14.937033333333334</v>
      </c>
      <c r="Q1151" s="43" t="s">
        <v>2544</v>
      </c>
      <c r="R1151" s="4">
        <v>14.7651563394212</v>
      </c>
      <c r="S1151" s="4">
        <v>14.709088851272099</v>
      </c>
      <c r="T1151" s="4">
        <v>14.5958552848687</v>
      </c>
      <c r="U1151" s="4">
        <f t="shared" si="70"/>
        <v>14.690033491854001</v>
      </c>
      <c r="X1151" s="43" t="s">
        <v>111</v>
      </c>
      <c r="Y1151" s="4">
        <v>14.7740634758031</v>
      </c>
      <c r="Z1151" s="4">
        <v>14.7274485884036</v>
      </c>
      <c r="AA1151" s="4">
        <v>14.8617651708183</v>
      </c>
      <c r="AB1151" s="4">
        <f t="shared" si="71"/>
        <v>14.787759078341667</v>
      </c>
    </row>
    <row r="1152" spans="2:28" x14ac:dyDescent="0.2">
      <c r="B1152" s="4" t="s">
        <v>2781</v>
      </c>
      <c r="C1152" s="4">
        <v>14.6275</v>
      </c>
      <c r="D1152" s="4">
        <v>15.117900000000001</v>
      </c>
      <c r="E1152" s="4">
        <v>14.999599999999999</v>
      </c>
      <c r="F1152" s="4">
        <f t="shared" si="68"/>
        <v>14.914999999999999</v>
      </c>
      <c r="I1152" s="4" t="s">
        <v>2087</v>
      </c>
      <c r="J1152" s="4">
        <v>15.1113</v>
      </c>
      <c r="K1152" s="4">
        <v>14.6517</v>
      </c>
      <c r="L1152" s="4">
        <v>15.045500000000001</v>
      </c>
      <c r="M1152" s="4">
        <f t="shared" si="69"/>
        <v>14.936166666666665</v>
      </c>
      <c r="Q1152" s="43" t="s">
        <v>2648</v>
      </c>
      <c r="R1152" s="4">
        <v>14.7242573408022</v>
      </c>
      <c r="S1152" s="4">
        <v>14.6874303802791</v>
      </c>
      <c r="T1152" s="4">
        <v>14.6580817570505</v>
      </c>
      <c r="U1152" s="4">
        <f t="shared" si="70"/>
        <v>14.689923159377267</v>
      </c>
      <c r="X1152" s="43" t="s">
        <v>3148</v>
      </c>
      <c r="Y1152" s="4">
        <v>14.790334915053901</v>
      </c>
      <c r="Z1152" s="4">
        <v>14.7491019499794</v>
      </c>
      <c r="AA1152" s="4">
        <v>14.8234480849582</v>
      </c>
      <c r="AB1152" s="4">
        <f t="shared" si="71"/>
        <v>14.787628316663834</v>
      </c>
    </row>
    <row r="1153" spans="2:28" x14ac:dyDescent="0.2">
      <c r="B1153" s="4" t="s">
        <v>3659</v>
      </c>
      <c r="C1153" s="4">
        <v>15.1623</v>
      </c>
      <c r="D1153" s="4">
        <v>14.886200000000001</v>
      </c>
      <c r="E1153" s="4">
        <v>14.6919</v>
      </c>
      <c r="F1153" s="4">
        <f t="shared" si="68"/>
        <v>14.913466666666666</v>
      </c>
      <c r="I1153" s="4" t="s">
        <v>2382</v>
      </c>
      <c r="J1153" s="4">
        <v>14.4695</v>
      </c>
      <c r="K1153" s="4">
        <v>15.821199999999999</v>
      </c>
      <c r="L1153" s="4">
        <v>14.512600000000001</v>
      </c>
      <c r="M1153" s="4">
        <f t="shared" si="69"/>
        <v>14.934433333333333</v>
      </c>
      <c r="Q1153" s="43" t="s">
        <v>2603</v>
      </c>
      <c r="R1153" s="4">
        <v>14.395112998007599</v>
      </c>
      <c r="S1153" s="4">
        <v>15.1333163550233</v>
      </c>
      <c r="T1153" s="4">
        <v>14.538894062202001</v>
      </c>
      <c r="U1153" s="4">
        <f t="shared" si="70"/>
        <v>14.689107805077635</v>
      </c>
      <c r="X1153" s="43" t="s">
        <v>1869</v>
      </c>
      <c r="Y1153" s="4">
        <v>15.0001109097943</v>
      </c>
      <c r="Z1153" s="4">
        <v>14.796037419035001</v>
      </c>
      <c r="AA1153" s="4">
        <v>14.5586805858158</v>
      </c>
      <c r="AB1153" s="4">
        <f t="shared" si="71"/>
        <v>14.784942971548366</v>
      </c>
    </row>
    <row r="1154" spans="2:28" x14ac:dyDescent="0.2">
      <c r="B1154" s="4" t="s">
        <v>1532</v>
      </c>
      <c r="C1154" s="4">
        <v>14.0059</v>
      </c>
      <c r="D1154" s="4">
        <v>14.576499999999999</v>
      </c>
      <c r="E1154" s="4">
        <v>16.155000000000001</v>
      </c>
      <c r="F1154" s="4">
        <f t="shared" ref="F1154:F1217" si="72">(C1154+D1154+E1154)/3</f>
        <v>14.912466666666667</v>
      </c>
      <c r="I1154" s="4" t="s">
        <v>2234</v>
      </c>
      <c r="J1154" s="4">
        <v>14.7646</v>
      </c>
      <c r="K1154" s="4">
        <v>14.9742</v>
      </c>
      <c r="L1154" s="4">
        <v>15.061199999999999</v>
      </c>
      <c r="M1154" s="4">
        <f t="shared" ref="M1154:M1217" si="73">(J1154+K1154+L1154)/3</f>
        <v>14.933333333333332</v>
      </c>
      <c r="Q1154" s="43" t="s">
        <v>321</v>
      </c>
      <c r="R1154" s="4">
        <v>14.649135093644301</v>
      </c>
      <c r="S1154" s="4">
        <v>14.7309862548015</v>
      </c>
      <c r="T1154" s="4">
        <v>14.6757380676764</v>
      </c>
      <c r="U1154" s="4">
        <f t="shared" ref="U1154:U1217" si="74">(R1154+S1154+T1154)/3</f>
        <v>14.685286472040735</v>
      </c>
      <c r="X1154" s="43" t="s">
        <v>804</v>
      </c>
      <c r="Y1154" s="4">
        <v>14.9546771934498</v>
      </c>
      <c r="Z1154" s="4">
        <v>14.7143866947074</v>
      </c>
      <c r="AA1154" s="4">
        <v>14.684338878597</v>
      </c>
      <c r="AB1154" s="4">
        <f t="shared" ref="AB1154:AB1217" si="75">(Y1154+Z1154+AA1154)/3</f>
        <v>14.784467588918067</v>
      </c>
    </row>
    <row r="1155" spans="2:28" x14ac:dyDescent="0.2">
      <c r="B1155" s="4" t="s">
        <v>610</v>
      </c>
      <c r="C1155" s="4">
        <v>15.27</v>
      </c>
      <c r="D1155" s="4">
        <v>14.9361</v>
      </c>
      <c r="E1155" s="4">
        <v>14.528700000000001</v>
      </c>
      <c r="F1155" s="4">
        <f t="shared" si="72"/>
        <v>14.9116</v>
      </c>
      <c r="I1155" s="4" t="s">
        <v>2138</v>
      </c>
      <c r="J1155" s="4">
        <v>15.0184</v>
      </c>
      <c r="K1155" s="4">
        <v>14.7928</v>
      </c>
      <c r="L1155" s="4">
        <v>14.982100000000001</v>
      </c>
      <c r="M1155" s="4">
        <f t="shared" si="73"/>
        <v>14.931100000000001</v>
      </c>
      <c r="Q1155" s="43" t="s">
        <v>1306</v>
      </c>
      <c r="R1155" s="4">
        <v>14.693586973087401</v>
      </c>
      <c r="S1155" s="4">
        <v>14.7520253180545</v>
      </c>
      <c r="T1155" s="4">
        <v>14.6044397645027</v>
      </c>
      <c r="U1155" s="4">
        <f t="shared" si="74"/>
        <v>14.683350685214867</v>
      </c>
      <c r="X1155" s="43" t="s">
        <v>83</v>
      </c>
      <c r="Y1155" s="4">
        <v>14.8630796058382</v>
      </c>
      <c r="Z1155" s="4">
        <v>14.793440381686301</v>
      </c>
      <c r="AA1155" s="4">
        <v>14.692465485716999</v>
      </c>
      <c r="AB1155" s="4">
        <f t="shared" si="75"/>
        <v>14.782995157747166</v>
      </c>
    </row>
    <row r="1156" spans="2:28" x14ac:dyDescent="0.2">
      <c r="B1156" s="4" t="s">
        <v>3343</v>
      </c>
      <c r="C1156" s="4">
        <v>14.9587</v>
      </c>
      <c r="D1156" s="4">
        <v>15.112299999999999</v>
      </c>
      <c r="E1156" s="4">
        <v>14.660600000000001</v>
      </c>
      <c r="F1156" s="4">
        <f t="shared" si="72"/>
        <v>14.910533333333333</v>
      </c>
      <c r="I1156" s="4" t="s">
        <v>4068</v>
      </c>
      <c r="J1156" s="4">
        <v>14.9787</v>
      </c>
      <c r="K1156" s="4">
        <v>14.778600000000001</v>
      </c>
      <c r="L1156" s="4">
        <v>15.0343</v>
      </c>
      <c r="M1156" s="4">
        <f t="shared" si="73"/>
        <v>14.930533333333335</v>
      </c>
      <c r="Q1156" s="43" t="s">
        <v>3661</v>
      </c>
      <c r="R1156" s="4">
        <v>14.8590048783174</v>
      </c>
      <c r="S1156" s="4">
        <v>14.5646697173569</v>
      </c>
      <c r="T1156" s="4">
        <v>14.620287719070999</v>
      </c>
      <c r="U1156" s="4">
        <f t="shared" si="74"/>
        <v>14.681320771581767</v>
      </c>
      <c r="X1156" s="43" t="s">
        <v>2978</v>
      </c>
      <c r="Y1156" s="4">
        <v>14.838673733091801</v>
      </c>
      <c r="Z1156" s="4">
        <v>14.903101457638501</v>
      </c>
      <c r="AA1156" s="4">
        <v>14.6050138340962</v>
      </c>
      <c r="AB1156" s="4">
        <f t="shared" si="75"/>
        <v>14.7822630082755</v>
      </c>
    </row>
    <row r="1157" spans="2:28" x14ac:dyDescent="0.2">
      <c r="B1157" s="4" t="s">
        <v>1270</v>
      </c>
      <c r="C1157" s="4">
        <v>14.8035</v>
      </c>
      <c r="D1157" s="4">
        <v>14.985200000000001</v>
      </c>
      <c r="E1157" s="4">
        <v>14.9336</v>
      </c>
      <c r="F1157" s="4">
        <f t="shared" si="72"/>
        <v>14.907433333333332</v>
      </c>
      <c r="I1157" s="4" t="s">
        <v>2191</v>
      </c>
      <c r="J1157" s="4">
        <v>14.797700000000001</v>
      </c>
      <c r="K1157" s="4">
        <v>15.125400000000001</v>
      </c>
      <c r="L1157" s="4">
        <v>14.860099999999999</v>
      </c>
      <c r="M1157" s="4">
        <f t="shared" si="73"/>
        <v>14.927733333333334</v>
      </c>
      <c r="Q1157" s="43" t="s">
        <v>2454</v>
      </c>
      <c r="R1157" s="4">
        <v>14.8747868355492</v>
      </c>
      <c r="S1157" s="4">
        <v>14.6147285045557</v>
      </c>
      <c r="T1157" s="4">
        <v>14.551778320180199</v>
      </c>
      <c r="U1157" s="4">
        <f t="shared" si="74"/>
        <v>14.680431220095032</v>
      </c>
      <c r="X1157" s="43" t="s">
        <v>661</v>
      </c>
      <c r="Y1157" s="4">
        <v>15.101481380052601</v>
      </c>
      <c r="Z1157" s="4">
        <v>14.858620379184201</v>
      </c>
      <c r="AA1157" s="4">
        <v>14.375141507338901</v>
      </c>
      <c r="AB1157" s="4">
        <f t="shared" si="75"/>
        <v>14.778414422191901</v>
      </c>
    </row>
    <row r="1158" spans="2:28" x14ac:dyDescent="0.2">
      <c r="B1158" s="4" t="s">
        <v>1691</v>
      </c>
      <c r="C1158" s="4">
        <v>14.6555</v>
      </c>
      <c r="D1158" s="4">
        <v>14.9306</v>
      </c>
      <c r="E1158" s="4">
        <v>15.133800000000001</v>
      </c>
      <c r="F1158" s="4">
        <f t="shared" si="72"/>
        <v>14.906633333333334</v>
      </c>
      <c r="I1158" s="4" t="s">
        <v>2630</v>
      </c>
      <c r="J1158" s="4">
        <v>14.939</v>
      </c>
      <c r="K1158" s="4">
        <v>14.526199999999999</v>
      </c>
      <c r="L1158" s="4">
        <v>15.3126</v>
      </c>
      <c r="M1158" s="4">
        <f t="shared" si="73"/>
        <v>14.925933333333333</v>
      </c>
      <c r="Q1158" s="43" t="s">
        <v>2558</v>
      </c>
      <c r="R1158" s="4">
        <v>14.751242315405401</v>
      </c>
      <c r="S1158" s="4">
        <v>14.5398043725486</v>
      </c>
      <c r="T1158" s="4">
        <v>14.7499023290145</v>
      </c>
      <c r="U1158" s="4">
        <f t="shared" si="74"/>
        <v>14.680316338989499</v>
      </c>
      <c r="X1158" s="43" t="s">
        <v>2430</v>
      </c>
      <c r="Y1158" s="4">
        <v>14.7598996871927</v>
      </c>
      <c r="Z1158" s="4">
        <v>14.911464656709899</v>
      </c>
      <c r="AA1158" s="4">
        <v>14.654482022768599</v>
      </c>
      <c r="AB1158" s="4">
        <f t="shared" si="75"/>
        <v>14.775282122223734</v>
      </c>
    </row>
    <row r="1159" spans="2:28" x14ac:dyDescent="0.2">
      <c r="B1159" s="4" t="s">
        <v>3742</v>
      </c>
      <c r="C1159" s="4">
        <v>14.8566</v>
      </c>
      <c r="D1159" s="4">
        <v>14.792999999999999</v>
      </c>
      <c r="E1159" s="4">
        <v>15.0593</v>
      </c>
      <c r="F1159" s="4">
        <f t="shared" si="72"/>
        <v>14.902966666666666</v>
      </c>
      <c r="I1159" s="4" t="s">
        <v>3451</v>
      </c>
      <c r="J1159" s="4">
        <v>14.3628</v>
      </c>
      <c r="K1159" s="4">
        <v>15.523999999999999</v>
      </c>
      <c r="L1159" s="4">
        <v>14.8902</v>
      </c>
      <c r="M1159" s="4">
        <f t="shared" si="73"/>
        <v>14.925666666666666</v>
      </c>
      <c r="Q1159" s="43" t="s">
        <v>2742</v>
      </c>
      <c r="R1159" s="4">
        <v>14.7666683282766</v>
      </c>
      <c r="S1159" s="4">
        <v>14.6718918803573</v>
      </c>
      <c r="T1159" s="4">
        <v>14.6008776356752</v>
      </c>
      <c r="U1159" s="4">
        <f t="shared" si="74"/>
        <v>14.679812614769702</v>
      </c>
      <c r="X1159" s="43" t="s">
        <v>4567</v>
      </c>
      <c r="Y1159" s="4">
        <v>14.6705358598419</v>
      </c>
      <c r="Z1159" s="4">
        <v>14.770177944167299</v>
      </c>
      <c r="AA1159" s="4">
        <v>14.8782533406472</v>
      </c>
      <c r="AB1159" s="4">
        <f t="shared" si="75"/>
        <v>14.772989048218799</v>
      </c>
    </row>
    <row r="1160" spans="2:28" x14ac:dyDescent="0.2">
      <c r="B1160" s="4" t="s">
        <v>2138</v>
      </c>
      <c r="C1160" s="4">
        <v>14.8621</v>
      </c>
      <c r="D1160" s="4">
        <v>14.9314</v>
      </c>
      <c r="E1160" s="4">
        <v>14.911300000000001</v>
      </c>
      <c r="F1160" s="4">
        <f t="shared" si="72"/>
        <v>14.901600000000002</v>
      </c>
      <c r="I1160" s="4" t="s">
        <v>971</v>
      </c>
      <c r="J1160" s="4">
        <v>14.420500000000001</v>
      </c>
      <c r="K1160" s="4">
        <v>15.2744</v>
      </c>
      <c r="L1160" s="4">
        <v>15.069900000000001</v>
      </c>
      <c r="M1160" s="4">
        <f t="shared" si="73"/>
        <v>14.9216</v>
      </c>
      <c r="Q1160" s="43" t="s">
        <v>2687</v>
      </c>
      <c r="R1160" s="4">
        <v>14.8301155677885</v>
      </c>
      <c r="S1160" s="4">
        <v>14.5335515510814</v>
      </c>
      <c r="T1160" s="4">
        <v>14.6704070829005</v>
      </c>
      <c r="U1160" s="4">
        <f t="shared" si="74"/>
        <v>14.678024733923465</v>
      </c>
      <c r="X1160" s="43" t="s">
        <v>2638</v>
      </c>
      <c r="Y1160" s="4">
        <v>14.6998221162709</v>
      </c>
      <c r="Z1160" s="4">
        <v>14.6905579250374</v>
      </c>
      <c r="AA1160" s="4">
        <v>14.924491430213401</v>
      </c>
      <c r="AB1160" s="4">
        <f t="shared" si="75"/>
        <v>14.771623823840565</v>
      </c>
    </row>
    <row r="1161" spans="2:28" x14ac:dyDescent="0.2">
      <c r="B1161" s="4" t="s">
        <v>3375</v>
      </c>
      <c r="C1161" s="4">
        <v>14.95</v>
      </c>
      <c r="D1161" s="4">
        <v>15.104799999999999</v>
      </c>
      <c r="E1161" s="4">
        <v>14.649800000000001</v>
      </c>
      <c r="F1161" s="4">
        <f t="shared" si="72"/>
        <v>14.901533333333333</v>
      </c>
      <c r="I1161" s="4" t="s">
        <v>3088</v>
      </c>
      <c r="J1161" s="4">
        <v>15.113200000000001</v>
      </c>
      <c r="K1161" s="4">
        <v>14.4018</v>
      </c>
      <c r="L1161" s="4">
        <v>15.249599999999999</v>
      </c>
      <c r="M1161" s="4">
        <f t="shared" si="73"/>
        <v>14.921533333333334</v>
      </c>
      <c r="Q1161" s="43" t="s">
        <v>55</v>
      </c>
      <c r="R1161" s="4">
        <v>14.8235765373077</v>
      </c>
      <c r="S1161" s="4">
        <v>14.552659706357501</v>
      </c>
      <c r="T1161" s="4">
        <v>14.6502939009931</v>
      </c>
      <c r="U1161" s="4">
        <f t="shared" si="74"/>
        <v>14.675510048219435</v>
      </c>
      <c r="X1161" s="43" t="s">
        <v>1814</v>
      </c>
      <c r="Y1161" s="4">
        <v>14.7934619585776</v>
      </c>
      <c r="Z1161" s="4">
        <v>14.827110236639101</v>
      </c>
      <c r="AA1161" s="4">
        <v>14.684081542270301</v>
      </c>
      <c r="AB1161" s="4">
        <f t="shared" si="75"/>
        <v>14.768217912495667</v>
      </c>
    </row>
    <row r="1162" spans="2:28" x14ac:dyDescent="0.2">
      <c r="B1162" s="4" t="s">
        <v>883</v>
      </c>
      <c r="C1162" s="4">
        <v>14.8636</v>
      </c>
      <c r="D1162" s="4">
        <v>14.8405</v>
      </c>
      <c r="E1162" s="4">
        <v>14.996499999999999</v>
      </c>
      <c r="F1162" s="4">
        <f t="shared" si="72"/>
        <v>14.9002</v>
      </c>
      <c r="I1162" s="4" t="s">
        <v>1043</v>
      </c>
      <c r="J1162" s="4">
        <v>14.4648</v>
      </c>
      <c r="K1162" s="4">
        <v>15.291</v>
      </c>
      <c r="L1162" s="4">
        <v>15.0068</v>
      </c>
      <c r="M1162" s="4">
        <f t="shared" si="73"/>
        <v>14.920866666666667</v>
      </c>
      <c r="Q1162" s="43" t="s">
        <v>3569</v>
      </c>
      <c r="R1162" s="4">
        <v>14.915266052558801</v>
      </c>
      <c r="S1162" s="4">
        <v>14.3629820838695</v>
      </c>
      <c r="T1162" s="4">
        <v>14.7465056018795</v>
      </c>
      <c r="U1162" s="4">
        <f t="shared" si="74"/>
        <v>14.674917912769267</v>
      </c>
      <c r="X1162" s="43" t="s">
        <v>2512</v>
      </c>
      <c r="Y1162" s="4">
        <v>14.5997145032522</v>
      </c>
      <c r="Z1162" s="4">
        <v>14.928036480106099</v>
      </c>
      <c r="AA1162" s="4">
        <v>14.7493889519845</v>
      </c>
      <c r="AB1162" s="4">
        <f t="shared" si="75"/>
        <v>14.759046645114267</v>
      </c>
    </row>
    <row r="1163" spans="2:28" x14ac:dyDescent="0.2">
      <c r="B1163" s="4" t="s">
        <v>2159</v>
      </c>
      <c r="C1163" s="4">
        <v>14.8376</v>
      </c>
      <c r="D1163" s="4">
        <v>14.8055</v>
      </c>
      <c r="E1163" s="4">
        <v>15.046900000000001</v>
      </c>
      <c r="F1163" s="4">
        <f t="shared" si="72"/>
        <v>14.896666666666667</v>
      </c>
      <c r="I1163" s="4" t="s">
        <v>2094</v>
      </c>
      <c r="J1163" s="4">
        <v>15.2021</v>
      </c>
      <c r="K1163" s="4">
        <v>14.3156</v>
      </c>
      <c r="L1163" s="4">
        <v>15.241</v>
      </c>
      <c r="M1163" s="4">
        <f t="shared" si="73"/>
        <v>14.919566666666666</v>
      </c>
      <c r="Q1163" s="43" t="s">
        <v>1849</v>
      </c>
      <c r="R1163" s="4">
        <v>14.438736195567801</v>
      </c>
      <c r="S1163" s="4">
        <v>14.7172619899982</v>
      </c>
      <c r="T1163" s="4">
        <v>14.8655070083786</v>
      </c>
      <c r="U1163" s="4">
        <f t="shared" si="74"/>
        <v>14.6738350646482</v>
      </c>
      <c r="X1163" s="43" t="s">
        <v>3891</v>
      </c>
      <c r="Y1163" s="4">
        <v>14.5329768289944</v>
      </c>
      <c r="Z1163" s="4">
        <v>14.9558186047073</v>
      </c>
      <c r="AA1163" s="4">
        <v>14.787214640576201</v>
      </c>
      <c r="AB1163" s="4">
        <f t="shared" si="75"/>
        <v>14.758670024759299</v>
      </c>
    </row>
    <row r="1164" spans="2:28" x14ac:dyDescent="0.2">
      <c r="B1164" s="4" t="s">
        <v>2667</v>
      </c>
      <c r="C1164" s="4">
        <v>14.591200000000001</v>
      </c>
      <c r="D1164" s="4">
        <v>14.9954</v>
      </c>
      <c r="E1164" s="4">
        <v>15.102</v>
      </c>
      <c r="F1164" s="4">
        <f t="shared" si="72"/>
        <v>14.8962</v>
      </c>
      <c r="I1164" s="4" t="s">
        <v>352</v>
      </c>
      <c r="J1164" s="4">
        <v>15.019399999999999</v>
      </c>
      <c r="K1164" s="4">
        <v>14.738799999999999</v>
      </c>
      <c r="L1164" s="4">
        <v>14.999499999999999</v>
      </c>
      <c r="M1164" s="4">
        <f t="shared" si="73"/>
        <v>14.919233333333333</v>
      </c>
      <c r="Q1164" s="43" t="s">
        <v>1353</v>
      </c>
      <c r="R1164" s="4">
        <v>14.7162103889022</v>
      </c>
      <c r="S1164" s="4">
        <v>14.522715711776801</v>
      </c>
      <c r="T1164" s="4">
        <v>14.781969324161</v>
      </c>
      <c r="U1164" s="4">
        <f t="shared" si="74"/>
        <v>14.673631808280001</v>
      </c>
      <c r="X1164" s="43" t="s">
        <v>29</v>
      </c>
      <c r="Y1164" s="4">
        <v>14.6947596512067</v>
      </c>
      <c r="Z1164" s="4">
        <v>14.827009840775901</v>
      </c>
      <c r="AA1164" s="4">
        <v>14.750786211972599</v>
      </c>
      <c r="AB1164" s="4">
        <f t="shared" si="75"/>
        <v>14.757518567985068</v>
      </c>
    </row>
    <row r="1165" spans="2:28" x14ac:dyDescent="0.2">
      <c r="B1165" s="4" t="s">
        <v>2743</v>
      </c>
      <c r="C1165" s="4">
        <v>14.8622</v>
      </c>
      <c r="D1165" s="4">
        <v>14.7911</v>
      </c>
      <c r="E1165" s="4">
        <v>15.0318</v>
      </c>
      <c r="F1165" s="4">
        <f t="shared" si="72"/>
        <v>14.895033333333336</v>
      </c>
      <c r="I1165" s="4" t="s">
        <v>3070</v>
      </c>
      <c r="J1165" s="4">
        <v>15.215199999999999</v>
      </c>
      <c r="K1165" s="4">
        <v>14.430999999999999</v>
      </c>
      <c r="L1165" s="4">
        <v>15.102499999999999</v>
      </c>
      <c r="M1165" s="4">
        <f t="shared" si="73"/>
        <v>14.916233333333333</v>
      </c>
      <c r="Q1165" s="43" t="s">
        <v>3622</v>
      </c>
      <c r="R1165" s="4">
        <v>14.6652967679443</v>
      </c>
      <c r="S1165" s="4">
        <v>14.754324193344999</v>
      </c>
      <c r="T1165" s="4">
        <v>14.599266799904401</v>
      </c>
      <c r="U1165" s="4">
        <f t="shared" si="74"/>
        <v>14.672962587064566</v>
      </c>
      <c r="X1165" s="43" t="s">
        <v>3</v>
      </c>
      <c r="Y1165" s="4">
        <v>14.7877414191412</v>
      </c>
      <c r="Z1165" s="4">
        <v>14.8345069413073</v>
      </c>
      <c r="AA1165" s="4">
        <v>14.6265819485366</v>
      </c>
      <c r="AB1165" s="4">
        <f t="shared" si="75"/>
        <v>14.749610102995035</v>
      </c>
    </row>
    <row r="1166" spans="2:28" x14ac:dyDescent="0.2">
      <c r="B1166" s="4" t="s">
        <v>1391</v>
      </c>
      <c r="C1166" s="4">
        <v>14.485300000000001</v>
      </c>
      <c r="D1166" s="4">
        <v>14.629</v>
      </c>
      <c r="E1166" s="4">
        <v>15.5703</v>
      </c>
      <c r="F1166" s="4">
        <f t="shared" si="72"/>
        <v>14.894866666666667</v>
      </c>
      <c r="I1166" s="4" t="s">
        <v>1959</v>
      </c>
      <c r="J1166" s="4">
        <v>14.7067</v>
      </c>
      <c r="K1166" s="4">
        <v>15.4156</v>
      </c>
      <c r="L1166" s="4">
        <v>14.6258</v>
      </c>
      <c r="M1166" s="4">
        <f t="shared" si="73"/>
        <v>14.916033333333333</v>
      </c>
      <c r="Q1166" s="43" t="s">
        <v>1318</v>
      </c>
      <c r="R1166" s="4">
        <v>14.686358662319099</v>
      </c>
      <c r="S1166" s="4">
        <v>14.6952203858337</v>
      </c>
      <c r="T1166" s="4">
        <v>14.6288745494236</v>
      </c>
      <c r="U1166" s="4">
        <f t="shared" si="74"/>
        <v>14.670151199192134</v>
      </c>
      <c r="X1166" s="43" t="s">
        <v>2153</v>
      </c>
      <c r="Y1166" s="4">
        <v>14.716142989808899</v>
      </c>
      <c r="Z1166" s="4">
        <v>14.8144076784515</v>
      </c>
      <c r="AA1166" s="4">
        <v>14.713286410316</v>
      </c>
      <c r="AB1166" s="4">
        <f t="shared" si="75"/>
        <v>14.747945692858799</v>
      </c>
    </row>
    <row r="1167" spans="2:28" x14ac:dyDescent="0.2">
      <c r="B1167" s="4" t="s">
        <v>790</v>
      </c>
      <c r="C1167" s="4">
        <v>15.2081</v>
      </c>
      <c r="D1167" s="4">
        <v>14.9567</v>
      </c>
      <c r="E1167" s="4">
        <v>14.514099999999999</v>
      </c>
      <c r="F1167" s="4">
        <f t="shared" si="72"/>
        <v>14.892966666666666</v>
      </c>
      <c r="I1167" s="4" t="s">
        <v>86</v>
      </c>
      <c r="J1167" s="4">
        <v>14.956300000000001</v>
      </c>
      <c r="K1167" s="4">
        <v>14.969200000000001</v>
      </c>
      <c r="L1167" s="4">
        <v>14.813599999999999</v>
      </c>
      <c r="M1167" s="4">
        <f t="shared" si="73"/>
        <v>14.913033333333333</v>
      </c>
      <c r="Q1167" s="43" t="s">
        <v>1758</v>
      </c>
      <c r="R1167" s="4">
        <v>14.943935445644399</v>
      </c>
      <c r="S1167" s="4">
        <v>14.506681884502299</v>
      </c>
      <c r="T1167" s="4">
        <v>14.5561602054537</v>
      </c>
      <c r="U1167" s="4">
        <f t="shared" si="74"/>
        <v>14.668925845200134</v>
      </c>
      <c r="X1167" s="43" t="s">
        <v>2174</v>
      </c>
      <c r="Y1167" s="4">
        <v>14.8190914470213</v>
      </c>
      <c r="Z1167" s="4">
        <v>14.7732947677392</v>
      </c>
      <c r="AA1167" s="4">
        <v>14.6501717447358</v>
      </c>
      <c r="AB1167" s="4">
        <f t="shared" si="75"/>
        <v>14.747519319832101</v>
      </c>
    </row>
    <row r="1168" spans="2:28" x14ac:dyDescent="0.2">
      <c r="B1168" s="4" t="s">
        <v>2937</v>
      </c>
      <c r="C1168" s="4">
        <v>15.0001</v>
      </c>
      <c r="D1168" s="4">
        <v>14.8614</v>
      </c>
      <c r="E1168" s="4">
        <v>14.815200000000001</v>
      </c>
      <c r="F1168" s="4">
        <f t="shared" si="72"/>
        <v>14.892233333333332</v>
      </c>
      <c r="I1168" s="4" t="s">
        <v>2083</v>
      </c>
      <c r="J1168" s="4">
        <v>15.073399999999999</v>
      </c>
      <c r="K1168" s="4">
        <v>14.715400000000001</v>
      </c>
      <c r="L1168" s="4">
        <v>14.95</v>
      </c>
      <c r="M1168" s="4">
        <f t="shared" si="73"/>
        <v>14.912933333333333</v>
      </c>
      <c r="Q1168" s="43" t="s">
        <v>2169</v>
      </c>
      <c r="R1168" s="4">
        <v>14.5527488995118</v>
      </c>
      <c r="S1168" s="4">
        <v>14.803611848705399</v>
      </c>
      <c r="T1168" s="4">
        <v>14.649869655997801</v>
      </c>
      <c r="U1168" s="4">
        <f t="shared" si="74"/>
        <v>14.668743468071668</v>
      </c>
      <c r="X1168" s="43" t="s">
        <v>1306</v>
      </c>
      <c r="Y1168" s="4">
        <v>14.8229608340284</v>
      </c>
      <c r="Z1168" s="4">
        <v>14.820970176921801</v>
      </c>
      <c r="AA1168" s="4">
        <v>14.592232979276501</v>
      </c>
      <c r="AB1168" s="4">
        <f t="shared" si="75"/>
        <v>14.745387996742233</v>
      </c>
    </row>
    <row r="1169" spans="2:28" x14ac:dyDescent="0.2">
      <c r="B1169" s="4" t="s">
        <v>2628</v>
      </c>
      <c r="C1169" s="4">
        <v>14.820399999999999</v>
      </c>
      <c r="D1169" s="4">
        <v>14.9941</v>
      </c>
      <c r="E1169" s="4">
        <v>14.860200000000001</v>
      </c>
      <c r="F1169" s="4">
        <f t="shared" si="72"/>
        <v>14.891566666666668</v>
      </c>
      <c r="I1169" s="4" t="s">
        <v>3076</v>
      </c>
      <c r="J1169" s="4">
        <v>15.0745</v>
      </c>
      <c r="K1169" s="4">
        <v>14.737299999999999</v>
      </c>
      <c r="L1169" s="4">
        <v>14.915800000000001</v>
      </c>
      <c r="M1169" s="4">
        <f t="shared" si="73"/>
        <v>14.909199999999998</v>
      </c>
      <c r="Q1169" s="43" t="s">
        <v>1842</v>
      </c>
      <c r="R1169" s="4">
        <v>14.4008483914954</v>
      </c>
      <c r="S1169" s="4">
        <v>14.6145633914669</v>
      </c>
      <c r="T1169" s="4">
        <v>14.9844561433301</v>
      </c>
      <c r="U1169" s="4">
        <f t="shared" si="74"/>
        <v>14.666622642097465</v>
      </c>
      <c r="X1169" s="43" t="s">
        <v>2083</v>
      </c>
      <c r="Y1169" s="4">
        <v>14.7384000797953</v>
      </c>
      <c r="Z1169" s="4">
        <v>14.855578700515199</v>
      </c>
      <c r="AA1169" s="4">
        <v>14.632915380226001</v>
      </c>
      <c r="AB1169" s="4">
        <f t="shared" si="75"/>
        <v>14.742298053512167</v>
      </c>
    </row>
    <row r="1170" spans="2:28" x14ac:dyDescent="0.2">
      <c r="B1170" s="4" t="s">
        <v>3216</v>
      </c>
      <c r="C1170" s="4">
        <v>14.336499999999999</v>
      </c>
      <c r="D1170" s="4">
        <v>15.051600000000001</v>
      </c>
      <c r="E1170" s="4">
        <v>15.283899999999999</v>
      </c>
      <c r="F1170" s="4">
        <f t="shared" si="72"/>
        <v>14.890666666666666</v>
      </c>
      <c r="I1170" s="4" t="s">
        <v>2878</v>
      </c>
      <c r="J1170" s="4">
        <v>14.6554</v>
      </c>
      <c r="K1170" s="4">
        <v>15.049300000000001</v>
      </c>
      <c r="L1170" s="4">
        <v>15.0222</v>
      </c>
      <c r="M1170" s="4">
        <f t="shared" si="73"/>
        <v>14.908966666666666</v>
      </c>
      <c r="Q1170" s="43" t="s">
        <v>2895</v>
      </c>
      <c r="R1170" s="4">
        <v>14.7636450591373</v>
      </c>
      <c r="S1170" s="4">
        <v>14.6177570181578</v>
      </c>
      <c r="T1170" s="4">
        <v>14.6145939334356</v>
      </c>
      <c r="U1170" s="4">
        <f t="shared" si="74"/>
        <v>14.6653320035769</v>
      </c>
      <c r="X1170" s="43" t="s">
        <v>2869</v>
      </c>
      <c r="Y1170" s="4">
        <v>14.6906516551196</v>
      </c>
      <c r="Z1170" s="4">
        <v>14.801066052229499</v>
      </c>
      <c r="AA1170" s="4">
        <v>14.7339134536105</v>
      </c>
      <c r="AB1170" s="4">
        <f t="shared" si="75"/>
        <v>14.7418770536532</v>
      </c>
    </row>
    <row r="1171" spans="2:28" x14ac:dyDescent="0.2">
      <c r="B1171" s="4" t="s">
        <v>1850</v>
      </c>
      <c r="C1171" s="4">
        <v>14.9254</v>
      </c>
      <c r="D1171" s="4">
        <v>15.1828</v>
      </c>
      <c r="E1171" s="4">
        <v>14.5631</v>
      </c>
      <c r="F1171" s="4">
        <f t="shared" si="72"/>
        <v>14.890433333333334</v>
      </c>
      <c r="I1171" s="4" t="s">
        <v>1633</v>
      </c>
      <c r="J1171" s="4">
        <v>14.8108</v>
      </c>
      <c r="K1171" s="4">
        <v>15.0901</v>
      </c>
      <c r="L1171" s="4">
        <v>14.821</v>
      </c>
      <c r="M1171" s="4">
        <f t="shared" si="73"/>
        <v>14.907299999999999</v>
      </c>
      <c r="Q1171" s="43" t="s">
        <v>1527</v>
      </c>
      <c r="R1171" s="4">
        <v>14.764738252335199</v>
      </c>
      <c r="S1171" s="4">
        <v>14.0441365172478</v>
      </c>
      <c r="T1171" s="4">
        <v>15.18578854756</v>
      </c>
      <c r="U1171" s="4">
        <f t="shared" si="74"/>
        <v>14.664887772381</v>
      </c>
      <c r="X1171" s="43" t="s">
        <v>1809</v>
      </c>
      <c r="Y1171" s="4">
        <v>14.7494269145787</v>
      </c>
      <c r="Z1171" s="4">
        <v>14.5958053685263</v>
      </c>
      <c r="AA1171" s="4">
        <v>14.859691322994101</v>
      </c>
      <c r="AB1171" s="4">
        <f t="shared" si="75"/>
        <v>14.734974535366367</v>
      </c>
    </row>
    <row r="1172" spans="2:28" x14ac:dyDescent="0.2">
      <c r="B1172" s="4" t="s">
        <v>3627</v>
      </c>
      <c r="C1172" s="4">
        <v>14.9901</v>
      </c>
      <c r="D1172" s="4">
        <v>14.9292</v>
      </c>
      <c r="E1172" s="4">
        <v>14.7432</v>
      </c>
      <c r="F1172" s="4">
        <f t="shared" si="72"/>
        <v>14.887500000000001</v>
      </c>
      <c r="I1172" s="4" t="s">
        <v>31</v>
      </c>
      <c r="J1172" s="4">
        <v>14.931699999999999</v>
      </c>
      <c r="K1172" s="4">
        <v>14.894</v>
      </c>
      <c r="L1172" s="4">
        <v>14.8917</v>
      </c>
      <c r="M1172" s="4">
        <f t="shared" si="73"/>
        <v>14.905799999999999</v>
      </c>
      <c r="Q1172" s="43" t="s">
        <v>4518</v>
      </c>
      <c r="R1172" s="4">
        <v>14.4396278731928</v>
      </c>
      <c r="S1172" s="4">
        <v>14.7836502438849</v>
      </c>
      <c r="T1172" s="4">
        <v>14.771352549160101</v>
      </c>
      <c r="U1172" s="4">
        <f t="shared" si="74"/>
        <v>14.664876888745932</v>
      </c>
      <c r="X1172" s="43" t="s">
        <v>562</v>
      </c>
      <c r="Y1172" s="4">
        <v>15.221681817016901</v>
      </c>
      <c r="Z1172" s="4">
        <v>14.1901815560038</v>
      </c>
      <c r="AA1172" s="4">
        <v>14.789117429814899</v>
      </c>
      <c r="AB1172" s="4">
        <f t="shared" si="75"/>
        <v>14.733660267611867</v>
      </c>
    </row>
    <row r="1173" spans="2:28" x14ac:dyDescent="0.2">
      <c r="B1173" s="4" t="s">
        <v>761</v>
      </c>
      <c r="C1173" s="4">
        <v>15.3035</v>
      </c>
      <c r="D1173" s="4">
        <v>15.0146</v>
      </c>
      <c r="E1173" s="4">
        <v>14.341200000000001</v>
      </c>
      <c r="F1173" s="4">
        <f t="shared" si="72"/>
        <v>14.886433333333335</v>
      </c>
      <c r="I1173" s="4" t="s">
        <v>4008</v>
      </c>
      <c r="J1173" s="4">
        <v>14.8185</v>
      </c>
      <c r="K1173" s="4">
        <v>15.134399999999999</v>
      </c>
      <c r="L1173" s="4">
        <v>14.752000000000001</v>
      </c>
      <c r="M1173" s="4">
        <f t="shared" si="73"/>
        <v>14.901633333333335</v>
      </c>
      <c r="Q1173" s="43" t="s">
        <v>3642</v>
      </c>
      <c r="R1173" s="4">
        <v>14.809255831517699</v>
      </c>
      <c r="S1173" s="4">
        <v>14.572048616497201</v>
      </c>
      <c r="T1173" s="4">
        <v>14.6121630989027</v>
      </c>
      <c r="U1173" s="4">
        <f t="shared" si="74"/>
        <v>14.664489182305866</v>
      </c>
      <c r="X1173" s="43" t="s">
        <v>4070</v>
      </c>
      <c r="Y1173" s="4">
        <v>14.7792927535784</v>
      </c>
      <c r="Z1173" s="4">
        <v>14.7441080788475</v>
      </c>
      <c r="AA1173" s="4">
        <v>14.677093330151401</v>
      </c>
      <c r="AB1173" s="4">
        <f t="shared" si="75"/>
        <v>14.733498054192433</v>
      </c>
    </row>
    <row r="1174" spans="2:28" x14ac:dyDescent="0.2">
      <c r="B1174" s="4" t="s">
        <v>941</v>
      </c>
      <c r="C1174" s="4">
        <v>15.010400000000001</v>
      </c>
      <c r="D1174" s="4">
        <v>14.976800000000001</v>
      </c>
      <c r="E1174" s="4">
        <v>14.6709</v>
      </c>
      <c r="F1174" s="4">
        <f t="shared" si="72"/>
        <v>14.886033333333335</v>
      </c>
      <c r="I1174" s="4" t="s">
        <v>1611</v>
      </c>
      <c r="J1174" s="4">
        <v>15.5039</v>
      </c>
      <c r="K1174" s="4">
        <v>14.2052</v>
      </c>
      <c r="L1174" s="4">
        <v>14.9924</v>
      </c>
      <c r="M1174" s="4">
        <f t="shared" si="73"/>
        <v>14.900499999999999</v>
      </c>
      <c r="Q1174" s="43" t="s">
        <v>3828</v>
      </c>
      <c r="R1174" s="4">
        <v>14.6021607838492</v>
      </c>
      <c r="S1174" s="4">
        <v>14.5937334806317</v>
      </c>
      <c r="T1174" s="4">
        <v>14.7830103210211</v>
      </c>
      <c r="U1174" s="4">
        <f t="shared" si="74"/>
        <v>14.659634861834</v>
      </c>
      <c r="X1174" s="43" t="s">
        <v>3303</v>
      </c>
      <c r="Y1174" s="4">
        <v>14.782272911156401</v>
      </c>
      <c r="Z1174" s="4">
        <v>14.7802668231244</v>
      </c>
      <c r="AA1174" s="4">
        <v>14.627452803284701</v>
      </c>
      <c r="AB1174" s="4">
        <f t="shared" si="75"/>
        <v>14.729997512521834</v>
      </c>
    </row>
    <row r="1175" spans="2:28" x14ac:dyDescent="0.2">
      <c r="B1175" s="4" t="s">
        <v>2094</v>
      </c>
      <c r="C1175" s="4">
        <v>15.008800000000001</v>
      </c>
      <c r="D1175" s="4">
        <v>14.8249</v>
      </c>
      <c r="E1175" s="4">
        <v>14.821300000000001</v>
      </c>
      <c r="F1175" s="4">
        <f t="shared" si="72"/>
        <v>14.885</v>
      </c>
      <c r="I1175" s="4" t="s">
        <v>506</v>
      </c>
      <c r="J1175" s="4">
        <v>15.143000000000001</v>
      </c>
      <c r="K1175" s="4">
        <v>14.534700000000001</v>
      </c>
      <c r="L1175" s="4">
        <v>15.023400000000001</v>
      </c>
      <c r="M1175" s="4">
        <f t="shared" si="73"/>
        <v>14.900366666666669</v>
      </c>
      <c r="Q1175" s="43" t="s">
        <v>2391</v>
      </c>
      <c r="R1175" s="4">
        <v>14.809307858761001</v>
      </c>
      <c r="S1175" s="4">
        <v>14.5861261322329</v>
      </c>
      <c r="T1175" s="4">
        <v>14.579419426739401</v>
      </c>
      <c r="U1175" s="4">
        <f t="shared" si="74"/>
        <v>14.658284472577767</v>
      </c>
      <c r="X1175" s="43" t="s">
        <v>4289</v>
      </c>
      <c r="Y1175" s="4">
        <v>15.145021824858301</v>
      </c>
      <c r="Z1175" s="4">
        <v>14.4085449137546</v>
      </c>
      <c r="AA1175" s="4">
        <v>14.634517713085501</v>
      </c>
      <c r="AB1175" s="4">
        <f t="shared" si="75"/>
        <v>14.729361483899467</v>
      </c>
    </row>
    <row r="1176" spans="2:28" x14ac:dyDescent="0.2">
      <c r="B1176" s="4" t="s">
        <v>927</v>
      </c>
      <c r="C1176" s="4">
        <v>15.128</v>
      </c>
      <c r="D1176" s="4">
        <v>14.242000000000001</v>
      </c>
      <c r="E1176" s="4">
        <v>15.2842</v>
      </c>
      <c r="F1176" s="4">
        <f t="shared" si="72"/>
        <v>14.884733333333335</v>
      </c>
      <c r="I1176" s="4" t="s">
        <v>610</v>
      </c>
      <c r="J1176" s="4">
        <v>14.960699999999999</v>
      </c>
      <c r="K1176" s="4">
        <v>14.792199999999999</v>
      </c>
      <c r="L1176" s="4">
        <v>14.947800000000001</v>
      </c>
      <c r="M1176" s="4">
        <f t="shared" si="73"/>
        <v>14.900233333333333</v>
      </c>
      <c r="Q1176" s="43" t="s">
        <v>3719</v>
      </c>
      <c r="R1176" s="4">
        <v>14.7716955841017</v>
      </c>
      <c r="S1176" s="4">
        <v>14.4875405014061</v>
      </c>
      <c r="T1176" s="4">
        <v>14.7084947213574</v>
      </c>
      <c r="U1176" s="4">
        <f t="shared" si="74"/>
        <v>14.655910268955068</v>
      </c>
      <c r="X1176" s="43" t="s">
        <v>717</v>
      </c>
      <c r="Y1176" s="4">
        <v>14.943463639691499</v>
      </c>
      <c r="Z1176" s="4">
        <v>14.519673949061</v>
      </c>
      <c r="AA1176" s="4">
        <v>14.7237474717189</v>
      </c>
      <c r="AB1176" s="4">
        <f t="shared" si="75"/>
        <v>14.7289616868238</v>
      </c>
    </row>
    <row r="1177" spans="2:28" x14ac:dyDescent="0.2">
      <c r="B1177" s="4" t="s">
        <v>569</v>
      </c>
      <c r="C1177" s="4">
        <v>14.9041</v>
      </c>
      <c r="D1177" s="4">
        <v>15.0449</v>
      </c>
      <c r="E1177" s="4">
        <v>14.7003</v>
      </c>
      <c r="F1177" s="4">
        <f t="shared" si="72"/>
        <v>14.883099999999999</v>
      </c>
      <c r="I1177" s="4" t="s">
        <v>29</v>
      </c>
      <c r="J1177" s="4">
        <v>14.9824</v>
      </c>
      <c r="K1177" s="4">
        <v>14.525399999999999</v>
      </c>
      <c r="L1177" s="4">
        <v>15.1852</v>
      </c>
      <c r="M1177" s="4">
        <f t="shared" si="73"/>
        <v>14.897666666666666</v>
      </c>
      <c r="Q1177" s="43" t="s">
        <v>3246</v>
      </c>
      <c r="R1177" s="4">
        <v>15.113485159509301</v>
      </c>
      <c r="S1177" s="4">
        <v>14.3947030609951</v>
      </c>
      <c r="T1177" s="4">
        <v>14.457667253065599</v>
      </c>
      <c r="U1177" s="4">
        <f t="shared" si="74"/>
        <v>14.655285157856667</v>
      </c>
      <c r="X1177" s="43" t="s">
        <v>2613</v>
      </c>
      <c r="Y1177" s="4">
        <v>14.8169992995307</v>
      </c>
      <c r="Z1177" s="4">
        <v>14.688405208852</v>
      </c>
      <c r="AA1177" s="4">
        <v>14.671333110659001</v>
      </c>
      <c r="AB1177" s="4">
        <f t="shared" si="75"/>
        <v>14.725579206347234</v>
      </c>
    </row>
    <row r="1178" spans="2:28" x14ac:dyDescent="0.2">
      <c r="B1178" s="4" t="s">
        <v>1198</v>
      </c>
      <c r="C1178" s="4">
        <v>14.9376</v>
      </c>
      <c r="D1178" s="4">
        <v>15.009499999999999</v>
      </c>
      <c r="E1178" s="4">
        <v>14.700699999999999</v>
      </c>
      <c r="F1178" s="4">
        <f t="shared" si="72"/>
        <v>14.882599999999998</v>
      </c>
      <c r="I1178" s="4" t="s">
        <v>4029</v>
      </c>
      <c r="J1178" s="4">
        <v>14.9306</v>
      </c>
      <c r="K1178" s="4">
        <v>14.683299999999999</v>
      </c>
      <c r="L1178" s="4">
        <v>15.0731</v>
      </c>
      <c r="M1178" s="4">
        <f t="shared" si="73"/>
        <v>14.895666666666665</v>
      </c>
      <c r="Q1178" s="43" t="s">
        <v>2966</v>
      </c>
      <c r="R1178" s="4">
        <v>14.7749655094403</v>
      </c>
      <c r="S1178" s="4">
        <v>14.5570728577258</v>
      </c>
      <c r="T1178" s="4">
        <v>14.6266819981336</v>
      </c>
      <c r="U1178" s="4">
        <f t="shared" si="74"/>
        <v>14.652906788433233</v>
      </c>
      <c r="X1178" s="43" t="s">
        <v>3209</v>
      </c>
      <c r="Y1178" s="4">
        <v>14.6365656879226</v>
      </c>
      <c r="Z1178" s="4">
        <v>14.761109235583101</v>
      </c>
      <c r="AA1178" s="4">
        <v>14.7765622668602</v>
      </c>
      <c r="AB1178" s="4">
        <f t="shared" si="75"/>
        <v>14.724745730121967</v>
      </c>
    </row>
    <row r="1179" spans="2:28" x14ac:dyDescent="0.2">
      <c r="B1179" s="4" t="s">
        <v>609</v>
      </c>
      <c r="C1179" s="4">
        <v>14.2636</v>
      </c>
      <c r="D1179" s="4">
        <v>14.9369</v>
      </c>
      <c r="E1179" s="4">
        <v>15.442500000000001</v>
      </c>
      <c r="F1179" s="4">
        <f t="shared" si="72"/>
        <v>14.881</v>
      </c>
      <c r="I1179" s="4" t="s">
        <v>569</v>
      </c>
      <c r="J1179" s="4">
        <v>14.7658</v>
      </c>
      <c r="K1179" s="4">
        <v>15.4733</v>
      </c>
      <c r="L1179" s="4">
        <v>14.438000000000001</v>
      </c>
      <c r="M1179" s="4">
        <f t="shared" si="73"/>
        <v>14.892366666666668</v>
      </c>
      <c r="Q1179" s="43" t="s">
        <v>2235</v>
      </c>
      <c r="R1179" s="4">
        <v>14.7790745914812</v>
      </c>
      <c r="S1179" s="4">
        <v>14.644317312247701</v>
      </c>
      <c r="T1179" s="4">
        <v>14.5349331507771</v>
      </c>
      <c r="U1179" s="4">
        <f t="shared" si="74"/>
        <v>14.652775018168667</v>
      </c>
      <c r="X1179" s="43" t="s">
        <v>3169</v>
      </c>
      <c r="Y1179" s="4">
        <v>14.6270753334123</v>
      </c>
      <c r="Z1179" s="4">
        <v>14.8803563468713</v>
      </c>
      <c r="AA1179" s="4">
        <v>14.664256360518401</v>
      </c>
      <c r="AB1179" s="4">
        <f t="shared" si="75"/>
        <v>14.723896013600667</v>
      </c>
    </row>
    <row r="1180" spans="2:28" x14ac:dyDescent="0.2">
      <c r="B1180" s="4" t="s">
        <v>564</v>
      </c>
      <c r="C1180" s="4">
        <v>15.3109</v>
      </c>
      <c r="D1180" s="4">
        <v>14.4186</v>
      </c>
      <c r="E1180" s="4">
        <v>14.905799999999999</v>
      </c>
      <c r="F1180" s="4">
        <f t="shared" si="72"/>
        <v>14.878433333333334</v>
      </c>
      <c r="I1180" s="4" t="s">
        <v>3065</v>
      </c>
      <c r="J1180" s="4">
        <v>14.295400000000001</v>
      </c>
      <c r="K1180" s="4">
        <v>17.077999999999999</v>
      </c>
      <c r="L1180" s="4">
        <v>13.296799999999999</v>
      </c>
      <c r="M1180" s="4">
        <f t="shared" si="73"/>
        <v>14.890066666666668</v>
      </c>
      <c r="Q1180" s="43" t="s">
        <v>1902</v>
      </c>
      <c r="R1180" s="4">
        <v>14.758723990345899</v>
      </c>
      <c r="S1180" s="4">
        <v>14.574874155061099</v>
      </c>
      <c r="T1180" s="4">
        <v>14.621526426512499</v>
      </c>
      <c r="U1180" s="4">
        <f t="shared" si="74"/>
        <v>14.651708190639832</v>
      </c>
      <c r="X1180" s="43" t="s">
        <v>314</v>
      </c>
      <c r="Y1180" s="4">
        <v>14.6504147000757</v>
      </c>
      <c r="Z1180" s="4">
        <v>14.644461326227001</v>
      </c>
      <c r="AA1180" s="4">
        <v>14.874401064548801</v>
      </c>
      <c r="AB1180" s="4">
        <f t="shared" si="75"/>
        <v>14.723092363617168</v>
      </c>
    </row>
    <row r="1181" spans="2:28" x14ac:dyDescent="0.2">
      <c r="B1181" s="4" t="s">
        <v>2893</v>
      </c>
      <c r="C1181" s="4">
        <v>15.095700000000001</v>
      </c>
      <c r="D1181" s="4">
        <v>14.8226</v>
      </c>
      <c r="E1181" s="4">
        <v>14.707700000000001</v>
      </c>
      <c r="F1181" s="4">
        <f t="shared" si="72"/>
        <v>14.875333333333336</v>
      </c>
      <c r="I1181" s="4" t="s">
        <v>3619</v>
      </c>
      <c r="J1181" s="4">
        <v>14.7614</v>
      </c>
      <c r="K1181" s="4">
        <v>15.151999999999999</v>
      </c>
      <c r="L1181" s="4">
        <v>14.7514</v>
      </c>
      <c r="M1181" s="4">
        <f t="shared" si="73"/>
        <v>14.888266666666667</v>
      </c>
      <c r="Q1181" s="43" t="s">
        <v>2591</v>
      </c>
      <c r="R1181" s="4">
        <v>14.7491987628411</v>
      </c>
      <c r="S1181" s="4">
        <v>14.5914641466176</v>
      </c>
      <c r="T1181" s="4">
        <v>14.603852385480099</v>
      </c>
      <c r="U1181" s="4">
        <f t="shared" si="74"/>
        <v>14.648171764979599</v>
      </c>
      <c r="X1181" s="43" t="s">
        <v>2893</v>
      </c>
      <c r="Y1181" s="4">
        <v>14.7635194471285</v>
      </c>
      <c r="Z1181" s="4">
        <v>14.6277325178231</v>
      </c>
      <c r="AA1181" s="4">
        <v>14.7735447464065</v>
      </c>
      <c r="AB1181" s="4">
        <f t="shared" si="75"/>
        <v>14.721598903786033</v>
      </c>
    </row>
    <row r="1182" spans="2:28" x14ac:dyDescent="0.2">
      <c r="B1182" s="4" t="s">
        <v>2597</v>
      </c>
      <c r="C1182" s="4">
        <v>14.9838</v>
      </c>
      <c r="D1182" s="4">
        <v>14.9</v>
      </c>
      <c r="E1182" s="4">
        <v>14.7395</v>
      </c>
      <c r="F1182" s="4">
        <f t="shared" si="72"/>
        <v>14.874433333333334</v>
      </c>
      <c r="I1182" s="4" t="s">
        <v>1205</v>
      </c>
      <c r="J1182" s="4">
        <v>15.4377</v>
      </c>
      <c r="K1182" s="4">
        <v>14.7921</v>
      </c>
      <c r="L1182" s="4">
        <v>14.4244</v>
      </c>
      <c r="M1182" s="4">
        <f t="shared" si="73"/>
        <v>14.884733333333331</v>
      </c>
      <c r="Q1182" s="43" t="s">
        <v>1853</v>
      </c>
      <c r="R1182" s="4">
        <v>14.6939154072248</v>
      </c>
      <c r="S1182" s="4">
        <v>14.418169868541099</v>
      </c>
      <c r="T1182" s="4">
        <v>14.826896723429799</v>
      </c>
      <c r="U1182" s="4">
        <f t="shared" si="74"/>
        <v>14.646327333065232</v>
      </c>
      <c r="X1182" s="43" t="s">
        <v>3433</v>
      </c>
      <c r="Y1182" s="4">
        <v>14.618712692051901</v>
      </c>
      <c r="Z1182" s="4">
        <v>14.9157394444186</v>
      </c>
      <c r="AA1182" s="4">
        <v>14.6228166465083</v>
      </c>
      <c r="AB1182" s="4">
        <f t="shared" si="75"/>
        <v>14.719089594326265</v>
      </c>
    </row>
    <row r="1183" spans="2:28" x14ac:dyDescent="0.2">
      <c r="B1183" s="4" t="s">
        <v>73</v>
      </c>
      <c r="C1183" s="4">
        <v>14.6106</v>
      </c>
      <c r="D1183" s="4">
        <v>15.0634</v>
      </c>
      <c r="E1183" s="4">
        <v>14.947800000000001</v>
      </c>
      <c r="F1183" s="4">
        <f t="shared" si="72"/>
        <v>14.873933333333333</v>
      </c>
      <c r="I1183" s="4" t="s">
        <v>109</v>
      </c>
      <c r="J1183" s="4">
        <v>14.7355</v>
      </c>
      <c r="K1183" s="4">
        <v>15.004200000000001</v>
      </c>
      <c r="L1183" s="4">
        <v>14.899699999999999</v>
      </c>
      <c r="M1183" s="4">
        <f t="shared" si="73"/>
        <v>14.879799999999998</v>
      </c>
      <c r="Q1183" s="43" t="s">
        <v>2119</v>
      </c>
      <c r="R1183" s="4">
        <v>14.5778798391196</v>
      </c>
      <c r="S1183" s="4">
        <v>14.590291800611</v>
      </c>
      <c r="T1183" s="4">
        <v>14.7585742970225</v>
      </c>
      <c r="U1183" s="4">
        <f t="shared" si="74"/>
        <v>14.642248645584367</v>
      </c>
      <c r="X1183" s="43" t="s">
        <v>1524</v>
      </c>
      <c r="Y1183" s="4">
        <v>14.657284533820601</v>
      </c>
      <c r="Z1183" s="4">
        <v>15.017309480514999</v>
      </c>
      <c r="AA1183" s="4">
        <v>14.4793271749126</v>
      </c>
      <c r="AB1183" s="4">
        <f t="shared" si="75"/>
        <v>14.717973729749401</v>
      </c>
    </row>
    <row r="1184" spans="2:28" x14ac:dyDescent="0.2">
      <c r="B1184" s="4" t="s">
        <v>3209</v>
      </c>
      <c r="C1184" s="4">
        <v>14.6972</v>
      </c>
      <c r="D1184" s="4">
        <v>14.9489</v>
      </c>
      <c r="E1184" s="4">
        <v>14.9748</v>
      </c>
      <c r="F1184" s="4">
        <f t="shared" si="72"/>
        <v>14.873633333333332</v>
      </c>
      <c r="I1184" s="4" t="s">
        <v>2571</v>
      </c>
      <c r="J1184" s="4">
        <v>15.2224</v>
      </c>
      <c r="K1184" s="4">
        <v>13.4414</v>
      </c>
      <c r="L1184" s="4">
        <v>15.972200000000001</v>
      </c>
      <c r="M1184" s="4">
        <f t="shared" si="73"/>
        <v>14.878666666666668</v>
      </c>
      <c r="Q1184" s="43" t="s">
        <v>4070</v>
      </c>
      <c r="R1184" s="4">
        <v>14.7038446956372</v>
      </c>
      <c r="S1184" s="4">
        <v>14.7972300379929</v>
      </c>
      <c r="T1184" s="4">
        <v>14.4212561022479</v>
      </c>
      <c r="U1184" s="4">
        <f t="shared" si="74"/>
        <v>14.640776945292666</v>
      </c>
      <c r="X1184" s="43" t="s">
        <v>1556</v>
      </c>
      <c r="Y1184" s="4">
        <v>14.390655967276301</v>
      </c>
      <c r="Z1184" s="4">
        <v>14.7225930619212</v>
      </c>
      <c r="AA1184" s="4">
        <v>15.033296984280399</v>
      </c>
      <c r="AB1184" s="4">
        <f t="shared" si="75"/>
        <v>14.715515337825968</v>
      </c>
    </row>
    <row r="1185" spans="2:28" x14ac:dyDescent="0.2">
      <c r="B1185" s="4" t="s">
        <v>1798</v>
      </c>
      <c r="C1185" s="4">
        <v>15.1911</v>
      </c>
      <c r="D1185" s="4">
        <v>15.110900000000001</v>
      </c>
      <c r="E1185" s="4">
        <v>14.299200000000001</v>
      </c>
      <c r="F1185" s="4">
        <f t="shared" si="72"/>
        <v>14.867066666666666</v>
      </c>
      <c r="I1185" s="4" t="s">
        <v>1436</v>
      </c>
      <c r="J1185" s="4">
        <v>14.6988</v>
      </c>
      <c r="K1185" s="4">
        <v>15.0769</v>
      </c>
      <c r="L1185" s="4">
        <v>14.8535</v>
      </c>
      <c r="M1185" s="4">
        <f t="shared" si="73"/>
        <v>14.876399999999999</v>
      </c>
      <c r="Q1185" s="43" t="s">
        <v>3053</v>
      </c>
      <c r="R1185" s="4">
        <v>14.4193239777461</v>
      </c>
      <c r="S1185" s="4">
        <v>14.572015360452699</v>
      </c>
      <c r="T1185" s="4">
        <v>14.9267319144056</v>
      </c>
      <c r="U1185" s="4">
        <f t="shared" si="74"/>
        <v>14.639357084201466</v>
      </c>
      <c r="X1185" s="43" t="s">
        <v>4443</v>
      </c>
      <c r="Y1185" s="4">
        <v>14.5872792099254</v>
      </c>
      <c r="Z1185" s="4">
        <v>14.731195882834299</v>
      </c>
      <c r="AA1185" s="4">
        <v>14.824111094397701</v>
      </c>
      <c r="AB1185" s="4">
        <f t="shared" si="75"/>
        <v>14.714195395719132</v>
      </c>
    </row>
    <row r="1186" spans="2:28" x14ac:dyDescent="0.2">
      <c r="B1186" s="4" t="s">
        <v>3378</v>
      </c>
      <c r="C1186" s="4">
        <v>14.704499999999999</v>
      </c>
      <c r="D1186" s="4">
        <v>14.740500000000001</v>
      </c>
      <c r="E1186" s="4">
        <v>15.152699999999999</v>
      </c>
      <c r="F1186" s="4">
        <f t="shared" si="72"/>
        <v>14.865900000000002</v>
      </c>
      <c r="I1186" s="4" t="s">
        <v>997</v>
      </c>
      <c r="J1186" s="4">
        <v>14.635999999999999</v>
      </c>
      <c r="K1186" s="4">
        <v>15.2936</v>
      </c>
      <c r="L1186" s="4">
        <v>14.693099999999999</v>
      </c>
      <c r="M1186" s="4">
        <f t="shared" si="73"/>
        <v>14.874233333333335</v>
      </c>
      <c r="Q1186" s="43" t="s">
        <v>2161</v>
      </c>
      <c r="R1186" s="4">
        <v>14.776237056607201</v>
      </c>
      <c r="S1186" s="4">
        <v>14.571845600831599</v>
      </c>
      <c r="T1186" s="4">
        <v>14.569150031808499</v>
      </c>
      <c r="U1186" s="4">
        <f t="shared" si="74"/>
        <v>14.639077563082433</v>
      </c>
      <c r="X1186" s="43" t="s">
        <v>2824</v>
      </c>
      <c r="Y1186" s="4">
        <v>14.6990045368957</v>
      </c>
      <c r="Z1186" s="4">
        <v>14.6607331061289</v>
      </c>
      <c r="AA1186" s="4">
        <v>14.778522968729799</v>
      </c>
      <c r="AB1186" s="4">
        <f t="shared" si="75"/>
        <v>14.712753537251468</v>
      </c>
    </row>
    <row r="1187" spans="2:28" x14ac:dyDescent="0.2">
      <c r="B1187" s="4" t="s">
        <v>2166</v>
      </c>
      <c r="C1187" s="4">
        <v>15.022399999999999</v>
      </c>
      <c r="D1187" s="4">
        <v>15.151999999999999</v>
      </c>
      <c r="E1187" s="4">
        <v>14.4171</v>
      </c>
      <c r="F1187" s="4">
        <f t="shared" si="72"/>
        <v>14.863833333333332</v>
      </c>
      <c r="I1187" s="4" t="s">
        <v>464</v>
      </c>
      <c r="J1187" s="4">
        <v>15.096</v>
      </c>
      <c r="K1187" s="4">
        <v>14.789</v>
      </c>
      <c r="L1187" s="4">
        <v>14.734400000000001</v>
      </c>
      <c r="M1187" s="4">
        <f t="shared" si="73"/>
        <v>14.873133333333334</v>
      </c>
      <c r="Q1187" s="43" t="s">
        <v>3857</v>
      </c>
      <c r="R1187" s="4">
        <v>14.585065156562599</v>
      </c>
      <c r="S1187" s="4">
        <v>14.4993382734559</v>
      </c>
      <c r="T1187" s="4">
        <v>14.827488516557199</v>
      </c>
      <c r="U1187" s="4">
        <f t="shared" si="74"/>
        <v>14.637297315525231</v>
      </c>
      <c r="X1187" s="43" t="s">
        <v>2572</v>
      </c>
      <c r="Y1187" s="4">
        <v>14.938708707420499</v>
      </c>
      <c r="Z1187" s="4">
        <v>14.697842197473401</v>
      </c>
      <c r="AA1187" s="4">
        <v>14.4988036892127</v>
      </c>
      <c r="AB1187" s="4">
        <f t="shared" si="75"/>
        <v>14.711784864702201</v>
      </c>
    </row>
    <row r="1188" spans="2:28" x14ac:dyDescent="0.2">
      <c r="B1188" s="4" t="s">
        <v>2253</v>
      </c>
      <c r="C1188" s="4">
        <v>14.971500000000001</v>
      </c>
      <c r="D1188" s="4">
        <v>14.789</v>
      </c>
      <c r="E1188" s="4">
        <v>14.8278</v>
      </c>
      <c r="F1188" s="4">
        <f t="shared" si="72"/>
        <v>14.862766666666667</v>
      </c>
      <c r="I1188" s="4" t="s">
        <v>3128</v>
      </c>
      <c r="J1188" s="4">
        <v>14.675000000000001</v>
      </c>
      <c r="K1188" s="4">
        <v>15.622</v>
      </c>
      <c r="L1188" s="4">
        <v>14.3177</v>
      </c>
      <c r="M1188" s="4">
        <f t="shared" si="73"/>
        <v>14.871566666666666</v>
      </c>
      <c r="Q1188" s="43" t="s">
        <v>443</v>
      </c>
      <c r="R1188" s="4">
        <v>14.6131748121306</v>
      </c>
      <c r="S1188" s="4">
        <v>14.700736957793399</v>
      </c>
      <c r="T1188" s="4">
        <v>14.568740497289401</v>
      </c>
      <c r="U1188" s="4">
        <f t="shared" si="74"/>
        <v>14.627550755737801</v>
      </c>
      <c r="X1188" s="43" t="s">
        <v>2593</v>
      </c>
      <c r="Y1188" s="4">
        <v>14.659764578873499</v>
      </c>
      <c r="Z1188" s="4">
        <v>14.758459717175</v>
      </c>
      <c r="AA1188" s="4">
        <v>14.715378589698201</v>
      </c>
      <c r="AB1188" s="4">
        <f t="shared" si="75"/>
        <v>14.711200961915566</v>
      </c>
    </row>
    <row r="1189" spans="2:28" x14ac:dyDescent="0.2">
      <c r="B1189" s="4" t="s">
        <v>2913</v>
      </c>
      <c r="C1189" s="4">
        <v>14.9499</v>
      </c>
      <c r="D1189" s="4">
        <v>14.902100000000001</v>
      </c>
      <c r="E1189" s="4">
        <v>14.731999999999999</v>
      </c>
      <c r="F1189" s="4">
        <f t="shared" si="72"/>
        <v>14.861333333333334</v>
      </c>
      <c r="I1189" s="4" t="s">
        <v>380</v>
      </c>
      <c r="J1189" s="4">
        <v>14.8584</v>
      </c>
      <c r="K1189" s="4">
        <v>14.7197</v>
      </c>
      <c r="L1189" s="4">
        <v>15.0282</v>
      </c>
      <c r="M1189" s="4">
        <f t="shared" si="73"/>
        <v>14.868766666666666</v>
      </c>
      <c r="Q1189" s="43" t="s">
        <v>3066</v>
      </c>
      <c r="R1189" s="4">
        <v>14.7287775934078</v>
      </c>
      <c r="S1189" s="4">
        <v>14.7754920258648</v>
      </c>
      <c r="T1189" s="4">
        <v>14.376767551876</v>
      </c>
      <c r="U1189" s="4">
        <f t="shared" si="74"/>
        <v>14.627012390382866</v>
      </c>
      <c r="X1189" s="43" t="s">
        <v>3472</v>
      </c>
      <c r="Y1189" s="4">
        <v>14.55211826677</v>
      </c>
      <c r="Z1189" s="4">
        <v>14.815663745276201</v>
      </c>
      <c r="AA1189" s="4">
        <v>14.7475828243393</v>
      </c>
      <c r="AB1189" s="4">
        <f t="shared" si="75"/>
        <v>14.705121612128499</v>
      </c>
    </row>
    <row r="1190" spans="2:28" x14ac:dyDescent="0.2">
      <c r="B1190" s="4" t="s">
        <v>2621</v>
      </c>
      <c r="C1190" s="4">
        <v>14.9711</v>
      </c>
      <c r="D1190" s="4">
        <v>14.818</v>
      </c>
      <c r="E1190" s="4">
        <v>14.7926</v>
      </c>
      <c r="F1190" s="4">
        <f t="shared" si="72"/>
        <v>14.860566666666665</v>
      </c>
      <c r="I1190" s="4" t="s">
        <v>3988</v>
      </c>
      <c r="J1190" s="4">
        <v>14.922000000000001</v>
      </c>
      <c r="K1190" s="4">
        <v>14.569800000000001</v>
      </c>
      <c r="L1190" s="4">
        <v>15.1144</v>
      </c>
      <c r="M1190" s="4">
        <f t="shared" si="73"/>
        <v>14.868733333333333</v>
      </c>
      <c r="Q1190" s="43" t="s">
        <v>2757</v>
      </c>
      <c r="R1190" s="4">
        <v>14.854591277173601</v>
      </c>
      <c r="S1190" s="4">
        <v>14.519062549595899</v>
      </c>
      <c r="T1190" s="4">
        <v>14.5012264857536</v>
      </c>
      <c r="U1190" s="4">
        <f t="shared" si="74"/>
        <v>14.624960104174365</v>
      </c>
      <c r="X1190" s="43" t="s">
        <v>4542</v>
      </c>
      <c r="Y1190" s="4">
        <v>14.6315312694248</v>
      </c>
      <c r="Z1190" s="4">
        <v>14.554871394584399</v>
      </c>
      <c r="AA1190" s="4">
        <v>14.9283271309145</v>
      </c>
      <c r="AB1190" s="4">
        <f t="shared" si="75"/>
        <v>14.704909931641234</v>
      </c>
    </row>
    <row r="1191" spans="2:28" x14ac:dyDescent="0.2">
      <c r="B1191" s="4" t="s">
        <v>2799</v>
      </c>
      <c r="C1191" s="4">
        <v>14.941000000000001</v>
      </c>
      <c r="D1191" s="4">
        <v>14.9025</v>
      </c>
      <c r="E1191" s="4">
        <v>14.7258</v>
      </c>
      <c r="F1191" s="4">
        <f t="shared" si="72"/>
        <v>14.856433333333333</v>
      </c>
      <c r="I1191" s="4" t="s">
        <v>670</v>
      </c>
      <c r="J1191" s="4">
        <v>14.631500000000001</v>
      </c>
      <c r="K1191" s="4">
        <v>15.6195</v>
      </c>
      <c r="L1191" s="4">
        <v>14.351100000000001</v>
      </c>
      <c r="M1191" s="4">
        <f t="shared" si="73"/>
        <v>14.867366666666667</v>
      </c>
      <c r="Q1191" s="43" t="s">
        <v>3826</v>
      </c>
      <c r="R1191" s="4">
        <v>14.6869482086188</v>
      </c>
      <c r="S1191" s="4">
        <v>14.7051195269656</v>
      </c>
      <c r="T1191" s="4">
        <v>14.472584251278599</v>
      </c>
      <c r="U1191" s="4">
        <f t="shared" si="74"/>
        <v>14.621550662287666</v>
      </c>
      <c r="X1191" s="43" t="s">
        <v>3646</v>
      </c>
      <c r="Y1191" s="4">
        <v>14.711271201984699</v>
      </c>
      <c r="Z1191" s="4">
        <v>14.7184305293913</v>
      </c>
      <c r="AA1191" s="4">
        <v>14.6773150304713</v>
      </c>
      <c r="AB1191" s="4">
        <f t="shared" si="75"/>
        <v>14.702338920615766</v>
      </c>
    </row>
    <row r="1192" spans="2:28" x14ac:dyDescent="0.2">
      <c r="B1192" s="4" t="s">
        <v>608</v>
      </c>
      <c r="C1192" s="4">
        <v>14.706099999999999</v>
      </c>
      <c r="D1192" s="4">
        <v>14.8149</v>
      </c>
      <c r="E1192" s="4">
        <v>15.047499999999999</v>
      </c>
      <c r="F1192" s="4">
        <f t="shared" si="72"/>
        <v>14.856166666666667</v>
      </c>
      <c r="I1192" s="4" t="s">
        <v>2880</v>
      </c>
      <c r="J1192" s="4">
        <v>15.0154</v>
      </c>
      <c r="K1192" s="4">
        <v>14.7803</v>
      </c>
      <c r="L1192" s="4">
        <v>14.8024</v>
      </c>
      <c r="M1192" s="4">
        <f t="shared" si="73"/>
        <v>14.866033333333334</v>
      </c>
      <c r="Q1192" s="43" t="s">
        <v>2798</v>
      </c>
      <c r="R1192" s="4">
        <v>14.614376678400101</v>
      </c>
      <c r="S1192" s="4">
        <v>14.5896915691542</v>
      </c>
      <c r="T1192" s="4">
        <v>14.6490418438229</v>
      </c>
      <c r="U1192" s="4">
        <f t="shared" si="74"/>
        <v>14.617703363792401</v>
      </c>
      <c r="X1192" s="43" t="s">
        <v>4486</v>
      </c>
      <c r="Y1192" s="4">
        <v>14.578999195228301</v>
      </c>
      <c r="Z1192" s="4">
        <v>14.726249715429701</v>
      </c>
      <c r="AA1192" s="4">
        <v>14.789819885227701</v>
      </c>
      <c r="AB1192" s="4">
        <f t="shared" si="75"/>
        <v>14.698356265295233</v>
      </c>
    </row>
    <row r="1193" spans="2:28" x14ac:dyDescent="0.2">
      <c r="B1193" s="4" t="s">
        <v>3514</v>
      </c>
      <c r="C1193" s="4">
        <v>15.1069</v>
      </c>
      <c r="D1193" s="4">
        <v>14.7317</v>
      </c>
      <c r="E1193" s="4">
        <v>14.7254</v>
      </c>
      <c r="F1193" s="4">
        <f t="shared" si="72"/>
        <v>14.854666666666667</v>
      </c>
      <c r="I1193" s="4" t="s">
        <v>2217</v>
      </c>
      <c r="J1193" s="4">
        <v>14.887700000000001</v>
      </c>
      <c r="K1193" s="4">
        <v>14.9339</v>
      </c>
      <c r="L1193" s="4">
        <v>14.774699999999999</v>
      </c>
      <c r="M1193" s="4">
        <f t="shared" si="73"/>
        <v>14.865433333333334</v>
      </c>
      <c r="Q1193" s="43" t="s">
        <v>4065</v>
      </c>
      <c r="R1193" s="4">
        <v>14.650283429446599</v>
      </c>
      <c r="S1193" s="4">
        <v>14.563361621920899</v>
      </c>
      <c r="T1193" s="4">
        <v>14.634788192723301</v>
      </c>
      <c r="U1193" s="4">
        <f t="shared" si="74"/>
        <v>14.616144414696933</v>
      </c>
      <c r="X1193" s="43" t="s">
        <v>473</v>
      </c>
      <c r="Y1193" s="4">
        <v>14.669050953439401</v>
      </c>
      <c r="Z1193" s="4">
        <v>14.755172927861</v>
      </c>
      <c r="AA1193" s="4">
        <v>14.652259701873399</v>
      </c>
      <c r="AB1193" s="4">
        <f t="shared" si="75"/>
        <v>14.692161194391266</v>
      </c>
    </row>
    <row r="1194" spans="2:28" x14ac:dyDescent="0.2">
      <c r="B1194" s="4" t="s">
        <v>881</v>
      </c>
      <c r="C1194" s="4">
        <v>14.9636</v>
      </c>
      <c r="D1194" s="4">
        <v>14.831300000000001</v>
      </c>
      <c r="E1194" s="4">
        <v>14.763400000000001</v>
      </c>
      <c r="F1194" s="4">
        <f t="shared" si="72"/>
        <v>14.852766666666668</v>
      </c>
      <c r="I1194" s="4" t="s">
        <v>2921</v>
      </c>
      <c r="J1194" s="4">
        <v>15.173299999999999</v>
      </c>
      <c r="K1194" s="4">
        <v>14.492800000000001</v>
      </c>
      <c r="L1194" s="4">
        <v>14.9176</v>
      </c>
      <c r="M1194" s="4">
        <f t="shared" si="73"/>
        <v>14.861233333333333</v>
      </c>
      <c r="Q1194" s="43" t="s">
        <v>1270</v>
      </c>
      <c r="R1194" s="4">
        <v>14.4713600503992</v>
      </c>
      <c r="S1194" s="4">
        <v>14.583507868319799</v>
      </c>
      <c r="T1194" s="4">
        <v>14.7767273510426</v>
      </c>
      <c r="U1194" s="4">
        <f t="shared" si="74"/>
        <v>14.6105317565872</v>
      </c>
      <c r="X1194" s="43" t="s">
        <v>2742</v>
      </c>
      <c r="Y1194" s="4">
        <v>14.6703822127183</v>
      </c>
      <c r="Z1194" s="4">
        <v>14.7811293650875</v>
      </c>
      <c r="AA1194" s="4">
        <v>14.6243874801676</v>
      </c>
      <c r="AB1194" s="4">
        <f t="shared" si="75"/>
        <v>14.691966352657801</v>
      </c>
    </row>
    <row r="1195" spans="2:28" x14ac:dyDescent="0.2">
      <c r="B1195" s="4" t="s">
        <v>2507</v>
      </c>
      <c r="C1195" s="4">
        <v>15.2079</v>
      </c>
      <c r="D1195" s="4">
        <v>14.827500000000001</v>
      </c>
      <c r="E1195" s="4">
        <v>14.516299999999999</v>
      </c>
      <c r="F1195" s="4">
        <f t="shared" si="72"/>
        <v>14.850566666666667</v>
      </c>
      <c r="I1195" s="4" t="s">
        <v>921</v>
      </c>
      <c r="J1195" s="4">
        <v>14.195600000000001</v>
      </c>
      <c r="K1195" s="4">
        <v>15.363099999999999</v>
      </c>
      <c r="L1195" s="4">
        <v>15.022600000000001</v>
      </c>
      <c r="M1195" s="4">
        <f t="shared" si="73"/>
        <v>14.860433333333333</v>
      </c>
      <c r="Q1195" s="43" t="s">
        <v>38</v>
      </c>
      <c r="R1195" s="4">
        <v>14.4824310206499</v>
      </c>
      <c r="S1195" s="4">
        <v>14.4932204175485</v>
      </c>
      <c r="T1195" s="4">
        <v>14.853671288193199</v>
      </c>
      <c r="U1195" s="4">
        <f t="shared" si="74"/>
        <v>14.609774242130532</v>
      </c>
      <c r="X1195" s="43" t="s">
        <v>2607</v>
      </c>
      <c r="Y1195" s="4">
        <v>14.7590375194922</v>
      </c>
      <c r="Z1195" s="4">
        <v>14.5719097431073</v>
      </c>
      <c r="AA1195" s="4">
        <v>14.7439571841093</v>
      </c>
      <c r="AB1195" s="4">
        <f t="shared" si="75"/>
        <v>14.6916348155696</v>
      </c>
    </row>
    <row r="1196" spans="2:28" x14ac:dyDescent="0.2">
      <c r="B1196" s="4" t="s">
        <v>1273</v>
      </c>
      <c r="C1196" s="4">
        <v>14.7178</v>
      </c>
      <c r="D1196" s="4">
        <v>14.802099999999999</v>
      </c>
      <c r="E1196" s="4">
        <v>15.0307</v>
      </c>
      <c r="F1196" s="4">
        <f t="shared" si="72"/>
        <v>14.850200000000001</v>
      </c>
      <c r="I1196" s="4" t="s">
        <v>1040</v>
      </c>
      <c r="J1196" s="4">
        <v>14.8233</v>
      </c>
      <c r="K1196" s="4">
        <v>14.622299999999999</v>
      </c>
      <c r="L1196" s="4">
        <v>15.1304</v>
      </c>
      <c r="M1196" s="4">
        <f t="shared" si="73"/>
        <v>14.858666666666666</v>
      </c>
      <c r="Q1196" s="43" t="s">
        <v>1031</v>
      </c>
      <c r="R1196" s="4">
        <v>14.2600532032584</v>
      </c>
      <c r="S1196" s="4">
        <v>14.8268787683387</v>
      </c>
      <c r="T1196" s="4">
        <v>14.740517250716699</v>
      </c>
      <c r="U1196" s="4">
        <f t="shared" si="74"/>
        <v>14.609149740771267</v>
      </c>
      <c r="X1196" s="43" t="s">
        <v>3124</v>
      </c>
      <c r="Y1196" s="4">
        <v>14.775486098975501</v>
      </c>
      <c r="Z1196" s="4">
        <v>14.6156484501075</v>
      </c>
      <c r="AA1196" s="4">
        <v>14.6819031021633</v>
      </c>
      <c r="AB1196" s="4">
        <f t="shared" si="75"/>
        <v>14.691012550415431</v>
      </c>
    </row>
    <row r="1197" spans="2:28" x14ac:dyDescent="0.2">
      <c r="B1197" s="4" t="s">
        <v>276</v>
      </c>
      <c r="C1197" s="4">
        <v>14.542</v>
      </c>
      <c r="D1197" s="4">
        <v>14.6737</v>
      </c>
      <c r="E1197" s="4">
        <v>15.329599999999999</v>
      </c>
      <c r="F1197" s="4">
        <f t="shared" si="72"/>
        <v>14.848433333333332</v>
      </c>
      <c r="I1197" s="4" t="s">
        <v>3683</v>
      </c>
      <c r="J1197" s="4">
        <v>14.7681</v>
      </c>
      <c r="K1197" s="4">
        <v>14.9109</v>
      </c>
      <c r="L1197" s="4">
        <v>14.890700000000001</v>
      </c>
      <c r="M1197" s="4">
        <f t="shared" si="73"/>
        <v>14.856566666666668</v>
      </c>
      <c r="Q1197" s="43" t="s">
        <v>148</v>
      </c>
      <c r="R1197" s="4">
        <v>14.8703694313866</v>
      </c>
      <c r="S1197" s="4">
        <v>14.4991805473221</v>
      </c>
      <c r="T1197" s="4">
        <v>14.45175987433</v>
      </c>
      <c r="U1197" s="4">
        <f t="shared" si="74"/>
        <v>14.607103284346232</v>
      </c>
      <c r="X1197" s="43" t="s">
        <v>85</v>
      </c>
      <c r="Y1197" s="4">
        <v>14.7748142791225</v>
      </c>
      <c r="Z1197" s="4">
        <v>14.700741128203401</v>
      </c>
      <c r="AA1197" s="4">
        <v>14.596149202026099</v>
      </c>
      <c r="AB1197" s="4">
        <f t="shared" si="75"/>
        <v>14.690568203117332</v>
      </c>
    </row>
    <row r="1198" spans="2:28" x14ac:dyDescent="0.2">
      <c r="B1198" s="4" t="s">
        <v>2671</v>
      </c>
      <c r="C1198" s="4">
        <v>14.713900000000001</v>
      </c>
      <c r="D1198" s="4">
        <v>14.979799999999999</v>
      </c>
      <c r="E1198" s="4">
        <v>14.846399999999999</v>
      </c>
      <c r="F1198" s="4">
        <f t="shared" si="72"/>
        <v>14.846699999999998</v>
      </c>
      <c r="I1198" s="4" t="s">
        <v>120</v>
      </c>
      <c r="J1198" s="4">
        <v>15.120100000000001</v>
      </c>
      <c r="K1198" s="4">
        <v>14.687900000000001</v>
      </c>
      <c r="L1198" s="4">
        <v>14.7585</v>
      </c>
      <c r="M1198" s="4">
        <f t="shared" si="73"/>
        <v>14.855499999999999</v>
      </c>
      <c r="Q1198" s="43" t="s">
        <v>3860</v>
      </c>
      <c r="R1198" s="4">
        <v>14.680081557119101</v>
      </c>
      <c r="S1198" s="4">
        <v>14.572798171416901</v>
      </c>
      <c r="T1198" s="4">
        <v>14.565227224695301</v>
      </c>
      <c r="U1198" s="4">
        <f t="shared" si="74"/>
        <v>14.6060356510771</v>
      </c>
      <c r="X1198" s="43" t="s">
        <v>177</v>
      </c>
      <c r="Y1198" s="4">
        <v>14.547562199790301</v>
      </c>
      <c r="Z1198" s="4">
        <v>14.719035006649699</v>
      </c>
      <c r="AA1198" s="4">
        <v>14.8019229037349</v>
      </c>
      <c r="AB1198" s="4">
        <f t="shared" si="75"/>
        <v>14.689506703391634</v>
      </c>
    </row>
    <row r="1199" spans="2:28" x14ac:dyDescent="0.2">
      <c r="B1199" s="4" t="s">
        <v>791</v>
      </c>
      <c r="C1199" s="4">
        <v>14.528</v>
      </c>
      <c r="D1199" s="4">
        <v>15.758699999999999</v>
      </c>
      <c r="E1199" s="4">
        <v>14.245900000000001</v>
      </c>
      <c r="F1199" s="4">
        <f t="shared" si="72"/>
        <v>14.844200000000001</v>
      </c>
      <c r="I1199" s="4" t="s">
        <v>3133</v>
      </c>
      <c r="J1199" s="4">
        <v>14.8607</v>
      </c>
      <c r="K1199" s="4">
        <v>14.585599999999999</v>
      </c>
      <c r="L1199" s="4">
        <v>15.1105</v>
      </c>
      <c r="M1199" s="4">
        <f t="shared" si="73"/>
        <v>14.852266666666667</v>
      </c>
      <c r="Q1199" s="43" t="s">
        <v>2103</v>
      </c>
      <c r="R1199" s="4">
        <v>14.7039767260275</v>
      </c>
      <c r="S1199" s="4">
        <v>14.591985764516799</v>
      </c>
      <c r="T1199" s="4">
        <v>14.5142562352254</v>
      </c>
      <c r="U1199" s="4">
        <f t="shared" si="74"/>
        <v>14.603406241923233</v>
      </c>
      <c r="X1199" s="43" t="s">
        <v>94</v>
      </c>
      <c r="Y1199" s="4">
        <v>14.489051027391399</v>
      </c>
      <c r="Z1199" s="4">
        <v>14.770953743623201</v>
      </c>
      <c r="AA1199" s="4">
        <v>14.801257973042199</v>
      </c>
      <c r="AB1199" s="4">
        <f t="shared" si="75"/>
        <v>14.687087581352266</v>
      </c>
    </row>
    <row r="1200" spans="2:28" x14ac:dyDescent="0.2">
      <c r="B1200" s="4" t="s">
        <v>368</v>
      </c>
      <c r="C1200" s="4">
        <v>14.564299999999999</v>
      </c>
      <c r="D1200" s="4">
        <v>14.942500000000001</v>
      </c>
      <c r="E1200" s="4">
        <v>15.024100000000001</v>
      </c>
      <c r="F1200" s="4">
        <f t="shared" si="72"/>
        <v>14.843633333333335</v>
      </c>
      <c r="I1200" s="4" t="s">
        <v>552</v>
      </c>
      <c r="J1200" s="4">
        <v>14.8268</v>
      </c>
      <c r="K1200" s="4">
        <v>15.0663</v>
      </c>
      <c r="L1200" s="4">
        <v>14.6608</v>
      </c>
      <c r="M1200" s="4">
        <f t="shared" si="73"/>
        <v>14.8513</v>
      </c>
      <c r="Q1200" s="43" t="s">
        <v>1157</v>
      </c>
      <c r="R1200" s="4">
        <v>14.736610098507001</v>
      </c>
      <c r="S1200" s="4">
        <v>14.4889315872436</v>
      </c>
      <c r="T1200" s="4">
        <v>14.5734543863799</v>
      </c>
      <c r="U1200" s="4">
        <f t="shared" si="74"/>
        <v>14.599665357376834</v>
      </c>
      <c r="X1200" s="43" t="s">
        <v>1216</v>
      </c>
      <c r="Y1200" s="4">
        <v>14.7509413214822</v>
      </c>
      <c r="Z1200" s="4">
        <v>14.315555418942401</v>
      </c>
      <c r="AA1200" s="4">
        <v>14.985741818682699</v>
      </c>
      <c r="AB1200" s="4">
        <f t="shared" si="75"/>
        <v>14.684079519702435</v>
      </c>
    </row>
    <row r="1201" spans="2:28" x14ac:dyDescent="0.2">
      <c r="B1201" s="4" t="s">
        <v>1204</v>
      </c>
      <c r="C1201" s="4">
        <v>14.8606</v>
      </c>
      <c r="D1201" s="4">
        <v>14.796099999999999</v>
      </c>
      <c r="E1201" s="4">
        <v>14.849600000000001</v>
      </c>
      <c r="F1201" s="4">
        <f t="shared" si="72"/>
        <v>14.835433333333334</v>
      </c>
      <c r="I1201" s="4" t="s">
        <v>2617</v>
      </c>
      <c r="J1201" s="4">
        <v>13.2614</v>
      </c>
      <c r="K1201" s="4">
        <v>16.689</v>
      </c>
      <c r="L1201" s="4">
        <v>14.599600000000001</v>
      </c>
      <c r="M1201" s="4">
        <f t="shared" si="73"/>
        <v>14.850000000000001</v>
      </c>
      <c r="Q1201" s="43" t="s">
        <v>1222</v>
      </c>
      <c r="R1201" s="4">
        <v>14.5933632998184</v>
      </c>
      <c r="S1201" s="4">
        <v>14.633300054821399</v>
      </c>
      <c r="T1201" s="4">
        <v>14.5647673924444</v>
      </c>
      <c r="U1201" s="4">
        <f t="shared" si="74"/>
        <v>14.597143582361399</v>
      </c>
      <c r="X1201" s="43" t="s">
        <v>1468</v>
      </c>
      <c r="Y1201" s="4">
        <v>14.714000285976599</v>
      </c>
      <c r="Z1201" s="4">
        <v>14.8650817535936</v>
      </c>
      <c r="AA1201" s="4">
        <v>14.472977651121299</v>
      </c>
      <c r="AB1201" s="4">
        <f t="shared" si="75"/>
        <v>14.684019896897167</v>
      </c>
    </row>
    <row r="1202" spans="2:28" x14ac:dyDescent="0.2">
      <c r="B1202" s="4" t="s">
        <v>512</v>
      </c>
      <c r="C1202" s="4">
        <v>14.809200000000001</v>
      </c>
      <c r="D1202" s="4">
        <v>14.283799999999999</v>
      </c>
      <c r="E1202" s="4">
        <v>15.412800000000001</v>
      </c>
      <c r="F1202" s="4">
        <f t="shared" si="72"/>
        <v>14.835266666666667</v>
      </c>
      <c r="I1202" s="4" t="s">
        <v>2657</v>
      </c>
      <c r="J1202" s="4">
        <v>14.7012</v>
      </c>
      <c r="K1202" s="4">
        <v>15.1005</v>
      </c>
      <c r="L1202" s="4">
        <v>14.743600000000001</v>
      </c>
      <c r="M1202" s="4">
        <f t="shared" si="73"/>
        <v>14.848433333333332</v>
      </c>
      <c r="Q1202" s="43" t="s">
        <v>2179</v>
      </c>
      <c r="R1202" s="4">
        <v>14.6586549441858</v>
      </c>
      <c r="S1202" s="4">
        <v>14.401754130132501</v>
      </c>
      <c r="T1202" s="4">
        <v>14.7296809851678</v>
      </c>
      <c r="U1202" s="4">
        <f t="shared" si="74"/>
        <v>14.596696686495369</v>
      </c>
      <c r="X1202" s="43" t="s">
        <v>2853</v>
      </c>
      <c r="Y1202" s="4">
        <v>14.938404904745299</v>
      </c>
      <c r="Z1202" s="4">
        <v>14.7555352110735</v>
      </c>
      <c r="AA1202" s="4">
        <v>14.350877815304701</v>
      </c>
      <c r="AB1202" s="4">
        <f t="shared" si="75"/>
        <v>14.681605977041166</v>
      </c>
    </row>
    <row r="1203" spans="2:28" x14ac:dyDescent="0.2">
      <c r="B1203" s="4" t="s">
        <v>3278</v>
      </c>
      <c r="C1203" s="4">
        <v>14.8568</v>
      </c>
      <c r="D1203" s="4">
        <v>14.8062</v>
      </c>
      <c r="E1203" s="4">
        <v>14.8277</v>
      </c>
      <c r="F1203" s="4">
        <f t="shared" si="72"/>
        <v>14.830233333333334</v>
      </c>
      <c r="I1203" s="4" t="s">
        <v>1631</v>
      </c>
      <c r="J1203" s="4">
        <v>15.1944</v>
      </c>
      <c r="K1203" s="4">
        <v>14.0921</v>
      </c>
      <c r="L1203" s="4">
        <v>15.256</v>
      </c>
      <c r="M1203" s="4">
        <f t="shared" si="73"/>
        <v>14.847500000000002</v>
      </c>
      <c r="Q1203" s="43" t="s">
        <v>3148</v>
      </c>
      <c r="R1203" s="4">
        <v>14.496156778152001</v>
      </c>
      <c r="S1203" s="4">
        <v>14.768813125852301</v>
      </c>
      <c r="T1203" s="4">
        <v>14.517065776131901</v>
      </c>
      <c r="U1203" s="4">
        <f t="shared" si="74"/>
        <v>14.594011893378735</v>
      </c>
      <c r="X1203" s="43" t="s">
        <v>305</v>
      </c>
      <c r="Y1203" s="4">
        <v>14.739256088363801</v>
      </c>
      <c r="Z1203" s="4">
        <v>14.6122088132327</v>
      </c>
      <c r="AA1203" s="4">
        <v>14.6888770538496</v>
      </c>
      <c r="AB1203" s="4">
        <f t="shared" si="75"/>
        <v>14.680113985148701</v>
      </c>
    </row>
    <row r="1204" spans="2:28" x14ac:dyDescent="0.2">
      <c r="B1204" s="4" t="s">
        <v>2163</v>
      </c>
      <c r="C1204" s="4">
        <v>15.0008</v>
      </c>
      <c r="D1204" s="4">
        <v>14.7479</v>
      </c>
      <c r="E1204" s="4">
        <v>14.7407</v>
      </c>
      <c r="F1204" s="4">
        <f t="shared" si="72"/>
        <v>14.829800000000001</v>
      </c>
      <c r="I1204" s="4" t="s">
        <v>2388</v>
      </c>
      <c r="J1204" s="4">
        <v>14.9254</v>
      </c>
      <c r="K1204" s="4">
        <v>14.744</v>
      </c>
      <c r="L1204" s="4">
        <v>14.872299999999999</v>
      </c>
      <c r="M1204" s="4">
        <f t="shared" si="73"/>
        <v>14.847233333333334</v>
      </c>
      <c r="Q1204" s="43" t="s">
        <v>1533</v>
      </c>
      <c r="R1204" s="4">
        <v>14.638315998169199</v>
      </c>
      <c r="S1204" s="4">
        <v>14.3543328216363</v>
      </c>
      <c r="T1204" s="4">
        <v>14.785742959759901</v>
      </c>
      <c r="U1204" s="4">
        <f t="shared" si="74"/>
        <v>14.592797259855132</v>
      </c>
      <c r="X1204" s="43" t="s">
        <v>3004</v>
      </c>
      <c r="Y1204" s="4">
        <v>14.7782728100991</v>
      </c>
      <c r="Z1204" s="4">
        <v>14.47509945373</v>
      </c>
      <c r="AA1204" s="4">
        <v>14.785555212424301</v>
      </c>
      <c r="AB1204" s="4">
        <f t="shared" si="75"/>
        <v>14.679642492084467</v>
      </c>
    </row>
    <row r="1205" spans="2:28" x14ac:dyDescent="0.2">
      <c r="B1205" s="4" t="s">
        <v>3901</v>
      </c>
      <c r="C1205" s="4">
        <v>14.3239</v>
      </c>
      <c r="D1205" s="4">
        <v>14.837999999999999</v>
      </c>
      <c r="E1205" s="4">
        <v>15.324400000000001</v>
      </c>
      <c r="F1205" s="4">
        <f t="shared" si="72"/>
        <v>14.828766666666667</v>
      </c>
      <c r="I1205" s="4" t="s">
        <v>2120</v>
      </c>
      <c r="J1205" s="4">
        <v>14.2409</v>
      </c>
      <c r="K1205" s="4">
        <v>15.480600000000001</v>
      </c>
      <c r="L1205" s="4">
        <v>14.817500000000001</v>
      </c>
      <c r="M1205" s="4">
        <f t="shared" si="73"/>
        <v>14.846333333333334</v>
      </c>
      <c r="Q1205" s="43" t="s">
        <v>2995</v>
      </c>
      <c r="R1205" s="4">
        <v>14.6971640428635</v>
      </c>
      <c r="S1205" s="4">
        <v>14.5835005192476</v>
      </c>
      <c r="T1205" s="4">
        <v>14.497360634497401</v>
      </c>
      <c r="U1205" s="4">
        <f t="shared" si="74"/>
        <v>14.592675065536165</v>
      </c>
      <c r="X1205" s="43" t="s">
        <v>904</v>
      </c>
      <c r="Y1205" s="4">
        <v>14.636469915646099</v>
      </c>
      <c r="Z1205" s="4">
        <v>14.584115740051599</v>
      </c>
      <c r="AA1205" s="4">
        <v>14.813612256181599</v>
      </c>
      <c r="AB1205" s="4">
        <f t="shared" si="75"/>
        <v>14.678065970626433</v>
      </c>
    </row>
    <row r="1206" spans="2:28" x14ac:dyDescent="0.2">
      <c r="B1206" s="4" t="s">
        <v>2453</v>
      </c>
      <c r="C1206" s="4">
        <v>14.707000000000001</v>
      </c>
      <c r="D1206" s="4">
        <v>14.718</v>
      </c>
      <c r="E1206" s="4">
        <v>15.060499999999999</v>
      </c>
      <c r="F1206" s="4">
        <f t="shared" si="72"/>
        <v>14.8285</v>
      </c>
      <c r="I1206" s="4" t="s">
        <v>1434</v>
      </c>
      <c r="J1206" s="4">
        <v>14.138400000000001</v>
      </c>
      <c r="K1206" s="4">
        <v>16.533999999999999</v>
      </c>
      <c r="L1206" s="4">
        <v>13.866199999999999</v>
      </c>
      <c r="M1206" s="4">
        <f t="shared" si="73"/>
        <v>14.846200000000001</v>
      </c>
      <c r="Q1206" s="43" t="s">
        <v>3439</v>
      </c>
      <c r="R1206" s="4">
        <v>14.6981657737156</v>
      </c>
      <c r="S1206" s="4">
        <v>14.6869970294038</v>
      </c>
      <c r="T1206" s="4">
        <v>14.3894780833686</v>
      </c>
      <c r="U1206" s="4">
        <f t="shared" si="74"/>
        <v>14.591546962162667</v>
      </c>
      <c r="X1206" s="43" t="s">
        <v>2496</v>
      </c>
      <c r="Y1206" s="4">
        <v>14.6918914143058</v>
      </c>
      <c r="Z1206" s="4">
        <v>14.711749110272899</v>
      </c>
      <c r="AA1206" s="4">
        <v>14.628490227615799</v>
      </c>
      <c r="AB1206" s="4">
        <f t="shared" si="75"/>
        <v>14.677376917398165</v>
      </c>
    </row>
    <row r="1207" spans="2:28" x14ac:dyDescent="0.2">
      <c r="B1207" s="4" t="s">
        <v>1959</v>
      </c>
      <c r="C1207" s="4">
        <v>15.023999999999999</v>
      </c>
      <c r="D1207" s="4">
        <v>15.016400000000001</v>
      </c>
      <c r="E1207" s="4">
        <v>14.4366</v>
      </c>
      <c r="F1207" s="4">
        <f t="shared" si="72"/>
        <v>14.825666666666665</v>
      </c>
      <c r="I1207" s="4" t="s">
        <v>3226</v>
      </c>
      <c r="J1207" s="4">
        <v>14.9253</v>
      </c>
      <c r="K1207" s="4">
        <v>14.8725</v>
      </c>
      <c r="L1207" s="4">
        <v>14.7395</v>
      </c>
      <c r="M1207" s="4">
        <f t="shared" si="73"/>
        <v>14.845766666666668</v>
      </c>
      <c r="Q1207" s="43" t="s">
        <v>3977</v>
      </c>
      <c r="R1207" s="4">
        <v>14.6147111794618</v>
      </c>
      <c r="S1207" s="4">
        <v>14.426744541940201</v>
      </c>
      <c r="T1207" s="4">
        <v>14.7304899690255</v>
      </c>
      <c r="U1207" s="4">
        <f t="shared" si="74"/>
        <v>14.590648563475833</v>
      </c>
      <c r="X1207" s="43" t="s">
        <v>3838</v>
      </c>
      <c r="Y1207" s="4">
        <v>14.6776084719782</v>
      </c>
      <c r="Z1207" s="4">
        <v>14.6277111462866</v>
      </c>
      <c r="AA1207" s="4">
        <v>14.717532149158799</v>
      </c>
      <c r="AB1207" s="4">
        <f t="shared" si="75"/>
        <v>14.674283922474535</v>
      </c>
    </row>
    <row r="1208" spans="2:28" x14ac:dyDescent="0.2">
      <c r="B1208" s="4" t="s">
        <v>1277</v>
      </c>
      <c r="C1208" s="4">
        <v>15.0814</v>
      </c>
      <c r="D1208" s="4">
        <v>14.7653</v>
      </c>
      <c r="E1208" s="4">
        <v>14.6257</v>
      </c>
      <c r="F1208" s="4">
        <f t="shared" si="72"/>
        <v>14.824133333333334</v>
      </c>
      <c r="I1208" s="4" t="s">
        <v>2691</v>
      </c>
      <c r="J1208" s="4">
        <v>14.917199999999999</v>
      </c>
      <c r="K1208" s="4">
        <v>14.5616</v>
      </c>
      <c r="L1208" s="4">
        <v>15.0557</v>
      </c>
      <c r="M1208" s="4">
        <f t="shared" si="73"/>
        <v>14.844833333333334</v>
      </c>
      <c r="Q1208" s="43" t="s">
        <v>4000</v>
      </c>
      <c r="R1208" s="4">
        <v>14.554977211826801</v>
      </c>
      <c r="S1208" s="4">
        <v>14.6007125200482</v>
      </c>
      <c r="T1208" s="4">
        <v>14.5782431103672</v>
      </c>
      <c r="U1208" s="4">
        <f t="shared" si="74"/>
        <v>14.577977614080732</v>
      </c>
      <c r="X1208" s="43" t="s">
        <v>875</v>
      </c>
      <c r="Y1208" s="4">
        <v>14.6566123999719</v>
      </c>
      <c r="Z1208" s="4">
        <v>14.696743268006299</v>
      </c>
      <c r="AA1208" s="4">
        <v>14.650828186468299</v>
      </c>
      <c r="AB1208" s="4">
        <f t="shared" si="75"/>
        <v>14.668061284815499</v>
      </c>
    </row>
    <row r="1209" spans="2:28" x14ac:dyDescent="0.2">
      <c r="B1209" s="4" t="s">
        <v>2012</v>
      </c>
      <c r="C1209" s="4">
        <v>14.7005</v>
      </c>
      <c r="D1209" s="4">
        <v>14.782500000000001</v>
      </c>
      <c r="E1209" s="4">
        <v>14.988099999999999</v>
      </c>
      <c r="F1209" s="4">
        <f t="shared" si="72"/>
        <v>14.823700000000001</v>
      </c>
      <c r="I1209" s="4" t="s">
        <v>1945</v>
      </c>
      <c r="J1209" s="4">
        <v>14.9702</v>
      </c>
      <c r="K1209" s="4">
        <v>14.5877</v>
      </c>
      <c r="L1209" s="4">
        <v>14.973000000000001</v>
      </c>
      <c r="M1209" s="4">
        <f t="shared" si="73"/>
        <v>14.843633333333335</v>
      </c>
      <c r="Q1209" s="43" t="s">
        <v>902</v>
      </c>
      <c r="R1209" s="4">
        <v>13.848239261034699</v>
      </c>
      <c r="S1209" s="4">
        <v>14.763303518215301</v>
      </c>
      <c r="T1209" s="4">
        <v>15.1174806619322</v>
      </c>
      <c r="U1209" s="4">
        <f t="shared" si="74"/>
        <v>14.576341147060733</v>
      </c>
      <c r="X1209" s="43" t="s">
        <v>1637</v>
      </c>
      <c r="Y1209" s="4">
        <v>14.633375881641401</v>
      </c>
      <c r="Z1209" s="4">
        <v>14.641884937914201</v>
      </c>
      <c r="AA1209" s="4">
        <v>14.714923133835899</v>
      </c>
      <c r="AB1209" s="4">
        <f t="shared" si="75"/>
        <v>14.663394651130501</v>
      </c>
    </row>
    <row r="1210" spans="2:28" x14ac:dyDescent="0.2">
      <c r="B1210" s="4" t="s">
        <v>697</v>
      </c>
      <c r="C1210" s="4">
        <v>14.3802</v>
      </c>
      <c r="D1210" s="4">
        <v>14.5665</v>
      </c>
      <c r="E1210" s="4">
        <v>15.5236</v>
      </c>
      <c r="F1210" s="4">
        <f t="shared" si="72"/>
        <v>14.823433333333334</v>
      </c>
      <c r="I1210" s="4" t="s">
        <v>2527</v>
      </c>
      <c r="J1210" s="4">
        <v>15.0108</v>
      </c>
      <c r="K1210" s="4">
        <v>14.3066</v>
      </c>
      <c r="L1210" s="4">
        <v>15.2052</v>
      </c>
      <c r="M1210" s="4">
        <f t="shared" si="73"/>
        <v>14.840866666666665</v>
      </c>
      <c r="Q1210" s="43" t="s">
        <v>4546</v>
      </c>
      <c r="R1210" s="4">
        <v>14.6107084959629</v>
      </c>
      <c r="S1210" s="4">
        <v>14.586606776479</v>
      </c>
      <c r="T1210" s="4">
        <v>14.523701665912199</v>
      </c>
      <c r="U1210" s="4">
        <f t="shared" si="74"/>
        <v>14.5736723127847</v>
      </c>
      <c r="X1210" s="43" t="s">
        <v>2871</v>
      </c>
      <c r="Y1210" s="4">
        <v>14.73474911161</v>
      </c>
      <c r="Z1210" s="4">
        <v>14.5780863062664</v>
      </c>
      <c r="AA1210" s="4">
        <v>14.672712413468499</v>
      </c>
      <c r="AB1210" s="4">
        <f t="shared" si="75"/>
        <v>14.661849277114968</v>
      </c>
    </row>
    <row r="1211" spans="2:28" x14ac:dyDescent="0.2">
      <c r="B1211" s="4" t="s">
        <v>4058</v>
      </c>
      <c r="C1211" s="4">
        <v>14.796799999999999</v>
      </c>
      <c r="D1211" s="4">
        <v>14.913399999999999</v>
      </c>
      <c r="E1211" s="4">
        <v>14.758699999999999</v>
      </c>
      <c r="F1211" s="4">
        <f t="shared" si="72"/>
        <v>14.822966666666666</v>
      </c>
      <c r="I1211" s="4" t="s">
        <v>454</v>
      </c>
      <c r="J1211" s="4">
        <v>14.903</v>
      </c>
      <c r="K1211" s="4">
        <v>14.6555</v>
      </c>
      <c r="L1211" s="4">
        <v>14.955299999999999</v>
      </c>
      <c r="M1211" s="4">
        <f t="shared" si="73"/>
        <v>14.837933333333334</v>
      </c>
      <c r="Q1211" s="43" t="s">
        <v>1912</v>
      </c>
      <c r="R1211" s="4">
        <v>14.4781398972024</v>
      </c>
      <c r="S1211" s="4">
        <v>14.5351459997958</v>
      </c>
      <c r="T1211" s="4">
        <v>14.7073746548337</v>
      </c>
      <c r="U1211" s="4">
        <f t="shared" si="74"/>
        <v>14.573553517277299</v>
      </c>
      <c r="X1211" s="43" t="s">
        <v>1564</v>
      </c>
      <c r="Y1211" s="4">
        <v>14.5259980718054</v>
      </c>
      <c r="Z1211" s="4">
        <v>14.468140418778299</v>
      </c>
      <c r="AA1211" s="4">
        <v>14.986485315516999</v>
      </c>
      <c r="AB1211" s="4">
        <f t="shared" si="75"/>
        <v>14.6602079353669</v>
      </c>
    </row>
    <row r="1212" spans="2:28" x14ac:dyDescent="0.2">
      <c r="B1212" s="4" t="s">
        <v>345</v>
      </c>
      <c r="C1212" s="4">
        <v>14.821</v>
      </c>
      <c r="D1212" s="4">
        <v>14.361599999999999</v>
      </c>
      <c r="E1212" s="4">
        <v>15.2859</v>
      </c>
      <c r="F1212" s="4">
        <f t="shared" si="72"/>
        <v>14.822833333333334</v>
      </c>
      <c r="I1212" s="4" t="s">
        <v>3726</v>
      </c>
      <c r="J1212" s="4">
        <v>15.009600000000001</v>
      </c>
      <c r="K1212" s="4">
        <v>14.747</v>
      </c>
      <c r="L1212" s="4">
        <v>14.7532</v>
      </c>
      <c r="M1212" s="4">
        <f t="shared" si="73"/>
        <v>14.836599999999999</v>
      </c>
      <c r="Q1212" s="43" t="s">
        <v>2306</v>
      </c>
      <c r="R1212" s="4">
        <v>14.325680214397799</v>
      </c>
      <c r="S1212" s="4">
        <v>14.634197666101601</v>
      </c>
      <c r="T1212" s="4">
        <v>14.755838354578</v>
      </c>
      <c r="U1212" s="4">
        <f t="shared" si="74"/>
        <v>14.571905411692464</v>
      </c>
      <c r="X1212" s="43" t="s">
        <v>1252</v>
      </c>
      <c r="Y1212" s="4">
        <v>14.559631731829599</v>
      </c>
      <c r="Z1212" s="4">
        <v>14.894331710701501</v>
      </c>
      <c r="AA1212" s="4">
        <v>14.525458133366399</v>
      </c>
      <c r="AB1212" s="4">
        <f t="shared" si="75"/>
        <v>14.659807191965832</v>
      </c>
    </row>
    <row r="1213" spans="2:28" x14ac:dyDescent="0.2">
      <c r="B1213" s="4" t="s">
        <v>1461</v>
      </c>
      <c r="C1213" s="4">
        <v>14.7723</v>
      </c>
      <c r="D1213" s="4">
        <v>14.411799999999999</v>
      </c>
      <c r="E1213" s="4">
        <v>15.272</v>
      </c>
      <c r="F1213" s="4">
        <f t="shared" si="72"/>
        <v>14.8187</v>
      </c>
      <c r="I1213" s="4" t="s">
        <v>3689</v>
      </c>
      <c r="J1213" s="4">
        <v>14.951000000000001</v>
      </c>
      <c r="K1213" s="4">
        <v>14.634600000000001</v>
      </c>
      <c r="L1213" s="4">
        <v>14.921099999999999</v>
      </c>
      <c r="M1213" s="4">
        <f t="shared" si="73"/>
        <v>14.835566666666665</v>
      </c>
      <c r="Q1213" s="43" t="s">
        <v>3104</v>
      </c>
      <c r="R1213" s="4">
        <v>14.5804239758492</v>
      </c>
      <c r="S1213" s="4">
        <v>14.486382077480901</v>
      </c>
      <c r="T1213" s="4">
        <v>14.647860492768199</v>
      </c>
      <c r="U1213" s="4">
        <f t="shared" si="74"/>
        <v>14.5715555153661</v>
      </c>
      <c r="X1213" s="43" t="s">
        <v>1618</v>
      </c>
      <c r="Y1213" s="4">
        <v>14.7372625102917</v>
      </c>
      <c r="Z1213" s="4">
        <v>14.6440066513053</v>
      </c>
      <c r="AA1213" s="4">
        <v>14.596217608040201</v>
      </c>
      <c r="AB1213" s="4">
        <f t="shared" si="75"/>
        <v>14.659162256545734</v>
      </c>
    </row>
    <row r="1214" spans="2:28" x14ac:dyDescent="0.2">
      <c r="B1214" s="4" t="s">
        <v>1183</v>
      </c>
      <c r="C1214" s="4">
        <v>14.799099999999999</v>
      </c>
      <c r="D1214" s="4">
        <v>14.7791</v>
      </c>
      <c r="E1214" s="4">
        <v>14.871600000000001</v>
      </c>
      <c r="F1214" s="4">
        <f t="shared" si="72"/>
        <v>14.816599999999999</v>
      </c>
      <c r="I1214" s="4" t="s">
        <v>530</v>
      </c>
      <c r="J1214" s="4">
        <v>15.000999999999999</v>
      </c>
      <c r="K1214" s="4">
        <v>14.4001</v>
      </c>
      <c r="L1214" s="4">
        <v>15.103400000000001</v>
      </c>
      <c r="M1214" s="4">
        <f t="shared" si="73"/>
        <v>14.834833333333334</v>
      </c>
      <c r="Q1214" s="43" t="s">
        <v>3609</v>
      </c>
      <c r="R1214" s="4">
        <v>14.5332472516289</v>
      </c>
      <c r="S1214" s="4">
        <v>14.4335433474496</v>
      </c>
      <c r="T1214" s="4">
        <v>14.7433093084866</v>
      </c>
      <c r="U1214" s="4">
        <f t="shared" si="74"/>
        <v>14.570033302521701</v>
      </c>
      <c r="X1214" s="43" t="s">
        <v>202</v>
      </c>
      <c r="Y1214" s="4">
        <v>14.6192264466988</v>
      </c>
      <c r="Z1214" s="4">
        <v>14.767246108354099</v>
      </c>
      <c r="AA1214" s="4">
        <v>14.5851415611761</v>
      </c>
      <c r="AB1214" s="4">
        <f t="shared" si="75"/>
        <v>14.657204705409667</v>
      </c>
    </row>
    <row r="1215" spans="2:28" x14ac:dyDescent="0.2">
      <c r="B1215" s="4" t="s">
        <v>3919</v>
      </c>
      <c r="C1215" s="4">
        <v>14.659599999999999</v>
      </c>
      <c r="D1215" s="4">
        <v>14.787699999999999</v>
      </c>
      <c r="E1215" s="4">
        <v>14.994</v>
      </c>
      <c r="F1215" s="4">
        <f t="shared" si="72"/>
        <v>14.813766666666666</v>
      </c>
      <c r="I1215" s="4" t="s">
        <v>2917</v>
      </c>
      <c r="J1215" s="4">
        <v>14.7553</v>
      </c>
      <c r="K1215" s="4">
        <v>14.8591</v>
      </c>
      <c r="L1215" s="4">
        <v>14.889900000000001</v>
      </c>
      <c r="M1215" s="4">
        <f t="shared" si="73"/>
        <v>14.834766666666667</v>
      </c>
      <c r="Q1215" s="43" t="s">
        <v>3334</v>
      </c>
      <c r="R1215" s="4">
        <v>14.578035529190201</v>
      </c>
      <c r="S1215" s="4">
        <v>14.5352553003013</v>
      </c>
      <c r="T1215" s="4">
        <v>14.585927164911901</v>
      </c>
      <c r="U1215" s="4">
        <f t="shared" si="74"/>
        <v>14.566405998134465</v>
      </c>
      <c r="X1215" s="43" t="s">
        <v>3132</v>
      </c>
      <c r="Y1215" s="4">
        <v>14.658503732157</v>
      </c>
      <c r="Z1215" s="4">
        <v>14.705683546456401</v>
      </c>
      <c r="AA1215" s="4">
        <v>14.6062927679047</v>
      </c>
      <c r="AB1215" s="4">
        <f t="shared" si="75"/>
        <v>14.656826682172699</v>
      </c>
    </row>
    <row r="1216" spans="2:28" x14ac:dyDescent="0.2">
      <c r="B1216" s="4" t="s">
        <v>4080</v>
      </c>
      <c r="C1216" s="4">
        <v>14.865</v>
      </c>
      <c r="D1216" s="4">
        <v>14.932600000000001</v>
      </c>
      <c r="E1216" s="4">
        <v>14.6396</v>
      </c>
      <c r="F1216" s="4">
        <f t="shared" si="72"/>
        <v>14.812400000000002</v>
      </c>
      <c r="I1216" s="4" t="s">
        <v>2297</v>
      </c>
      <c r="J1216" s="4">
        <v>15.0252</v>
      </c>
      <c r="K1216" s="4">
        <v>14.4313</v>
      </c>
      <c r="L1216" s="4">
        <v>15.0466</v>
      </c>
      <c r="M1216" s="4">
        <f t="shared" si="73"/>
        <v>14.834366666666666</v>
      </c>
      <c r="Q1216" s="43" t="s">
        <v>1919</v>
      </c>
      <c r="R1216" s="4">
        <v>14.4518144359334</v>
      </c>
      <c r="S1216" s="4">
        <v>14.5595577120224</v>
      </c>
      <c r="T1216" s="4">
        <v>14.683873522140701</v>
      </c>
      <c r="U1216" s="4">
        <f t="shared" si="74"/>
        <v>14.565081890032166</v>
      </c>
      <c r="X1216" s="43" t="s">
        <v>1358</v>
      </c>
      <c r="Y1216" s="4">
        <v>14.6789230919647</v>
      </c>
      <c r="Z1216" s="4">
        <v>14.6508460554049</v>
      </c>
      <c r="AA1216" s="4">
        <v>14.638564769921899</v>
      </c>
      <c r="AB1216" s="4">
        <f t="shared" si="75"/>
        <v>14.656111305763835</v>
      </c>
    </row>
    <row r="1217" spans="2:28" x14ac:dyDescent="0.2">
      <c r="B1217" s="4" t="s">
        <v>749</v>
      </c>
      <c r="C1217" s="4">
        <v>15.02</v>
      </c>
      <c r="D1217" s="4">
        <v>14.132999999999999</v>
      </c>
      <c r="E1217" s="4">
        <v>15.273300000000001</v>
      </c>
      <c r="F1217" s="4">
        <f t="shared" si="72"/>
        <v>14.808766666666665</v>
      </c>
      <c r="I1217" s="4" t="s">
        <v>3490</v>
      </c>
      <c r="J1217" s="4">
        <v>14.831099999999999</v>
      </c>
      <c r="K1217" s="4">
        <v>14.9</v>
      </c>
      <c r="L1217" s="4">
        <v>14.7624</v>
      </c>
      <c r="M1217" s="4">
        <f t="shared" si="73"/>
        <v>14.831166666666666</v>
      </c>
      <c r="Q1217" s="43" t="s">
        <v>1703</v>
      </c>
      <c r="R1217" s="4">
        <v>14.779712554949301</v>
      </c>
      <c r="S1217" s="4">
        <v>14.3053043857349</v>
      </c>
      <c r="T1217" s="4">
        <v>14.606572105041201</v>
      </c>
      <c r="U1217" s="4">
        <f t="shared" si="74"/>
        <v>14.5638630152418</v>
      </c>
      <c r="X1217" s="43" t="s">
        <v>1371</v>
      </c>
      <c r="Y1217" s="4">
        <v>14.7767211893464</v>
      </c>
      <c r="Z1217" s="4">
        <v>14.6777586587844</v>
      </c>
      <c r="AA1217" s="4">
        <v>14.5136515062794</v>
      </c>
      <c r="AB1217" s="4">
        <f t="shared" si="75"/>
        <v>14.656043784803401</v>
      </c>
    </row>
    <row r="1218" spans="2:28" x14ac:dyDescent="0.2">
      <c r="B1218" s="4" t="s">
        <v>2694</v>
      </c>
      <c r="C1218" s="4">
        <v>14.8872</v>
      </c>
      <c r="D1218" s="4">
        <v>14.669</v>
      </c>
      <c r="E1218" s="4">
        <v>14.8683</v>
      </c>
      <c r="F1218" s="4">
        <f t="shared" ref="F1218:F1281" si="76">(C1218+D1218+E1218)/3</f>
        <v>14.808166666666667</v>
      </c>
      <c r="I1218" s="4" t="s">
        <v>1212</v>
      </c>
      <c r="J1218" s="4">
        <v>14.7037</v>
      </c>
      <c r="K1218" s="4">
        <v>14.883800000000001</v>
      </c>
      <c r="L1218" s="4">
        <v>14.9008</v>
      </c>
      <c r="M1218" s="4">
        <f t="shared" ref="M1218:M1281" si="77">(J1218+K1218+L1218)/3</f>
        <v>14.829433333333332</v>
      </c>
      <c r="Q1218" s="43" t="s">
        <v>3972</v>
      </c>
      <c r="R1218" s="4">
        <v>14.657149868293899</v>
      </c>
      <c r="S1218" s="4">
        <v>14.470939973108299</v>
      </c>
      <c r="T1218" s="4">
        <v>14.559842418485999</v>
      </c>
      <c r="U1218" s="4">
        <f t="shared" ref="U1218:U1281" si="78">(R1218+S1218+T1218)/3</f>
        <v>14.562644086629399</v>
      </c>
      <c r="X1218" s="43" t="s">
        <v>892</v>
      </c>
      <c r="Y1218" s="4">
        <v>14.9458887434883</v>
      </c>
      <c r="Z1218" s="4">
        <v>14.741387775172299</v>
      </c>
      <c r="AA1218" s="4">
        <v>14.2785106102125</v>
      </c>
      <c r="AB1218" s="4">
        <f t="shared" ref="AB1218:AB1281" si="79">(Y1218+Z1218+AA1218)/3</f>
        <v>14.655262376291034</v>
      </c>
    </row>
    <row r="1219" spans="2:28" x14ac:dyDescent="0.2">
      <c r="B1219" s="4" t="s">
        <v>2618</v>
      </c>
      <c r="C1219" s="4">
        <v>13.9239</v>
      </c>
      <c r="D1219" s="4">
        <v>14.7456</v>
      </c>
      <c r="E1219" s="4">
        <v>15.7522</v>
      </c>
      <c r="F1219" s="4">
        <f t="shared" si="76"/>
        <v>14.807233333333334</v>
      </c>
      <c r="I1219" s="4" t="s">
        <v>3320</v>
      </c>
      <c r="J1219" s="4">
        <v>15.0633</v>
      </c>
      <c r="K1219" s="4">
        <v>14.486700000000001</v>
      </c>
      <c r="L1219" s="4">
        <v>14.932399999999999</v>
      </c>
      <c r="M1219" s="4">
        <f t="shared" si="77"/>
        <v>14.827466666666666</v>
      </c>
      <c r="Q1219" s="43" t="s">
        <v>3035</v>
      </c>
      <c r="R1219" s="4">
        <v>14.4780243748418</v>
      </c>
      <c r="S1219" s="4">
        <v>14.6519626223449</v>
      </c>
      <c r="T1219" s="4">
        <v>14.539046904058599</v>
      </c>
      <c r="U1219" s="4">
        <f t="shared" si="78"/>
        <v>14.556344633748433</v>
      </c>
      <c r="X1219" s="43" t="s">
        <v>3037</v>
      </c>
      <c r="Y1219" s="4">
        <v>14.782613226822001</v>
      </c>
      <c r="Z1219" s="4">
        <v>14.645047716799899</v>
      </c>
      <c r="AA1219" s="4">
        <v>14.5357296804025</v>
      </c>
      <c r="AB1219" s="4">
        <f t="shared" si="79"/>
        <v>14.654463541341466</v>
      </c>
    </row>
    <row r="1220" spans="2:28" x14ac:dyDescent="0.2">
      <c r="B1220" s="4" t="s">
        <v>3644</v>
      </c>
      <c r="C1220" s="4">
        <v>14.9255</v>
      </c>
      <c r="D1220" s="4">
        <v>14.8733</v>
      </c>
      <c r="E1220" s="4">
        <v>14.622400000000001</v>
      </c>
      <c r="F1220" s="4">
        <f t="shared" si="76"/>
        <v>14.807066666666666</v>
      </c>
      <c r="I1220" s="4" t="s">
        <v>3967</v>
      </c>
      <c r="J1220" s="4">
        <v>14.932</v>
      </c>
      <c r="K1220" s="4">
        <v>14.888299999999999</v>
      </c>
      <c r="L1220" s="4">
        <v>14.6564</v>
      </c>
      <c r="M1220" s="4">
        <f t="shared" si="77"/>
        <v>14.825566666666667</v>
      </c>
      <c r="Q1220" s="43" t="s">
        <v>3226</v>
      </c>
      <c r="R1220" s="4">
        <v>14.594233801173401</v>
      </c>
      <c r="S1220" s="4">
        <v>14.6362013825144</v>
      </c>
      <c r="T1220" s="4">
        <v>14.4383294506382</v>
      </c>
      <c r="U1220" s="4">
        <f t="shared" si="78"/>
        <v>14.556254878108668</v>
      </c>
      <c r="X1220" s="43" t="s">
        <v>236</v>
      </c>
      <c r="Y1220" s="4">
        <v>14.790255070741299</v>
      </c>
      <c r="Z1220" s="4">
        <v>14.716526968345899</v>
      </c>
      <c r="AA1220" s="4">
        <v>14.4557457746083</v>
      </c>
      <c r="AB1220" s="4">
        <f t="shared" si="79"/>
        <v>14.654175937898501</v>
      </c>
    </row>
    <row r="1221" spans="2:28" x14ac:dyDescent="0.2">
      <c r="B1221" s="4" t="s">
        <v>1476</v>
      </c>
      <c r="C1221" s="4">
        <v>14.7346</v>
      </c>
      <c r="D1221" s="4">
        <v>14.9598</v>
      </c>
      <c r="E1221" s="4">
        <v>14.7141</v>
      </c>
      <c r="F1221" s="4">
        <f t="shared" si="76"/>
        <v>14.802833333333334</v>
      </c>
      <c r="I1221" s="4" t="s">
        <v>3051</v>
      </c>
      <c r="J1221" s="4">
        <v>15.0242</v>
      </c>
      <c r="K1221" s="4">
        <v>14.345000000000001</v>
      </c>
      <c r="L1221" s="4">
        <v>15.1066</v>
      </c>
      <c r="M1221" s="4">
        <f t="shared" si="77"/>
        <v>14.825266666666666</v>
      </c>
      <c r="Q1221" s="43" t="s">
        <v>2898</v>
      </c>
      <c r="R1221" s="4">
        <v>14.388717119276199</v>
      </c>
      <c r="S1221" s="4">
        <v>14.5912660223276</v>
      </c>
      <c r="T1221" s="4">
        <v>14.681357007007801</v>
      </c>
      <c r="U1221" s="4">
        <f t="shared" si="78"/>
        <v>14.553780049537201</v>
      </c>
      <c r="X1221" s="43" t="s">
        <v>86</v>
      </c>
      <c r="Y1221" s="4">
        <v>14.7665765895674</v>
      </c>
      <c r="Z1221" s="4">
        <v>14.686251699534701</v>
      </c>
      <c r="AA1221" s="4">
        <v>14.4983162079177</v>
      </c>
      <c r="AB1221" s="4">
        <f t="shared" si="79"/>
        <v>14.650381499006599</v>
      </c>
    </row>
    <row r="1222" spans="2:28" x14ac:dyDescent="0.2">
      <c r="B1222" s="4" t="s">
        <v>1042</v>
      </c>
      <c r="C1222" s="4">
        <v>14.5936</v>
      </c>
      <c r="D1222" s="4">
        <v>14.6389</v>
      </c>
      <c r="E1222" s="4">
        <v>15.1494</v>
      </c>
      <c r="F1222" s="4">
        <f t="shared" si="76"/>
        <v>14.793966666666668</v>
      </c>
      <c r="I1222" s="4" t="s">
        <v>2231</v>
      </c>
      <c r="J1222" s="4">
        <v>15.077</v>
      </c>
      <c r="K1222" s="4">
        <v>14.4588</v>
      </c>
      <c r="L1222" s="4">
        <v>14.9398</v>
      </c>
      <c r="M1222" s="4">
        <f t="shared" si="77"/>
        <v>14.825200000000001</v>
      </c>
      <c r="Q1222" s="43" t="s">
        <v>4160</v>
      </c>
      <c r="R1222" s="4">
        <v>14.8223153171286</v>
      </c>
      <c r="S1222" s="4">
        <v>14.3825735257074</v>
      </c>
      <c r="T1222" s="4">
        <v>14.4551288611306</v>
      </c>
      <c r="U1222" s="4">
        <f t="shared" si="78"/>
        <v>14.553339234655533</v>
      </c>
      <c r="X1222" s="43" t="s">
        <v>2502</v>
      </c>
      <c r="Y1222" s="4">
        <v>14.7773921220013</v>
      </c>
      <c r="Z1222" s="4">
        <v>14.5603386783029</v>
      </c>
      <c r="AA1222" s="4">
        <v>14.606843336613499</v>
      </c>
      <c r="AB1222" s="4">
        <f t="shared" si="79"/>
        <v>14.648191378972568</v>
      </c>
    </row>
    <row r="1223" spans="2:28" x14ac:dyDescent="0.2">
      <c r="B1223" s="4" t="s">
        <v>836</v>
      </c>
      <c r="C1223" s="4">
        <v>15.0954</v>
      </c>
      <c r="D1223" s="4">
        <v>14.6738</v>
      </c>
      <c r="E1223" s="4">
        <v>14.606299999999999</v>
      </c>
      <c r="F1223" s="4">
        <f t="shared" si="76"/>
        <v>14.791833333333331</v>
      </c>
      <c r="I1223" s="4" t="s">
        <v>1375</v>
      </c>
      <c r="J1223" s="4">
        <v>15.0077</v>
      </c>
      <c r="K1223" s="4">
        <v>14.6554</v>
      </c>
      <c r="L1223" s="4">
        <v>14.808400000000001</v>
      </c>
      <c r="M1223" s="4">
        <f t="shared" si="77"/>
        <v>14.823833333333333</v>
      </c>
      <c r="Q1223" s="43" t="s">
        <v>3103</v>
      </c>
      <c r="R1223" s="4">
        <v>14.671526972093799</v>
      </c>
      <c r="S1223" s="4">
        <v>14.4945664597925</v>
      </c>
      <c r="T1223" s="4">
        <v>14.487144594028299</v>
      </c>
      <c r="U1223" s="4">
        <f t="shared" si="78"/>
        <v>14.551079341971532</v>
      </c>
      <c r="X1223" s="43" t="s">
        <v>72</v>
      </c>
      <c r="Y1223" s="4">
        <v>14.7215719491928</v>
      </c>
      <c r="Z1223" s="4">
        <v>14.661522689417099</v>
      </c>
      <c r="AA1223" s="4">
        <v>14.5605021349899</v>
      </c>
      <c r="AB1223" s="4">
        <f t="shared" si="79"/>
        <v>14.647865591199931</v>
      </c>
    </row>
    <row r="1224" spans="2:28" x14ac:dyDescent="0.2">
      <c r="B1224" s="4" t="s">
        <v>4001</v>
      </c>
      <c r="C1224" s="4">
        <v>14.600199999999999</v>
      </c>
      <c r="D1224" s="4">
        <v>15.056900000000001</v>
      </c>
      <c r="E1224" s="4">
        <v>14.713699999999999</v>
      </c>
      <c r="F1224" s="4">
        <f t="shared" si="76"/>
        <v>14.790266666666668</v>
      </c>
      <c r="I1224" s="4" t="s">
        <v>301</v>
      </c>
      <c r="J1224" s="4">
        <v>15.0297</v>
      </c>
      <c r="K1224" s="4">
        <v>14.7537</v>
      </c>
      <c r="L1224" s="4">
        <v>14.687200000000001</v>
      </c>
      <c r="M1224" s="4">
        <f t="shared" si="77"/>
        <v>14.823533333333335</v>
      </c>
      <c r="Q1224" s="43" t="s">
        <v>495</v>
      </c>
      <c r="R1224" s="4">
        <v>14.6669961976013</v>
      </c>
      <c r="S1224" s="4">
        <v>14.313533833669799</v>
      </c>
      <c r="T1224" s="4">
        <v>14.6462427079778</v>
      </c>
      <c r="U1224" s="4">
        <f t="shared" si="78"/>
        <v>14.542257579749633</v>
      </c>
      <c r="X1224" s="43" t="s">
        <v>3896</v>
      </c>
      <c r="Y1224" s="4">
        <v>14.642265823322701</v>
      </c>
      <c r="Z1224" s="4">
        <v>14.591593953207299</v>
      </c>
      <c r="AA1224" s="4">
        <v>14.7025403348299</v>
      </c>
      <c r="AB1224" s="4">
        <f t="shared" si="79"/>
        <v>14.645466703786633</v>
      </c>
    </row>
    <row r="1225" spans="2:28" x14ac:dyDescent="0.2">
      <c r="B1225" s="4" t="s">
        <v>3569</v>
      </c>
      <c r="C1225" s="4">
        <v>14.864000000000001</v>
      </c>
      <c r="D1225" s="4">
        <v>14.2629</v>
      </c>
      <c r="E1225" s="4">
        <v>15.2378</v>
      </c>
      <c r="F1225" s="4">
        <f t="shared" si="76"/>
        <v>14.788233333333332</v>
      </c>
      <c r="I1225" s="4" t="s">
        <v>4049</v>
      </c>
      <c r="J1225" s="4">
        <v>14.916600000000001</v>
      </c>
      <c r="K1225" s="4">
        <v>14.624499999999999</v>
      </c>
      <c r="L1225" s="4">
        <v>14.9277</v>
      </c>
      <c r="M1225" s="4">
        <f t="shared" si="77"/>
        <v>14.822933333333333</v>
      </c>
      <c r="Q1225" s="43" t="s">
        <v>3707</v>
      </c>
      <c r="R1225" s="4">
        <v>14.5390087817393</v>
      </c>
      <c r="S1225" s="4">
        <v>14.5200011770344</v>
      </c>
      <c r="T1225" s="4">
        <v>14.562935493790899</v>
      </c>
      <c r="U1225" s="4">
        <f t="shared" si="78"/>
        <v>14.540648484188202</v>
      </c>
      <c r="X1225" s="43" t="s">
        <v>1200</v>
      </c>
      <c r="Y1225" s="4">
        <v>14.6770423392173</v>
      </c>
      <c r="Z1225" s="4">
        <v>14.7265516091656</v>
      </c>
      <c r="AA1225" s="4">
        <v>14.531631379770101</v>
      </c>
      <c r="AB1225" s="4">
        <f t="shared" si="79"/>
        <v>14.645075109384331</v>
      </c>
    </row>
    <row r="1226" spans="2:28" x14ac:dyDescent="0.2">
      <c r="B1226" s="4" t="s">
        <v>3853</v>
      </c>
      <c r="C1226" s="4">
        <v>14.8184</v>
      </c>
      <c r="D1226" s="4">
        <v>15.1816</v>
      </c>
      <c r="E1226" s="4">
        <v>14.3643</v>
      </c>
      <c r="F1226" s="4">
        <f t="shared" si="76"/>
        <v>14.7881</v>
      </c>
      <c r="I1226" s="4" t="s">
        <v>2012</v>
      </c>
      <c r="J1226" s="4">
        <v>14.951700000000001</v>
      </c>
      <c r="K1226" s="4">
        <v>14.664400000000001</v>
      </c>
      <c r="L1226" s="4">
        <v>14.8504</v>
      </c>
      <c r="M1226" s="4">
        <f t="shared" si="77"/>
        <v>14.822166666666668</v>
      </c>
      <c r="Q1226" s="43" t="s">
        <v>237</v>
      </c>
      <c r="R1226" s="4">
        <v>14.5598130501751</v>
      </c>
      <c r="S1226" s="4">
        <v>14.6151296552168</v>
      </c>
      <c r="T1226" s="4">
        <v>14.444983948253199</v>
      </c>
      <c r="U1226" s="4">
        <f t="shared" si="78"/>
        <v>14.539975551215031</v>
      </c>
      <c r="X1226" s="43" t="s">
        <v>1437</v>
      </c>
      <c r="Y1226" s="4">
        <v>14.827354619745201</v>
      </c>
      <c r="Z1226" s="4">
        <v>14.441547228767201</v>
      </c>
      <c r="AA1226" s="4">
        <v>14.6657175534672</v>
      </c>
      <c r="AB1226" s="4">
        <f t="shared" si="79"/>
        <v>14.644873133993201</v>
      </c>
    </row>
    <row r="1227" spans="2:28" x14ac:dyDescent="0.2">
      <c r="B1227" s="4" t="s">
        <v>3783</v>
      </c>
      <c r="C1227" s="4">
        <v>14.6401</v>
      </c>
      <c r="D1227" s="4">
        <v>15.029500000000001</v>
      </c>
      <c r="E1227" s="4">
        <v>14.685600000000001</v>
      </c>
      <c r="F1227" s="4">
        <f t="shared" si="76"/>
        <v>14.785066666666667</v>
      </c>
      <c r="I1227" s="4" t="s">
        <v>597</v>
      </c>
      <c r="J1227" s="4">
        <v>14.731299999999999</v>
      </c>
      <c r="K1227" s="4">
        <v>14.8492</v>
      </c>
      <c r="L1227" s="4">
        <v>14.8858</v>
      </c>
      <c r="M1227" s="4">
        <f t="shared" si="77"/>
        <v>14.822100000000001</v>
      </c>
      <c r="Q1227" s="43" t="s">
        <v>2326</v>
      </c>
      <c r="R1227" s="4">
        <v>14.3512309856517</v>
      </c>
      <c r="S1227" s="4">
        <v>14.5820585952619</v>
      </c>
      <c r="T1227" s="4">
        <v>14.6828892635803</v>
      </c>
      <c r="U1227" s="4">
        <f t="shared" si="78"/>
        <v>14.538726281497967</v>
      </c>
      <c r="X1227" s="43" t="s">
        <v>3104</v>
      </c>
      <c r="Y1227" s="4">
        <v>14.7164061204678</v>
      </c>
      <c r="Z1227" s="4">
        <v>14.9371489623621</v>
      </c>
      <c r="AA1227" s="4">
        <v>14.2802521459451</v>
      </c>
      <c r="AB1227" s="4">
        <f t="shared" si="79"/>
        <v>14.644602409591668</v>
      </c>
    </row>
    <row r="1228" spans="2:28" x14ac:dyDescent="0.2">
      <c r="B1228" s="4" t="s">
        <v>2747</v>
      </c>
      <c r="C1228" s="4">
        <v>14.8636</v>
      </c>
      <c r="D1228" s="4">
        <v>14.657999999999999</v>
      </c>
      <c r="E1228" s="4">
        <v>14.827400000000001</v>
      </c>
      <c r="F1228" s="4">
        <f t="shared" si="76"/>
        <v>14.783000000000001</v>
      </c>
      <c r="I1228" s="4" t="s">
        <v>108</v>
      </c>
      <c r="J1228" s="4">
        <v>14.8437</v>
      </c>
      <c r="K1228" s="4">
        <v>14.843</v>
      </c>
      <c r="L1228" s="4">
        <v>14.7783</v>
      </c>
      <c r="M1228" s="4">
        <f t="shared" si="77"/>
        <v>14.821666666666667</v>
      </c>
      <c r="Q1228" s="43" t="s">
        <v>188</v>
      </c>
      <c r="R1228" s="4">
        <v>14.239365497699101</v>
      </c>
      <c r="S1228" s="4">
        <v>14.7209371183394</v>
      </c>
      <c r="T1228" s="4">
        <v>14.6555792842868</v>
      </c>
      <c r="U1228" s="4">
        <f t="shared" si="78"/>
        <v>14.538627300108432</v>
      </c>
      <c r="X1228" s="43" t="s">
        <v>2630</v>
      </c>
      <c r="Y1228" s="4">
        <v>14.511991582079901</v>
      </c>
      <c r="Z1228" s="4">
        <v>14.354916609658201</v>
      </c>
      <c r="AA1228" s="4">
        <v>15.061024363028499</v>
      </c>
      <c r="AB1228" s="4">
        <f t="shared" si="79"/>
        <v>14.642644184922199</v>
      </c>
    </row>
    <row r="1229" spans="2:28" x14ac:dyDescent="0.2">
      <c r="B1229" s="4" t="s">
        <v>3649</v>
      </c>
      <c r="C1229" s="4">
        <v>14.241099999999999</v>
      </c>
      <c r="D1229" s="4">
        <v>15.044600000000001</v>
      </c>
      <c r="E1229" s="4">
        <v>15.0618</v>
      </c>
      <c r="F1229" s="4">
        <f t="shared" si="76"/>
        <v>14.782499999999999</v>
      </c>
      <c r="I1229" s="4" t="s">
        <v>2283</v>
      </c>
      <c r="J1229" s="4">
        <v>14.772500000000001</v>
      </c>
      <c r="K1229" s="4">
        <v>14.8871</v>
      </c>
      <c r="L1229" s="4">
        <v>14.805300000000001</v>
      </c>
      <c r="M1229" s="4">
        <f t="shared" si="77"/>
        <v>14.821633333333333</v>
      </c>
      <c r="Q1229" s="43" t="s">
        <v>3897</v>
      </c>
      <c r="R1229" s="4">
        <v>14.555942867921599</v>
      </c>
      <c r="S1229" s="4">
        <v>14.4822784891927</v>
      </c>
      <c r="T1229" s="4">
        <v>14.574759600427599</v>
      </c>
      <c r="U1229" s="4">
        <f t="shared" si="78"/>
        <v>14.537660319180633</v>
      </c>
      <c r="X1229" s="43" t="s">
        <v>2498</v>
      </c>
      <c r="Y1229" s="4">
        <v>14.6282040341108</v>
      </c>
      <c r="Z1229" s="4">
        <v>14.8663715044211</v>
      </c>
      <c r="AA1229" s="4">
        <v>14.4310864164171</v>
      </c>
      <c r="AB1229" s="4">
        <f t="shared" si="79"/>
        <v>14.641887318316334</v>
      </c>
    </row>
    <row r="1230" spans="2:28" x14ac:dyDescent="0.2">
      <c r="B1230" s="4" t="s">
        <v>1491</v>
      </c>
      <c r="C1230" s="4">
        <v>14.9834</v>
      </c>
      <c r="D1230" s="4">
        <v>14.705</v>
      </c>
      <c r="E1230" s="4">
        <v>14.656000000000001</v>
      </c>
      <c r="F1230" s="4">
        <f t="shared" si="76"/>
        <v>14.781466666666667</v>
      </c>
      <c r="I1230" s="4" t="s">
        <v>3439</v>
      </c>
      <c r="J1230" s="4">
        <v>15.001099999999999</v>
      </c>
      <c r="K1230" s="4">
        <v>14.709099999999999</v>
      </c>
      <c r="L1230" s="4">
        <v>14.750500000000001</v>
      </c>
      <c r="M1230" s="4">
        <f t="shared" si="77"/>
        <v>14.820233333333334</v>
      </c>
      <c r="Q1230" s="43" t="s">
        <v>2577</v>
      </c>
      <c r="R1230" s="4">
        <v>14.3352091852298</v>
      </c>
      <c r="S1230" s="4">
        <v>14.5622331730772</v>
      </c>
      <c r="T1230" s="4">
        <v>14.7151561441057</v>
      </c>
      <c r="U1230" s="4">
        <f t="shared" si="78"/>
        <v>14.537532834137567</v>
      </c>
      <c r="X1230" s="43" t="s">
        <v>2769</v>
      </c>
      <c r="Y1230" s="4">
        <v>14.790038175225501</v>
      </c>
      <c r="Z1230" s="4">
        <v>14.589947605288399</v>
      </c>
      <c r="AA1230" s="4">
        <v>14.545664107394</v>
      </c>
      <c r="AB1230" s="4">
        <f t="shared" si="79"/>
        <v>14.641883295969299</v>
      </c>
    </row>
    <row r="1231" spans="2:28" x14ac:dyDescent="0.2">
      <c r="B1231" s="4" t="s">
        <v>1340</v>
      </c>
      <c r="C1231" s="4">
        <v>14.3704</v>
      </c>
      <c r="D1231" s="4">
        <v>14.955</v>
      </c>
      <c r="E1231" s="4">
        <v>15.0167</v>
      </c>
      <c r="F1231" s="4">
        <f t="shared" si="76"/>
        <v>14.780700000000001</v>
      </c>
      <c r="I1231" s="4" t="s">
        <v>531</v>
      </c>
      <c r="J1231" s="4">
        <v>14.581300000000001</v>
      </c>
      <c r="K1231" s="4">
        <v>14.8462</v>
      </c>
      <c r="L1231" s="4">
        <v>15.0305</v>
      </c>
      <c r="M1231" s="4">
        <f t="shared" si="77"/>
        <v>14.819333333333333</v>
      </c>
      <c r="Q1231" s="43" t="s">
        <v>2094</v>
      </c>
      <c r="R1231" s="4">
        <v>14.754359103537199</v>
      </c>
      <c r="S1231" s="4">
        <v>14.510416579170901</v>
      </c>
      <c r="T1231" s="4">
        <v>14.3392432810121</v>
      </c>
      <c r="U1231" s="4">
        <f t="shared" si="78"/>
        <v>14.534672987906733</v>
      </c>
      <c r="X1231" s="43" t="s">
        <v>8</v>
      </c>
      <c r="Y1231" s="4">
        <v>14.6766293698489</v>
      </c>
      <c r="Z1231" s="4">
        <v>14.6943799727908</v>
      </c>
      <c r="AA1231" s="4">
        <v>14.540928348030601</v>
      </c>
      <c r="AB1231" s="4">
        <f t="shared" si="79"/>
        <v>14.637312563556767</v>
      </c>
    </row>
    <row r="1232" spans="2:28" x14ac:dyDescent="0.2">
      <c r="B1232" s="4" t="s">
        <v>3968</v>
      </c>
      <c r="C1232" s="4">
        <v>15.058199999999999</v>
      </c>
      <c r="D1232" s="4">
        <v>14.722899999999999</v>
      </c>
      <c r="E1232" s="4">
        <v>14.5588</v>
      </c>
      <c r="F1232" s="4">
        <f t="shared" si="76"/>
        <v>14.779966666666667</v>
      </c>
      <c r="I1232" s="4" t="s">
        <v>437</v>
      </c>
      <c r="J1232" s="4">
        <v>13.716699999999999</v>
      </c>
      <c r="K1232" s="4">
        <v>16.7925</v>
      </c>
      <c r="L1232" s="4">
        <v>13.948700000000001</v>
      </c>
      <c r="M1232" s="4">
        <f t="shared" si="77"/>
        <v>14.8193</v>
      </c>
      <c r="Q1232" s="43" t="s">
        <v>4089</v>
      </c>
      <c r="R1232" s="4">
        <v>14.919905633012799</v>
      </c>
      <c r="S1232" s="4">
        <v>14.4247421534387</v>
      </c>
      <c r="T1232" s="4">
        <v>14.2562384916097</v>
      </c>
      <c r="U1232" s="4">
        <f t="shared" si="78"/>
        <v>14.533628759353732</v>
      </c>
      <c r="X1232" s="43" t="s">
        <v>946</v>
      </c>
      <c r="Y1232" s="4">
        <v>14.7753489115919</v>
      </c>
      <c r="Z1232" s="4">
        <v>14.5957486788745</v>
      </c>
      <c r="AA1232" s="4">
        <v>14.5326951787419</v>
      </c>
      <c r="AB1232" s="4">
        <f t="shared" si="79"/>
        <v>14.634597589736098</v>
      </c>
    </row>
    <row r="1233" spans="2:28" x14ac:dyDescent="0.2">
      <c r="B1233" s="4" t="s">
        <v>162</v>
      </c>
      <c r="C1233" s="4">
        <v>14.635400000000001</v>
      </c>
      <c r="D1233" s="4">
        <v>14.481400000000001</v>
      </c>
      <c r="E1233" s="4">
        <v>15.222099999999999</v>
      </c>
      <c r="F1233" s="4">
        <f t="shared" si="76"/>
        <v>14.779633333333335</v>
      </c>
      <c r="I1233" s="4" t="s">
        <v>3041</v>
      </c>
      <c r="J1233" s="4">
        <v>15.018000000000001</v>
      </c>
      <c r="K1233" s="4">
        <v>14.415699999999999</v>
      </c>
      <c r="L1233" s="4">
        <v>15.0037</v>
      </c>
      <c r="M1233" s="4">
        <f t="shared" si="77"/>
        <v>14.812466666666667</v>
      </c>
      <c r="Q1233" s="43" t="s">
        <v>4064</v>
      </c>
      <c r="R1233" s="4">
        <v>15.036042472185599</v>
      </c>
      <c r="S1233" s="4">
        <v>14.374152093874899</v>
      </c>
      <c r="T1233" s="4">
        <v>14.1892413469487</v>
      </c>
      <c r="U1233" s="4">
        <f t="shared" si="78"/>
        <v>14.533145304336399</v>
      </c>
      <c r="X1233" s="43" t="s">
        <v>311</v>
      </c>
      <c r="Y1233" s="4">
        <v>14.574360863334499</v>
      </c>
      <c r="Z1233" s="4">
        <v>14.6758730610167</v>
      </c>
      <c r="AA1233" s="4">
        <v>14.6497393890004</v>
      </c>
      <c r="AB1233" s="4">
        <f t="shared" si="79"/>
        <v>14.633324437783868</v>
      </c>
    </row>
    <row r="1234" spans="2:28" x14ac:dyDescent="0.2">
      <c r="B1234" s="4" t="s">
        <v>667</v>
      </c>
      <c r="C1234" s="4">
        <v>14.6584</v>
      </c>
      <c r="D1234" s="4">
        <v>14.5914</v>
      </c>
      <c r="E1234" s="4">
        <v>15.0838</v>
      </c>
      <c r="F1234" s="4">
        <f t="shared" si="76"/>
        <v>14.777866666666668</v>
      </c>
      <c r="I1234" s="4" t="s">
        <v>1913</v>
      </c>
      <c r="J1234" s="4">
        <v>15.1311</v>
      </c>
      <c r="K1234" s="4">
        <v>14.450200000000001</v>
      </c>
      <c r="L1234" s="4">
        <v>14.8499</v>
      </c>
      <c r="M1234" s="4">
        <f t="shared" si="77"/>
        <v>14.8104</v>
      </c>
      <c r="Q1234" s="43" t="s">
        <v>1564</v>
      </c>
      <c r="R1234" s="4">
        <v>14.2869116512587</v>
      </c>
      <c r="S1234" s="4">
        <v>14.6993458663576</v>
      </c>
      <c r="T1234" s="4">
        <v>14.6092096616155</v>
      </c>
      <c r="U1234" s="4">
        <f t="shared" si="78"/>
        <v>14.531822393077269</v>
      </c>
      <c r="X1234" s="43" t="s">
        <v>3428</v>
      </c>
      <c r="Y1234" s="4">
        <v>14.690586556243</v>
      </c>
      <c r="Z1234" s="4">
        <v>14.5480507941762</v>
      </c>
      <c r="AA1234" s="4">
        <v>14.647817156740199</v>
      </c>
      <c r="AB1234" s="4">
        <f t="shared" si="79"/>
        <v>14.628818169053133</v>
      </c>
    </row>
    <row r="1235" spans="2:28" x14ac:dyDescent="0.2">
      <c r="B1235" s="4" t="s">
        <v>2651</v>
      </c>
      <c r="C1235" s="4">
        <v>14.7241</v>
      </c>
      <c r="D1235" s="4">
        <v>14.146000000000001</v>
      </c>
      <c r="E1235" s="4">
        <v>15.4594</v>
      </c>
      <c r="F1235" s="4">
        <f t="shared" si="76"/>
        <v>14.7765</v>
      </c>
      <c r="I1235" s="4" t="s">
        <v>3347</v>
      </c>
      <c r="J1235" s="4">
        <v>14.2837</v>
      </c>
      <c r="K1235" s="4">
        <v>16.035399999999999</v>
      </c>
      <c r="L1235" s="4">
        <v>14.111800000000001</v>
      </c>
      <c r="M1235" s="4">
        <f t="shared" si="77"/>
        <v>14.8103</v>
      </c>
      <c r="Q1235" s="43" t="s">
        <v>3902</v>
      </c>
      <c r="R1235" s="4">
        <v>14.504668588856299</v>
      </c>
      <c r="S1235" s="4">
        <v>14.321874074557501</v>
      </c>
      <c r="T1235" s="4">
        <v>14.768062460784799</v>
      </c>
      <c r="U1235" s="4">
        <f t="shared" si="78"/>
        <v>14.531535041399534</v>
      </c>
      <c r="X1235" s="43" t="s">
        <v>95</v>
      </c>
      <c r="Y1235" s="4">
        <v>14.627993399686799</v>
      </c>
      <c r="Z1235" s="4">
        <v>14.7197919049335</v>
      </c>
      <c r="AA1235" s="4">
        <v>14.5377163107483</v>
      </c>
      <c r="AB1235" s="4">
        <f t="shared" si="79"/>
        <v>14.628500538456199</v>
      </c>
    </row>
    <row r="1236" spans="2:28" x14ac:dyDescent="0.2">
      <c r="B1236" s="4" t="s">
        <v>804</v>
      </c>
      <c r="C1236" s="4">
        <v>14.2949</v>
      </c>
      <c r="D1236" s="4">
        <v>14.794700000000001</v>
      </c>
      <c r="E1236" s="4">
        <v>15.224</v>
      </c>
      <c r="F1236" s="4">
        <f t="shared" si="76"/>
        <v>14.7712</v>
      </c>
      <c r="I1236" s="4" t="s">
        <v>1670</v>
      </c>
      <c r="J1236" s="4">
        <v>15.0115</v>
      </c>
      <c r="K1236" s="4">
        <v>14.347099999999999</v>
      </c>
      <c r="L1236" s="4">
        <v>15.069699999999999</v>
      </c>
      <c r="M1236" s="4">
        <f t="shared" si="77"/>
        <v>14.809433333333333</v>
      </c>
      <c r="Q1236" s="43" t="s">
        <v>1237</v>
      </c>
      <c r="R1236" s="4">
        <v>14.6818027740443</v>
      </c>
      <c r="S1236" s="4">
        <v>14.527497720957699</v>
      </c>
      <c r="T1236" s="4">
        <v>14.3839780466545</v>
      </c>
      <c r="U1236" s="4">
        <f t="shared" si="78"/>
        <v>14.531092847218831</v>
      </c>
      <c r="X1236" s="43" t="s">
        <v>1316</v>
      </c>
      <c r="Y1236" s="4">
        <v>14.5904960285526</v>
      </c>
      <c r="Z1236" s="4">
        <v>14.7747787770936</v>
      </c>
      <c r="AA1236" s="4">
        <v>14.519587368739501</v>
      </c>
      <c r="AB1236" s="4">
        <f t="shared" si="79"/>
        <v>14.628287391461901</v>
      </c>
    </row>
    <row r="1237" spans="2:28" x14ac:dyDescent="0.2">
      <c r="B1237" s="4" t="s">
        <v>277</v>
      </c>
      <c r="C1237" s="4">
        <v>14.478999999999999</v>
      </c>
      <c r="D1237" s="4">
        <v>14.7377</v>
      </c>
      <c r="E1237" s="4">
        <v>15.0953</v>
      </c>
      <c r="F1237" s="4">
        <f t="shared" si="76"/>
        <v>14.770666666666665</v>
      </c>
      <c r="I1237" s="4" t="s">
        <v>399</v>
      </c>
      <c r="J1237" s="4">
        <v>14.9322</v>
      </c>
      <c r="K1237" s="4">
        <v>14.559200000000001</v>
      </c>
      <c r="L1237" s="4">
        <v>14.9351</v>
      </c>
      <c r="M1237" s="4">
        <f t="shared" si="77"/>
        <v>14.808833333333332</v>
      </c>
      <c r="Q1237" s="43" t="s">
        <v>3651</v>
      </c>
      <c r="R1237" s="4">
        <v>14.629833333741701</v>
      </c>
      <c r="S1237" s="4">
        <v>14.467799377958199</v>
      </c>
      <c r="T1237" s="4">
        <v>14.4841721023256</v>
      </c>
      <c r="U1237" s="4">
        <f t="shared" si="78"/>
        <v>14.527268271341834</v>
      </c>
      <c r="X1237" s="43" t="s">
        <v>3300</v>
      </c>
      <c r="Y1237" s="4">
        <v>14.573219089873399</v>
      </c>
      <c r="Z1237" s="4">
        <v>14.752582541538301</v>
      </c>
      <c r="AA1237" s="4">
        <v>14.5545259729424</v>
      </c>
      <c r="AB1237" s="4">
        <f t="shared" si="79"/>
        <v>14.626775868118033</v>
      </c>
    </row>
    <row r="1238" spans="2:28" x14ac:dyDescent="0.2">
      <c r="B1238" s="4" t="s">
        <v>2069</v>
      </c>
      <c r="C1238" s="4">
        <v>14.9163</v>
      </c>
      <c r="D1238" s="4">
        <v>15.009499999999999</v>
      </c>
      <c r="E1238" s="4">
        <v>14.384</v>
      </c>
      <c r="F1238" s="4">
        <f t="shared" si="76"/>
        <v>14.769933333333332</v>
      </c>
      <c r="I1238" s="4" t="s">
        <v>2253</v>
      </c>
      <c r="J1238" s="4">
        <v>14.8186</v>
      </c>
      <c r="K1238" s="4">
        <v>14.9559</v>
      </c>
      <c r="L1238" s="4">
        <v>14.6501</v>
      </c>
      <c r="M1238" s="4">
        <f t="shared" si="77"/>
        <v>14.808199999999999</v>
      </c>
      <c r="Q1238" s="43" t="s">
        <v>3469</v>
      </c>
      <c r="R1238" s="4">
        <v>14.687269204892001</v>
      </c>
      <c r="S1238" s="4">
        <v>14.509324783239</v>
      </c>
      <c r="T1238" s="4">
        <v>14.382308578044899</v>
      </c>
      <c r="U1238" s="4">
        <f t="shared" si="78"/>
        <v>14.526300855391966</v>
      </c>
      <c r="X1238" s="43" t="s">
        <v>1465</v>
      </c>
      <c r="Y1238" s="4">
        <v>14.5691880393272</v>
      </c>
      <c r="Z1238" s="4">
        <v>14.7491305693705</v>
      </c>
      <c r="AA1238" s="4">
        <v>14.5614723028886</v>
      </c>
      <c r="AB1238" s="4">
        <f t="shared" si="79"/>
        <v>14.626596970528766</v>
      </c>
    </row>
    <row r="1239" spans="2:28" x14ac:dyDescent="0.2">
      <c r="B1239" s="4" t="s">
        <v>2512</v>
      </c>
      <c r="C1239" s="4">
        <v>14.7744</v>
      </c>
      <c r="D1239" s="4">
        <v>14.6503</v>
      </c>
      <c r="E1239" s="4">
        <v>14.884</v>
      </c>
      <c r="F1239" s="4">
        <f t="shared" si="76"/>
        <v>14.769566666666668</v>
      </c>
      <c r="I1239" s="4" t="s">
        <v>3197</v>
      </c>
      <c r="J1239" s="4">
        <v>14.612500000000001</v>
      </c>
      <c r="K1239" s="4">
        <v>14.9655</v>
      </c>
      <c r="L1239" s="4">
        <v>14.8451</v>
      </c>
      <c r="M1239" s="4">
        <f t="shared" si="77"/>
        <v>14.807700000000002</v>
      </c>
      <c r="Q1239" s="43" t="s">
        <v>1519</v>
      </c>
      <c r="R1239" s="4">
        <v>15.1135995892643</v>
      </c>
      <c r="S1239" s="4">
        <v>14.1406183877116</v>
      </c>
      <c r="T1239" s="4">
        <v>14.324129545558501</v>
      </c>
      <c r="U1239" s="4">
        <f t="shared" si="78"/>
        <v>14.526115840844801</v>
      </c>
      <c r="X1239" s="43" t="s">
        <v>1830</v>
      </c>
      <c r="Y1239" s="4">
        <v>14.587735704412999</v>
      </c>
      <c r="Z1239" s="4">
        <v>14.725861293819101</v>
      </c>
      <c r="AA1239" s="4">
        <v>14.562419107912</v>
      </c>
      <c r="AB1239" s="4">
        <f t="shared" si="79"/>
        <v>14.625338702048033</v>
      </c>
    </row>
    <row r="1240" spans="2:28" x14ac:dyDescent="0.2">
      <c r="B1240" s="4" t="s">
        <v>1590</v>
      </c>
      <c r="C1240" s="4">
        <v>14.942299999999999</v>
      </c>
      <c r="D1240" s="4">
        <v>14.7037</v>
      </c>
      <c r="E1240" s="4">
        <v>14.66</v>
      </c>
      <c r="F1240" s="4">
        <f t="shared" si="76"/>
        <v>14.768666666666666</v>
      </c>
      <c r="I1240" s="4" t="s">
        <v>2613</v>
      </c>
      <c r="J1240" s="4">
        <v>14.855700000000001</v>
      </c>
      <c r="K1240" s="4">
        <v>14.229900000000001</v>
      </c>
      <c r="L1240" s="4">
        <v>15.3347</v>
      </c>
      <c r="M1240" s="4">
        <f t="shared" si="77"/>
        <v>14.806766666666666</v>
      </c>
      <c r="Q1240" s="43" t="s">
        <v>198</v>
      </c>
      <c r="R1240" s="4">
        <v>14.796076712251599</v>
      </c>
      <c r="S1240" s="4">
        <v>14.3510102020799</v>
      </c>
      <c r="T1240" s="4">
        <v>14.430090306113399</v>
      </c>
      <c r="U1240" s="4">
        <f t="shared" si="78"/>
        <v>14.525725740148298</v>
      </c>
      <c r="X1240" s="43" t="s">
        <v>687</v>
      </c>
      <c r="Y1240" s="4">
        <v>14.7517226692293</v>
      </c>
      <c r="Z1240" s="4">
        <v>15.5035214106223</v>
      </c>
      <c r="AA1240" s="4">
        <v>13.619193772501101</v>
      </c>
      <c r="AB1240" s="4">
        <f t="shared" si="79"/>
        <v>14.6248126174509</v>
      </c>
    </row>
    <row r="1241" spans="2:28" x14ac:dyDescent="0.2">
      <c r="B1241" s="4" t="s">
        <v>2283</v>
      </c>
      <c r="C1241" s="4">
        <v>14.7507</v>
      </c>
      <c r="D1241" s="4">
        <v>14.8108</v>
      </c>
      <c r="E1241" s="4">
        <v>14.742100000000001</v>
      </c>
      <c r="F1241" s="4">
        <f t="shared" si="76"/>
        <v>14.767866666666668</v>
      </c>
      <c r="I1241" s="4" t="s">
        <v>1329</v>
      </c>
      <c r="J1241" s="4">
        <v>15.157299999999999</v>
      </c>
      <c r="K1241" s="4">
        <v>14.4999</v>
      </c>
      <c r="L1241" s="4">
        <v>14.762600000000001</v>
      </c>
      <c r="M1241" s="4">
        <f t="shared" si="77"/>
        <v>14.806600000000001</v>
      </c>
      <c r="Q1241" s="43" t="s">
        <v>3312</v>
      </c>
      <c r="R1241" s="4">
        <v>14.878953389642399</v>
      </c>
      <c r="S1241" s="4">
        <v>14.2610959445357</v>
      </c>
      <c r="T1241" s="4">
        <v>14.435877783824401</v>
      </c>
      <c r="U1241" s="4">
        <f t="shared" si="78"/>
        <v>14.525309039334168</v>
      </c>
      <c r="X1241" s="43" t="s">
        <v>321</v>
      </c>
      <c r="Y1241" s="4">
        <v>14.5789989886631</v>
      </c>
      <c r="Z1241" s="4">
        <v>14.604277017566501</v>
      </c>
      <c r="AA1241" s="4">
        <v>14.689691964632701</v>
      </c>
      <c r="AB1241" s="4">
        <f t="shared" si="79"/>
        <v>14.624322656954101</v>
      </c>
    </row>
    <row r="1242" spans="2:28" x14ac:dyDescent="0.2">
      <c r="B1242" s="4" t="s">
        <v>3847</v>
      </c>
      <c r="C1242" s="4">
        <v>14.7744</v>
      </c>
      <c r="D1242" s="4">
        <v>14.8131</v>
      </c>
      <c r="E1242" s="4">
        <v>14.7143</v>
      </c>
      <c r="F1242" s="4">
        <f t="shared" si="76"/>
        <v>14.767266666666666</v>
      </c>
      <c r="I1242" s="4" t="s">
        <v>2791</v>
      </c>
      <c r="J1242" s="4">
        <v>15.939399999999999</v>
      </c>
      <c r="K1242" s="4">
        <v>12.780799999999999</v>
      </c>
      <c r="L1242" s="4">
        <v>15.6821</v>
      </c>
      <c r="M1242" s="4">
        <f t="shared" si="77"/>
        <v>14.800766666666666</v>
      </c>
      <c r="Q1242" s="43" t="s">
        <v>2899</v>
      </c>
      <c r="R1242" s="4">
        <v>14.607656127808999</v>
      </c>
      <c r="S1242" s="4">
        <v>14.4292836688793</v>
      </c>
      <c r="T1242" s="4">
        <v>14.5373735982139</v>
      </c>
      <c r="U1242" s="4">
        <f t="shared" si="78"/>
        <v>14.524771131634068</v>
      </c>
      <c r="X1242" s="43" t="s">
        <v>3334</v>
      </c>
      <c r="Y1242" s="4">
        <v>14.5395766396125</v>
      </c>
      <c r="Z1242" s="4">
        <v>14.885650332608799</v>
      </c>
      <c r="AA1242" s="4">
        <v>14.4367577935628</v>
      </c>
      <c r="AB1242" s="4">
        <f t="shared" si="79"/>
        <v>14.6206615885947</v>
      </c>
    </row>
    <row r="1243" spans="2:28" x14ac:dyDescent="0.2">
      <c r="B1243" s="4" t="s">
        <v>2064</v>
      </c>
      <c r="C1243" s="4">
        <v>14.842700000000001</v>
      </c>
      <c r="D1243" s="4">
        <v>14.7666</v>
      </c>
      <c r="E1243" s="4">
        <v>14.690099999999999</v>
      </c>
      <c r="F1243" s="4">
        <f t="shared" si="76"/>
        <v>14.766466666666666</v>
      </c>
      <c r="I1243" s="4" t="s">
        <v>3888</v>
      </c>
      <c r="J1243" s="4">
        <v>14.6715</v>
      </c>
      <c r="K1243" s="4">
        <v>15.399800000000001</v>
      </c>
      <c r="L1243" s="4">
        <v>14.329000000000001</v>
      </c>
      <c r="M1243" s="4">
        <f t="shared" si="77"/>
        <v>14.8001</v>
      </c>
      <c r="Q1243" s="43" t="s">
        <v>4176</v>
      </c>
      <c r="R1243" s="4">
        <v>15.167197043413699</v>
      </c>
      <c r="S1243" s="4">
        <v>14.785844546048001</v>
      </c>
      <c r="T1243" s="4">
        <v>13.618799641731099</v>
      </c>
      <c r="U1243" s="4">
        <f t="shared" si="78"/>
        <v>14.523947077064266</v>
      </c>
      <c r="X1243" s="43" t="s">
        <v>754</v>
      </c>
      <c r="Y1243" s="4">
        <v>14.7341125872851</v>
      </c>
      <c r="Z1243" s="4">
        <v>14.351100353940801</v>
      </c>
      <c r="AA1243" s="4">
        <v>14.7676488289659</v>
      </c>
      <c r="AB1243" s="4">
        <f t="shared" si="79"/>
        <v>14.617620590063934</v>
      </c>
    </row>
    <row r="1244" spans="2:28" x14ac:dyDescent="0.2">
      <c r="B1244" s="4" t="s">
        <v>338</v>
      </c>
      <c r="C1244" s="4">
        <v>14.506399999999999</v>
      </c>
      <c r="D1244" s="4">
        <v>14.775</v>
      </c>
      <c r="E1244" s="4">
        <v>15.017899999999999</v>
      </c>
      <c r="F1244" s="4">
        <f t="shared" si="76"/>
        <v>14.766433333333332</v>
      </c>
      <c r="I1244" s="4" t="s">
        <v>3058</v>
      </c>
      <c r="J1244" s="4">
        <v>14.927300000000001</v>
      </c>
      <c r="K1244" s="4">
        <v>15.076499999999999</v>
      </c>
      <c r="L1244" s="4">
        <v>14.3941</v>
      </c>
      <c r="M1244" s="4">
        <f t="shared" si="77"/>
        <v>14.799300000000001</v>
      </c>
      <c r="Q1244" s="43" t="s">
        <v>1928</v>
      </c>
      <c r="R1244" s="4">
        <v>14.7154841561591</v>
      </c>
      <c r="S1244" s="4">
        <v>14.377181624335501</v>
      </c>
      <c r="T1244" s="4">
        <v>14.478971441862001</v>
      </c>
      <c r="U1244" s="4">
        <f t="shared" si="78"/>
        <v>14.523879074118867</v>
      </c>
      <c r="X1244" s="43" t="s">
        <v>1837</v>
      </c>
      <c r="Y1244" s="4">
        <v>14.712864108734699</v>
      </c>
      <c r="Z1244" s="4">
        <v>14.5594540440445</v>
      </c>
      <c r="AA1244" s="4">
        <v>14.5754989938271</v>
      </c>
      <c r="AB1244" s="4">
        <f t="shared" si="79"/>
        <v>14.615939048868768</v>
      </c>
    </row>
    <row r="1245" spans="2:28" x14ac:dyDescent="0.2">
      <c r="B1245" s="4" t="s">
        <v>3506</v>
      </c>
      <c r="C1245" s="4">
        <v>14.879799999999999</v>
      </c>
      <c r="D1245" s="4">
        <v>14.867000000000001</v>
      </c>
      <c r="E1245" s="4">
        <v>14.5494</v>
      </c>
      <c r="F1245" s="4">
        <f t="shared" si="76"/>
        <v>14.7654</v>
      </c>
      <c r="I1245" s="4" t="s">
        <v>3586</v>
      </c>
      <c r="J1245" s="4">
        <v>14.8369</v>
      </c>
      <c r="K1245" s="4">
        <v>14.827500000000001</v>
      </c>
      <c r="L1245" s="4">
        <v>14.7303</v>
      </c>
      <c r="M1245" s="4">
        <f t="shared" si="77"/>
        <v>14.798233333333334</v>
      </c>
      <c r="Q1245" s="43" t="s">
        <v>2512</v>
      </c>
      <c r="R1245" s="4">
        <v>14.382453717623999</v>
      </c>
      <c r="S1245" s="4">
        <v>14.486132097705401</v>
      </c>
      <c r="T1245" s="4">
        <v>14.6996612597504</v>
      </c>
      <c r="U1245" s="4">
        <f t="shared" si="78"/>
        <v>14.522749025026599</v>
      </c>
      <c r="X1245" s="43" t="s">
        <v>197</v>
      </c>
      <c r="Y1245" s="4">
        <v>14.6158309109365</v>
      </c>
      <c r="Z1245" s="4">
        <v>14.5907874153232</v>
      </c>
      <c r="AA1245" s="4">
        <v>14.6379540532563</v>
      </c>
      <c r="AB1245" s="4">
        <f t="shared" si="79"/>
        <v>14.614857459838667</v>
      </c>
    </row>
    <row r="1246" spans="2:28" x14ac:dyDescent="0.2">
      <c r="B1246" s="4" t="s">
        <v>1815</v>
      </c>
      <c r="C1246" s="4">
        <v>15.0844</v>
      </c>
      <c r="D1246" s="4">
        <v>14.777799999999999</v>
      </c>
      <c r="E1246" s="4">
        <v>14.4268</v>
      </c>
      <c r="F1246" s="4">
        <f t="shared" si="76"/>
        <v>14.763</v>
      </c>
      <c r="I1246" s="4" t="s">
        <v>3615</v>
      </c>
      <c r="J1246" s="4">
        <v>14.209899999999999</v>
      </c>
      <c r="K1246" s="4">
        <v>15.6135</v>
      </c>
      <c r="L1246" s="4">
        <v>14.5709</v>
      </c>
      <c r="M1246" s="4">
        <f t="shared" si="77"/>
        <v>14.7981</v>
      </c>
      <c r="Q1246" s="43" t="s">
        <v>3943</v>
      </c>
      <c r="R1246" s="4">
        <v>14.5896605164661</v>
      </c>
      <c r="S1246" s="4">
        <v>14.5424798436856</v>
      </c>
      <c r="T1246" s="4">
        <v>14.436006352033701</v>
      </c>
      <c r="U1246" s="4">
        <f t="shared" si="78"/>
        <v>14.522715570728467</v>
      </c>
      <c r="X1246" s="43" t="s">
        <v>161</v>
      </c>
      <c r="Y1246" s="4">
        <v>14.654225356297699</v>
      </c>
      <c r="Z1246" s="4">
        <v>14.6291225020966</v>
      </c>
      <c r="AA1246" s="4">
        <v>14.5595505773695</v>
      </c>
      <c r="AB1246" s="4">
        <f t="shared" si="79"/>
        <v>14.614299478587933</v>
      </c>
    </row>
    <row r="1247" spans="2:28" x14ac:dyDescent="0.2">
      <c r="B1247" s="4" t="s">
        <v>2177</v>
      </c>
      <c r="C1247" s="4">
        <v>14.888400000000001</v>
      </c>
      <c r="D1247" s="4">
        <v>14.7576</v>
      </c>
      <c r="E1247" s="4">
        <v>14.632899999999999</v>
      </c>
      <c r="F1247" s="4">
        <f t="shared" si="76"/>
        <v>14.759633333333333</v>
      </c>
      <c r="I1247" s="4" t="s">
        <v>3404</v>
      </c>
      <c r="J1247" s="4">
        <v>14.7232</v>
      </c>
      <c r="K1247" s="4">
        <v>14.6426</v>
      </c>
      <c r="L1247" s="4">
        <v>15.025700000000001</v>
      </c>
      <c r="M1247" s="4">
        <f t="shared" si="77"/>
        <v>14.797166666666667</v>
      </c>
      <c r="Q1247" s="43" t="s">
        <v>1336</v>
      </c>
      <c r="R1247" s="4">
        <v>14.700424081445201</v>
      </c>
      <c r="S1247" s="4">
        <v>14.366391879389701</v>
      </c>
      <c r="T1247" s="4">
        <v>14.5008344692114</v>
      </c>
      <c r="U1247" s="4">
        <f t="shared" si="78"/>
        <v>14.522550143348766</v>
      </c>
      <c r="X1247" s="43" t="s">
        <v>2507</v>
      </c>
      <c r="Y1247" s="4">
        <v>14.841331491143301</v>
      </c>
      <c r="Z1247" s="4">
        <v>14.4923888271362</v>
      </c>
      <c r="AA1247" s="4">
        <v>14.5076790151967</v>
      </c>
      <c r="AB1247" s="4">
        <f t="shared" si="79"/>
        <v>14.613799777825401</v>
      </c>
    </row>
    <row r="1248" spans="2:28" x14ac:dyDescent="0.2">
      <c r="B1248" s="4" t="s">
        <v>2978</v>
      </c>
      <c r="C1248" s="4">
        <v>14.585699999999999</v>
      </c>
      <c r="D1248" s="4">
        <v>14.7492</v>
      </c>
      <c r="E1248" s="4">
        <v>14.943199999999999</v>
      </c>
      <c r="F1248" s="4">
        <f t="shared" si="76"/>
        <v>14.759366666666665</v>
      </c>
      <c r="I1248" s="4" t="s">
        <v>1467</v>
      </c>
      <c r="J1248" s="4">
        <v>13.8184</v>
      </c>
      <c r="K1248" s="4">
        <v>15.5123</v>
      </c>
      <c r="L1248" s="4">
        <v>15.0604</v>
      </c>
      <c r="M1248" s="4">
        <f t="shared" si="77"/>
        <v>14.797033333333333</v>
      </c>
      <c r="Q1248" s="43" t="s">
        <v>3308</v>
      </c>
      <c r="R1248" s="4">
        <v>14.636295446171101</v>
      </c>
      <c r="S1248" s="4">
        <v>14.5408240697399</v>
      </c>
      <c r="T1248" s="4">
        <v>14.3852160678604</v>
      </c>
      <c r="U1248" s="4">
        <f t="shared" si="78"/>
        <v>14.520778527923801</v>
      </c>
      <c r="X1248" s="43" t="s">
        <v>2715</v>
      </c>
      <c r="Y1248" s="4">
        <v>14.696942998090501</v>
      </c>
      <c r="Z1248" s="4">
        <v>14.661352378556799</v>
      </c>
      <c r="AA1248" s="4">
        <v>14.480692321235299</v>
      </c>
      <c r="AB1248" s="4">
        <f t="shared" si="79"/>
        <v>14.6129958992942</v>
      </c>
    </row>
    <row r="1249" spans="2:28" x14ac:dyDescent="0.2">
      <c r="B1249" s="4" t="s">
        <v>1245</v>
      </c>
      <c r="C1249" s="4">
        <v>14.976000000000001</v>
      </c>
      <c r="D1249" s="4">
        <v>14.5877</v>
      </c>
      <c r="E1249" s="4">
        <v>14.7133</v>
      </c>
      <c r="F1249" s="4">
        <f t="shared" si="76"/>
        <v>14.759</v>
      </c>
      <c r="I1249" s="4" t="s">
        <v>3774</v>
      </c>
      <c r="J1249" s="4">
        <v>14.7468</v>
      </c>
      <c r="K1249" s="4">
        <v>15.6373</v>
      </c>
      <c r="L1249" s="4">
        <v>14.0062</v>
      </c>
      <c r="M1249" s="4">
        <f t="shared" si="77"/>
        <v>14.796766666666665</v>
      </c>
      <c r="Q1249" s="43" t="s">
        <v>2093</v>
      </c>
      <c r="R1249" s="4">
        <v>14.5542518488577</v>
      </c>
      <c r="S1249" s="4">
        <v>14.4321142871182</v>
      </c>
      <c r="T1249" s="4">
        <v>14.572962032307</v>
      </c>
      <c r="U1249" s="4">
        <f t="shared" si="78"/>
        <v>14.519776056094301</v>
      </c>
      <c r="X1249" s="43" t="s">
        <v>4471</v>
      </c>
      <c r="Y1249" s="4">
        <v>14.7473269560845</v>
      </c>
      <c r="Z1249" s="4">
        <v>14.507469357397801</v>
      </c>
      <c r="AA1249" s="4">
        <v>14.5737107231646</v>
      </c>
      <c r="AB1249" s="4">
        <f t="shared" si="79"/>
        <v>14.609502345548968</v>
      </c>
    </row>
    <row r="1250" spans="2:28" x14ac:dyDescent="0.2">
      <c r="B1250" s="4" t="s">
        <v>227</v>
      </c>
      <c r="C1250" s="4">
        <v>14.5002</v>
      </c>
      <c r="D1250" s="4">
        <v>14.8162</v>
      </c>
      <c r="E1250" s="4">
        <v>14.9598</v>
      </c>
      <c r="F1250" s="4">
        <f t="shared" si="76"/>
        <v>14.758733333333334</v>
      </c>
      <c r="I1250" s="4" t="s">
        <v>3733</v>
      </c>
      <c r="J1250" s="4">
        <v>14.9095</v>
      </c>
      <c r="K1250" s="4">
        <v>14.3649</v>
      </c>
      <c r="L1250" s="4">
        <v>15.104900000000001</v>
      </c>
      <c r="M1250" s="4">
        <f t="shared" si="77"/>
        <v>14.793100000000001</v>
      </c>
      <c r="Q1250" s="43" t="s">
        <v>3684</v>
      </c>
      <c r="R1250" s="4">
        <v>14.478864987327499</v>
      </c>
      <c r="S1250" s="4">
        <v>14.434172115896599</v>
      </c>
      <c r="T1250" s="4">
        <v>14.645630881358301</v>
      </c>
      <c r="U1250" s="4">
        <f t="shared" si="78"/>
        <v>14.5195559948608</v>
      </c>
      <c r="X1250" s="43" t="s">
        <v>379</v>
      </c>
      <c r="Y1250" s="4">
        <v>14.5786218544078</v>
      </c>
      <c r="Z1250" s="4">
        <v>14.6869053420182</v>
      </c>
      <c r="AA1250" s="4">
        <v>14.5518808203557</v>
      </c>
      <c r="AB1250" s="4">
        <f t="shared" si="79"/>
        <v>14.605802672260566</v>
      </c>
    </row>
    <row r="1251" spans="2:28" x14ac:dyDescent="0.2">
      <c r="B1251" s="4" t="s">
        <v>2772</v>
      </c>
      <c r="C1251" s="4">
        <v>14.764699999999999</v>
      </c>
      <c r="D1251" s="4">
        <v>14.6976</v>
      </c>
      <c r="E1251" s="4">
        <v>14.8086</v>
      </c>
      <c r="F1251" s="4">
        <f t="shared" si="76"/>
        <v>14.756966666666665</v>
      </c>
      <c r="I1251" s="4" t="s">
        <v>1468</v>
      </c>
      <c r="J1251" s="4">
        <v>14.4598</v>
      </c>
      <c r="K1251" s="4">
        <v>15.2249</v>
      </c>
      <c r="L1251" s="4">
        <v>14.691700000000001</v>
      </c>
      <c r="M1251" s="4">
        <f t="shared" si="77"/>
        <v>14.792133333333334</v>
      </c>
      <c r="Q1251" s="43" t="s">
        <v>3018</v>
      </c>
      <c r="R1251" s="4">
        <v>14.603181174819801</v>
      </c>
      <c r="S1251" s="4">
        <v>14.4793504202023</v>
      </c>
      <c r="T1251" s="4">
        <v>14.472597578643899</v>
      </c>
      <c r="U1251" s="4">
        <f t="shared" si="78"/>
        <v>14.518376391222001</v>
      </c>
      <c r="X1251" s="43" t="s">
        <v>987</v>
      </c>
      <c r="Y1251" s="4">
        <v>14.8882424153618</v>
      </c>
      <c r="Z1251" s="4">
        <v>14.535076797294</v>
      </c>
      <c r="AA1251" s="4">
        <v>14.3921830273908</v>
      </c>
      <c r="AB1251" s="4">
        <f t="shared" si="79"/>
        <v>14.605167413348866</v>
      </c>
    </row>
    <row r="1252" spans="2:28" x14ac:dyDescent="0.2">
      <c r="B1252" s="4" t="s">
        <v>3254</v>
      </c>
      <c r="C1252" s="4">
        <v>14.803599999999999</v>
      </c>
      <c r="D1252" s="4">
        <v>14.6157</v>
      </c>
      <c r="E1252" s="4">
        <v>14.850300000000001</v>
      </c>
      <c r="F1252" s="4">
        <f t="shared" si="76"/>
        <v>14.756533333333332</v>
      </c>
      <c r="I1252" s="4" t="s">
        <v>2163</v>
      </c>
      <c r="J1252" s="4">
        <v>14.867900000000001</v>
      </c>
      <c r="K1252" s="4">
        <v>14.4465</v>
      </c>
      <c r="L1252" s="4">
        <v>15.0448</v>
      </c>
      <c r="M1252" s="4">
        <f t="shared" si="77"/>
        <v>14.7864</v>
      </c>
      <c r="Q1252" s="43" t="s">
        <v>3472</v>
      </c>
      <c r="R1252" s="4">
        <v>14.507137669351501</v>
      </c>
      <c r="S1252" s="4">
        <v>14.613057067339801</v>
      </c>
      <c r="T1252" s="4">
        <v>14.4343720731764</v>
      </c>
      <c r="U1252" s="4">
        <f t="shared" si="78"/>
        <v>14.518188936622566</v>
      </c>
      <c r="X1252" s="43" t="s">
        <v>149</v>
      </c>
      <c r="Y1252" s="4">
        <v>14.6456040202303</v>
      </c>
      <c r="Z1252" s="4">
        <v>14.670121042022201</v>
      </c>
      <c r="AA1252" s="4">
        <v>14.4996415596821</v>
      </c>
      <c r="AB1252" s="4">
        <f t="shared" si="79"/>
        <v>14.605122207311533</v>
      </c>
    </row>
    <row r="1253" spans="2:28" x14ac:dyDescent="0.2">
      <c r="B1253" s="4" t="s">
        <v>2297</v>
      </c>
      <c r="C1253" s="4">
        <v>14.6859</v>
      </c>
      <c r="D1253" s="4">
        <v>14.8405</v>
      </c>
      <c r="E1253" s="4">
        <v>14.742900000000001</v>
      </c>
      <c r="F1253" s="4">
        <f t="shared" si="76"/>
        <v>14.756433333333334</v>
      </c>
      <c r="I1253" s="4" t="s">
        <v>2064</v>
      </c>
      <c r="J1253" s="4">
        <v>15.0359</v>
      </c>
      <c r="K1253" s="4">
        <v>14.286799999999999</v>
      </c>
      <c r="L1253" s="4">
        <v>15.034800000000001</v>
      </c>
      <c r="M1253" s="4">
        <f t="shared" si="77"/>
        <v>14.785833333333334</v>
      </c>
      <c r="Q1253" s="43" t="s">
        <v>4503</v>
      </c>
      <c r="R1253" s="4">
        <v>13.8524636611555</v>
      </c>
      <c r="S1253" s="4">
        <v>14.8441684293826</v>
      </c>
      <c r="T1253" s="4">
        <v>14.8573268079105</v>
      </c>
      <c r="U1253" s="4">
        <f t="shared" si="78"/>
        <v>14.517986299482866</v>
      </c>
      <c r="X1253" s="43" t="s">
        <v>2078</v>
      </c>
      <c r="Y1253" s="4">
        <v>14.428992868833699</v>
      </c>
      <c r="Z1253" s="4">
        <v>14.9164019580566</v>
      </c>
      <c r="AA1253" s="4">
        <v>14.455772158936099</v>
      </c>
      <c r="AB1253" s="4">
        <f t="shared" si="79"/>
        <v>14.600388995275466</v>
      </c>
    </row>
    <row r="1254" spans="2:28" x14ac:dyDescent="0.2">
      <c r="B1254" s="4" t="s">
        <v>530</v>
      </c>
      <c r="C1254" s="4">
        <v>14.7476</v>
      </c>
      <c r="D1254" s="4">
        <v>14.5648</v>
      </c>
      <c r="E1254" s="4">
        <v>14.9564</v>
      </c>
      <c r="F1254" s="4">
        <f t="shared" si="76"/>
        <v>14.756266666666667</v>
      </c>
      <c r="I1254" s="4" t="s">
        <v>2169</v>
      </c>
      <c r="J1254" s="4">
        <v>14.827400000000001</v>
      </c>
      <c r="K1254" s="4">
        <v>14.724</v>
      </c>
      <c r="L1254" s="4">
        <v>14.8002</v>
      </c>
      <c r="M1254" s="4">
        <f t="shared" si="77"/>
        <v>14.783866666666668</v>
      </c>
      <c r="Q1254" s="43" t="s">
        <v>3207</v>
      </c>
      <c r="R1254" s="4">
        <v>14.525840971716599</v>
      </c>
      <c r="S1254" s="4">
        <v>14.4618394174508</v>
      </c>
      <c r="T1254" s="4">
        <v>14.5656991983777</v>
      </c>
      <c r="U1254" s="4">
        <f t="shared" si="78"/>
        <v>14.517793195848368</v>
      </c>
      <c r="X1254" s="43" t="s">
        <v>2875</v>
      </c>
      <c r="Y1254" s="4">
        <v>14.653687336904699</v>
      </c>
      <c r="Z1254" s="4">
        <v>14.3877191004013</v>
      </c>
      <c r="AA1254" s="4">
        <v>14.7572287318247</v>
      </c>
      <c r="AB1254" s="4">
        <f t="shared" si="79"/>
        <v>14.599545056376902</v>
      </c>
    </row>
    <row r="1255" spans="2:28" x14ac:dyDescent="0.2">
      <c r="B1255" s="4" t="s">
        <v>1381</v>
      </c>
      <c r="C1255" s="4">
        <v>14.68</v>
      </c>
      <c r="D1255" s="4">
        <v>14.7949</v>
      </c>
      <c r="E1255" s="4">
        <v>14.7905</v>
      </c>
      <c r="F1255" s="4">
        <f t="shared" si="76"/>
        <v>14.755133333333333</v>
      </c>
      <c r="I1255" s="4" t="s">
        <v>2315</v>
      </c>
      <c r="J1255" s="4">
        <v>14.8337</v>
      </c>
      <c r="K1255" s="4">
        <v>14.614800000000001</v>
      </c>
      <c r="L1255" s="4">
        <v>14.9026</v>
      </c>
      <c r="M1255" s="4">
        <f t="shared" si="77"/>
        <v>14.783700000000001</v>
      </c>
      <c r="Q1255" s="43" t="s">
        <v>2496</v>
      </c>
      <c r="R1255" s="4">
        <v>14.4717025749472</v>
      </c>
      <c r="S1255" s="4">
        <v>14.4482930324439</v>
      </c>
      <c r="T1255" s="4">
        <v>14.6324082318867</v>
      </c>
      <c r="U1255" s="4">
        <f t="shared" si="78"/>
        <v>14.517467946425933</v>
      </c>
      <c r="X1255" s="43" t="s">
        <v>3967</v>
      </c>
      <c r="Y1255" s="4">
        <v>14.5745767813179</v>
      </c>
      <c r="Z1255" s="4">
        <v>14.7394152355615</v>
      </c>
      <c r="AA1255" s="4">
        <v>14.4820156297531</v>
      </c>
      <c r="AB1255" s="4">
        <f t="shared" si="79"/>
        <v>14.598669215544168</v>
      </c>
    </row>
    <row r="1256" spans="2:28" x14ac:dyDescent="0.2">
      <c r="B1256" s="4" t="s">
        <v>2717</v>
      </c>
      <c r="C1256" s="4">
        <v>14.9087</v>
      </c>
      <c r="D1256" s="4">
        <v>14.8642</v>
      </c>
      <c r="E1256" s="4">
        <v>14.491</v>
      </c>
      <c r="F1256" s="4">
        <f t="shared" si="76"/>
        <v>14.754633333333333</v>
      </c>
      <c r="I1256" s="4" t="s">
        <v>3288</v>
      </c>
      <c r="J1256" s="4">
        <v>14.8635</v>
      </c>
      <c r="K1256" s="4">
        <v>14.487500000000001</v>
      </c>
      <c r="L1256" s="4">
        <v>14.989699999999999</v>
      </c>
      <c r="M1256" s="4">
        <f t="shared" si="77"/>
        <v>14.780233333333333</v>
      </c>
      <c r="Q1256" s="43" t="s">
        <v>1362</v>
      </c>
      <c r="R1256" s="4">
        <v>14.611190771886401</v>
      </c>
      <c r="S1256" s="4">
        <v>14.351612630551699</v>
      </c>
      <c r="T1256" s="4">
        <v>14.5867738712071</v>
      </c>
      <c r="U1256" s="4">
        <f t="shared" si="78"/>
        <v>14.516525757881732</v>
      </c>
      <c r="X1256" s="43" t="s">
        <v>3144</v>
      </c>
      <c r="Y1256" s="4">
        <v>14.5192501274376</v>
      </c>
      <c r="Z1256" s="4">
        <v>14.7621567052385</v>
      </c>
      <c r="AA1256" s="4">
        <v>14.501948676912299</v>
      </c>
      <c r="AB1256" s="4">
        <f t="shared" si="79"/>
        <v>14.594451836529466</v>
      </c>
    </row>
    <row r="1257" spans="2:28" x14ac:dyDescent="0.2">
      <c r="B1257" s="4" t="s">
        <v>2272</v>
      </c>
      <c r="C1257" s="4">
        <v>15.192399999999999</v>
      </c>
      <c r="D1257" s="4">
        <v>14.3447</v>
      </c>
      <c r="E1257" s="4">
        <v>14.7226</v>
      </c>
      <c r="F1257" s="4">
        <f t="shared" si="76"/>
        <v>14.753233333333332</v>
      </c>
      <c r="I1257" s="4" t="s">
        <v>3637</v>
      </c>
      <c r="J1257" s="4">
        <v>14.934799999999999</v>
      </c>
      <c r="K1257" s="4">
        <v>14.548299999999999</v>
      </c>
      <c r="L1257" s="4">
        <v>14.8565</v>
      </c>
      <c r="M1257" s="4">
        <f t="shared" si="77"/>
        <v>14.779866666666669</v>
      </c>
      <c r="Q1257" s="43" t="s">
        <v>1751</v>
      </c>
      <c r="R1257" s="4">
        <v>14.184882984893401</v>
      </c>
      <c r="S1257" s="4">
        <v>14.682973667203299</v>
      </c>
      <c r="T1257" s="4">
        <v>14.6815838142382</v>
      </c>
      <c r="U1257" s="4">
        <f t="shared" si="78"/>
        <v>14.516480155444967</v>
      </c>
      <c r="X1257" s="43" t="s">
        <v>495</v>
      </c>
      <c r="Y1257" s="4">
        <v>14.6749780486729</v>
      </c>
      <c r="Z1257" s="4">
        <v>14.5072242404625</v>
      </c>
      <c r="AA1257" s="4">
        <v>14.6003841563167</v>
      </c>
      <c r="AB1257" s="4">
        <f t="shared" si="79"/>
        <v>14.594195481817366</v>
      </c>
    </row>
    <row r="1258" spans="2:28" x14ac:dyDescent="0.2">
      <c r="B1258" s="4" t="s">
        <v>4040</v>
      </c>
      <c r="C1258" s="4">
        <v>14.5413</v>
      </c>
      <c r="D1258" s="4">
        <v>14.6814</v>
      </c>
      <c r="E1258" s="4">
        <v>15.0307</v>
      </c>
      <c r="F1258" s="4">
        <f t="shared" si="76"/>
        <v>14.751133333333334</v>
      </c>
      <c r="I1258" s="4" t="s">
        <v>3738</v>
      </c>
      <c r="J1258" s="4">
        <v>14.8962</v>
      </c>
      <c r="K1258" s="4">
        <v>14.455399999999999</v>
      </c>
      <c r="L1258" s="4">
        <v>14.9771</v>
      </c>
      <c r="M1258" s="4">
        <f t="shared" si="77"/>
        <v>14.776233333333332</v>
      </c>
      <c r="Q1258" s="43" t="s">
        <v>3489</v>
      </c>
      <c r="R1258" s="4">
        <v>14.6812880216042</v>
      </c>
      <c r="S1258" s="4">
        <v>14.4991381912298</v>
      </c>
      <c r="T1258" s="4">
        <v>14.366554603420299</v>
      </c>
      <c r="U1258" s="4">
        <f t="shared" si="78"/>
        <v>14.515660272084766</v>
      </c>
      <c r="X1258" s="43" t="s">
        <v>1634</v>
      </c>
      <c r="Y1258" s="4">
        <v>14.530863891989799</v>
      </c>
      <c r="Z1258" s="4">
        <v>14.651241463673299</v>
      </c>
      <c r="AA1258" s="4">
        <v>14.597933897023999</v>
      </c>
      <c r="AB1258" s="4">
        <f t="shared" si="79"/>
        <v>14.593346417562366</v>
      </c>
    </row>
    <row r="1259" spans="2:28" x14ac:dyDescent="0.2">
      <c r="B1259" s="4" t="s">
        <v>2805</v>
      </c>
      <c r="C1259" s="4">
        <v>14.8811</v>
      </c>
      <c r="D1259" s="4">
        <v>14.808</v>
      </c>
      <c r="E1259" s="4">
        <v>14.5639</v>
      </c>
      <c r="F1259" s="4">
        <f t="shared" si="76"/>
        <v>14.750999999999999</v>
      </c>
      <c r="I1259" s="4" t="s">
        <v>2991</v>
      </c>
      <c r="J1259" s="4">
        <v>15.093299999999999</v>
      </c>
      <c r="K1259" s="4">
        <v>14.3263</v>
      </c>
      <c r="L1259" s="4">
        <v>14.903</v>
      </c>
      <c r="M1259" s="4">
        <f t="shared" si="77"/>
        <v>14.7742</v>
      </c>
      <c r="Q1259" s="43" t="s">
        <v>4335</v>
      </c>
      <c r="R1259" s="4">
        <v>14.661508052936901</v>
      </c>
      <c r="S1259" s="4">
        <v>13.861851684663399</v>
      </c>
      <c r="T1259" s="4">
        <v>15.021400537955801</v>
      </c>
      <c r="U1259" s="4">
        <f t="shared" si="78"/>
        <v>14.514920091852034</v>
      </c>
      <c r="X1259" s="43" t="s">
        <v>851</v>
      </c>
      <c r="Y1259" s="4">
        <v>14.557653941925601</v>
      </c>
      <c r="Z1259" s="4">
        <v>14.605082547107299</v>
      </c>
      <c r="AA1259" s="4">
        <v>14.611625180727</v>
      </c>
      <c r="AB1259" s="4">
        <f t="shared" si="79"/>
        <v>14.591453889919967</v>
      </c>
    </row>
    <row r="1260" spans="2:28" x14ac:dyDescent="0.2">
      <c r="B1260" s="4" t="s">
        <v>2538</v>
      </c>
      <c r="C1260" s="4">
        <v>14.679399999999999</v>
      </c>
      <c r="D1260" s="4">
        <v>15.3345</v>
      </c>
      <c r="E1260" s="4">
        <v>14.2318</v>
      </c>
      <c r="F1260" s="4">
        <f t="shared" si="76"/>
        <v>14.748566666666667</v>
      </c>
      <c r="I1260" s="4" t="s">
        <v>1277</v>
      </c>
      <c r="J1260" s="4">
        <v>14.972200000000001</v>
      </c>
      <c r="K1260" s="4">
        <v>14.38</v>
      </c>
      <c r="L1260" s="4">
        <v>14.9681</v>
      </c>
      <c r="M1260" s="4">
        <f t="shared" si="77"/>
        <v>14.773433333333335</v>
      </c>
      <c r="Q1260" s="43" t="s">
        <v>1869</v>
      </c>
      <c r="R1260" s="4">
        <v>14.5901434086026</v>
      </c>
      <c r="S1260" s="4">
        <v>14.519073831461499</v>
      </c>
      <c r="T1260" s="4">
        <v>14.433922089815701</v>
      </c>
      <c r="U1260" s="4">
        <f t="shared" si="78"/>
        <v>14.514379776626599</v>
      </c>
      <c r="X1260" s="43" t="s">
        <v>783</v>
      </c>
      <c r="Y1260" s="4">
        <v>14.648128132196501</v>
      </c>
      <c r="Z1260" s="4">
        <v>14.6450141296742</v>
      </c>
      <c r="AA1260" s="4">
        <v>14.4792706175052</v>
      </c>
      <c r="AB1260" s="4">
        <f t="shared" si="79"/>
        <v>14.5908042931253</v>
      </c>
    </row>
    <row r="1261" spans="2:28" x14ac:dyDescent="0.2">
      <c r="B1261" s="4" t="s">
        <v>2992</v>
      </c>
      <c r="C1261" s="4">
        <v>14.5562</v>
      </c>
      <c r="D1261" s="4">
        <v>15.0526</v>
      </c>
      <c r="E1261" s="4">
        <v>14.6332</v>
      </c>
      <c r="F1261" s="4">
        <f t="shared" si="76"/>
        <v>14.747333333333335</v>
      </c>
      <c r="I1261" s="4" t="s">
        <v>575</v>
      </c>
      <c r="J1261" s="4">
        <v>14.8794</v>
      </c>
      <c r="K1261" s="4">
        <v>14.465999999999999</v>
      </c>
      <c r="L1261" s="4">
        <v>14.9711</v>
      </c>
      <c r="M1261" s="4">
        <f t="shared" si="77"/>
        <v>14.772166666666665</v>
      </c>
      <c r="Q1261" s="43" t="s">
        <v>3646</v>
      </c>
      <c r="R1261" s="4">
        <v>14.6147218659311</v>
      </c>
      <c r="S1261" s="4">
        <v>14.391201320525401</v>
      </c>
      <c r="T1261" s="4">
        <v>14.536942301428001</v>
      </c>
      <c r="U1261" s="4">
        <f t="shared" si="78"/>
        <v>14.5142884959615</v>
      </c>
      <c r="X1261" s="43" t="s">
        <v>1067</v>
      </c>
      <c r="Y1261" s="4">
        <v>14.3667387510023</v>
      </c>
      <c r="Z1261" s="4">
        <v>15.6443349246585</v>
      </c>
      <c r="AA1261" s="4">
        <v>13.7606684176153</v>
      </c>
      <c r="AB1261" s="4">
        <f t="shared" si="79"/>
        <v>14.590580697758702</v>
      </c>
    </row>
    <row r="1262" spans="2:28" x14ac:dyDescent="0.2">
      <c r="B1262" s="4" t="s">
        <v>1420</v>
      </c>
      <c r="C1262" s="4">
        <v>14.5442</v>
      </c>
      <c r="D1262" s="4">
        <v>14.548400000000001</v>
      </c>
      <c r="E1262" s="4">
        <v>15.146800000000001</v>
      </c>
      <c r="F1262" s="4">
        <f t="shared" si="76"/>
        <v>14.746466666666668</v>
      </c>
      <c r="I1262" s="4" t="s">
        <v>2697</v>
      </c>
      <c r="J1262" s="4">
        <v>14.751899999999999</v>
      </c>
      <c r="K1262" s="4">
        <v>14.6097</v>
      </c>
      <c r="L1262" s="4">
        <v>14.946300000000001</v>
      </c>
      <c r="M1262" s="4">
        <f t="shared" si="77"/>
        <v>14.769300000000001</v>
      </c>
      <c r="Q1262" s="43" t="s">
        <v>920</v>
      </c>
      <c r="R1262" s="4">
        <v>14.5406430248934</v>
      </c>
      <c r="S1262" s="4">
        <v>14.218088424872301</v>
      </c>
      <c r="T1262" s="4">
        <v>14.7791786710383</v>
      </c>
      <c r="U1262" s="4">
        <f t="shared" si="78"/>
        <v>14.512636706934666</v>
      </c>
      <c r="X1262" s="43" t="s">
        <v>2726</v>
      </c>
      <c r="Y1262" s="4">
        <v>14.6385353006253</v>
      </c>
      <c r="Z1262" s="4">
        <v>14.6241477730832</v>
      </c>
      <c r="AA1262" s="4">
        <v>14.5083538443136</v>
      </c>
      <c r="AB1262" s="4">
        <f t="shared" si="79"/>
        <v>14.590345639340702</v>
      </c>
    </row>
    <row r="1263" spans="2:28" x14ac:dyDescent="0.2">
      <c r="B1263" s="4" t="s">
        <v>6</v>
      </c>
      <c r="C1263" s="4">
        <v>14.5015</v>
      </c>
      <c r="D1263" s="4">
        <v>14.648300000000001</v>
      </c>
      <c r="E1263" s="4">
        <v>15.0885</v>
      </c>
      <c r="F1263" s="4">
        <f t="shared" si="76"/>
        <v>14.746099999999998</v>
      </c>
      <c r="I1263" s="4" t="s">
        <v>198</v>
      </c>
      <c r="J1263" s="4">
        <v>14.7827</v>
      </c>
      <c r="K1263" s="4">
        <v>15.2105</v>
      </c>
      <c r="L1263" s="4">
        <v>14.308299999999999</v>
      </c>
      <c r="M1263" s="4">
        <f t="shared" si="77"/>
        <v>14.767166666666668</v>
      </c>
      <c r="Q1263" s="43" t="s">
        <v>3490</v>
      </c>
      <c r="R1263" s="4">
        <v>14.5459655836907</v>
      </c>
      <c r="S1263" s="4">
        <v>14.5956053041425</v>
      </c>
      <c r="T1263" s="4">
        <v>14.390309854077</v>
      </c>
      <c r="U1263" s="4">
        <f t="shared" si="78"/>
        <v>14.510626913970066</v>
      </c>
      <c r="X1263" s="43" t="s">
        <v>1670</v>
      </c>
      <c r="Y1263" s="4">
        <v>14.5585224460744</v>
      </c>
      <c r="Z1263" s="4">
        <v>14.582973420707299</v>
      </c>
      <c r="AA1263" s="4">
        <v>14.627077018168301</v>
      </c>
      <c r="AB1263" s="4">
        <f t="shared" si="79"/>
        <v>14.589524294983335</v>
      </c>
    </row>
    <row r="1264" spans="2:28" x14ac:dyDescent="0.2">
      <c r="B1264" s="4" t="s">
        <v>3202</v>
      </c>
      <c r="C1264" s="4">
        <v>15.001799999999999</v>
      </c>
      <c r="D1264" s="4">
        <v>14.765499999999999</v>
      </c>
      <c r="E1264" s="4">
        <v>14.469200000000001</v>
      </c>
      <c r="F1264" s="4">
        <f t="shared" si="76"/>
        <v>14.7455</v>
      </c>
      <c r="I1264" s="4" t="s">
        <v>1417</v>
      </c>
      <c r="J1264" s="4">
        <v>14.8324</v>
      </c>
      <c r="K1264" s="4">
        <v>15.0245</v>
      </c>
      <c r="L1264" s="4">
        <v>14.439299999999999</v>
      </c>
      <c r="M1264" s="4">
        <f t="shared" si="77"/>
        <v>14.7654</v>
      </c>
      <c r="Q1264" s="43" t="s">
        <v>3213</v>
      </c>
      <c r="R1264" s="4">
        <v>14.5389425475572</v>
      </c>
      <c r="S1264" s="4">
        <v>14.3549434828776</v>
      </c>
      <c r="T1264" s="4">
        <v>14.636828114071299</v>
      </c>
      <c r="U1264" s="4">
        <f t="shared" si="78"/>
        <v>14.5102380481687</v>
      </c>
      <c r="X1264" s="43" t="s">
        <v>1638</v>
      </c>
      <c r="Y1264" s="4">
        <v>14.5824332806062</v>
      </c>
      <c r="Z1264" s="4">
        <v>14.6128836084592</v>
      </c>
      <c r="AA1264" s="4">
        <v>14.570038443233701</v>
      </c>
      <c r="AB1264" s="4">
        <f t="shared" si="79"/>
        <v>14.588451777433034</v>
      </c>
    </row>
    <row r="1265" spans="2:28" x14ac:dyDescent="0.2">
      <c r="B1265" s="4" t="s">
        <v>884</v>
      </c>
      <c r="C1265" s="4">
        <v>13.7363</v>
      </c>
      <c r="D1265" s="4">
        <v>14.825100000000001</v>
      </c>
      <c r="E1265" s="4">
        <v>15.674099999999999</v>
      </c>
      <c r="F1265" s="4">
        <f t="shared" si="76"/>
        <v>14.745166666666668</v>
      </c>
      <c r="I1265" s="4" t="s">
        <v>2139</v>
      </c>
      <c r="J1265" s="4">
        <v>14.8871</v>
      </c>
      <c r="K1265" s="4">
        <v>14.6129</v>
      </c>
      <c r="L1265" s="4">
        <v>14.796099999999999</v>
      </c>
      <c r="M1265" s="4">
        <f t="shared" si="77"/>
        <v>14.765366666666665</v>
      </c>
      <c r="Q1265" s="43" t="s">
        <v>2506</v>
      </c>
      <c r="R1265" s="4">
        <v>14.812542644723999</v>
      </c>
      <c r="S1265" s="4">
        <v>14.308541618896101</v>
      </c>
      <c r="T1265" s="4">
        <v>14.405878295556199</v>
      </c>
      <c r="U1265" s="4">
        <f t="shared" si="78"/>
        <v>14.508987519725432</v>
      </c>
      <c r="X1265" s="43" t="s">
        <v>2071</v>
      </c>
      <c r="Y1265" s="4">
        <v>14.611184237799099</v>
      </c>
      <c r="Z1265" s="4">
        <v>14.538304372974499</v>
      </c>
      <c r="AA1265" s="4">
        <v>14.605266133857899</v>
      </c>
      <c r="AB1265" s="4">
        <f t="shared" si="79"/>
        <v>14.584918248210499</v>
      </c>
    </row>
    <row r="1266" spans="2:28" x14ac:dyDescent="0.2">
      <c r="B1266" s="4" t="s">
        <v>1024</v>
      </c>
      <c r="C1266" s="4">
        <v>15.028600000000001</v>
      </c>
      <c r="D1266" s="4">
        <v>14.8354</v>
      </c>
      <c r="E1266" s="4">
        <v>14.364699999999999</v>
      </c>
      <c r="F1266" s="4">
        <f t="shared" si="76"/>
        <v>14.742900000000001</v>
      </c>
      <c r="I1266" s="4" t="s">
        <v>200</v>
      </c>
      <c r="J1266" s="4">
        <v>14.8376</v>
      </c>
      <c r="K1266" s="4">
        <v>14.5785</v>
      </c>
      <c r="L1266" s="4">
        <v>14.8796</v>
      </c>
      <c r="M1266" s="4">
        <f t="shared" si="77"/>
        <v>14.765233333333333</v>
      </c>
      <c r="Q1266" s="43" t="s">
        <v>2828</v>
      </c>
      <c r="R1266" s="4">
        <v>14.5608017569417</v>
      </c>
      <c r="S1266" s="4">
        <v>14.4688156260647</v>
      </c>
      <c r="T1266" s="4">
        <v>14.4921657684817</v>
      </c>
      <c r="U1266" s="4">
        <f t="shared" si="78"/>
        <v>14.507261050496034</v>
      </c>
      <c r="X1266" s="43" t="s">
        <v>2029</v>
      </c>
      <c r="Y1266" s="4">
        <v>14.5838263904134</v>
      </c>
      <c r="Z1266" s="4">
        <v>14.4680852507802</v>
      </c>
      <c r="AA1266" s="4">
        <v>14.6985488726712</v>
      </c>
      <c r="AB1266" s="4">
        <f t="shared" si="79"/>
        <v>14.583486837954931</v>
      </c>
    </row>
    <row r="1267" spans="2:28" x14ac:dyDescent="0.2">
      <c r="B1267" s="4" t="s">
        <v>2563</v>
      </c>
      <c r="C1267" s="4">
        <v>14.9193</v>
      </c>
      <c r="D1267" s="4">
        <v>14.702199999999999</v>
      </c>
      <c r="E1267" s="4">
        <v>14.596299999999999</v>
      </c>
      <c r="F1267" s="4">
        <f t="shared" si="76"/>
        <v>14.739266666666666</v>
      </c>
      <c r="I1267" s="4" t="s">
        <v>3976</v>
      </c>
      <c r="J1267" s="4">
        <v>14.9116</v>
      </c>
      <c r="K1267" s="4">
        <v>14.6503</v>
      </c>
      <c r="L1267" s="4">
        <v>14.728300000000001</v>
      </c>
      <c r="M1267" s="4">
        <f t="shared" si="77"/>
        <v>14.763399999999999</v>
      </c>
      <c r="Q1267" s="43" t="s">
        <v>3988</v>
      </c>
      <c r="R1267" s="4">
        <v>14.478788105339</v>
      </c>
      <c r="S1267" s="4">
        <v>14.495244412669701</v>
      </c>
      <c r="T1267" s="4">
        <v>14.5439567785733</v>
      </c>
      <c r="U1267" s="4">
        <f t="shared" si="78"/>
        <v>14.505996432194001</v>
      </c>
      <c r="X1267" s="43" t="s">
        <v>2894</v>
      </c>
      <c r="Y1267" s="4">
        <v>14.570321264920601</v>
      </c>
      <c r="Z1267" s="4">
        <v>14.5370423969224</v>
      </c>
      <c r="AA1267" s="4">
        <v>14.6378719052772</v>
      </c>
      <c r="AB1267" s="4">
        <f t="shared" si="79"/>
        <v>14.581745189040069</v>
      </c>
    </row>
    <row r="1268" spans="2:28" x14ac:dyDescent="0.2">
      <c r="B1268" s="4" t="s">
        <v>805</v>
      </c>
      <c r="C1268" s="4">
        <v>14.9511</v>
      </c>
      <c r="D1268" s="4">
        <v>14.7906</v>
      </c>
      <c r="E1268" s="4">
        <v>14.474600000000001</v>
      </c>
      <c r="F1268" s="4">
        <f t="shared" si="76"/>
        <v>14.738766666666669</v>
      </c>
      <c r="I1268" s="4" t="s">
        <v>37</v>
      </c>
      <c r="J1268" s="4">
        <v>14.8353</v>
      </c>
      <c r="K1268" s="4">
        <v>14.5101</v>
      </c>
      <c r="L1268" s="4">
        <v>14.943</v>
      </c>
      <c r="M1268" s="4">
        <f t="shared" si="77"/>
        <v>14.762799999999999</v>
      </c>
      <c r="Q1268" s="43" t="s">
        <v>1030</v>
      </c>
      <c r="R1268" s="4">
        <v>14.7176942157797</v>
      </c>
      <c r="S1268" s="4">
        <v>14.411340513713199</v>
      </c>
      <c r="T1268" s="4">
        <v>14.386964228422499</v>
      </c>
      <c r="U1268" s="4">
        <f t="shared" si="78"/>
        <v>14.505332985971799</v>
      </c>
      <c r="X1268" s="43" t="s">
        <v>3453</v>
      </c>
      <c r="Y1268" s="4">
        <v>14.756078537829699</v>
      </c>
      <c r="Z1268" s="4">
        <v>14.2051257045818</v>
      </c>
      <c r="AA1268" s="4">
        <v>14.781818377046401</v>
      </c>
      <c r="AB1268" s="4">
        <f t="shared" si="79"/>
        <v>14.581007539819298</v>
      </c>
    </row>
    <row r="1269" spans="2:28" x14ac:dyDescent="0.2">
      <c r="B1269" s="4" t="s">
        <v>2330</v>
      </c>
      <c r="C1269" s="4">
        <v>14.7377</v>
      </c>
      <c r="D1269" s="4">
        <v>14.8827</v>
      </c>
      <c r="E1269" s="4">
        <v>14.591900000000001</v>
      </c>
      <c r="F1269" s="4">
        <f t="shared" si="76"/>
        <v>14.737433333333334</v>
      </c>
      <c r="I1269" s="4" t="s">
        <v>34</v>
      </c>
      <c r="J1269" s="4">
        <v>14.8683</v>
      </c>
      <c r="K1269" s="4">
        <v>14.359500000000001</v>
      </c>
      <c r="L1269" s="4">
        <v>15.0587</v>
      </c>
      <c r="M1269" s="4">
        <f t="shared" si="77"/>
        <v>14.762166666666667</v>
      </c>
      <c r="Q1269" s="43" t="s">
        <v>4272</v>
      </c>
      <c r="R1269" s="4">
        <v>14.344228225791699</v>
      </c>
      <c r="S1269" s="4">
        <v>14.269157896608499</v>
      </c>
      <c r="T1269" s="4">
        <v>14.9017498889504</v>
      </c>
      <c r="U1269" s="4">
        <f t="shared" si="78"/>
        <v>14.505045337116867</v>
      </c>
      <c r="X1269" s="43" t="s">
        <v>3150</v>
      </c>
      <c r="Y1269" s="4">
        <v>14.5975394197729</v>
      </c>
      <c r="Z1269" s="4">
        <v>14.6144747084888</v>
      </c>
      <c r="AA1269" s="4">
        <v>14.5282204734087</v>
      </c>
      <c r="AB1269" s="4">
        <f t="shared" si="79"/>
        <v>14.5800782005568</v>
      </c>
    </row>
    <row r="1270" spans="2:28" x14ac:dyDescent="0.2">
      <c r="B1270" s="4" t="s">
        <v>2139</v>
      </c>
      <c r="C1270" s="4">
        <v>14.7683</v>
      </c>
      <c r="D1270" s="4">
        <v>14.763500000000001</v>
      </c>
      <c r="E1270" s="4">
        <v>14.674300000000001</v>
      </c>
      <c r="F1270" s="4">
        <f t="shared" si="76"/>
        <v>14.735366666666666</v>
      </c>
      <c r="I1270" s="4" t="s">
        <v>2311</v>
      </c>
      <c r="J1270" s="4">
        <v>15.2668</v>
      </c>
      <c r="K1270" s="4">
        <v>14.2532</v>
      </c>
      <c r="L1270" s="4">
        <v>14.764799999999999</v>
      </c>
      <c r="M1270" s="4">
        <f t="shared" si="77"/>
        <v>14.7616</v>
      </c>
      <c r="Q1270" s="43" t="s">
        <v>72</v>
      </c>
      <c r="R1270" s="4">
        <v>14.6159558751062</v>
      </c>
      <c r="S1270" s="4">
        <v>14.4718041607396</v>
      </c>
      <c r="T1270" s="4">
        <v>14.423586760236599</v>
      </c>
      <c r="U1270" s="4">
        <f t="shared" si="78"/>
        <v>14.503782265360799</v>
      </c>
      <c r="X1270" s="43" t="s">
        <v>1553</v>
      </c>
      <c r="Y1270" s="4">
        <v>14.453632558826699</v>
      </c>
      <c r="Z1270" s="4">
        <v>14.6761837288071</v>
      </c>
      <c r="AA1270" s="4">
        <v>14.609471363900299</v>
      </c>
      <c r="AB1270" s="4">
        <f t="shared" si="79"/>
        <v>14.579762550511367</v>
      </c>
    </row>
    <row r="1271" spans="2:28" x14ac:dyDescent="0.2">
      <c r="B1271" s="4" t="s">
        <v>2608</v>
      </c>
      <c r="C1271" s="4">
        <v>14.557600000000001</v>
      </c>
      <c r="D1271" s="4">
        <v>14.9224</v>
      </c>
      <c r="E1271" s="4">
        <v>14.7197</v>
      </c>
      <c r="F1271" s="4">
        <f t="shared" si="76"/>
        <v>14.733233333333333</v>
      </c>
      <c r="I1271" s="4" t="s">
        <v>741</v>
      </c>
      <c r="J1271" s="4">
        <v>14.465199999999999</v>
      </c>
      <c r="K1271" s="4">
        <v>15.6159</v>
      </c>
      <c r="L1271" s="4">
        <v>14.203200000000001</v>
      </c>
      <c r="M1271" s="4">
        <f t="shared" si="77"/>
        <v>14.761433333333335</v>
      </c>
      <c r="Q1271" s="43" t="s">
        <v>3359</v>
      </c>
      <c r="R1271" s="4">
        <v>14.625243253432799</v>
      </c>
      <c r="S1271" s="4">
        <v>14.514532297753099</v>
      </c>
      <c r="T1271" s="4">
        <v>14.368178096028</v>
      </c>
      <c r="U1271" s="4">
        <f t="shared" si="78"/>
        <v>14.502651215737965</v>
      </c>
      <c r="X1271" s="43" t="s">
        <v>3719</v>
      </c>
      <c r="Y1271" s="4">
        <v>14.6898442596127</v>
      </c>
      <c r="Z1271" s="4">
        <v>14.4423066431028</v>
      </c>
      <c r="AA1271" s="4">
        <v>14.594339692876</v>
      </c>
      <c r="AB1271" s="4">
        <f t="shared" si="79"/>
        <v>14.575496865197167</v>
      </c>
    </row>
    <row r="1272" spans="2:28" x14ac:dyDescent="0.2">
      <c r="B1272" s="4" t="s">
        <v>1217</v>
      </c>
      <c r="C1272" s="4">
        <v>14.7751</v>
      </c>
      <c r="D1272" s="4">
        <v>14.9092</v>
      </c>
      <c r="E1272" s="4">
        <v>14.511900000000001</v>
      </c>
      <c r="F1272" s="4">
        <f t="shared" si="76"/>
        <v>14.732066666666668</v>
      </c>
      <c r="I1272" s="4" t="s">
        <v>2446</v>
      </c>
      <c r="J1272" s="4">
        <v>14.793699999999999</v>
      </c>
      <c r="K1272" s="4">
        <v>14.707000000000001</v>
      </c>
      <c r="L1272" s="4">
        <v>14.7828</v>
      </c>
      <c r="M1272" s="4">
        <f t="shared" si="77"/>
        <v>14.761166666666668</v>
      </c>
      <c r="Q1272" s="43" t="s">
        <v>3755</v>
      </c>
      <c r="R1272" s="4">
        <v>14.4999914491826</v>
      </c>
      <c r="S1272" s="4">
        <v>14.4414916830514</v>
      </c>
      <c r="T1272" s="4">
        <v>14.564424411555001</v>
      </c>
      <c r="U1272" s="4">
        <f t="shared" si="78"/>
        <v>14.501969181263</v>
      </c>
      <c r="X1272" s="43" t="s">
        <v>2217</v>
      </c>
      <c r="Y1272" s="4">
        <v>14.521988723282901</v>
      </c>
      <c r="Z1272" s="4">
        <v>14.665380691690901</v>
      </c>
      <c r="AA1272" s="4">
        <v>14.534090923943401</v>
      </c>
      <c r="AB1272" s="4">
        <f t="shared" si="79"/>
        <v>14.573820112972401</v>
      </c>
    </row>
    <row r="1273" spans="2:28" x14ac:dyDescent="0.2">
      <c r="B1273" s="4" t="s">
        <v>2169</v>
      </c>
      <c r="C1273" s="4">
        <v>15.2433</v>
      </c>
      <c r="D1273" s="4">
        <v>14.6485</v>
      </c>
      <c r="E1273" s="4">
        <v>14.2967</v>
      </c>
      <c r="F1273" s="4">
        <f t="shared" si="76"/>
        <v>14.7295</v>
      </c>
      <c r="I1273" s="4" t="s">
        <v>2673</v>
      </c>
      <c r="J1273" s="4">
        <v>14.3553</v>
      </c>
      <c r="K1273" s="4">
        <v>15.2818</v>
      </c>
      <c r="L1273" s="4">
        <v>14.6427</v>
      </c>
      <c r="M1273" s="4">
        <f t="shared" si="77"/>
        <v>14.759933333333334</v>
      </c>
      <c r="Q1273" s="43" t="s">
        <v>2762</v>
      </c>
      <c r="R1273" s="4">
        <v>14.5989622899911</v>
      </c>
      <c r="S1273" s="4">
        <v>14.355104053481099</v>
      </c>
      <c r="T1273" s="4">
        <v>14.5494100738231</v>
      </c>
      <c r="U1273" s="4">
        <f t="shared" si="78"/>
        <v>14.501158805765101</v>
      </c>
      <c r="X1273" s="43" t="s">
        <v>3960</v>
      </c>
      <c r="Y1273" s="4">
        <v>14.6687246919168</v>
      </c>
      <c r="Z1273" s="4">
        <v>14.5467271003206</v>
      </c>
      <c r="AA1273" s="4">
        <v>14.5055718156858</v>
      </c>
      <c r="AB1273" s="4">
        <f t="shared" si="79"/>
        <v>14.5736745359744</v>
      </c>
    </row>
    <row r="1274" spans="2:28" x14ac:dyDescent="0.2">
      <c r="B1274" s="4" t="s">
        <v>2092</v>
      </c>
      <c r="C1274" s="4">
        <v>14.725099999999999</v>
      </c>
      <c r="D1274" s="4">
        <v>15.0304</v>
      </c>
      <c r="E1274" s="4">
        <v>14.4276</v>
      </c>
      <c r="F1274" s="4">
        <f t="shared" si="76"/>
        <v>14.727699999999999</v>
      </c>
      <c r="I1274" s="4" t="s">
        <v>3218</v>
      </c>
      <c r="J1274" s="4">
        <v>13.955399999999999</v>
      </c>
      <c r="K1274" s="4">
        <v>15.8935</v>
      </c>
      <c r="L1274" s="4">
        <v>14.428699999999999</v>
      </c>
      <c r="M1274" s="4">
        <f t="shared" si="77"/>
        <v>14.7592</v>
      </c>
      <c r="Q1274" s="43" t="s">
        <v>22</v>
      </c>
      <c r="R1274" s="4">
        <v>14.860105233012201</v>
      </c>
      <c r="S1274" s="4">
        <v>14.155508892372501</v>
      </c>
      <c r="T1274" s="4">
        <v>14.484552942456499</v>
      </c>
      <c r="U1274" s="4">
        <f t="shared" si="78"/>
        <v>14.500055689280401</v>
      </c>
      <c r="X1274" s="43" t="s">
        <v>1968</v>
      </c>
      <c r="Y1274" s="4">
        <v>14.5470344192484</v>
      </c>
      <c r="Z1274" s="4">
        <v>14.430019199742301</v>
      </c>
      <c r="AA1274" s="4">
        <v>14.737479606553199</v>
      </c>
      <c r="AB1274" s="4">
        <f t="shared" si="79"/>
        <v>14.5715110751813</v>
      </c>
    </row>
    <row r="1275" spans="2:28" x14ac:dyDescent="0.2">
      <c r="B1275" s="4" t="s">
        <v>3870</v>
      </c>
      <c r="C1275" s="4">
        <v>14.822699999999999</v>
      </c>
      <c r="D1275" s="4">
        <v>15.069900000000001</v>
      </c>
      <c r="E1275" s="4">
        <v>14.289300000000001</v>
      </c>
      <c r="F1275" s="4">
        <f t="shared" si="76"/>
        <v>14.7273</v>
      </c>
      <c r="I1275" s="4" t="s">
        <v>26</v>
      </c>
      <c r="J1275" s="4">
        <v>14.9071</v>
      </c>
      <c r="K1275" s="4">
        <v>14.313700000000001</v>
      </c>
      <c r="L1275" s="4">
        <v>15.051</v>
      </c>
      <c r="M1275" s="4">
        <f t="shared" si="77"/>
        <v>14.757266666666666</v>
      </c>
      <c r="Q1275" s="43" t="s">
        <v>998</v>
      </c>
      <c r="R1275" s="4">
        <v>14.9180803750333</v>
      </c>
      <c r="S1275" s="4">
        <v>14.2794409010581</v>
      </c>
      <c r="T1275" s="4">
        <v>14.296702190414299</v>
      </c>
      <c r="U1275" s="4">
        <f t="shared" si="78"/>
        <v>14.498074488835234</v>
      </c>
      <c r="X1275" s="43" t="s">
        <v>2169</v>
      </c>
      <c r="Y1275" s="4">
        <v>14.4722602903074</v>
      </c>
      <c r="Z1275" s="4">
        <v>14.518726631608899</v>
      </c>
      <c r="AA1275" s="4">
        <v>14.718036950351401</v>
      </c>
      <c r="AB1275" s="4">
        <f t="shared" si="79"/>
        <v>14.569674624089233</v>
      </c>
    </row>
    <row r="1276" spans="2:28" x14ac:dyDescent="0.2">
      <c r="B1276" s="4" t="s">
        <v>3928</v>
      </c>
      <c r="C1276" s="4">
        <v>14.6128</v>
      </c>
      <c r="D1276" s="4">
        <v>14.665100000000001</v>
      </c>
      <c r="E1276" s="4">
        <v>14.895099999999999</v>
      </c>
      <c r="F1276" s="4">
        <f t="shared" si="76"/>
        <v>14.724333333333334</v>
      </c>
      <c r="I1276" s="4" t="s">
        <v>3724</v>
      </c>
      <c r="J1276" s="4">
        <v>14.9338</v>
      </c>
      <c r="K1276" s="4">
        <v>14.5603</v>
      </c>
      <c r="L1276" s="4">
        <v>14.776400000000001</v>
      </c>
      <c r="M1276" s="4">
        <f t="shared" si="77"/>
        <v>14.756833333333333</v>
      </c>
      <c r="Q1276" s="43" t="s">
        <v>2875</v>
      </c>
      <c r="R1276" s="4">
        <v>14.248083555389799</v>
      </c>
      <c r="S1276" s="4">
        <v>14.4864889475528</v>
      </c>
      <c r="T1276" s="4">
        <v>14.758404632717999</v>
      </c>
      <c r="U1276" s="4">
        <f t="shared" si="78"/>
        <v>14.497659045220198</v>
      </c>
      <c r="X1276" s="43" t="s">
        <v>4089</v>
      </c>
      <c r="Y1276" s="4">
        <v>14.6452451859076</v>
      </c>
      <c r="Z1276" s="4">
        <v>14.355916030749199</v>
      </c>
      <c r="AA1276" s="4">
        <v>14.6986063378144</v>
      </c>
      <c r="AB1276" s="4">
        <f t="shared" si="79"/>
        <v>14.566589184823732</v>
      </c>
    </row>
    <row r="1277" spans="2:28" x14ac:dyDescent="0.2">
      <c r="B1277" s="4" t="s">
        <v>3123</v>
      </c>
      <c r="C1277" s="4">
        <v>14.7798</v>
      </c>
      <c r="D1277" s="4">
        <v>14.674099999999999</v>
      </c>
      <c r="E1277" s="4">
        <v>14.7158</v>
      </c>
      <c r="F1277" s="4">
        <f t="shared" si="76"/>
        <v>14.723233333333333</v>
      </c>
      <c r="I1277" s="4" t="s">
        <v>3229</v>
      </c>
      <c r="J1277" s="4">
        <v>14.8439</v>
      </c>
      <c r="K1277" s="4">
        <v>14.4939</v>
      </c>
      <c r="L1277" s="4">
        <v>14.931100000000001</v>
      </c>
      <c r="M1277" s="4">
        <f t="shared" si="77"/>
        <v>14.756300000000001</v>
      </c>
      <c r="Q1277" s="43" t="s">
        <v>2854</v>
      </c>
      <c r="R1277" s="4">
        <v>14.6248654556769</v>
      </c>
      <c r="S1277" s="4">
        <v>14.3279801737153</v>
      </c>
      <c r="T1277" s="4">
        <v>14.5385754932002</v>
      </c>
      <c r="U1277" s="4">
        <f t="shared" si="78"/>
        <v>14.497140374197466</v>
      </c>
      <c r="X1277" s="43" t="s">
        <v>518</v>
      </c>
      <c r="Y1277" s="4">
        <v>14.6816565752833</v>
      </c>
      <c r="Z1277" s="4">
        <v>14.605623475058101</v>
      </c>
      <c r="AA1277" s="4">
        <v>14.4121172680195</v>
      </c>
      <c r="AB1277" s="4">
        <f t="shared" si="79"/>
        <v>14.566465772786968</v>
      </c>
    </row>
    <row r="1278" spans="2:28" x14ac:dyDescent="0.2">
      <c r="B1278" s="4" t="s">
        <v>1262</v>
      </c>
      <c r="C1278" s="4">
        <v>14.6813</v>
      </c>
      <c r="D1278" s="4">
        <v>14.5337</v>
      </c>
      <c r="E1278" s="4">
        <v>14.952199999999999</v>
      </c>
      <c r="F1278" s="4">
        <f t="shared" si="76"/>
        <v>14.7224</v>
      </c>
      <c r="I1278" s="4" t="s">
        <v>1430</v>
      </c>
      <c r="J1278" s="4">
        <v>15.061199999999999</v>
      </c>
      <c r="K1278" s="4">
        <v>14.220499999999999</v>
      </c>
      <c r="L1278" s="4">
        <v>14.972300000000001</v>
      </c>
      <c r="M1278" s="4">
        <f t="shared" si="77"/>
        <v>14.751333333333335</v>
      </c>
      <c r="Q1278" s="43" t="s">
        <v>1403</v>
      </c>
      <c r="R1278" s="4">
        <v>14.3966979287891</v>
      </c>
      <c r="S1278" s="4">
        <v>14.755620967643001</v>
      </c>
      <c r="T1278" s="4">
        <v>14.335448747384</v>
      </c>
      <c r="U1278" s="4">
        <f t="shared" si="78"/>
        <v>14.495922547938699</v>
      </c>
      <c r="X1278" s="43" t="s">
        <v>3390</v>
      </c>
      <c r="Y1278" s="4">
        <v>14.494034087384501</v>
      </c>
      <c r="Z1278" s="4">
        <v>14.660766822702101</v>
      </c>
      <c r="AA1278" s="4">
        <v>14.5357287671729</v>
      </c>
      <c r="AB1278" s="4">
        <f t="shared" si="79"/>
        <v>14.563509892419832</v>
      </c>
    </row>
    <row r="1279" spans="2:28" x14ac:dyDescent="0.2">
      <c r="B1279" s="4" t="s">
        <v>2171</v>
      </c>
      <c r="C1279" s="4">
        <v>14.9611</v>
      </c>
      <c r="D1279" s="4">
        <v>14.391999999999999</v>
      </c>
      <c r="E1279" s="4">
        <v>14.8103</v>
      </c>
      <c r="F1279" s="4">
        <f t="shared" si="76"/>
        <v>14.721133333333333</v>
      </c>
      <c r="I1279" s="4" t="s">
        <v>3165</v>
      </c>
      <c r="J1279" s="4">
        <v>14.629</v>
      </c>
      <c r="K1279" s="4">
        <v>15.2418</v>
      </c>
      <c r="L1279" s="4">
        <v>14.377000000000001</v>
      </c>
      <c r="M1279" s="4">
        <f t="shared" si="77"/>
        <v>14.749266666666665</v>
      </c>
      <c r="Q1279" s="43" t="s">
        <v>4559</v>
      </c>
      <c r="R1279" s="4">
        <v>14.796632065655301</v>
      </c>
      <c r="S1279" s="4">
        <v>14.4781597471351</v>
      </c>
      <c r="T1279" s="4">
        <v>14.211930600972501</v>
      </c>
      <c r="U1279" s="4">
        <f t="shared" si="78"/>
        <v>14.495574137920968</v>
      </c>
      <c r="X1279" s="43" t="s">
        <v>3793</v>
      </c>
      <c r="Y1279" s="4">
        <v>14.4039082447584</v>
      </c>
      <c r="Z1279" s="4">
        <v>14.6728533829301</v>
      </c>
      <c r="AA1279" s="4">
        <v>14.6064333524474</v>
      </c>
      <c r="AB1279" s="4">
        <f t="shared" si="79"/>
        <v>14.561064993378631</v>
      </c>
    </row>
    <row r="1280" spans="2:28" x14ac:dyDescent="0.2">
      <c r="B1280" s="4" t="s">
        <v>2415</v>
      </c>
      <c r="C1280" s="4">
        <v>14.963100000000001</v>
      </c>
      <c r="D1280" s="4">
        <v>14.0115</v>
      </c>
      <c r="E1280" s="4">
        <v>15.182700000000001</v>
      </c>
      <c r="F1280" s="4">
        <f t="shared" si="76"/>
        <v>14.719100000000003</v>
      </c>
      <c r="I1280" s="4" t="s">
        <v>2069</v>
      </c>
      <c r="J1280" s="4">
        <v>14.957700000000001</v>
      </c>
      <c r="K1280" s="4">
        <v>14.745900000000001</v>
      </c>
      <c r="L1280" s="4">
        <v>14.5413</v>
      </c>
      <c r="M1280" s="4">
        <f t="shared" si="77"/>
        <v>14.7483</v>
      </c>
      <c r="Q1280" s="43" t="s">
        <v>3803</v>
      </c>
      <c r="R1280" s="4">
        <v>14.7830611766282</v>
      </c>
      <c r="S1280" s="4">
        <v>14.232313330366001</v>
      </c>
      <c r="T1280" s="4">
        <v>14.4689162020021</v>
      </c>
      <c r="U1280" s="4">
        <f t="shared" si="78"/>
        <v>14.494763569665432</v>
      </c>
      <c r="X1280" s="43" t="s">
        <v>676</v>
      </c>
      <c r="Y1280" s="4">
        <v>14.559394301444501</v>
      </c>
      <c r="Z1280" s="4">
        <v>14.713496777407199</v>
      </c>
      <c r="AA1280" s="4">
        <v>14.3996668066266</v>
      </c>
      <c r="AB1280" s="4">
        <f t="shared" si="79"/>
        <v>14.557519295159432</v>
      </c>
    </row>
    <row r="1281" spans="2:28" x14ac:dyDescent="0.2">
      <c r="B1281" s="4" t="s">
        <v>3317</v>
      </c>
      <c r="C1281" s="4">
        <v>14.989100000000001</v>
      </c>
      <c r="D1281" s="4">
        <v>14.6052</v>
      </c>
      <c r="E1281" s="4">
        <v>14.561400000000001</v>
      </c>
      <c r="F1281" s="4">
        <f t="shared" si="76"/>
        <v>14.718566666666668</v>
      </c>
      <c r="I1281" s="4" t="s">
        <v>3013</v>
      </c>
      <c r="J1281" s="4">
        <v>14.541700000000001</v>
      </c>
      <c r="K1281" s="4">
        <v>15.126899999999999</v>
      </c>
      <c r="L1281" s="4">
        <v>14.574999999999999</v>
      </c>
      <c r="M1281" s="4">
        <f t="shared" si="77"/>
        <v>14.747866666666667</v>
      </c>
      <c r="Q1281" s="43" t="s">
        <v>1562</v>
      </c>
      <c r="R1281" s="4">
        <v>14.437554441365</v>
      </c>
      <c r="S1281" s="4">
        <v>14.4853922751642</v>
      </c>
      <c r="T1281" s="4">
        <v>14.555257475782501</v>
      </c>
      <c r="U1281" s="4">
        <f t="shared" si="78"/>
        <v>14.492734730770566</v>
      </c>
      <c r="X1281" s="43" t="s">
        <v>1237</v>
      </c>
      <c r="Y1281" s="4">
        <v>14.535409471055599</v>
      </c>
      <c r="Z1281" s="4">
        <v>14.7474024877222</v>
      </c>
      <c r="AA1281" s="4">
        <v>14.382640189806001</v>
      </c>
      <c r="AB1281" s="4">
        <f t="shared" si="79"/>
        <v>14.555150716194598</v>
      </c>
    </row>
    <row r="1282" spans="2:28" x14ac:dyDescent="0.2">
      <c r="B1282" s="4" t="s">
        <v>2315</v>
      </c>
      <c r="C1282" s="4">
        <v>14.7906</v>
      </c>
      <c r="D1282" s="4">
        <v>14.7761</v>
      </c>
      <c r="E1282" s="4">
        <v>14.5784</v>
      </c>
      <c r="F1282" s="4">
        <f t="shared" ref="F1282:F1345" si="80">(C1282+D1282+E1282)/3</f>
        <v>14.715033333333333</v>
      </c>
      <c r="I1282" s="4" t="s">
        <v>376</v>
      </c>
      <c r="J1282" s="4">
        <v>14.889799999999999</v>
      </c>
      <c r="K1282" s="4">
        <v>14.512700000000001</v>
      </c>
      <c r="L1282" s="4">
        <v>14.838100000000001</v>
      </c>
      <c r="M1282" s="4">
        <f t="shared" ref="M1282:M1345" si="81">(J1282+K1282+L1282)/3</f>
        <v>14.746866666666667</v>
      </c>
      <c r="Q1282" s="43" t="s">
        <v>3638</v>
      </c>
      <c r="R1282" s="4">
        <v>14.5603978482537</v>
      </c>
      <c r="S1282" s="4">
        <v>14.4960307879802</v>
      </c>
      <c r="T1282" s="4">
        <v>14.417738567331099</v>
      </c>
      <c r="U1282" s="4">
        <f t="shared" ref="U1282:U1345" si="82">(R1282+S1282+T1282)/3</f>
        <v>14.491389067855001</v>
      </c>
      <c r="X1282" s="43" t="s">
        <v>317</v>
      </c>
      <c r="Y1282" s="4">
        <v>14.363552341713399</v>
      </c>
      <c r="Z1282" s="4">
        <v>14.694336266755901</v>
      </c>
      <c r="AA1282" s="4">
        <v>14.6074069229479</v>
      </c>
      <c r="AB1282" s="4">
        <f t="shared" ref="AB1282:AB1345" si="83">(Y1282+Z1282+AA1282)/3</f>
        <v>14.5550985104724</v>
      </c>
    </row>
    <row r="1283" spans="2:28" x14ac:dyDescent="0.2">
      <c r="B1283" s="4" t="s">
        <v>1488</v>
      </c>
      <c r="C1283" s="4">
        <v>15.1623</v>
      </c>
      <c r="D1283" s="4">
        <v>15.798999999999999</v>
      </c>
      <c r="E1283" s="4">
        <v>13.1836</v>
      </c>
      <c r="F1283" s="4">
        <f t="shared" si="80"/>
        <v>14.714966666666667</v>
      </c>
      <c r="I1283" s="4" t="s">
        <v>422</v>
      </c>
      <c r="J1283" s="4">
        <v>14.2319</v>
      </c>
      <c r="K1283" s="4">
        <v>15.6282</v>
      </c>
      <c r="L1283" s="4">
        <v>14.3788</v>
      </c>
      <c r="M1283" s="4">
        <f t="shared" si="81"/>
        <v>14.7463</v>
      </c>
      <c r="Q1283" s="43" t="s">
        <v>662</v>
      </c>
      <c r="R1283" s="4">
        <v>13.896025742028201</v>
      </c>
      <c r="S1283" s="4">
        <v>14.5711925415119</v>
      </c>
      <c r="T1283" s="4">
        <v>15.002544818367699</v>
      </c>
      <c r="U1283" s="4">
        <f t="shared" si="82"/>
        <v>14.489921033969267</v>
      </c>
      <c r="X1283" s="43" t="s">
        <v>2212</v>
      </c>
      <c r="Y1283" s="4">
        <v>14.4459432835655</v>
      </c>
      <c r="Z1283" s="4">
        <v>14.1793128362876</v>
      </c>
      <c r="AA1283" s="4">
        <v>15.0283477937067</v>
      </c>
      <c r="AB1283" s="4">
        <f t="shared" si="83"/>
        <v>14.551201304519934</v>
      </c>
    </row>
    <row r="1284" spans="2:28" x14ac:dyDescent="0.2">
      <c r="B1284" s="4" t="s">
        <v>3629</v>
      </c>
      <c r="C1284" s="4">
        <v>14.4674</v>
      </c>
      <c r="D1284" s="4">
        <v>14.609400000000001</v>
      </c>
      <c r="E1284" s="4">
        <v>15.0463</v>
      </c>
      <c r="F1284" s="4">
        <f t="shared" si="80"/>
        <v>14.707700000000001</v>
      </c>
      <c r="I1284" s="4" t="s">
        <v>2290</v>
      </c>
      <c r="J1284" s="4">
        <v>14.904500000000001</v>
      </c>
      <c r="K1284" s="4">
        <v>14.410600000000001</v>
      </c>
      <c r="L1284" s="4">
        <v>14.923400000000001</v>
      </c>
      <c r="M1284" s="4">
        <f t="shared" si="81"/>
        <v>14.746166666666667</v>
      </c>
      <c r="Q1284" s="43" t="s">
        <v>1710</v>
      </c>
      <c r="R1284" s="4">
        <v>14.5545135733288</v>
      </c>
      <c r="S1284" s="4">
        <v>14.456856637730599</v>
      </c>
      <c r="T1284" s="4">
        <v>14.457424734420499</v>
      </c>
      <c r="U1284" s="4">
        <f t="shared" si="82"/>
        <v>14.489598315159967</v>
      </c>
      <c r="X1284" s="43" t="s">
        <v>1334</v>
      </c>
      <c r="Y1284" s="4">
        <v>14.4475332738382</v>
      </c>
      <c r="Z1284" s="4">
        <v>14.7456966793194</v>
      </c>
      <c r="AA1284" s="4">
        <v>14.4601752221289</v>
      </c>
      <c r="AB1284" s="4">
        <f t="shared" si="83"/>
        <v>14.551135058428832</v>
      </c>
    </row>
    <row r="1285" spans="2:28" x14ac:dyDescent="0.2">
      <c r="B1285" s="4" t="s">
        <v>3193</v>
      </c>
      <c r="C1285" s="4">
        <v>14.690200000000001</v>
      </c>
      <c r="D1285" s="4">
        <v>14.761900000000001</v>
      </c>
      <c r="E1285" s="4">
        <v>14.670299999999999</v>
      </c>
      <c r="F1285" s="4">
        <f t="shared" si="80"/>
        <v>14.707466666666667</v>
      </c>
      <c r="I1285" s="4" t="s">
        <v>3959</v>
      </c>
      <c r="J1285" s="4">
        <v>14.833600000000001</v>
      </c>
      <c r="K1285" s="4">
        <v>14.716699999999999</v>
      </c>
      <c r="L1285" s="4">
        <v>14.668100000000001</v>
      </c>
      <c r="M1285" s="4">
        <f t="shared" si="81"/>
        <v>14.739466666666667</v>
      </c>
      <c r="Q1285" s="43" t="s">
        <v>3306</v>
      </c>
      <c r="R1285" s="4">
        <v>14.417136376598799</v>
      </c>
      <c r="S1285" s="4">
        <v>14.5820836382438</v>
      </c>
      <c r="T1285" s="4">
        <v>14.466729798927799</v>
      </c>
      <c r="U1285" s="4">
        <f t="shared" si="82"/>
        <v>14.488649937923467</v>
      </c>
      <c r="X1285" s="43" t="s">
        <v>2995</v>
      </c>
      <c r="Y1285" s="4">
        <v>14.546768185812899</v>
      </c>
      <c r="Z1285" s="4">
        <v>14.6044507805126</v>
      </c>
      <c r="AA1285" s="4">
        <v>14.502078721174501</v>
      </c>
      <c r="AB1285" s="4">
        <f t="shared" si="83"/>
        <v>14.551099229166667</v>
      </c>
    </row>
    <row r="1286" spans="2:28" x14ac:dyDescent="0.2">
      <c r="B1286" s="4" t="s">
        <v>3287</v>
      </c>
      <c r="C1286" s="4">
        <v>14.6851</v>
      </c>
      <c r="D1286" s="4">
        <v>14.924799999999999</v>
      </c>
      <c r="E1286" s="4">
        <v>14.4993</v>
      </c>
      <c r="F1286" s="4">
        <f t="shared" si="80"/>
        <v>14.703066666666667</v>
      </c>
      <c r="I1286" s="4" t="s">
        <v>3386</v>
      </c>
      <c r="J1286" s="4">
        <v>14.486800000000001</v>
      </c>
      <c r="K1286" s="4">
        <v>14.8261</v>
      </c>
      <c r="L1286" s="4">
        <v>14.896699999999999</v>
      </c>
      <c r="M1286" s="4">
        <f t="shared" si="81"/>
        <v>14.736533333333332</v>
      </c>
      <c r="Q1286" s="43" t="s">
        <v>3433</v>
      </c>
      <c r="R1286" s="4">
        <v>14.654374018321599</v>
      </c>
      <c r="S1286" s="4">
        <v>14.498555026168299</v>
      </c>
      <c r="T1286" s="4">
        <v>14.2978074051293</v>
      </c>
      <c r="U1286" s="4">
        <f t="shared" si="82"/>
        <v>14.483578816539733</v>
      </c>
      <c r="X1286" s="43" t="s">
        <v>2913</v>
      </c>
      <c r="Y1286" s="4">
        <v>14.4650071816429</v>
      </c>
      <c r="Z1286" s="4">
        <v>14.590031729208</v>
      </c>
      <c r="AA1286" s="4">
        <v>14.5965190229351</v>
      </c>
      <c r="AB1286" s="4">
        <f t="shared" si="83"/>
        <v>14.550519311262001</v>
      </c>
    </row>
    <row r="1287" spans="2:28" x14ac:dyDescent="0.2">
      <c r="B1287" s="4" t="s">
        <v>2277</v>
      </c>
      <c r="C1287" s="4">
        <v>14.5296</v>
      </c>
      <c r="D1287" s="4">
        <v>14.724399999999999</v>
      </c>
      <c r="E1287" s="4">
        <v>14.8536</v>
      </c>
      <c r="F1287" s="4">
        <f t="shared" si="80"/>
        <v>14.702533333333333</v>
      </c>
      <c r="I1287" s="4" t="s">
        <v>3960</v>
      </c>
      <c r="J1287" s="4">
        <v>14.654</v>
      </c>
      <c r="K1287" s="4">
        <v>15.2037</v>
      </c>
      <c r="L1287" s="4">
        <v>14.3474</v>
      </c>
      <c r="M1287" s="4">
        <f t="shared" si="81"/>
        <v>14.735033333333334</v>
      </c>
      <c r="Q1287" s="43" t="s">
        <v>3309</v>
      </c>
      <c r="R1287" s="4">
        <v>14.448512327392001</v>
      </c>
      <c r="S1287" s="4">
        <v>14.4552004817733</v>
      </c>
      <c r="T1287" s="4">
        <v>14.5462814485299</v>
      </c>
      <c r="U1287" s="4">
        <f t="shared" si="82"/>
        <v>14.483331419231732</v>
      </c>
      <c r="X1287" s="43" t="s">
        <v>4272</v>
      </c>
      <c r="Y1287" s="4">
        <v>14.678326045273501</v>
      </c>
      <c r="Z1287" s="4">
        <v>13.630252452299199</v>
      </c>
      <c r="AA1287" s="4">
        <v>15.335624666532</v>
      </c>
      <c r="AB1287" s="4">
        <f t="shared" si="83"/>
        <v>14.548067721368234</v>
      </c>
    </row>
    <row r="1288" spans="2:28" x14ac:dyDescent="0.2">
      <c r="B1288" s="4" t="s">
        <v>3064</v>
      </c>
      <c r="C1288" s="4">
        <v>14.234400000000001</v>
      </c>
      <c r="D1288" s="4">
        <v>14.9186</v>
      </c>
      <c r="E1288" s="4">
        <v>14.944000000000001</v>
      </c>
      <c r="F1288" s="4">
        <f t="shared" si="80"/>
        <v>14.699</v>
      </c>
      <c r="I1288" s="4" t="s">
        <v>4072</v>
      </c>
      <c r="J1288" s="4">
        <v>14.6281</v>
      </c>
      <c r="K1288" s="4">
        <v>14.8672</v>
      </c>
      <c r="L1288" s="4">
        <v>14.7</v>
      </c>
      <c r="M1288" s="4">
        <f t="shared" si="81"/>
        <v>14.731766666666667</v>
      </c>
      <c r="Q1288" s="43" t="s">
        <v>4488</v>
      </c>
      <c r="R1288" s="4">
        <v>14.6071927467443</v>
      </c>
      <c r="S1288" s="4">
        <v>14.303145384403599</v>
      </c>
      <c r="T1288" s="4">
        <v>14.5392673549108</v>
      </c>
      <c r="U1288" s="4">
        <f t="shared" si="82"/>
        <v>14.483201828686234</v>
      </c>
      <c r="X1288" s="43" t="s">
        <v>393</v>
      </c>
      <c r="Y1288" s="4">
        <v>14.59124084364</v>
      </c>
      <c r="Z1288" s="4">
        <v>14.662364249360399</v>
      </c>
      <c r="AA1288" s="4">
        <v>14.3886703682799</v>
      </c>
      <c r="AB1288" s="4">
        <f t="shared" si="83"/>
        <v>14.5474251537601</v>
      </c>
    </row>
    <row r="1289" spans="2:28" x14ac:dyDescent="0.2">
      <c r="B1289" s="4" t="s">
        <v>3014</v>
      </c>
      <c r="C1289" s="4">
        <v>14.9011</v>
      </c>
      <c r="D1289" s="4">
        <v>14.850300000000001</v>
      </c>
      <c r="E1289" s="4">
        <v>14.342499999999999</v>
      </c>
      <c r="F1289" s="4">
        <f t="shared" si="80"/>
        <v>14.697966666666666</v>
      </c>
      <c r="I1289" s="4" t="s">
        <v>268</v>
      </c>
      <c r="J1289" s="4">
        <v>14.521800000000001</v>
      </c>
      <c r="K1289" s="4">
        <v>15.0709</v>
      </c>
      <c r="L1289" s="4">
        <v>14.596299999999999</v>
      </c>
      <c r="M1289" s="4">
        <f t="shared" si="81"/>
        <v>14.729666666666667</v>
      </c>
      <c r="Q1289" s="43" t="s">
        <v>2106</v>
      </c>
      <c r="R1289" s="4">
        <v>14.394020373629701</v>
      </c>
      <c r="S1289" s="4">
        <v>14.5576868914091</v>
      </c>
      <c r="T1289" s="4">
        <v>14.497319708387799</v>
      </c>
      <c r="U1289" s="4">
        <f t="shared" si="82"/>
        <v>14.483008991142199</v>
      </c>
      <c r="X1289" s="43" t="s">
        <v>2689</v>
      </c>
      <c r="Y1289" s="4">
        <v>14.637180563194001</v>
      </c>
      <c r="Z1289" s="4">
        <v>14.5898877482192</v>
      </c>
      <c r="AA1289" s="4">
        <v>14.412764488178899</v>
      </c>
      <c r="AB1289" s="4">
        <f t="shared" si="83"/>
        <v>14.546610933197366</v>
      </c>
    </row>
    <row r="1290" spans="2:28" x14ac:dyDescent="0.2">
      <c r="B1290" s="4" t="s">
        <v>3595</v>
      </c>
      <c r="C1290" s="4">
        <v>14.56</v>
      </c>
      <c r="D1290" s="4">
        <v>14.816599999999999</v>
      </c>
      <c r="E1290" s="4">
        <v>14.7159</v>
      </c>
      <c r="F1290" s="4">
        <f t="shared" si="80"/>
        <v>14.6975</v>
      </c>
      <c r="I1290" s="4" t="s">
        <v>3309</v>
      </c>
      <c r="J1290" s="4">
        <v>14.939299999999999</v>
      </c>
      <c r="K1290" s="4">
        <v>14.337899999999999</v>
      </c>
      <c r="L1290" s="4">
        <v>14.8964</v>
      </c>
      <c r="M1290" s="4">
        <f t="shared" si="81"/>
        <v>14.724533333333333</v>
      </c>
      <c r="Q1290" s="43" t="s">
        <v>3834</v>
      </c>
      <c r="R1290" s="4">
        <v>14.6564582911282</v>
      </c>
      <c r="S1290" s="4">
        <v>14.4379726236618</v>
      </c>
      <c r="T1290" s="4">
        <v>14.349959282859</v>
      </c>
      <c r="U1290" s="4">
        <f t="shared" si="82"/>
        <v>14.481463399216333</v>
      </c>
      <c r="X1290" s="43" t="s">
        <v>3213</v>
      </c>
      <c r="Y1290" s="4">
        <v>14.4764217996828</v>
      </c>
      <c r="Z1290" s="4">
        <v>14.653349636656699</v>
      </c>
      <c r="AA1290" s="4">
        <v>14.5093187854982</v>
      </c>
      <c r="AB1290" s="4">
        <f t="shared" si="83"/>
        <v>14.546363407279232</v>
      </c>
    </row>
    <row r="1291" spans="2:28" x14ac:dyDescent="0.2">
      <c r="B1291" s="4" t="s">
        <v>3702</v>
      </c>
      <c r="C1291" s="4">
        <v>14.7865</v>
      </c>
      <c r="D1291" s="4">
        <v>14.6982</v>
      </c>
      <c r="E1291" s="4">
        <v>14.603400000000001</v>
      </c>
      <c r="F1291" s="4">
        <f t="shared" si="80"/>
        <v>14.696033333333332</v>
      </c>
      <c r="I1291" s="4" t="s">
        <v>2156</v>
      </c>
      <c r="J1291" s="4">
        <v>14.9307</v>
      </c>
      <c r="K1291" s="4">
        <v>14.7387</v>
      </c>
      <c r="L1291" s="4">
        <v>14.493499999999999</v>
      </c>
      <c r="M1291" s="4">
        <f t="shared" si="81"/>
        <v>14.720966666666667</v>
      </c>
      <c r="Q1291" s="43" t="s">
        <v>2752</v>
      </c>
      <c r="R1291" s="4">
        <v>14.5802376632929</v>
      </c>
      <c r="S1291" s="4">
        <v>14.359614703661901</v>
      </c>
      <c r="T1291" s="4">
        <v>14.502903717975</v>
      </c>
      <c r="U1291" s="4">
        <f t="shared" si="82"/>
        <v>14.480918694976602</v>
      </c>
      <c r="X1291" s="43" t="s">
        <v>2889</v>
      </c>
      <c r="Y1291" s="4">
        <v>14.390513795753201</v>
      </c>
      <c r="Z1291" s="4">
        <v>14.3738637700592</v>
      </c>
      <c r="AA1291" s="4">
        <v>14.871045248347</v>
      </c>
      <c r="AB1291" s="4">
        <f t="shared" si="83"/>
        <v>14.545140938053136</v>
      </c>
    </row>
    <row r="1292" spans="2:28" x14ac:dyDescent="0.2">
      <c r="B1292" s="4" t="s">
        <v>599</v>
      </c>
      <c r="C1292" s="4">
        <v>14.683400000000001</v>
      </c>
      <c r="D1292" s="4">
        <v>14.6737</v>
      </c>
      <c r="E1292" s="4">
        <v>14.7309</v>
      </c>
      <c r="F1292" s="4">
        <f t="shared" si="80"/>
        <v>14.696</v>
      </c>
      <c r="I1292" s="4" t="s">
        <v>1024</v>
      </c>
      <c r="J1292" s="4">
        <v>14.758100000000001</v>
      </c>
      <c r="K1292" s="4">
        <v>14.718</v>
      </c>
      <c r="L1292" s="4">
        <v>14.682</v>
      </c>
      <c r="M1292" s="4">
        <f t="shared" si="81"/>
        <v>14.719366666666668</v>
      </c>
      <c r="Q1292" s="43" t="s">
        <v>3052</v>
      </c>
      <c r="R1292" s="4">
        <v>14.342886715556199</v>
      </c>
      <c r="S1292" s="4">
        <v>14.537112062322</v>
      </c>
      <c r="T1292" s="4">
        <v>14.5615511875893</v>
      </c>
      <c r="U1292" s="4">
        <f t="shared" si="82"/>
        <v>14.480516655155833</v>
      </c>
      <c r="X1292" s="43" t="s">
        <v>3933</v>
      </c>
      <c r="Y1292" s="4">
        <v>14.5191129749605</v>
      </c>
      <c r="Z1292" s="4">
        <v>14.6312001023745</v>
      </c>
      <c r="AA1292" s="4">
        <v>14.483984488932</v>
      </c>
      <c r="AB1292" s="4">
        <f t="shared" si="83"/>
        <v>14.544765855422334</v>
      </c>
    </row>
    <row r="1293" spans="2:28" x14ac:dyDescent="0.2">
      <c r="B1293" s="4" t="s">
        <v>3669</v>
      </c>
      <c r="C1293" s="4">
        <v>14.876200000000001</v>
      </c>
      <c r="D1293" s="4">
        <v>14.5373</v>
      </c>
      <c r="E1293" s="4">
        <v>14.673500000000001</v>
      </c>
      <c r="F1293" s="4">
        <f t="shared" si="80"/>
        <v>14.695666666666668</v>
      </c>
      <c r="I1293" s="4" t="s">
        <v>3650</v>
      </c>
      <c r="J1293" s="4">
        <v>14.887</v>
      </c>
      <c r="K1293" s="4">
        <v>14.354100000000001</v>
      </c>
      <c r="L1293" s="4">
        <v>14.9163</v>
      </c>
      <c r="M1293" s="4">
        <f t="shared" si="81"/>
        <v>14.719133333333334</v>
      </c>
      <c r="Q1293" s="43" t="s">
        <v>2051</v>
      </c>
      <c r="R1293" s="4">
        <v>14.548141773824799</v>
      </c>
      <c r="S1293" s="4">
        <v>14.585615662541899</v>
      </c>
      <c r="T1293" s="4">
        <v>14.3014457905659</v>
      </c>
      <c r="U1293" s="4">
        <f t="shared" si="82"/>
        <v>14.4784010756442</v>
      </c>
      <c r="X1293" s="43" t="s">
        <v>917</v>
      </c>
      <c r="Y1293" s="4">
        <v>14.493503996889901</v>
      </c>
      <c r="Z1293" s="4">
        <v>14.439455361746001</v>
      </c>
      <c r="AA1293" s="4">
        <v>14.6939328627858</v>
      </c>
      <c r="AB1293" s="4">
        <f t="shared" si="83"/>
        <v>14.542297407140566</v>
      </c>
    </row>
    <row r="1294" spans="2:28" x14ac:dyDescent="0.2">
      <c r="B1294" s="4" t="s">
        <v>1500</v>
      </c>
      <c r="C1294" s="4">
        <v>14.8459</v>
      </c>
      <c r="D1294" s="4">
        <v>14.72</v>
      </c>
      <c r="E1294" s="4">
        <v>14.520799999999999</v>
      </c>
      <c r="F1294" s="4">
        <f t="shared" si="80"/>
        <v>14.695566666666666</v>
      </c>
      <c r="I1294" s="4" t="s">
        <v>3455</v>
      </c>
      <c r="J1294" s="4">
        <v>14.825900000000001</v>
      </c>
      <c r="K1294" s="4">
        <v>14.5549</v>
      </c>
      <c r="L1294" s="4">
        <v>14.775600000000001</v>
      </c>
      <c r="M1294" s="4">
        <f t="shared" si="81"/>
        <v>14.718800000000002</v>
      </c>
      <c r="Q1294" s="43" t="s">
        <v>2853</v>
      </c>
      <c r="R1294" s="4">
        <v>14.4477118280456</v>
      </c>
      <c r="S1294" s="4">
        <v>14.4789332962486</v>
      </c>
      <c r="T1294" s="4">
        <v>14.502443541957801</v>
      </c>
      <c r="U1294" s="4">
        <f t="shared" si="82"/>
        <v>14.476362888750666</v>
      </c>
      <c r="X1294" s="43" t="s">
        <v>3103</v>
      </c>
      <c r="Y1294" s="4">
        <v>14.6301677428393</v>
      </c>
      <c r="Z1294" s="4">
        <v>14.5729597402072</v>
      </c>
      <c r="AA1294" s="4">
        <v>14.422939292498899</v>
      </c>
      <c r="AB1294" s="4">
        <f t="shared" si="83"/>
        <v>14.542022258515132</v>
      </c>
    </row>
    <row r="1295" spans="2:28" x14ac:dyDescent="0.2">
      <c r="B1295" s="4" t="s">
        <v>2719</v>
      </c>
      <c r="C1295" s="4">
        <v>14.474399999999999</v>
      </c>
      <c r="D1295" s="4">
        <v>14.8453</v>
      </c>
      <c r="E1295" s="4">
        <v>14.764200000000001</v>
      </c>
      <c r="F1295" s="4">
        <f t="shared" si="80"/>
        <v>14.694633333333334</v>
      </c>
      <c r="I1295" s="4" t="s">
        <v>3270</v>
      </c>
      <c r="J1295" s="4">
        <v>14.3642</v>
      </c>
      <c r="K1295" s="4">
        <v>15.9779</v>
      </c>
      <c r="L1295" s="4">
        <v>13.8142</v>
      </c>
      <c r="M1295" s="4">
        <f t="shared" si="81"/>
        <v>14.718766666666667</v>
      </c>
      <c r="Q1295" s="43" t="s">
        <v>3862</v>
      </c>
      <c r="R1295" s="4">
        <v>14.3535108472056</v>
      </c>
      <c r="S1295" s="4">
        <v>14.429561352813099</v>
      </c>
      <c r="T1295" s="4">
        <v>14.639647421986901</v>
      </c>
      <c r="U1295" s="4">
        <f t="shared" si="82"/>
        <v>14.474239874001867</v>
      </c>
      <c r="X1295" s="43" t="s">
        <v>2678</v>
      </c>
      <c r="Y1295" s="4">
        <v>14.556919266392301</v>
      </c>
      <c r="Z1295" s="4">
        <v>14.6207079880711</v>
      </c>
      <c r="AA1295" s="4">
        <v>14.4428671713443</v>
      </c>
      <c r="AB1295" s="4">
        <f t="shared" si="83"/>
        <v>14.540164808602569</v>
      </c>
    </row>
    <row r="1296" spans="2:28" x14ac:dyDescent="0.2">
      <c r="B1296" s="4" t="s">
        <v>349</v>
      </c>
      <c r="C1296" s="4">
        <v>14.9102</v>
      </c>
      <c r="D1296" s="4">
        <v>14.2864</v>
      </c>
      <c r="E1296" s="4">
        <v>14.8775</v>
      </c>
      <c r="F1296" s="4">
        <f t="shared" si="80"/>
        <v>14.691366666666667</v>
      </c>
      <c r="I1296" s="4" t="s">
        <v>433</v>
      </c>
      <c r="J1296" s="4">
        <v>14.94</v>
      </c>
      <c r="K1296" s="4">
        <v>14.367100000000001</v>
      </c>
      <c r="L1296" s="4">
        <v>14.8431</v>
      </c>
      <c r="M1296" s="4">
        <f t="shared" si="81"/>
        <v>14.716733333333332</v>
      </c>
      <c r="Q1296" s="43" t="s">
        <v>3444</v>
      </c>
      <c r="R1296" s="4">
        <v>14.5326763892402</v>
      </c>
      <c r="S1296" s="4">
        <v>14.531553233045599</v>
      </c>
      <c r="T1296" s="4">
        <v>14.356344652913499</v>
      </c>
      <c r="U1296" s="4">
        <f t="shared" si="82"/>
        <v>14.473524758399767</v>
      </c>
      <c r="X1296" s="43" t="s">
        <v>3946</v>
      </c>
      <c r="Y1296" s="4">
        <v>14.587337126807901</v>
      </c>
      <c r="Z1296" s="4">
        <v>14.554770946149</v>
      </c>
      <c r="AA1296" s="4">
        <v>14.477996116348301</v>
      </c>
      <c r="AB1296" s="4">
        <f t="shared" si="83"/>
        <v>14.540034729768401</v>
      </c>
    </row>
    <row r="1297" spans="2:28" x14ac:dyDescent="0.2">
      <c r="B1297" s="4" t="s">
        <v>3786</v>
      </c>
      <c r="C1297" s="4">
        <v>14.9328</v>
      </c>
      <c r="D1297" s="4">
        <v>14.948499999999999</v>
      </c>
      <c r="E1297" s="4">
        <v>14.1869</v>
      </c>
      <c r="F1297" s="4">
        <f t="shared" si="80"/>
        <v>14.689399999999999</v>
      </c>
      <c r="I1297" s="4" t="s">
        <v>1525</v>
      </c>
      <c r="J1297" s="4">
        <v>14.7623</v>
      </c>
      <c r="K1297" s="4">
        <v>14.733000000000001</v>
      </c>
      <c r="L1297" s="4">
        <v>14.6525</v>
      </c>
      <c r="M1297" s="4">
        <f t="shared" si="81"/>
        <v>14.715933333333334</v>
      </c>
      <c r="Q1297" s="43" t="s">
        <v>4512</v>
      </c>
      <c r="R1297" s="4">
        <v>15.3382091379803</v>
      </c>
      <c r="S1297" s="4">
        <v>14.0860697506718</v>
      </c>
      <c r="T1297" s="4">
        <v>13.995616437942999</v>
      </c>
      <c r="U1297" s="4">
        <f t="shared" si="82"/>
        <v>14.473298442198365</v>
      </c>
      <c r="X1297" s="43" t="s">
        <v>2318</v>
      </c>
      <c r="Y1297" s="4">
        <v>14.5160145292345</v>
      </c>
      <c r="Z1297" s="4">
        <v>14.5914920605617</v>
      </c>
      <c r="AA1297" s="4">
        <v>14.5090799363418</v>
      </c>
      <c r="AB1297" s="4">
        <f t="shared" si="83"/>
        <v>14.538862175379334</v>
      </c>
    </row>
    <row r="1298" spans="2:28" x14ac:dyDescent="0.2">
      <c r="B1298" s="4" t="s">
        <v>1059</v>
      </c>
      <c r="C1298" s="4">
        <v>14.6492</v>
      </c>
      <c r="D1298" s="4">
        <v>14.6225</v>
      </c>
      <c r="E1298" s="4">
        <v>14.7867</v>
      </c>
      <c r="F1298" s="4">
        <f t="shared" si="80"/>
        <v>14.686133333333336</v>
      </c>
      <c r="I1298" s="4" t="s">
        <v>3481</v>
      </c>
      <c r="J1298" s="4">
        <v>14.7247</v>
      </c>
      <c r="K1298" s="4">
        <v>14.5449</v>
      </c>
      <c r="L1298" s="4">
        <v>14.874599999999999</v>
      </c>
      <c r="M1298" s="4">
        <f t="shared" si="81"/>
        <v>14.714733333333333</v>
      </c>
      <c r="Q1298" s="43" t="s">
        <v>2705</v>
      </c>
      <c r="R1298" s="4">
        <v>14.352614957634399</v>
      </c>
      <c r="S1298" s="4">
        <v>14.402895321848501</v>
      </c>
      <c r="T1298" s="4">
        <v>14.662129828384</v>
      </c>
      <c r="U1298" s="4">
        <f t="shared" si="82"/>
        <v>14.472546702622301</v>
      </c>
      <c r="X1298" s="43" t="s">
        <v>2880</v>
      </c>
      <c r="Y1298" s="4">
        <v>14.5941031260059</v>
      </c>
      <c r="Z1298" s="4">
        <v>14.4981703385331</v>
      </c>
      <c r="AA1298" s="4">
        <v>14.522925053216399</v>
      </c>
      <c r="AB1298" s="4">
        <f t="shared" si="83"/>
        <v>14.538399505918465</v>
      </c>
    </row>
    <row r="1299" spans="2:28" x14ac:dyDescent="0.2">
      <c r="B1299" s="4" t="s">
        <v>525</v>
      </c>
      <c r="C1299" s="4">
        <v>14.555400000000001</v>
      </c>
      <c r="D1299" s="4">
        <v>14.6485</v>
      </c>
      <c r="E1299" s="4">
        <v>14.853199999999999</v>
      </c>
      <c r="F1299" s="4">
        <f t="shared" si="80"/>
        <v>14.685699999999999</v>
      </c>
      <c r="I1299" s="4" t="s">
        <v>2597</v>
      </c>
      <c r="J1299" s="4">
        <v>14.8675</v>
      </c>
      <c r="K1299" s="4">
        <v>14.3233</v>
      </c>
      <c r="L1299" s="4">
        <v>14.9526</v>
      </c>
      <c r="M1299" s="4">
        <f t="shared" si="81"/>
        <v>14.714466666666667</v>
      </c>
      <c r="Q1299" s="43" t="s">
        <v>2772</v>
      </c>
      <c r="R1299" s="4">
        <v>14.3651250651686</v>
      </c>
      <c r="S1299" s="4">
        <v>14.461703568974</v>
      </c>
      <c r="T1299" s="4">
        <v>14.5824376854584</v>
      </c>
      <c r="U1299" s="4">
        <f t="shared" si="82"/>
        <v>14.469755439867001</v>
      </c>
      <c r="X1299" s="43" t="s">
        <v>1392</v>
      </c>
      <c r="Y1299" s="4">
        <v>14.6893163014709</v>
      </c>
      <c r="Z1299" s="4">
        <v>14.474061657717201</v>
      </c>
      <c r="AA1299" s="4">
        <v>14.450386629924999</v>
      </c>
      <c r="AB1299" s="4">
        <f t="shared" si="83"/>
        <v>14.537921529704368</v>
      </c>
    </row>
    <row r="1300" spans="2:28" x14ac:dyDescent="0.2">
      <c r="B1300" s="4" t="s">
        <v>164</v>
      </c>
      <c r="C1300" s="4">
        <v>14.367100000000001</v>
      </c>
      <c r="D1300" s="4">
        <v>14.789400000000001</v>
      </c>
      <c r="E1300" s="4">
        <v>14.8996</v>
      </c>
      <c r="F1300" s="4">
        <f t="shared" si="80"/>
        <v>14.685366666666667</v>
      </c>
      <c r="I1300" s="4" t="s">
        <v>548</v>
      </c>
      <c r="J1300" s="4">
        <v>14.91</v>
      </c>
      <c r="K1300" s="4">
        <v>14.3185</v>
      </c>
      <c r="L1300" s="4">
        <v>14.9115</v>
      </c>
      <c r="M1300" s="4">
        <f t="shared" si="81"/>
        <v>14.713333333333333</v>
      </c>
      <c r="Q1300" s="43" t="s">
        <v>1957</v>
      </c>
      <c r="R1300" s="4">
        <v>14.281506795706299</v>
      </c>
      <c r="S1300" s="4">
        <v>14.485326498515899</v>
      </c>
      <c r="T1300" s="4">
        <v>14.6368551441452</v>
      </c>
      <c r="U1300" s="4">
        <f t="shared" si="82"/>
        <v>14.467896146122465</v>
      </c>
      <c r="X1300" s="43" t="s">
        <v>3398</v>
      </c>
      <c r="Y1300" s="4">
        <v>14.6607697309058</v>
      </c>
      <c r="Z1300" s="4">
        <v>14.475607693903701</v>
      </c>
      <c r="AA1300" s="4">
        <v>14.4644525266591</v>
      </c>
      <c r="AB1300" s="4">
        <f t="shared" si="83"/>
        <v>14.533609983822869</v>
      </c>
    </row>
    <row r="1301" spans="2:28" x14ac:dyDescent="0.2">
      <c r="B1301" s="4" t="s">
        <v>465</v>
      </c>
      <c r="C1301" s="4">
        <v>14.386699999999999</v>
      </c>
      <c r="D1301" s="4">
        <v>14.6898</v>
      </c>
      <c r="E1301" s="4">
        <v>14.976800000000001</v>
      </c>
      <c r="F1301" s="4">
        <f t="shared" si="80"/>
        <v>14.684433333333333</v>
      </c>
      <c r="I1301" s="4" t="s">
        <v>1532</v>
      </c>
      <c r="J1301" s="4">
        <v>13.9762</v>
      </c>
      <c r="K1301" s="4">
        <v>15.5505</v>
      </c>
      <c r="L1301" s="4">
        <v>14.612</v>
      </c>
      <c r="M1301" s="4">
        <f t="shared" si="81"/>
        <v>14.712899999999999</v>
      </c>
      <c r="Q1301" s="43" t="s">
        <v>4285</v>
      </c>
      <c r="R1301" s="4">
        <v>14.6743045920089</v>
      </c>
      <c r="S1301" s="4">
        <v>14.3450793099869</v>
      </c>
      <c r="T1301" s="4">
        <v>14.382039918578601</v>
      </c>
      <c r="U1301" s="4">
        <f t="shared" si="82"/>
        <v>14.467141273524801</v>
      </c>
      <c r="X1301" s="43" t="s">
        <v>2772</v>
      </c>
      <c r="Y1301" s="4">
        <v>14.4930889265319</v>
      </c>
      <c r="Z1301" s="4">
        <v>14.4466684682105</v>
      </c>
      <c r="AA1301" s="4">
        <v>14.657071219726401</v>
      </c>
      <c r="AB1301" s="4">
        <f t="shared" si="83"/>
        <v>14.532276204822935</v>
      </c>
    </row>
    <row r="1302" spans="2:28" x14ac:dyDescent="0.2">
      <c r="B1302" s="4" t="s">
        <v>3236</v>
      </c>
      <c r="C1302" s="4">
        <v>14.705399999999999</v>
      </c>
      <c r="D1302" s="4">
        <v>14.7356</v>
      </c>
      <c r="E1302" s="4">
        <v>14.609400000000001</v>
      </c>
      <c r="F1302" s="4">
        <f t="shared" si="80"/>
        <v>14.683466666666666</v>
      </c>
      <c r="I1302" s="4" t="s">
        <v>343</v>
      </c>
      <c r="J1302" s="4">
        <v>14.6394</v>
      </c>
      <c r="K1302" s="4">
        <v>15.089399999999999</v>
      </c>
      <c r="L1302" s="4">
        <v>14.4078</v>
      </c>
      <c r="M1302" s="4">
        <f t="shared" si="81"/>
        <v>14.712200000000001</v>
      </c>
      <c r="Q1302" s="43" t="s">
        <v>3893</v>
      </c>
      <c r="R1302" s="4">
        <v>14.554237122958099</v>
      </c>
      <c r="S1302" s="4">
        <v>14.398471966302401</v>
      </c>
      <c r="T1302" s="4">
        <v>14.4458662445301</v>
      </c>
      <c r="U1302" s="4">
        <f t="shared" si="82"/>
        <v>14.466191777930201</v>
      </c>
      <c r="X1302" s="43" t="s">
        <v>2051</v>
      </c>
      <c r="Y1302" s="4">
        <v>14.5301715339724</v>
      </c>
      <c r="Z1302" s="4">
        <v>14.5554539460945</v>
      </c>
      <c r="AA1302" s="4">
        <v>14.494767690737699</v>
      </c>
      <c r="AB1302" s="4">
        <f t="shared" si="83"/>
        <v>14.526797723601533</v>
      </c>
    </row>
    <row r="1303" spans="2:28" x14ac:dyDescent="0.2">
      <c r="B1303" s="4" t="s">
        <v>188</v>
      </c>
      <c r="C1303" s="4">
        <v>14.7639</v>
      </c>
      <c r="D1303" s="4">
        <v>14.658799999999999</v>
      </c>
      <c r="E1303" s="4">
        <v>14.614599999999999</v>
      </c>
      <c r="F1303" s="4">
        <f t="shared" si="80"/>
        <v>14.6791</v>
      </c>
      <c r="I1303" s="4" t="s">
        <v>3043</v>
      </c>
      <c r="J1303" s="4">
        <v>14.8536</v>
      </c>
      <c r="K1303" s="4">
        <v>14.403499999999999</v>
      </c>
      <c r="L1303" s="4">
        <v>14.8736</v>
      </c>
      <c r="M1303" s="4">
        <f t="shared" si="81"/>
        <v>14.710233333333335</v>
      </c>
      <c r="Q1303" s="43" t="s">
        <v>3553</v>
      </c>
      <c r="R1303" s="4">
        <v>14.5638506674062</v>
      </c>
      <c r="S1303" s="4">
        <v>14.271762067683801</v>
      </c>
      <c r="T1303" s="4">
        <v>14.559325067855699</v>
      </c>
      <c r="U1303" s="4">
        <f t="shared" si="82"/>
        <v>14.464979267648568</v>
      </c>
      <c r="X1303" s="43" t="s">
        <v>3954</v>
      </c>
      <c r="Y1303" s="4">
        <v>14.5020334105727</v>
      </c>
      <c r="Z1303" s="4">
        <v>14.5257947700812</v>
      </c>
      <c r="AA1303" s="4">
        <v>14.544541859274601</v>
      </c>
      <c r="AB1303" s="4">
        <f t="shared" si="83"/>
        <v>14.524123346642833</v>
      </c>
    </row>
    <row r="1304" spans="2:28" x14ac:dyDescent="0.2">
      <c r="B1304" s="4" t="s">
        <v>2156</v>
      </c>
      <c r="C1304" s="4">
        <v>14.964399999999999</v>
      </c>
      <c r="D1304" s="4">
        <v>14.677099999999999</v>
      </c>
      <c r="E1304" s="4">
        <v>14.394500000000001</v>
      </c>
      <c r="F1304" s="4">
        <f t="shared" si="80"/>
        <v>14.678666666666667</v>
      </c>
      <c r="I1304" s="4" t="s">
        <v>3111</v>
      </c>
      <c r="J1304" s="4">
        <v>14.741199999999999</v>
      </c>
      <c r="K1304" s="4">
        <v>14.4918</v>
      </c>
      <c r="L1304" s="4">
        <v>14.896100000000001</v>
      </c>
      <c r="M1304" s="4">
        <f t="shared" si="81"/>
        <v>14.709699999999998</v>
      </c>
      <c r="Q1304" s="43" t="s">
        <v>1852</v>
      </c>
      <c r="R1304" s="4">
        <v>14.4315321658262</v>
      </c>
      <c r="S1304" s="4">
        <v>14.5028600311548</v>
      </c>
      <c r="T1304" s="4">
        <v>14.4557033392297</v>
      </c>
      <c r="U1304" s="4">
        <f t="shared" si="82"/>
        <v>14.4633651787369</v>
      </c>
      <c r="X1304" s="43" t="s">
        <v>669</v>
      </c>
      <c r="Y1304" s="4">
        <v>14.5515377284084</v>
      </c>
      <c r="Z1304" s="4">
        <v>14.1894238166725</v>
      </c>
      <c r="AA1304" s="4">
        <v>14.8276007871332</v>
      </c>
      <c r="AB1304" s="4">
        <f t="shared" si="83"/>
        <v>14.522854110738033</v>
      </c>
    </row>
    <row r="1305" spans="2:28" x14ac:dyDescent="0.2">
      <c r="B1305" s="4" t="s">
        <v>1942</v>
      </c>
      <c r="C1305" s="4">
        <v>14.653</v>
      </c>
      <c r="D1305" s="4">
        <v>14.694900000000001</v>
      </c>
      <c r="E1305" s="4">
        <v>14.6829</v>
      </c>
      <c r="F1305" s="4">
        <f t="shared" si="80"/>
        <v>14.676933333333332</v>
      </c>
      <c r="I1305" s="4" t="s">
        <v>442</v>
      </c>
      <c r="J1305" s="4">
        <v>14.914199999999999</v>
      </c>
      <c r="K1305" s="4">
        <v>14.132199999999999</v>
      </c>
      <c r="L1305" s="4">
        <v>15.078200000000001</v>
      </c>
      <c r="M1305" s="4">
        <f t="shared" si="81"/>
        <v>14.7082</v>
      </c>
      <c r="Q1305" s="43" t="s">
        <v>4326</v>
      </c>
      <c r="R1305" s="4">
        <v>14.713339738155</v>
      </c>
      <c r="S1305" s="4">
        <v>14.435432902992501</v>
      </c>
      <c r="T1305" s="4">
        <v>14.2402652065143</v>
      </c>
      <c r="U1305" s="4">
        <f t="shared" si="82"/>
        <v>14.463012615887267</v>
      </c>
      <c r="X1305" s="43" t="s">
        <v>3572</v>
      </c>
      <c r="Y1305" s="4">
        <v>14.4398185002901</v>
      </c>
      <c r="Z1305" s="4">
        <v>14.883833345009201</v>
      </c>
      <c r="AA1305" s="4">
        <v>14.244036578286</v>
      </c>
      <c r="AB1305" s="4">
        <f t="shared" si="83"/>
        <v>14.522562807861767</v>
      </c>
    </row>
    <row r="1306" spans="2:28" x14ac:dyDescent="0.2">
      <c r="B1306" s="4" t="s">
        <v>2950</v>
      </c>
      <c r="C1306" s="4">
        <v>14.496499999999999</v>
      </c>
      <c r="D1306" s="4">
        <v>14.298</v>
      </c>
      <c r="E1306" s="4">
        <v>15.2318</v>
      </c>
      <c r="F1306" s="4">
        <f t="shared" si="80"/>
        <v>14.675433333333332</v>
      </c>
      <c r="I1306" s="4" t="s">
        <v>2092</v>
      </c>
      <c r="J1306" s="4">
        <v>14.746</v>
      </c>
      <c r="K1306" s="4">
        <v>14.8758</v>
      </c>
      <c r="L1306" s="4">
        <v>14.4793</v>
      </c>
      <c r="M1306" s="4">
        <f t="shared" si="81"/>
        <v>14.700366666666667</v>
      </c>
      <c r="Q1306" s="43" t="s">
        <v>1641</v>
      </c>
      <c r="R1306" s="4">
        <v>14.3213392380142</v>
      </c>
      <c r="S1306" s="4">
        <v>14.6436823073486</v>
      </c>
      <c r="T1306" s="4">
        <v>14.4199361180093</v>
      </c>
      <c r="U1306" s="4">
        <f t="shared" si="82"/>
        <v>14.461652554457368</v>
      </c>
      <c r="X1306" s="43" t="s">
        <v>2093</v>
      </c>
      <c r="Y1306" s="4">
        <v>14.4665213769294</v>
      </c>
      <c r="Z1306" s="4">
        <v>14.5974871514504</v>
      </c>
      <c r="AA1306" s="4">
        <v>14.501425992646601</v>
      </c>
      <c r="AB1306" s="4">
        <f t="shared" si="83"/>
        <v>14.521811507008801</v>
      </c>
    </row>
    <row r="1307" spans="2:28" x14ac:dyDescent="0.2">
      <c r="B1307" s="4" t="s">
        <v>1030</v>
      </c>
      <c r="C1307" s="4">
        <v>14.538399999999999</v>
      </c>
      <c r="D1307" s="4">
        <v>14.7341</v>
      </c>
      <c r="E1307" s="4">
        <v>14.7455</v>
      </c>
      <c r="F1307" s="4">
        <f t="shared" si="80"/>
        <v>14.672666666666666</v>
      </c>
      <c r="I1307" s="4" t="s">
        <v>1669</v>
      </c>
      <c r="J1307" s="4">
        <v>14.917400000000001</v>
      </c>
      <c r="K1307" s="4">
        <v>14.3535</v>
      </c>
      <c r="L1307" s="4">
        <v>14.8095</v>
      </c>
      <c r="M1307" s="4">
        <f t="shared" si="81"/>
        <v>14.693466666666666</v>
      </c>
      <c r="Q1307" s="43" t="s">
        <v>2071</v>
      </c>
      <c r="R1307" s="4">
        <v>14.515439449282299</v>
      </c>
      <c r="S1307" s="4">
        <v>14.385742010475701</v>
      </c>
      <c r="T1307" s="4">
        <v>14.4835016187753</v>
      </c>
      <c r="U1307" s="4">
        <f t="shared" si="82"/>
        <v>14.461561026177767</v>
      </c>
      <c r="X1307" s="43" t="s">
        <v>841</v>
      </c>
      <c r="Y1307" s="4">
        <v>14.344010467469699</v>
      </c>
      <c r="Z1307" s="4">
        <v>14.2795964245752</v>
      </c>
      <c r="AA1307" s="4">
        <v>14.937080969350699</v>
      </c>
      <c r="AB1307" s="4">
        <f t="shared" si="83"/>
        <v>14.520229287131864</v>
      </c>
    </row>
    <row r="1308" spans="2:28" x14ac:dyDescent="0.2">
      <c r="B1308" s="4" t="s">
        <v>2290</v>
      </c>
      <c r="C1308" s="4">
        <v>14.8066</v>
      </c>
      <c r="D1308" s="4">
        <v>14.7491</v>
      </c>
      <c r="E1308" s="4">
        <v>14.4597</v>
      </c>
      <c r="F1308" s="4">
        <f t="shared" si="80"/>
        <v>14.671799999999999</v>
      </c>
      <c r="I1308" s="4" t="s">
        <v>379</v>
      </c>
      <c r="J1308" s="4">
        <v>14.8308</v>
      </c>
      <c r="K1308" s="4">
        <v>14.033300000000001</v>
      </c>
      <c r="L1308" s="4">
        <v>15.2159</v>
      </c>
      <c r="M1308" s="4">
        <f t="shared" si="81"/>
        <v>14.693333333333333</v>
      </c>
      <c r="Q1308" s="43" t="s">
        <v>4325</v>
      </c>
      <c r="R1308" s="4">
        <v>14.502531382661401</v>
      </c>
      <c r="S1308" s="4">
        <v>14.396293380022399</v>
      </c>
      <c r="T1308" s="4">
        <v>14.4826727831041</v>
      </c>
      <c r="U1308" s="4">
        <f t="shared" si="82"/>
        <v>14.460499181929301</v>
      </c>
      <c r="X1308" s="43" t="s">
        <v>3317</v>
      </c>
      <c r="Y1308" s="4">
        <v>14.4543562122934</v>
      </c>
      <c r="Z1308" s="4">
        <v>14.6188126554192</v>
      </c>
      <c r="AA1308" s="4">
        <v>14.4871224528515</v>
      </c>
      <c r="AB1308" s="4">
        <f t="shared" si="83"/>
        <v>14.520097106854699</v>
      </c>
    </row>
    <row r="1309" spans="2:28" x14ac:dyDescent="0.2">
      <c r="B1309" s="4" t="s">
        <v>4030</v>
      </c>
      <c r="C1309" s="4">
        <v>14.892200000000001</v>
      </c>
      <c r="D1309" s="4">
        <v>14.8726</v>
      </c>
      <c r="E1309" s="4">
        <v>14.2401</v>
      </c>
      <c r="F1309" s="4">
        <f t="shared" si="80"/>
        <v>14.6683</v>
      </c>
      <c r="I1309" s="4" t="s">
        <v>2177</v>
      </c>
      <c r="J1309" s="4">
        <v>14.884499999999999</v>
      </c>
      <c r="K1309" s="4">
        <v>14.0152</v>
      </c>
      <c r="L1309" s="4">
        <v>15.1784</v>
      </c>
      <c r="M1309" s="4">
        <f t="shared" si="81"/>
        <v>14.6927</v>
      </c>
      <c r="Q1309" s="43" t="s">
        <v>3404</v>
      </c>
      <c r="R1309" s="4">
        <v>14.4427772331856</v>
      </c>
      <c r="S1309" s="4">
        <v>14.369798077451399</v>
      </c>
      <c r="T1309" s="4">
        <v>14.5624331195646</v>
      </c>
      <c r="U1309" s="4">
        <f t="shared" si="82"/>
        <v>14.458336143400535</v>
      </c>
      <c r="X1309" s="43" t="s">
        <v>3702</v>
      </c>
      <c r="Y1309" s="4">
        <v>14.2035168242376</v>
      </c>
      <c r="Z1309" s="4">
        <v>14.500897358516999</v>
      </c>
      <c r="AA1309" s="4">
        <v>14.8532974653951</v>
      </c>
      <c r="AB1309" s="4">
        <f t="shared" si="83"/>
        <v>14.5192372160499</v>
      </c>
    </row>
    <row r="1310" spans="2:28" x14ac:dyDescent="0.2">
      <c r="B1310" s="4" t="s">
        <v>2567</v>
      </c>
      <c r="C1310" s="4">
        <v>14.6112</v>
      </c>
      <c r="D1310" s="4">
        <v>14.8972</v>
      </c>
      <c r="E1310" s="4">
        <v>14.4856</v>
      </c>
      <c r="F1310" s="4">
        <f t="shared" si="80"/>
        <v>14.664666666666667</v>
      </c>
      <c r="I1310" s="4" t="s">
        <v>1245</v>
      </c>
      <c r="J1310" s="4">
        <v>14.592700000000001</v>
      </c>
      <c r="K1310" s="4">
        <v>14.9892</v>
      </c>
      <c r="L1310" s="4">
        <v>14.4939</v>
      </c>
      <c r="M1310" s="4">
        <f t="shared" si="81"/>
        <v>14.691933333333333</v>
      </c>
      <c r="Q1310" s="43" t="s">
        <v>30</v>
      </c>
      <c r="R1310" s="4">
        <v>14.648261309196601</v>
      </c>
      <c r="S1310" s="4">
        <v>14.1478502364044</v>
      </c>
      <c r="T1310" s="4">
        <v>14.5754054057504</v>
      </c>
      <c r="U1310" s="4">
        <f t="shared" si="82"/>
        <v>14.457172317117134</v>
      </c>
      <c r="X1310" s="43" t="s">
        <v>3564</v>
      </c>
      <c r="Y1310" s="4">
        <v>14.444922779127801</v>
      </c>
      <c r="Z1310" s="4">
        <v>14.535728109720299</v>
      </c>
      <c r="AA1310" s="4">
        <v>14.5768386697012</v>
      </c>
      <c r="AB1310" s="4">
        <f t="shared" si="83"/>
        <v>14.5191631861831</v>
      </c>
    </row>
    <row r="1311" spans="2:28" x14ac:dyDescent="0.2">
      <c r="B1311" s="4" t="s">
        <v>753</v>
      </c>
      <c r="C1311" s="4">
        <v>14.756399999999999</v>
      </c>
      <c r="D1311" s="4">
        <v>14.814299999999999</v>
      </c>
      <c r="E1311" s="4">
        <v>14.422599999999999</v>
      </c>
      <c r="F1311" s="4">
        <f t="shared" si="80"/>
        <v>14.664433333333333</v>
      </c>
      <c r="I1311" s="4" t="s">
        <v>465</v>
      </c>
      <c r="J1311" s="4">
        <v>14.683400000000001</v>
      </c>
      <c r="K1311" s="4">
        <v>14.6945</v>
      </c>
      <c r="L1311" s="4">
        <v>14.696</v>
      </c>
      <c r="M1311" s="4">
        <f t="shared" si="81"/>
        <v>14.6913</v>
      </c>
      <c r="Q1311" s="43" t="s">
        <v>1271</v>
      </c>
      <c r="R1311" s="4">
        <v>14.725425788059701</v>
      </c>
      <c r="S1311" s="4">
        <v>14.3815313438443</v>
      </c>
      <c r="T1311" s="4">
        <v>14.256514355421301</v>
      </c>
      <c r="U1311" s="4">
        <f t="shared" si="82"/>
        <v>14.454490495775099</v>
      </c>
      <c r="X1311" s="43" t="s">
        <v>1369</v>
      </c>
      <c r="Y1311" s="4">
        <v>14.2929038534109</v>
      </c>
      <c r="Z1311" s="4">
        <v>14.6220765408089</v>
      </c>
      <c r="AA1311" s="4">
        <v>14.6400665508611</v>
      </c>
      <c r="AB1311" s="4">
        <f t="shared" si="83"/>
        <v>14.518348981693634</v>
      </c>
    </row>
    <row r="1312" spans="2:28" x14ac:dyDescent="0.2">
      <c r="B1312" s="4" t="s">
        <v>457</v>
      </c>
      <c r="C1312" s="4">
        <v>14.588699999999999</v>
      </c>
      <c r="D1312" s="4">
        <v>14.712199999999999</v>
      </c>
      <c r="E1312" s="4">
        <v>14.6813</v>
      </c>
      <c r="F1312" s="4">
        <f t="shared" si="80"/>
        <v>14.660733333333333</v>
      </c>
      <c r="I1312" s="4" t="s">
        <v>3645</v>
      </c>
      <c r="J1312" s="4">
        <v>14.699400000000001</v>
      </c>
      <c r="K1312" s="4">
        <v>14.9328</v>
      </c>
      <c r="L1312" s="4">
        <v>14.440300000000001</v>
      </c>
      <c r="M1312" s="4">
        <f t="shared" si="81"/>
        <v>14.690833333333336</v>
      </c>
      <c r="Q1312" s="43" t="s">
        <v>2754</v>
      </c>
      <c r="R1312" s="4">
        <v>14.479632045175499</v>
      </c>
      <c r="S1312" s="4">
        <v>14.277701159599101</v>
      </c>
      <c r="T1312" s="4">
        <v>14.598605146640301</v>
      </c>
      <c r="U1312" s="4">
        <f t="shared" si="82"/>
        <v>14.451979450471633</v>
      </c>
      <c r="X1312" s="43" t="s">
        <v>3304</v>
      </c>
      <c r="Y1312" s="4">
        <v>14.485792962125799</v>
      </c>
      <c r="Z1312" s="4">
        <v>14.6687283123787</v>
      </c>
      <c r="AA1312" s="4">
        <v>14.3941772176368</v>
      </c>
      <c r="AB1312" s="4">
        <f t="shared" si="83"/>
        <v>14.516232830713767</v>
      </c>
    </row>
    <row r="1313" spans="2:28" x14ac:dyDescent="0.2">
      <c r="B1313" s="4" t="s">
        <v>2311</v>
      </c>
      <c r="C1313" s="4">
        <v>14.5852</v>
      </c>
      <c r="D1313" s="4">
        <v>14.6609</v>
      </c>
      <c r="E1313" s="4">
        <v>14.7331</v>
      </c>
      <c r="F1313" s="4">
        <f t="shared" si="80"/>
        <v>14.659733333333334</v>
      </c>
      <c r="I1313" s="4" t="s">
        <v>3810</v>
      </c>
      <c r="J1313" s="4">
        <v>14.356199999999999</v>
      </c>
      <c r="K1313" s="4">
        <v>15.372</v>
      </c>
      <c r="L1313" s="4">
        <v>14.343400000000001</v>
      </c>
      <c r="M1313" s="4">
        <f t="shared" si="81"/>
        <v>14.690533333333335</v>
      </c>
      <c r="Q1313" s="43" t="s">
        <v>478</v>
      </c>
      <c r="R1313" s="4">
        <v>14.6464407168479</v>
      </c>
      <c r="S1313" s="4">
        <v>14.273033597526201</v>
      </c>
      <c r="T1313" s="4">
        <v>14.434317105359201</v>
      </c>
      <c r="U1313" s="4">
        <f t="shared" si="82"/>
        <v>14.451263806577765</v>
      </c>
      <c r="X1313" s="43" t="s">
        <v>1207</v>
      </c>
      <c r="Y1313" s="4">
        <v>14.4989606928517</v>
      </c>
      <c r="Z1313" s="4">
        <v>14.460088049842501</v>
      </c>
      <c r="AA1313" s="4">
        <v>14.589454362942</v>
      </c>
      <c r="AB1313" s="4">
        <f t="shared" si="83"/>
        <v>14.516167701878734</v>
      </c>
    </row>
    <row r="1314" spans="2:28" x14ac:dyDescent="0.2">
      <c r="B1314" s="4" t="s">
        <v>1844</v>
      </c>
      <c r="C1314" s="4">
        <v>15.085599999999999</v>
      </c>
      <c r="D1314" s="4">
        <v>14.7273</v>
      </c>
      <c r="E1314" s="4">
        <v>14.162000000000001</v>
      </c>
      <c r="F1314" s="4">
        <f t="shared" si="80"/>
        <v>14.658299999999999</v>
      </c>
      <c r="I1314" s="4" t="s">
        <v>1269</v>
      </c>
      <c r="J1314" s="4">
        <v>14.768599999999999</v>
      </c>
      <c r="K1314" s="4">
        <v>14.6311</v>
      </c>
      <c r="L1314" s="4">
        <v>14.669</v>
      </c>
      <c r="M1314" s="4">
        <f t="shared" si="81"/>
        <v>14.689566666666666</v>
      </c>
      <c r="Q1314" s="43" t="s">
        <v>2031</v>
      </c>
      <c r="R1314" s="4">
        <v>14.194795294526701</v>
      </c>
      <c r="S1314" s="4">
        <v>14.5312709955512</v>
      </c>
      <c r="T1314" s="4">
        <v>14.6267345586355</v>
      </c>
      <c r="U1314" s="4">
        <f t="shared" si="82"/>
        <v>14.450933616237799</v>
      </c>
      <c r="X1314" s="43" t="s">
        <v>864</v>
      </c>
      <c r="Y1314" s="4">
        <v>14.476578705490301</v>
      </c>
      <c r="Z1314" s="4">
        <v>14.574664422766901</v>
      </c>
      <c r="AA1314" s="4">
        <v>14.4958470156273</v>
      </c>
      <c r="AB1314" s="4">
        <f t="shared" si="83"/>
        <v>14.515696714628168</v>
      </c>
    </row>
    <row r="1315" spans="2:28" x14ac:dyDescent="0.2">
      <c r="B1315" s="4" t="s">
        <v>2869</v>
      </c>
      <c r="C1315" s="4">
        <v>14.6807</v>
      </c>
      <c r="D1315" s="4">
        <v>14.6288</v>
      </c>
      <c r="E1315" s="4">
        <v>14.6593</v>
      </c>
      <c r="F1315" s="4">
        <f t="shared" si="80"/>
        <v>14.656266666666667</v>
      </c>
      <c r="I1315" s="4" t="s">
        <v>194</v>
      </c>
      <c r="J1315" s="4">
        <v>14.907</v>
      </c>
      <c r="K1315" s="4">
        <v>14.2768</v>
      </c>
      <c r="L1315" s="4">
        <v>14.879899999999999</v>
      </c>
      <c r="M1315" s="4">
        <f t="shared" si="81"/>
        <v>14.687899999999999</v>
      </c>
      <c r="Q1315" s="43" t="s">
        <v>3542</v>
      </c>
      <c r="R1315" s="4">
        <v>14.4253139113289</v>
      </c>
      <c r="S1315" s="4">
        <v>14.4099987939928</v>
      </c>
      <c r="T1315" s="4">
        <v>14.517167873180799</v>
      </c>
      <c r="U1315" s="4">
        <f t="shared" si="82"/>
        <v>14.450826859500831</v>
      </c>
      <c r="X1315" s="43" t="s">
        <v>2527</v>
      </c>
      <c r="Y1315" s="4">
        <v>14.3987910892461</v>
      </c>
      <c r="Z1315" s="4">
        <v>14.654406451148599</v>
      </c>
      <c r="AA1315" s="4">
        <v>14.4930264220407</v>
      </c>
      <c r="AB1315" s="4">
        <f t="shared" si="83"/>
        <v>14.515407987478467</v>
      </c>
    </row>
    <row r="1316" spans="2:28" x14ac:dyDescent="0.2">
      <c r="B1316" s="4" t="s">
        <v>3973</v>
      </c>
      <c r="C1316" s="4">
        <v>14.605600000000001</v>
      </c>
      <c r="D1316" s="4">
        <v>14.741300000000001</v>
      </c>
      <c r="E1316" s="4">
        <v>14.6187</v>
      </c>
      <c r="F1316" s="4">
        <f t="shared" si="80"/>
        <v>14.655200000000001</v>
      </c>
      <c r="I1316" s="4" t="s">
        <v>3808</v>
      </c>
      <c r="J1316" s="4">
        <v>14.840999999999999</v>
      </c>
      <c r="K1316" s="4">
        <v>14.610900000000001</v>
      </c>
      <c r="L1316" s="4">
        <v>14.6111</v>
      </c>
      <c r="M1316" s="4">
        <f t="shared" si="81"/>
        <v>14.687666666666667</v>
      </c>
      <c r="Q1316" s="43" t="s">
        <v>1419</v>
      </c>
      <c r="R1316" s="4">
        <v>14.945317527781301</v>
      </c>
      <c r="S1316" s="4">
        <v>14.260776039806901</v>
      </c>
      <c r="T1316" s="4">
        <v>14.1338293167681</v>
      </c>
      <c r="U1316" s="4">
        <f t="shared" si="82"/>
        <v>14.446640961452099</v>
      </c>
      <c r="X1316" s="43" t="s">
        <v>3716</v>
      </c>
      <c r="Y1316" s="4">
        <v>14.5963191104644</v>
      </c>
      <c r="Z1316" s="4">
        <v>14.3511137058287</v>
      </c>
      <c r="AA1316" s="4">
        <v>14.596277545779101</v>
      </c>
      <c r="AB1316" s="4">
        <f t="shared" si="83"/>
        <v>14.514570120690735</v>
      </c>
    </row>
    <row r="1317" spans="2:28" x14ac:dyDescent="0.2">
      <c r="B1317" s="4" t="s">
        <v>780</v>
      </c>
      <c r="C1317" s="4">
        <v>14.799899999999999</v>
      </c>
      <c r="D1317" s="4">
        <v>14.8218</v>
      </c>
      <c r="E1317" s="4">
        <v>14.343400000000001</v>
      </c>
      <c r="F1317" s="4">
        <f t="shared" si="80"/>
        <v>14.655033333333334</v>
      </c>
      <c r="I1317" s="4" t="s">
        <v>691</v>
      </c>
      <c r="J1317" s="4">
        <v>14.747400000000001</v>
      </c>
      <c r="K1317" s="4">
        <v>14.6473</v>
      </c>
      <c r="L1317" s="4">
        <v>14.6585</v>
      </c>
      <c r="M1317" s="4">
        <f t="shared" si="81"/>
        <v>14.684400000000002</v>
      </c>
      <c r="Q1317" s="43" t="s">
        <v>3722</v>
      </c>
      <c r="R1317" s="4">
        <v>14.665585651369099</v>
      </c>
      <c r="S1317" s="4">
        <v>14.277199699952901</v>
      </c>
      <c r="T1317" s="4">
        <v>14.3940259058005</v>
      </c>
      <c r="U1317" s="4">
        <f t="shared" si="82"/>
        <v>14.445603752374168</v>
      </c>
      <c r="X1317" s="43" t="s">
        <v>1631</v>
      </c>
      <c r="Y1317" s="4">
        <v>14.5098221995881</v>
      </c>
      <c r="Z1317" s="4">
        <v>14.543665590432299</v>
      </c>
      <c r="AA1317" s="4">
        <v>14.4886224133755</v>
      </c>
      <c r="AB1317" s="4">
        <f t="shared" si="83"/>
        <v>14.5140367344653</v>
      </c>
    </row>
    <row r="1318" spans="2:28" x14ac:dyDescent="0.2">
      <c r="B1318" s="4" t="s">
        <v>3076</v>
      </c>
      <c r="C1318" s="4">
        <v>14.676500000000001</v>
      </c>
      <c r="D1318" s="4">
        <v>14.697699999999999</v>
      </c>
      <c r="E1318" s="4">
        <v>14.587199999999999</v>
      </c>
      <c r="F1318" s="4">
        <f t="shared" si="80"/>
        <v>14.653799999999999</v>
      </c>
      <c r="I1318" s="4" t="s">
        <v>1001</v>
      </c>
      <c r="J1318" s="4">
        <v>14.337199999999999</v>
      </c>
      <c r="K1318" s="4">
        <v>15.5267</v>
      </c>
      <c r="L1318" s="4">
        <v>14.188800000000001</v>
      </c>
      <c r="M1318" s="4">
        <f t="shared" si="81"/>
        <v>14.684233333333333</v>
      </c>
      <c r="Q1318" s="43" t="s">
        <v>905</v>
      </c>
      <c r="R1318" s="4">
        <v>14.468016519431499</v>
      </c>
      <c r="S1318" s="4">
        <v>14.243925943967399</v>
      </c>
      <c r="T1318" s="4">
        <v>14.623669191247</v>
      </c>
      <c r="U1318" s="4">
        <f t="shared" si="82"/>
        <v>14.445203884881968</v>
      </c>
      <c r="X1318" s="43" t="s">
        <v>338</v>
      </c>
      <c r="Y1318" s="4">
        <v>14.578105213634</v>
      </c>
      <c r="Z1318" s="4">
        <v>14.5201330059542</v>
      </c>
      <c r="AA1318" s="4">
        <v>14.4318881032913</v>
      </c>
      <c r="AB1318" s="4">
        <f t="shared" si="83"/>
        <v>14.510042107626498</v>
      </c>
    </row>
    <row r="1319" spans="2:28" x14ac:dyDescent="0.2">
      <c r="B1319" s="4" t="s">
        <v>2446</v>
      </c>
      <c r="C1319" s="4">
        <v>14.9491</v>
      </c>
      <c r="D1319" s="4">
        <v>14.6004</v>
      </c>
      <c r="E1319" s="4">
        <v>14.4068</v>
      </c>
      <c r="F1319" s="4">
        <f t="shared" si="80"/>
        <v>14.652099999999999</v>
      </c>
      <c r="I1319" s="4" t="s">
        <v>1847</v>
      </c>
      <c r="J1319" s="4">
        <v>14.963200000000001</v>
      </c>
      <c r="K1319" s="4">
        <v>14.190899999999999</v>
      </c>
      <c r="L1319" s="4">
        <v>14.894399999999999</v>
      </c>
      <c r="M1319" s="4">
        <f t="shared" si="81"/>
        <v>14.682833333333333</v>
      </c>
      <c r="Q1319" s="43" t="s">
        <v>1517</v>
      </c>
      <c r="R1319" s="4">
        <v>14.878059502180999</v>
      </c>
      <c r="S1319" s="4">
        <v>13.675353461187299</v>
      </c>
      <c r="T1319" s="4">
        <v>14.773910083587801</v>
      </c>
      <c r="U1319" s="4">
        <f t="shared" si="82"/>
        <v>14.442441015652031</v>
      </c>
      <c r="X1319" s="43" t="s">
        <v>3378</v>
      </c>
      <c r="Y1319" s="4">
        <v>14.535937051446099</v>
      </c>
      <c r="Z1319" s="4">
        <v>14.578769414143</v>
      </c>
      <c r="AA1319" s="4">
        <v>14.404372128747401</v>
      </c>
      <c r="AB1319" s="4">
        <f t="shared" si="83"/>
        <v>14.506359531445502</v>
      </c>
    </row>
    <row r="1320" spans="2:28" x14ac:dyDescent="0.2">
      <c r="B1320" s="4" t="s">
        <v>3790</v>
      </c>
      <c r="C1320" s="4">
        <v>14.358499999999999</v>
      </c>
      <c r="D1320" s="4">
        <v>14.1092</v>
      </c>
      <c r="E1320" s="4">
        <v>15.485900000000001</v>
      </c>
      <c r="F1320" s="4">
        <f t="shared" si="80"/>
        <v>14.651200000000001</v>
      </c>
      <c r="I1320" s="4" t="s">
        <v>1559</v>
      </c>
      <c r="J1320" s="4">
        <v>14.3454</v>
      </c>
      <c r="K1320" s="4">
        <v>15.1425</v>
      </c>
      <c r="L1320" s="4">
        <v>14.555400000000001</v>
      </c>
      <c r="M1320" s="4">
        <f t="shared" si="81"/>
        <v>14.681100000000001</v>
      </c>
      <c r="Q1320" s="43" t="s">
        <v>2608</v>
      </c>
      <c r="R1320" s="4">
        <v>14.286426160786499</v>
      </c>
      <c r="S1320" s="4">
        <v>14.636334040662501</v>
      </c>
      <c r="T1320" s="4">
        <v>14.404541504048</v>
      </c>
      <c r="U1320" s="4">
        <f t="shared" si="82"/>
        <v>14.442433901832333</v>
      </c>
      <c r="X1320" s="43" t="s">
        <v>652</v>
      </c>
      <c r="Y1320" s="4">
        <v>15.0807428667081</v>
      </c>
      <c r="Z1320" s="4">
        <v>14.7044429862122</v>
      </c>
      <c r="AA1320" s="4">
        <v>13.731646396330801</v>
      </c>
      <c r="AB1320" s="4">
        <f t="shared" si="83"/>
        <v>14.505610749750367</v>
      </c>
    </row>
    <row r="1321" spans="2:28" x14ac:dyDescent="0.2">
      <c r="B1321" s="4" t="s">
        <v>3559</v>
      </c>
      <c r="C1321" s="4">
        <v>14.4491</v>
      </c>
      <c r="D1321" s="4">
        <v>14.673400000000001</v>
      </c>
      <c r="E1321" s="4">
        <v>14.83</v>
      </c>
      <c r="F1321" s="4">
        <f t="shared" si="80"/>
        <v>14.650833333333333</v>
      </c>
      <c r="I1321" s="4" t="s">
        <v>470</v>
      </c>
      <c r="J1321" s="4">
        <v>14.1258</v>
      </c>
      <c r="K1321" s="4">
        <v>16.140599999999999</v>
      </c>
      <c r="L1321" s="4">
        <v>13.773099999999999</v>
      </c>
      <c r="M1321" s="4">
        <f t="shared" si="81"/>
        <v>14.679833333333333</v>
      </c>
      <c r="Q1321" s="43" t="s">
        <v>3750</v>
      </c>
      <c r="R1321" s="4">
        <v>13.976642869762401</v>
      </c>
      <c r="S1321" s="4">
        <v>14.9769755680262</v>
      </c>
      <c r="T1321" s="4">
        <v>14.3678382177782</v>
      </c>
      <c r="U1321" s="4">
        <f t="shared" si="82"/>
        <v>14.4404855518556</v>
      </c>
      <c r="X1321" s="43" t="s">
        <v>2315</v>
      </c>
      <c r="Y1321" s="4">
        <v>14.437036394219099</v>
      </c>
      <c r="Z1321" s="4">
        <v>14.605338936348399</v>
      </c>
      <c r="AA1321" s="4">
        <v>14.471785615578</v>
      </c>
      <c r="AB1321" s="4">
        <f t="shared" si="83"/>
        <v>14.504720315381832</v>
      </c>
    </row>
    <row r="1322" spans="2:28" x14ac:dyDescent="0.2">
      <c r="B1322" s="4" t="s">
        <v>3986</v>
      </c>
      <c r="C1322" s="4">
        <v>14.6135</v>
      </c>
      <c r="D1322" s="4">
        <v>14.576499999999999</v>
      </c>
      <c r="E1322" s="4">
        <v>14.754300000000001</v>
      </c>
      <c r="F1322" s="4">
        <f t="shared" si="80"/>
        <v>14.648099999999999</v>
      </c>
      <c r="I1322" s="4" t="s">
        <v>1924</v>
      </c>
      <c r="J1322" s="4">
        <v>14.3354</v>
      </c>
      <c r="K1322" s="4">
        <v>15.387499999999999</v>
      </c>
      <c r="L1322" s="4">
        <v>14.3096</v>
      </c>
      <c r="M1322" s="4">
        <f t="shared" si="81"/>
        <v>14.6775</v>
      </c>
      <c r="Q1322" s="43" t="s">
        <v>1067</v>
      </c>
      <c r="R1322" s="4">
        <v>14.531021901700299</v>
      </c>
      <c r="S1322" s="4">
        <v>14.094072777606399</v>
      </c>
      <c r="T1322" s="4">
        <v>14.6921336391168</v>
      </c>
      <c r="U1322" s="4">
        <f t="shared" si="82"/>
        <v>14.439076106141167</v>
      </c>
      <c r="X1322" s="43" t="s">
        <v>3761</v>
      </c>
      <c r="Y1322" s="4">
        <v>14.616189183815401</v>
      </c>
      <c r="Z1322" s="4">
        <v>14.3937592901523</v>
      </c>
      <c r="AA1322" s="4">
        <v>14.498256536888899</v>
      </c>
      <c r="AB1322" s="4">
        <f t="shared" si="83"/>
        <v>14.502735003618866</v>
      </c>
    </row>
    <row r="1323" spans="2:28" x14ac:dyDescent="0.2">
      <c r="B1323" s="4" t="s">
        <v>2887</v>
      </c>
      <c r="C1323" s="4">
        <v>14.684699999999999</v>
      </c>
      <c r="D1323" s="4">
        <v>14.669700000000001</v>
      </c>
      <c r="E1323" s="4">
        <v>14.583</v>
      </c>
      <c r="F1323" s="4">
        <f t="shared" si="80"/>
        <v>14.645799999999999</v>
      </c>
      <c r="I1323" s="4" t="s">
        <v>1614</v>
      </c>
      <c r="J1323" s="4">
        <v>14.3894</v>
      </c>
      <c r="K1323" s="4">
        <v>15.613099999999999</v>
      </c>
      <c r="L1323" s="4">
        <v>14.0288</v>
      </c>
      <c r="M1323" s="4">
        <f t="shared" si="81"/>
        <v>14.677100000000001</v>
      </c>
      <c r="Q1323" s="43" t="s">
        <v>2765</v>
      </c>
      <c r="R1323" s="4">
        <v>14.5923635891115</v>
      </c>
      <c r="S1323" s="4">
        <v>14.3837278296966</v>
      </c>
      <c r="T1323" s="4">
        <v>14.3387782108501</v>
      </c>
      <c r="U1323" s="4">
        <f t="shared" si="82"/>
        <v>14.438289876552732</v>
      </c>
      <c r="X1323" s="43" t="s">
        <v>1858</v>
      </c>
      <c r="Y1323" s="4">
        <v>14.595422934196099</v>
      </c>
      <c r="Z1323" s="4">
        <v>14.333412125174601</v>
      </c>
      <c r="AA1323" s="4">
        <v>14.575405708908299</v>
      </c>
      <c r="AB1323" s="4">
        <f t="shared" si="83"/>
        <v>14.501413589426333</v>
      </c>
    </row>
    <row r="1324" spans="2:28" x14ac:dyDescent="0.2">
      <c r="B1324" s="4" t="s">
        <v>155</v>
      </c>
      <c r="C1324" s="4">
        <v>14.556800000000001</v>
      </c>
      <c r="D1324" s="4">
        <v>14.5586</v>
      </c>
      <c r="E1324" s="4">
        <v>14.821400000000001</v>
      </c>
      <c r="F1324" s="4">
        <f t="shared" si="80"/>
        <v>14.645600000000002</v>
      </c>
      <c r="I1324" s="4" t="s">
        <v>3719</v>
      </c>
      <c r="J1324" s="4">
        <v>14.641400000000001</v>
      </c>
      <c r="K1324" s="4">
        <v>15.087899999999999</v>
      </c>
      <c r="L1324" s="4">
        <v>14.297499999999999</v>
      </c>
      <c r="M1324" s="4">
        <f t="shared" si="81"/>
        <v>14.675600000000001</v>
      </c>
      <c r="Q1324" s="43" t="s">
        <v>3394</v>
      </c>
      <c r="R1324" s="4">
        <v>14.138046133082399</v>
      </c>
      <c r="S1324" s="4">
        <v>14.6751241150303</v>
      </c>
      <c r="T1324" s="4">
        <v>14.4930218572122</v>
      </c>
      <c r="U1324" s="4">
        <f t="shared" si="82"/>
        <v>14.435397368441633</v>
      </c>
      <c r="X1324" s="43" t="s">
        <v>3998</v>
      </c>
      <c r="Y1324" s="4">
        <v>14.500466297051201</v>
      </c>
      <c r="Z1324" s="4">
        <v>14.5971311333379</v>
      </c>
      <c r="AA1324" s="4">
        <v>14.4059812403639</v>
      </c>
      <c r="AB1324" s="4">
        <f t="shared" si="83"/>
        <v>14.501192890251</v>
      </c>
    </row>
    <row r="1325" spans="2:28" x14ac:dyDescent="0.2">
      <c r="B1325" s="4" t="s">
        <v>3717</v>
      </c>
      <c r="C1325" s="4">
        <v>14.3371</v>
      </c>
      <c r="D1325" s="4">
        <v>14.5589</v>
      </c>
      <c r="E1325" s="4">
        <v>15.0398</v>
      </c>
      <c r="F1325" s="4">
        <f t="shared" si="80"/>
        <v>14.645266666666666</v>
      </c>
      <c r="I1325" s="4" t="s">
        <v>2974</v>
      </c>
      <c r="J1325" s="4">
        <v>14.915800000000001</v>
      </c>
      <c r="K1325" s="4">
        <v>13.887600000000001</v>
      </c>
      <c r="L1325" s="4">
        <v>15.219099999999999</v>
      </c>
      <c r="M1325" s="4">
        <f t="shared" si="81"/>
        <v>14.674166666666666</v>
      </c>
      <c r="Q1325" s="43" t="s">
        <v>2083</v>
      </c>
      <c r="R1325" s="4">
        <v>14.422193032584</v>
      </c>
      <c r="S1325" s="4">
        <v>14.3620756899808</v>
      </c>
      <c r="T1325" s="4">
        <v>14.517247004103</v>
      </c>
      <c r="U1325" s="4">
        <f t="shared" si="82"/>
        <v>14.433838575555933</v>
      </c>
      <c r="X1325" s="43" t="s">
        <v>2898</v>
      </c>
      <c r="Y1325" s="4">
        <v>14.416289414942201</v>
      </c>
      <c r="Z1325" s="4">
        <v>14.3104213144523</v>
      </c>
      <c r="AA1325" s="4">
        <v>14.7753581300992</v>
      </c>
      <c r="AB1325" s="4">
        <f t="shared" si="83"/>
        <v>14.500689619831235</v>
      </c>
    </row>
    <row r="1326" spans="2:28" x14ac:dyDescent="0.2">
      <c r="B1326" s="4" t="s">
        <v>1847</v>
      </c>
      <c r="C1326" s="4">
        <v>14.4885</v>
      </c>
      <c r="D1326" s="4">
        <v>14.747400000000001</v>
      </c>
      <c r="E1326" s="4">
        <v>14.694599999999999</v>
      </c>
      <c r="F1326" s="4">
        <f t="shared" si="80"/>
        <v>14.643500000000001</v>
      </c>
      <c r="I1326" s="4" t="s">
        <v>3636</v>
      </c>
      <c r="J1326" s="4">
        <v>14.633100000000001</v>
      </c>
      <c r="K1326" s="4">
        <v>14.9192</v>
      </c>
      <c r="L1326" s="4">
        <v>14.469200000000001</v>
      </c>
      <c r="M1326" s="4">
        <f t="shared" si="81"/>
        <v>14.673833333333334</v>
      </c>
      <c r="Q1326" s="43" t="s">
        <v>4240</v>
      </c>
      <c r="R1326" s="4">
        <v>14.5202638178292</v>
      </c>
      <c r="S1326" s="4">
        <v>14.285102416711901</v>
      </c>
      <c r="T1326" s="4">
        <v>14.489386199271699</v>
      </c>
      <c r="U1326" s="4">
        <f t="shared" si="82"/>
        <v>14.431584144604267</v>
      </c>
      <c r="X1326" s="43" t="s">
        <v>2895</v>
      </c>
      <c r="Y1326" s="4">
        <v>14.541874732497201</v>
      </c>
      <c r="Z1326" s="4">
        <v>14.5864761991756</v>
      </c>
      <c r="AA1326" s="4">
        <v>14.367349491487399</v>
      </c>
      <c r="AB1326" s="4">
        <f t="shared" si="83"/>
        <v>14.498566807720067</v>
      </c>
    </row>
    <row r="1327" spans="2:28" x14ac:dyDescent="0.2">
      <c r="B1327" s="4" t="s">
        <v>1191</v>
      </c>
      <c r="C1327" s="4">
        <v>14.270099999999999</v>
      </c>
      <c r="D1327" s="4">
        <v>14.7117</v>
      </c>
      <c r="E1327" s="4">
        <v>14.938800000000001</v>
      </c>
      <c r="F1327" s="4">
        <f t="shared" si="80"/>
        <v>14.6402</v>
      </c>
      <c r="I1327" s="4" t="s">
        <v>2272</v>
      </c>
      <c r="J1327" s="4">
        <v>14.7105</v>
      </c>
      <c r="K1327" s="4">
        <v>14.521800000000001</v>
      </c>
      <c r="L1327" s="4">
        <v>14.7866</v>
      </c>
      <c r="M1327" s="4">
        <f t="shared" si="81"/>
        <v>14.672966666666667</v>
      </c>
      <c r="Q1327" s="43" t="s">
        <v>3414</v>
      </c>
      <c r="R1327" s="4">
        <v>14.372474809093699</v>
      </c>
      <c r="S1327" s="4">
        <v>14.4932363977265</v>
      </c>
      <c r="T1327" s="4">
        <v>14.428597162865501</v>
      </c>
      <c r="U1327" s="4">
        <f t="shared" si="82"/>
        <v>14.431436123228567</v>
      </c>
      <c r="X1327" s="43" t="s">
        <v>1206</v>
      </c>
      <c r="Y1327" s="4">
        <v>14.465746715028899</v>
      </c>
      <c r="Z1327" s="4">
        <v>14.552306132141901</v>
      </c>
      <c r="AA1327" s="4">
        <v>14.4713333746892</v>
      </c>
      <c r="AB1327" s="4">
        <f t="shared" si="83"/>
        <v>14.496462073953333</v>
      </c>
    </row>
    <row r="1328" spans="2:28" x14ac:dyDescent="0.2">
      <c r="B1328" s="4" t="s">
        <v>701</v>
      </c>
      <c r="C1328" s="4">
        <v>14.771800000000001</v>
      </c>
      <c r="D1328" s="4">
        <v>14.5068</v>
      </c>
      <c r="E1328" s="4">
        <v>14.6342</v>
      </c>
      <c r="F1328" s="4">
        <f t="shared" si="80"/>
        <v>14.637600000000001</v>
      </c>
      <c r="I1328" s="4" t="s">
        <v>3031</v>
      </c>
      <c r="J1328" s="4">
        <v>14.754300000000001</v>
      </c>
      <c r="K1328" s="4">
        <v>14.490600000000001</v>
      </c>
      <c r="L1328" s="4">
        <v>14.773899999999999</v>
      </c>
      <c r="M1328" s="4">
        <f t="shared" si="81"/>
        <v>14.672933333333333</v>
      </c>
      <c r="Q1328" s="43" t="s">
        <v>3997</v>
      </c>
      <c r="R1328" s="4">
        <v>14.718335273478599</v>
      </c>
      <c r="S1328" s="4">
        <v>14.350456407217001</v>
      </c>
      <c r="T1328" s="4">
        <v>14.2185435162258</v>
      </c>
      <c r="U1328" s="4">
        <f t="shared" si="82"/>
        <v>14.429111732307135</v>
      </c>
      <c r="X1328" s="43" t="s">
        <v>3598</v>
      </c>
      <c r="Y1328" s="4">
        <v>14.429637348537799</v>
      </c>
      <c r="Z1328" s="4">
        <v>14.4730891459809</v>
      </c>
      <c r="AA1328" s="4">
        <v>14.5826881399407</v>
      </c>
      <c r="AB1328" s="4">
        <f t="shared" si="83"/>
        <v>14.495138211486468</v>
      </c>
    </row>
    <row r="1329" spans="2:28" x14ac:dyDescent="0.2">
      <c r="B1329" s="4" t="s">
        <v>2691</v>
      </c>
      <c r="C1329" s="4">
        <v>14.262499999999999</v>
      </c>
      <c r="D1329" s="4">
        <v>14.7103</v>
      </c>
      <c r="E1329" s="4">
        <v>14.9346</v>
      </c>
      <c r="F1329" s="4">
        <f t="shared" si="80"/>
        <v>14.635799999999998</v>
      </c>
      <c r="I1329" s="4" t="s">
        <v>1423</v>
      </c>
      <c r="J1329" s="4">
        <v>14.3096</v>
      </c>
      <c r="K1329" s="4">
        <v>15.157400000000001</v>
      </c>
      <c r="L1329" s="4">
        <v>14.5487</v>
      </c>
      <c r="M1329" s="4">
        <f t="shared" si="81"/>
        <v>14.671899999999999</v>
      </c>
      <c r="Q1329" s="43" t="s">
        <v>2884</v>
      </c>
      <c r="R1329" s="4">
        <v>14.627480223134199</v>
      </c>
      <c r="S1329" s="4">
        <v>14.3359008432067</v>
      </c>
      <c r="T1329" s="4">
        <v>14.322301192007799</v>
      </c>
      <c r="U1329" s="4">
        <f t="shared" si="82"/>
        <v>14.4285607527829</v>
      </c>
      <c r="X1329" s="43" t="s">
        <v>1570</v>
      </c>
      <c r="Y1329" s="4">
        <v>14.510183087209599</v>
      </c>
      <c r="Z1329" s="4">
        <v>14.512809052063901</v>
      </c>
      <c r="AA1329" s="4">
        <v>14.4581797881663</v>
      </c>
      <c r="AB1329" s="4">
        <f t="shared" si="83"/>
        <v>14.493723975813266</v>
      </c>
    </row>
    <row r="1330" spans="2:28" x14ac:dyDescent="0.2">
      <c r="B1330" s="4" t="s">
        <v>1765</v>
      </c>
      <c r="C1330" s="4">
        <v>14.633699999999999</v>
      </c>
      <c r="D1330" s="4">
        <v>14.6092</v>
      </c>
      <c r="E1330" s="4">
        <v>14.661</v>
      </c>
      <c r="F1330" s="4">
        <f t="shared" si="80"/>
        <v>14.634633333333333</v>
      </c>
      <c r="I1330" s="4" t="s">
        <v>1704</v>
      </c>
      <c r="J1330" s="4">
        <v>14.700799999999999</v>
      </c>
      <c r="K1330" s="4">
        <v>14.3894</v>
      </c>
      <c r="L1330" s="4">
        <v>14.925000000000001</v>
      </c>
      <c r="M1330" s="4">
        <f t="shared" si="81"/>
        <v>14.671733333333334</v>
      </c>
      <c r="Q1330" s="43" t="s">
        <v>2747</v>
      </c>
      <c r="R1330" s="4">
        <v>14.5146778375313</v>
      </c>
      <c r="S1330" s="4">
        <v>14.3810942178732</v>
      </c>
      <c r="T1330" s="4">
        <v>14.389114477769899</v>
      </c>
      <c r="U1330" s="4">
        <f t="shared" si="82"/>
        <v>14.428295511058133</v>
      </c>
      <c r="X1330" s="43" t="s">
        <v>688</v>
      </c>
      <c r="Y1330" s="4">
        <v>14.6184130345803</v>
      </c>
      <c r="Z1330" s="4">
        <v>14.2338184899172</v>
      </c>
      <c r="AA1330" s="4">
        <v>14.6288958947032</v>
      </c>
      <c r="AB1330" s="4">
        <f t="shared" si="83"/>
        <v>14.493709139733566</v>
      </c>
    </row>
    <row r="1331" spans="2:28" x14ac:dyDescent="0.2">
      <c r="B1331" s="4" t="s">
        <v>1316</v>
      </c>
      <c r="C1331" s="4">
        <v>14.170999999999999</v>
      </c>
      <c r="D1331" s="4">
        <v>14.649900000000001</v>
      </c>
      <c r="E1331" s="4">
        <v>15.0756</v>
      </c>
      <c r="F1331" s="4">
        <f t="shared" si="80"/>
        <v>14.632166666666668</v>
      </c>
      <c r="I1331" s="4" t="s">
        <v>3300</v>
      </c>
      <c r="J1331" s="4">
        <v>14.9429</v>
      </c>
      <c r="K1331" s="4">
        <v>14.157</v>
      </c>
      <c r="L1331" s="4">
        <v>14.913</v>
      </c>
      <c r="M1331" s="4">
        <f t="shared" si="81"/>
        <v>14.670966666666667</v>
      </c>
      <c r="Q1331" s="43" t="s">
        <v>2869</v>
      </c>
      <c r="R1331" s="4">
        <v>14.4584116606949</v>
      </c>
      <c r="S1331" s="4">
        <v>14.3741326596462</v>
      </c>
      <c r="T1331" s="4">
        <v>14.449189676697699</v>
      </c>
      <c r="U1331" s="4">
        <f t="shared" si="82"/>
        <v>14.4272446656796</v>
      </c>
      <c r="X1331" s="43" t="s">
        <v>4106</v>
      </c>
      <c r="Y1331" s="4">
        <v>14.4740699390155</v>
      </c>
      <c r="Z1331" s="4">
        <v>14.540961916729501</v>
      </c>
      <c r="AA1331" s="4">
        <v>14.461938629448399</v>
      </c>
      <c r="AB1331" s="4">
        <f t="shared" si="83"/>
        <v>14.492323495064467</v>
      </c>
    </row>
    <row r="1332" spans="2:28" x14ac:dyDescent="0.2">
      <c r="B1332" s="4" t="s">
        <v>3147</v>
      </c>
      <c r="C1332" s="4">
        <v>14.513400000000001</v>
      </c>
      <c r="D1332" s="4">
        <v>14.7097</v>
      </c>
      <c r="E1332" s="4">
        <v>14.6691</v>
      </c>
      <c r="F1332" s="4">
        <f t="shared" si="80"/>
        <v>14.630733333333334</v>
      </c>
      <c r="I1332" s="4" t="s">
        <v>492</v>
      </c>
      <c r="J1332" s="4">
        <v>14.557399999999999</v>
      </c>
      <c r="K1332" s="4">
        <v>14.9</v>
      </c>
      <c r="L1332" s="4">
        <v>14.5527</v>
      </c>
      <c r="M1332" s="4">
        <f t="shared" si="81"/>
        <v>14.670033333333334</v>
      </c>
      <c r="Q1332" s="43" t="s">
        <v>3044</v>
      </c>
      <c r="R1332" s="4">
        <v>14.290858337806601</v>
      </c>
      <c r="S1332" s="4">
        <v>14.416236657559599</v>
      </c>
      <c r="T1332" s="4">
        <v>14.573379306308199</v>
      </c>
      <c r="U1332" s="4">
        <f t="shared" si="82"/>
        <v>14.426824767224799</v>
      </c>
      <c r="X1332" s="43" t="s">
        <v>3489</v>
      </c>
      <c r="Y1332" s="4">
        <v>14.534023773771899</v>
      </c>
      <c r="Z1332" s="4">
        <v>14.6084783998523</v>
      </c>
      <c r="AA1332" s="4">
        <v>14.3324612421673</v>
      </c>
      <c r="AB1332" s="4">
        <f t="shared" si="83"/>
        <v>14.4916544719305</v>
      </c>
    </row>
    <row r="1333" spans="2:28" x14ac:dyDescent="0.2">
      <c r="B1333" s="4" t="s">
        <v>1341</v>
      </c>
      <c r="C1333" s="4">
        <v>14.539899999999999</v>
      </c>
      <c r="D1333" s="4">
        <v>14.333399999999999</v>
      </c>
      <c r="E1333" s="4">
        <v>15.017099999999999</v>
      </c>
      <c r="F1333" s="4">
        <f t="shared" si="80"/>
        <v>14.630133333333333</v>
      </c>
      <c r="I1333" s="4" t="s">
        <v>604</v>
      </c>
      <c r="J1333" s="4">
        <v>14.282500000000001</v>
      </c>
      <c r="K1333" s="4">
        <v>15.7563</v>
      </c>
      <c r="L1333" s="4">
        <v>13.946199999999999</v>
      </c>
      <c r="M1333" s="4">
        <f t="shared" si="81"/>
        <v>14.661666666666667</v>
      </c>
      <c r="Q1333" s="43" t="s">
        <v>2587</v>
      </c>
      <c r="R1333" s="4">
        <v>14.4388510267434</v>
      </c>
      <c r="S1333" s="4">
        <v>14.5075269094311</v>
      </c>
      <c r="T1333" s="4">
        <v>14.3340719608599</v>
      </c>
      <c r="U1333" s="4">
        <f t="shared" si="82"/>
        <v>14.426816632344801</v>
      </c>
      <c r="X1333" s="43" t="s">
        <v>2544</v>
      </c>
      <c r="Y1333" s="4">
        <v>14.632004042943</v>
      </c>
      <c r="Z1333" s="4">
        <v>14.4156376462716</v>
      </c>
      <c r="AA1333" s="4">
        <v>14.4242830806014</v>
      </c>
      <c r="AB1333" s="4">
        <f t="shared" si="83"/>
        <v>14.490641589938667</v>
      </c>
    </row>
    <row r="1334" spans="2:28" x14ac:dyDescent="0.2">
      <c r="B1334" s="4" t="s">
        <v>849</v>
      </c>
      <c r="C1334" s="4">
        <v>15.1029</v>
      </c>
      <c r="D1334" s="4">
        <v>14.587199999999999</v>
      </c>
      <c r="E1334" s="4">
        <v>14.1951</v>
      </c>
      <c r="F1334" s="4">
        <f t="shared" si="80"/>
        <v>14.628399999999999</v>
      </c>
      <c r="I1334" s="4" t="s">
        <v>76</v>
      </c>
      <c r="J1334" s="4">
        <v>14.807499999999999</v>
      </c>
      <c r="K1334" s="4">
        <v>14.7906</v>
      </c>
      <c r="L1334" s="4">
        <v>14.385999999999999</v>
      </c>
      <c r="M1334" s="4">
        <f t="shared" si="81"/>
        <v>14.661366666666666</v>
      </c>
      <c r="Q1334" s="43" t="s">
        <v>1639</v>
      </c>
      <c r="R1334" s="4">
        <v>14.3339396280661</v>
      </c>
      <c r="S1334" s="4">
        <v>14.487508915803501</v>
      </c>
      <c r="T1334" s="4">
        <v>14.458242278894801</v>
      </c>
      <c r="U1334" s="4">
        <f t="shared" si="82"/>
        <v>14.426563607588134</v>
      </c>
      <c r="X1334" s="43" t="s">
        <v>1062</v>
      </c>
      <c r="Y1334" s="4">
        <v>14.5463900308827</v>
      </c>
      <c r="Z1334" s="4">
        <v>14.6156610074085</v>
      </c>
      <c r="AA1334" s="4">
        <v>14.308671847279999</v>
      </c>
      <c r="AB1334" s="4">
        <f t="shared" si="83"/>
        <v>14.490240961857067</v>
      </c>
    </row>
    <row r="1335" spans="2:28" x14ac:dyDescent="0.2">
      <c r="B1335" s="4" t="s">
        <v>3413</v>
      </c>
      <c r="C1335" s="4">
        <v>14.204000000000001</v>
      </c>
      <c r="D1335" s="4">
        <v>14.56</v>
      </c>
      <c r="E1335" s="4">
        <v>15.1187</v>
      </c>
      <c r="F1335" s="4">
        <f t="shared" si="80"/>
        <v>14.627566666666667</v>
      </c>
      <c r="I1335" s="4" t="s">
        <v>1372</v>
      </c>
      <c r="J1335" s="4">
        <v>14.8728</v>
      </c>
      <c r="K1335" s="4">
        <v>14.2629</v>
      </c>
      <c r="L1335" s="4">
        <v>14.8469</v>
      </c>
      <c r="M1335" s="4">
        <f t="shared" si="81"/>
        <v>14.660866666666665</v>
      </c>
      <c r="Q1335" s="43" t="s">
        <v>2936</v>
      </c>
      <c r="R1335" s="4">
        <v>14.487259152609001</v>
      </c>
      <c r="S1335" s="4">
        <v>14.5065446685963</v>
      </c>
      <c r="T1335" s="4">
        <v>14.2847759437976</v>
      </c>
      <c r="U1335" s="4">
        <f t="shared" si="82"/>
        <v>14.426193255000967</v>
      </c>
      <c r="X1335" s="43" t="s">
        <v>3294</v>
      </c>
      <c r="Y1335" s="4">
        <v>14.3316734708601</v>
      </c>
      <c r="Z1335" s="4">
        <v>14.5064409590775</v>
      </c>
      <c r="AA1335" s="4">
        <v>14.628097676085501</v>
      </c>
      <c r="AB1335" s="4">
        <f t="shared" si="83"/>
        <v>14.488737368674366</v>
      </c>
    </row>
    <row r="1336" spans="2:28" x14ac:dyDescent="0.2">
      <c r="B1336" s="4" t="s">
        <v>483</v>
      </c>
      <c r="C1336" s="4">
        <v>14.221399999999999</v>
      </c>
      <c r="D1336" s="4">
        <v>14.455399999999999</v>
      </c>
      <c r="E1336" s="4">
        <v>15.203200000000001</v>
      </c>
      <c r="F1336" s="4">
        <f t="shared" si="80"/>
        <v>14.626666666666667</v>
      </c>
      <c r="I1336" s="4" t="s">
        <v>881</v>
      </c>
      <c r="J1336" s="4">
        <v>14.7035</v>
      </c>
      <c r="K1336" s="4">
        <v>14.3621</v>
      </c>
      <c r="L1336" s="4">
        <v>14.914</v>
      </c>
      <c r="M1336" s="4">
        <f t="shared" si="81"/>
        <v>14.659866666666666</v>
      </c>
      <c r="Q1336" s="43" t="s">
        <v>3896</v>
      </c>
      <c r="R1336" s="4">
        <v>14.356846091998699</v>
      </c>
      <c r="S1336" s="4">
        <v>14.4531808369606</v>
      </c>
      <c r="T1336" s="4">
        <v>14.467191335667099</v>
      </c>
      <c r="U1336" s="4">
        <f t="shared" si="82"/>
        <v>14.425739421542133</v>
      </c>
      <c r="X1336" s="43" t="s">
        <v>2255</v>
      </c>
      <c r="Y1336" s="4">
        <v>14.7384133967022</v>
      </c>
      <c r="Z1336" s="4">
        <v>14.981131786150399</v>
      </c>
      <c r="AA1336" s="4">
        <v>13.745732063534801</v>
      </c>
      <c r="AB1336" s="4">
        <f t="shared" si="83"/>
        <v>14.4884257487958</v>
      </c>
    </row>
    <row r="1337" spans="2:28" x14ac:dyDescent="0.2">
      <c r="B1337" s="4" t="s">
        <v>3914</v>
      </c>
      <c r="C1337" s="4">
        <v>14.737500000000001</v>
      </c>
      <c r="D1337" s="4">
        <v>14.3619</v>
      </c>
      <c r="E1337" s="4">
        <v>14.774100000000001</v>
      </c>
      <c r="F1337" s="4">
        <f t="shared" si="80"/>
        <v>14.624500000000003</v>
      </c>
      <c r="I1337" s="4" t="s">
        <v>2494</v>
      </c>
      <c r="J1337" s="4">
        <v>14.7761</v>
      </c>
      <c r="K1337" s="4">
        <v>14.504799999999999</v>
      </c>
      <c r="L1337" s="4">
        <v>14.689399999999999</v>
      </c>
      <c r="M1337" s="4">
        <f t="shared" si="81"/>
        <v>14.656766666666664</v>
      </c>
      <c r="Q1337" s="43" t="s">
        <v>2037</v>
      </c>
      <c r="R1337" s="4">
        <v>14.640625275082099</v>
      </c>
      <c r="S1337" s="4">
        <v>14.2988089980692</v>
      </c>
      <c r="T1337" s="4">
        <v>14.329690618574</v>
      </c>
      <c r="U1337" s="4">
        <f t="shared" si="82"/>
        <v>14.423041630575099</v>
      </c>
      <c r="X1337" s="43" t="s">
        <v>1937</v>
      </c>
      <c r="Y1337" s="4">
        <v>14.6100175737862</v>
      </c>
      <c r="Z1337" s="4">
        <v>14.4299238569766</v>
      </c>
      <c r="AA1337" s="4">
        <v>14.423790149060901</v>
      </c>
      <c r="AB1337" s="4">
        <f t="shared" si="83"/>
        <v>14.4879105266079</v>
      </c>
    </row>
    <row r="1338" spans="2:28" x14ac:dyDescent="0.2">
      <c r="B1338" s="4" t="s">
        <v>1691</v>
      </c>
      <c r="C1338" s="4">
        <v>14.5001</v>
      </c>
      <c r="D1338" s="4">
        <v>14.5778</v>
      </c>
      <c r="E1338" s="4">
        <v>14.7919</v>
      </c>
      <c r="F1338" s="4">
        <f t="shared" si="80"/>
        <v>14.623266666666666</v>
      </c>
      <c r="I1338" s="4" t="s">
        <v>3754</v>
      </c>
      <c r="J1338" s="4">
        <v>14.824299999999999</v>
      </c>
      <c r="K1338" s="4">
        <v>14.625500000000001</v>
      </c>
      <c r="L1338" s="4">
        <v>14.519</v>
      </c>
      <c r="M1338" s="4">
        <f t="shared" si="81"/>
        <v>14.656266666666667</v>
      </c>
      <c r="Q1338" s="43" t="s">
        <v>2420</v>
      </c>
      <c r="R1338" s="4">
        <v>14.434324738011499</v>
      </c>
      <c r="S1338" s="4">
        <v>14.4969165254922</v>
      </c>
      <c r="T1338" s="4">
        <v>14.337076872400599</v>
      </c>
      <c r="U1338" s="4">
        <f t="shared" si="82"/>
        <v>14.422772711968101</v>
      </c>
      <c r="X1338" s="43" t="s">
        <v>4016</v>
      </c>
      <c r="Y1338" s="4">
        <v>14.5234685662906</v>
      </c>
      <c r="Z1338" s="4">
        <v>14.4244618285003</v>
      </c>
      <c r="AA1338" s="4">
        <v>14.499841510985201</v>
      </c>
      <c r="AB1338" s="4">
        <f t="shared" si="83"/>
        <v>14.482590635258701</v>
      </c>
    </row>
    <row r="1339" spans="2:28" x14ac:dyDescent="0.2">
      <c r="B1339" s="4" t="s">
        <v>3662</v>
      </c>
      <c r="C1339" s="4">
        <v>14.5093</v>
      </c>
      <c r="D1339" s="4">
        <v>14.8788</v>
      </c>
      <c r="E1339" s="4">
        <v>14.4788</v>
      </c>
      <c r="F1339" s="4">
        <f t="shared" si="80"/>
        <v>14.622300000000001</v>
      </c>
      <c r="I1339" s="4" t="s">
        <v>3164</v>
      </c>
      <c r="J1339" s="4">
        <v>14.2346</v>
      </c>
      <c r="K1339" s="4">
        <v>15.4373</v>
      </c>
      <c r="L1339" s="4">
        <v>14.2532</v>
      </c>
      <c r="M1339" s="4">
        <f t="shared" si="81"/>
        <v>14.6417</v>
      </c>
      <c r="Q1339" s="43" t="s">
        <v>3000</v>
      </c>
      <c r="R1339" s="4">
        <v>14.4366780328986</v>
      </c>
      <c r="S1339" s="4">
        <v>14.4014037200015</v>
      </c>
      <c r="T1339" s="4">
        <v>14.4252246451628</v>
      </c>
      <c r="U1339" s="4">
        <f t="shared" si="82"/>
        <v>14.421102132687635</v>
      </c>
      <c r="X1339" s="43" t="s">
        <v>1343</v>
      </c>
      <c r="Y1339" s="4">
        <v>14.474830820473899</v>
      </c>
      <c r="Z1339" s="4">
        <v>14.479247758281</v>
      </c>
      <c r="AA1339" s="4">
        <v>14.4925257970877</v>
      </c>
      <c r="AB1339" s="4">
        <f t="shared" si="83"/>
        <v>14.482201458614199</v>
      </c>
    </row>
    <row r="1340" spans="2:28" x14ac:dyDescent="0.2">
      <c r="B1340" s="4" t="s">
        <v>3388</v>
      </c>
      <c r="C1340" s="4">
        <v>13.638</v>
      </c>
      <c r="D1340" s="4">
        <v>14.8529</v>
      </c>
      <c r="E1340" s="4">
        <v>15.371600000000001</v>
      </c>
      <c r="F1340" s="4">
        <f t="shared" si="80"/>
        <v>14.620833333333332</v>
      </c>
      <c r="I1340" s="4" t="s">
        <v>2913</v>
      </c>
      <c r="J1340" s="4">
        <v>14.7911</v>
      </c>
      <c r="K1340" s="4">
        <v>14.718299999999999</v>
      </c>
      <c r="L1340" s="4">
        <v>14.4102</v>
      </c>
      <c r="M1340" s="4">
        <f t="shared" si="81"/>
        <v>14.639866666666668</v>
      </c>
      <c r="Q1340" s="43" t="s">
        <v>1472</v>
      </c>
      <c r="R1340" s="4">
        <v>14.836954920543601</v>
      </c>
      <c r="S1340" s="4">
        <v>14.2503185642147</v>
      </c>
      <c r="T1340" s="4">
        <v>14.1694372552722</v>
      </c>
      <c r="U1340" s="4">
        <f t="shared" si="82"/>
        <v>14.418903580010166</v>
      </c>
      <c r="X1340" s="43" t="s">
        <v>108</v>
      </c>
      <c r="Y1340" s="4">
        <v>14.405600891761001</v>
      </c>
      <c r="Z1340" s="4">
        <v>14.5493102887842</v>
      </c>
      <c r="AA1340" s="4">
        <v>14.4857798724413</v>
      </c>
      <c r="AB1340" s="4">
        <f t="shared" si="83"/>
        <v>14.4802303509955</v>
      </c>
    </row>
    <row r="1341" spans="2:28" x14ac:dyDescent="0.2">
      <c r="B1341" s="4" t="s">
        <v>3613</v>
      </c>
      <c r="C1341" s="4">
        <v>14.516400000000001</v>
      </c>
      <c r="D1341" s="4">
        <v>14.676299999999999</v>
      </c>
      <c r="E1341" s="4">
        <v>14.6684</v>
      </c>
      <c r="F1341" s="4">
        <f t="shared" si="80"/>
        <v>14.620366666666667</v>
      </c>
      <c r="I1341" s="4" t="s">
        <v>2378</v>
      </c>
      <c r="J1341" s="4">
        <v>14.753299999999999</v>
      </c>
      <c r="K1341" s="4">
        <v>14.523400000000001</v>
      </c>
      <c r="L1341" s="4">
        <v>14.6388</v>
      </c>
      <c r="M1341" s="4">
        <f t="shared" si="81"/>
        <v>14.638499999999999</v>
      </c>
      <c r="Q1341" s="43" t="s">
        <v>2223</v>
      </c>
      <c r="R1341" s="4">
        <v>14.313179801064599</v>
      </c>
      <c r="S1341" s="4">
        <v>14.4753422902061</v>
      </c>
      <c r="T1341" s="4">
        <v>14.4573699700939</v>
      </c>
      <c r="U1341" s="4">
        <f t="shared" si="82"/>
        <v>14.415297353788199</v>
      </c>
      <c r="X1341" s="43" t="s">
        <v>3530</v>
      </c>
      <c r="Y1341" s="4">
        <v>14.310778121222199</v>
      </c>
      <c r="Z1341" s="4">
        <v>14.4925503590869</v>
      </c>
      <c r="AA1341" s="4">
        <v>14.637211337363</v>
      </c>
      <c r="AB1341" s="4">
        <f t="shared" si="83"/>
        <v>14.480179939224032</v>
      </c>
    </row>
    <row r="1342" spans="2:28" x14ac:dyDescent="0.2">
      <c r="B1342" s="4" t="s">
        <v>29</v>
      </c>
      <c r="C1342" s="4">
        <v>14.5067</v>
      </c>
      <c r="D1342" s="4">
        <v>14.764799999999999</v>
      </c>
      <c r="E1342" s="4">
        <v>14.585699999999999</v>
      </c>
      <c r="F1342" s="4">
        <f t="shared" si="80"/>
        <v>14.619066666666667</v>
      </c>
      <c r="I1342" s="4" t="s">
        <v>2743</v>
      </c>
      <c r="J1342" s="4">
        <v>14.900399999999999</v>
      </c>
      <c r="K1342" s="4">
        <v>14.0556</v>
      </c>
      <c r="L1342" s="4">
        <v>14.9594</v>
      </c>
      <c r="M1342" s="4">
        <f t="shared" si="81"/>
        <v>14.638466666666666</v>
      </c>
      <c r="Q1342" s="43" t="s">
        <v>1408</v>
      </c>
      <c r="R1342" s="4">
        <v>14.695773439251401</v>
      </c>
      <c r="S1342" s="4">
        <v>14.2843130320133</v>
      </c>
      <c r="T1342" s="4">
        <v>14.264658467345599</v>
      </c>
      <c r="U1342" s="4">
        <f t="shared" si="82"/>
        <v>14.414914979536766</v>
      </c>
      <c r="X1342" s="43" t="s">
        <v>422</v>
      </c>
      <c r="Y1342" s="4">
        <v>14.6545970578488</v>
      </c>
      <c r="Z1342" s="4">
        <v>14.3910460043114</v>
      </c>
      <c r="AA1342" s="4">
        <v>14.3872735233803</v>
      </c>
      <c r="AB1342" s="4">
        <f t="shared" si="83"/>
        <v>14.477638861846835</v>
      </c>
    </row>
    <row r="1343" spans="2:28" x14ac:dyDescent="0.2">
      <c r="B1343" s="4" t="s">
        <v>1417</v>
      </c>
      <c r="C1343" s="4">
        <v>14.7982</v>
      </c>
      <c r="D1343" s="4">
        <v>14.548500000000001</v>
      </c>
      <c r="E1343" s="4">
        <v>14.5059</v>
      </c>
      <c r="F1343" s="4">
        <f t="shared" si="80"/>
        <v>14.617533333333332</v>
      </c>
      <c r="I1343" s="4" t="s">
        <v>2277</v>
      </c>
      <c r="J1343" s="4">
        <v>14.703900000000001</v>
      </c>
      <c r="K1343" s="4">
        <v>14.38</v>
      </c>
      <c r="L1343" s="4">
        <v>14.8255</v>
      </c>
      <c r="M1343" s="4">
        <f t="shared" si="81"/>
        <v>14.636466666666665</v>
      </c>
      <c r="Q1343" s="43" t="s">
        <v>2416</v>
      </c>
      <c r="R1343" s="4">
        <v>14.2560982149996</v>
      </c>
      <c r="S1343" s="4">
        <v>14.4405930843176</v>
      </c>
      <c r="T1343" s="4">
        <v>14.544188009739599</v>
      </c>
      <c r="U1343" s="4">
        <f t="shared" si="82"/>
        <v>14.413626436352267</v>
      </c>
      <c r="X1343" s="43" t="s">
        <v>3892</v>
      </c>
      <c r="Y1343" s="4">
        <v>14.8068352211695</v>
      </c>
      <c r="Z1343" s="4">
        <v>14.2219491367961</v>
      </c>
      <c r="AA1343" s="4">
        <v>14.3978193158714</v>
      </c>
      <c r="AB1343" s="4">
        <f t="shared" si="83"/>
        <v>14.475534557945666</v>
      </c>
    </row>
    <row r="1344" spans="2:28" x14ac:dyDescent="0.2">
      <c r="B1344" s="4" t="s">
        <v>2434</v>
      </c>
      <c r="C1344" s="4">
        <v>17.8</v>
      </c>
      <c r="D1344" s="4">
        <v>12.8598</v>
      </c>
      <c r="E1344" s="4">
        <v>13.177</v>
      </c>
      <c r="F1344" s="4">
        <f t="shared" si="80"/>
        <v>14.612266666666665</v>
      </c>
      <c r="I1344" s="4" t="s">
        <v>3435</v>
      </c>
      <c r="J1344" s="4">
        <v>14.738799999999999</v>
      </c>
      <c r="K1344" s="4">
        <v>14.8619</v>
      </c>
      <c r="L1344" s="4">
        <v>14.307600000000001</v>
      </c>
      <c r="M1344" s="4">
        <f t="shared" si="81"/>
        <v>14.636099999999999</v>
      </c>
      <c r="Q1344" s="43" t="s">
        <v>3720</v>
      </c>
      <c r="R1344" s="4">
        <v>14.416810124425901</v>
      </c>
      <c r="S1344" s="4">
        <v>14.336198578448</v>
      </c>
      <c r="T1344" s="4">
        <v>14.4859625742783</v>
      </c>
      <c r="U1344" s="4">
        <f t="shared" si="82"/>
        <v>14.412990425717402</v>
      </c>
      <c r="X1344" s="43" t="s">
        <v>3749</v>
      </c>
      <c r="Y1344" s="4">
        <v>14.4699642333594</v>
      </c>
      <c r="Z1344" s="4">
        <v>14.3274851387091</v>
      </c>
      <c r="AA1344" s="4">
        <v>14.6252758720226</v>
      </c>
      <c r="AB1344" s="4">
        <f t="shared" si="83"/>
        <v>14.474241748030366</v>
      </c>
    </row>
    <row r="1345" spans="2:28" x14ac:dyDescent="0.2">
      <c r="B1345" s="4" t="s">
        <v>826</v>
      </c>
      <c r="C1345" s="4">
        <v>14.8452</v>
      </c>
      <c r="D1345" s="4">
        <v>14.4002</v>
      </c>
      <c r="E1345" s="4">
        <v>14.5762</v>
      </c>
      <c r="F1345" s="4">
        <f t="shared" si="80"/>
        <v>14.607200000000001</v>
      </c>
      <c r="I1345" s="4" t="s">
        <v>2512</v>
      </c>
      <c r="J1345" s="4">
        <v>14.8775</v>
      </c>
      <c r="K1345" s="4">
        <v>14.2735</v>
      </c>
      <c r="L1345" s="4">
        <v>14.7538</v>
      </c>
      <c r="M1345" s="4">
        <f t="shared" si="81"/>
        <v>14.634933333333334</v>
      </c>
      <c r="Q1345" s="43" t="s">
        <v>3890</v>
      </c>
      <c r="R1345" s="4">
        <v>14.635525832944399</v>
      </c>
      <c r="S1345" s="4">
        <v>14.357173475193999</v>
      </c>
      <c r="T1345" s="4">
        <v>14.2303771641122</v>
      </c>
      <c r="U1345" s="4">
        <f t="shared" si="82"/>
        <v>14.407692157416866</v>
      </c>
      <c r="X1345" s="43" t="s">
        <v>2648</v>
      </c>
      <c r="Y1345" s="4">
        <v>14.4226594981153</v>
      </c>
      <c r="Z1345" s="4">
        <v>14.4408377938837</v>
      </c>
      <c r="AA1345" s="4">
        <v>14.5527088917875</v>
      </c>
      <c r="AB1345" s="4">
        <f t="shared" si="83"/>
        <v>14.472068727928834</v>
      </c>
    </row>
    <row r="1346" spans="2:28" x14ac:dyDescent="0.2">
      <c r="B1346" s="4" t="s">
        <v>3484</v>
      </c>
      <c r="C1346" s="4">
        <v>14.5396</v>
      </c>
      <c r="D1346" s="4">
        <v>14.9306</v>
      </c>
      <c r="E1346" s="4">
        <v>14.3475</v>
      </c>
      <c r="F1346" s="4">
        <f t="shared" ref="F1346:F1409" si="84">(C1346+D1346+E1346)/3</f>
        <v>14.6059</v>
      </c>
      <c r="I1346" s="4" t="s">
        <v>3832</v>
      </c>
      <c r="J1346" s="4">
        <v>14.3901</v>
      </c>
      <c r="K1346" s="4">
        <v>15.0528</v>
      </c>
      <c r="L1346" s="4">
        <v>14.4452</v>
      </c>
      <c r="M1346" s="4">
        <f t="shared" ref="M1346:M1409" si="85">(J1346+K1346+L1346)/3</f>
        <v>14.629366666666668</v>
      </c>
      <c r="Q1346" s="43" t="s">
        <v>1358</v>
      </c>
      <c r="R1346" s="4">
        <v>14.462267248053299</v>
      </c>
      <c r="S1346" s="4">
        <v>14.4521918751512</v>
      </c>
      <c r="T1346" s="4">
        <v>14.298367400599099</v>
      </c>
      <c r="U1346" s="4">
        <f t="shared" ref="U1346:U1409" si="86">(R1346+S1346+T1346)/3</f>
        <v>14.404275507934534</v>
      </c>
      <c r="X1346" s="43" t="s">
        <v>2747</v>
      </c>
      <c r="Y1346" s="4">
        <v>14.4706972227081</v>
      </c>
      <c r="Z1346" s="4">
        <v>14.5562682744672</v>
      </c>
      <c r="AA1346" s="4">
        <v>14.3854452181262</v>
      </c>
      <c r="AB1346" s="4">
        <f t="shared" ref="AB1346:AB1409" si="87">(Y1346+Z1346+AA1346)/3</f>
        <v>14.470803571767169</v>
      </c>
    </row>
    <row r="1347" spans="2:28" x14ac:dyDescent="0.2">
      <c r="B1347" s="4" t="s">
        <v>95</v>
      </c>
      <c r="C1347" s="4">
        <v>14.519600000000001</v>
      </c>
      <c r="D1347" s="4">
        <v>14.4155</v>
      </c>
      <c r="E1347" s="4">
        <v>14.876200000000001</v>
      </c>
      <c r="F1347" s="4">
        <f t="shared" si="84"/>
        <v>14.603766666666667</v>
      </c>
      <c r="I1347" s="4" t="s">
        <v>1593</v>
      </c>
      <c r="J1347" s="4">
        <v>14.858700000000001</v>
      </c>
      <c r="K1347" s="4">
        <v>14.1221</v>
      </c>
      <c r="L1347" s="4">
        <v>14.9049</v>
      </c>
      <c r="M1347" s="4">
        <f t="shared" si="85"/>
        <v>14.628566666666666</v>
      </c>
      <c r="Q1347" s="43" t="s">
        <v>2859</v>
      </c>
      <c r="R1347" s="4">
        <v>14.3291749388322</v>
      </c>
      <c r="S1347" s="4">
        <v>14.391983811005399</v>
      </c>
      <c r="T1347" s="4">
        <v>14.488251668019201</v>
      </c>
      <c r="U1347" s="4">
        <f t="shared" si="86"/>
        <v>14.403136805952267</v>
      </c>
      <c r="X1347" s="43" t="s">
        <v>3178</v>
      </c>
      <c r="Y1347" s="4">
        <v>14.3791555332712</v>
      </c>
      <c r="Z1347" s="4">
        <v>14.5170912431859</v>
      </c>
      <c r="AA1347" s="4">
        <v>14.5137497980408</v>
      </c>
      <c r="AB1347" s="4">
        <f t="shared" si="87"/>
        <v>14.469998858165967</v>
      </c>
    </row>
    <row r="1348" spans="2:28" x14ac:dyDescent="0.2">
      <c r="B1348" s="4" t="s">
        <v>1639</v>
      </c>
      <c r="C1348" s="4">
        <v>14.5876</v>
      </c>
      <c r="D1348" s="4">
        <v>14.6557</v>
      </c>
      <c r="E1348" s="4">
        <v>14.555099999999999</v>
      </c>
      <c r="F1348" s="4">
        <f t="shared" si="84"/>
        <v>14.599466666666666</v>
      </c>
      <c r="I1348" s="4" t="s">
        <v>2925</v>
      </c>
      <c r="J1348" s="4">
        <v>14.790800000000001</v>
      </c>
      <c r="K1348" s="4">
        <v>14.625500000000001</v>
      </c>
      <c r="L1348" s="4">
        <v>14.4649</v>
      </c>
      <c r="M1348" s="4">
        <f t="shared" si="85"/>
        <v>14.627066666666666</v>
      </c>
      <c r="Q1348" s="43" t="s">
        <v>937</v>
      </c>
      <c r="R1348" s="4">
        <v>13.698319991036501</v>
      </c>
      <c r="S1348" s="4">
        <v>14.5211768481437</v>
      </c>
      <c r="T1348" s="4">
        <v>14.985287681191201</v>
      </c>
      <c r="U1348" s="4">
        <f t="shared" si="86"/>
        <v>14.401594840123801</v>
      </c>
      <c r="X1348" s="43" t="s">
        <v>3549</v>
      </c>
      <c r="Y1348" s="4">
        <v>14.521473428965001</v>
      </c>
      <c r="Z1348" s="4">
        <v>14.405510336645699</v>
      </c>
      <c r="AA1348" s="4">
        <v>14.4818989315389</v>
      </c>
      <c r="AB1348" s="4">
        <f t="shared" si="87"/>
        <v>14.469627565716534</v>
      </c>
    </row>
    <row r="1349" spans="2:28" x14ac:dyDescent="0.2">
      <c r="B1349" s="4" t="s">
        <v>3178</v>
      </c>
      <c r="C1349" s="4">
        <v>14.4231</v>
      </c>
      <c r="D1349" s="4">
        <v>14.3939</v>
      </c>
      <c r="E1349" s="4">
        <v>14.9793</v>
      </c>
      <c r="F1349" s="4">
        <f t="shared" si="84"/>
        <v>14.598766666666668</v>
      </c>
      <c r="I1349" s="4" t="s">
        <v>3272</v>
      </c>
      <c r="J1349" s="4">
        <v>14.989599999999999</v>
      </c>
      <c r="K1349" s="4">
        <v>14.0062</v>
      </c>
      <c r="L1349" s="4">
        <v>14.885300000000001</v>
      </c>
      <c r="M1349" s="4">
        <f t="shared" si="85"/>
        <v>14.627033333333335</v>
      </c>
      <c r="Q1349" s="43" t="s">
        <v>602</v>
      </c>
      <c r="R1349" s="4">
        <v>14.375989634717399</v>
      </c>
      <c r="S1349" s="4">
        <v>14.3847220362829</v>
      </c>
      <c r="T1349" s="4">
        <v>14.440009952809801</v>
      </c>
      <c r="U1349" s="4">
        <f t="shared" si="86"/>
        <v>14.400240541270035</v>
      </c>
      <c r="X1349" s="43" t="s">
        <v>1278</v>
      </c>
      <c r="Y1349" s="4">
        <v>14.5578369497163</v>
      </c>
      <c r="Z1349" s="4">
        <v>14.6528507892953</v>
      </c>
      <c r="AA1349" s="4">
        <v>14.1963661459422</v>
      </c>
      <c r="AB1349" s="4">
        <f t="shared" si="87"/>
        <v>14.469017961651266</v>
      </c>
    </row>
    <row r="1350" spans="2:28" x14ac:dyDescent="0.2">
      <c r="B1350" s="4" t="s">
        <v>3609</v>
      </c>
      <c r="C1350" s="4">
        <v>14.5282</v>
      </c>
      <c r="D1350" s="4">
        <v>14.663500000000001</v>
      </c>
      <c r="E1350" s="4">
        <v>14.6036</v>
      </c>
      <c r="F1350" s="4">
        <f t="shared" si="84"/>
        <v>14.598433333333332</v>
      </c>
      <c r="I1350" s="4" t="s">
        <v>3519</v>
      </c>
      <c r="J1350" s="4">
        <v>14.4564</v>
      </c>
      <c r="K1350" s="4">
        <v>14.289899999999999</v>
      </c>
      <c r="L1350" s="4">
        <v>15.131500000000001</v>
      </c>
      <c r="M1350" s="4">
        <f t="shared" si="85"/>
        <v>14.625933333333334</v>
      </c>
      <c r="Q1350" s="43" t="s">
        <v>197</v>
      </c>
      <c r="R1350" s="4">
        <v>14.4694316572118</v>
      </c>
      <c r="S1350" s="4">
        <v>14.4576470652708</v>
      </c>
      <c r="T1350" s="4">
        <v>14.2731030716009</v>
      </c>
      <c r="U1350" s="4">
        <f t="shared" si="86"/>
        <v>14.400060598027833</v>
      </c>
      <c r="X1350" s="43" t="s">
        <v>2126</v>
      </c>
      <c r="Y1350" s="4">
        <v>14.424285575841999</v>
      </c>
      <c r="Z1350" s="4">
        <v>14.5076859036814</v>
      </c>
      <c r="AA1350" s="4">
        <v>14.4716838923006</v>
      </c>
      <c r="AB1350" s="4">
        <f t="shared" si="87"/>
        <v>14.467885123941334</v>
      </c>
    </row>
    <row r="1351" spans="2:28" x14ac:dyDescent="0.2">
      <c r="B1351" s="4" t="s">
        <v>526</v>
      </c>
      <c r="C1351" s="4">
        <v>14.848599999999999</v>
      </c>
      <c r="D1351" s="4">
        <v>14.483599999999999</v>
      </c>
      <c r="E1351" s="4">
        <v>14.457800000000001</v>
      </c>
      <c r="F1351" s="4">
        <f t="shared" si="84"/>
        <v>14.596666666666666</v>
      </c>
      <c r="I1351" s="4" t="s">
        <v>3459</v>
      </c>
      <c r="J1351" s="4">
        <v>14.8485</v>
      </c>
      <c r="K1351" s="4">
        <v>14.1631</v>
      </c>
      <c r="L1351" s="4">
        <v>14.863099999999999</v>
      </c>
      <c r="M1351" s="4">
        <f t="shared" si="85"/>
        <v>14.624900000000002</v>
      </c>
      <c r="Q1351" s="43" t="s">
        <v>3037</v>
      </c>
      <c r="R1351" s="4">
        <v>14.539431857918601</v>
      </c>
      <c r="S1351" s="4">
        <v>14.299208177032</v>
      </c>
      <c r="T1351" s="4">
        <v>14.359649402632799</v>
      </c>
      <c r="U1351" s="4">
        <f t="shared" si="86"/>
        <v>14.399429812527799</v>
      </c>
      <c r="X1351" s="43" t="s">
        <v>548</v>
      </c>
      <c r="Y1351" s="4">
        <v>14.3711282424069</v>
      </c>
      <c r="Z1351" s="4">
        <v>14.694081717065799</v>
      </c>
      <c r="AA1351" s="4">
        <v>14.3351004216156</v>
      </c>
      <c r="AB1351" s="4">
        <f t="shared" si="87"/>
        <v>14.466770127029434</v>
      </c>
    </row>
    <row r="1352" spans="2:28" x14ac:dyDescent="0.2">
      <c r="B1352" s="4" t="s">
        <v>4061</v>
      </c>
      <c r="C1352" s="4">
        <v>14.4596</v>
      </c>
      <c r="D1352" s="4">
        <v>14.5527</v>
      </c>
      <c r="E1352" s="4">
        <v>14.773899999999999</v>
      </c>
      <c r="F1352" s="4">
        <f t="shared" si="84"/>
        <v>14.5954</v>
      </c>
      <c r="I1352" s="4" t="s">
        <v>289</v>
      </c>
      <c r="J1352" s="4">
        <v>14.448399999999999</v>
      </c>
      <c r="K1352" s="4">
        <v>15.2271</v>
      </c>
      <c r="L1352" s="4">
        <v>14.1981</v>
      </c>
      <c r="M1352" s="4">
        <f t="shared" si="85"/>
        <v>14.624533333333332</v>
      </c>
      <c r="Q1352" s="43" t="s">
        <v>1206</v>
      </c>
      <c r="R1352" s="4">
        <v>14.661726398904801</v>
      </c>
      <c r="S1352" s="4">
        <v>14.282050488082501</v>
      </c>
      <c r="T1352" s="4">
        <v>14.254474070436499</v>
      </c>
      <c r="U1352" s="4">
        <f t="shared" si="86"/>
        <v>14.399416985807934</v>
      </c>
      <c r="X1352" s="43" t="s">
        <v>2014</v>
      </c>
      <c r="Y1352" s="4">
        <v>14.431579700764001</v>
      </c>
      <c r="Z1352" s="4">
        <v>14.498754062820099</v>
      </c>
      <c r="AA1352" s="4">
        <v>14.4691067034538</v>
      </c>
      <c r="AB1352" s="4">
        <f t="shared" si="87"/>
        <v>14.466480155679301</v>
      </c>
    </row>
    <row r="1353" spans="2:28" x14ac:dyDescent="0.2">
      <c r="B1353" s="4" t="s">
        <v>851</v>
      </c>
      <c r="C1353" s="4">
        <v>14.557499999999999</v>
      </c>
      <c r="D1353" s="4">
        <v>14.402100000000001</v>
      </c>
      <c r="E1353" s="4">
        <v>14.8207</v>
      </c>
      <c r="F1353" s="4">
        <f t="shared" si="84"/>
        <v>14.593433333333335</v>
      </c>
      <c r="I1353" s="4" t="s">
        <v>1521</v>
      </c>
      <c r="J1353" s="4">
        <v>14.473699999999999</v>
      </c>
      <c r="K1353" s="4">
        <v>15.106400000000001</v>
      </c>
      <c r="L1353" s="4">
        <v>14.292299999999999</v>
      </c>
      <c r="M1353" s="4">
        <f t="shared" si="85"/>
        <v>14.624133333333333</v>
      </c>
      <c r="Q1353" s="43" t="s">
        <v>4469</v>
      </c>
      <c r="R1353" s="4">
        <v>14.2333197385512</v>
      </c>
      <c r="S1353" s="4">
        <v>14.495282145873199</v>
      </c>
      <c r="T1353" s="4">
        <v>14.4612594082641</v>
      </c>
      <c r="U1353" s="4">
        <f t="shared" si="86"/>
        <v>14.396620430896165</v>
      </c>
      <c r="X1353" s="43" t="s">
        <v>2268</v>
      </c>
      <c r="Y1353" s="4">
        <v>14.3274297934787</v>
      </c>
      <c r="Z1353" s="4">
        <v>14.5461271240536</v>
      </c>
      <c r="AA1353" s="4">
        <v>14.5248515811101</v>
      </c>
      <c r="AB1353" s="4">
        <f t="shared" si="87"/>
        <v>14.466136166214133</v>
      </c>
    </row>
    <row r="1354" spans="2:28" x14ac:dyDescent="0.2">
      <c r="B1354" s="4" t="s">
        <v>473</v>
      </c>
      <c r="C1354" s="4">
        <v>14.3096</v>
      </c>
      <c r="D1354" s="4">
        <v>14.6257</v>
      </c>
      <c r="E1354" s="4">
        <v>14.8307</v>
      </c>
      <c r="F1354" s="4">
        <f t="shared" si="84"/>
        <v>14.588666666666667</v>
      </c>
      <c r="I1354" s="4" t="s">
        <v>656</v>
      </c>
      <c r="J1354" s="4">
        <v>13.422599999999999</v>
      </c>
      <c r="K1354" s="4">
        <v>17.4529</v>
      </c>
      <c r="L1354" s="4">
        <v>12.996700000000001</v>
      </c>
      <c r="M1354" s="4">
        <f t="shared" si="85"/>
        <v>14.624066666666666</v>
      </c>
      <c r="Q1354" s="43" t="s">
        <v>3933</v>
      </c>
      <c r="R1354" s="4">
        <v>14.3072595550206</v>
      </c>
      <c r="S1354" s="4">
        <v>14.5322090882078</v>
      </c>
      <c r="T1354" s="4">
        <v>14.3447784027141</v>
      </c>
      <c r="U1354" s="4">
        <f t="shared" si="86"/>
        <v>14.394749015314167</v>
      </c>
      <c r="X1354" s="43" t="s">
        <v>2887</v>
      </c>
      <c r="Y1354" s="4">
        <v>14.73618258089</v>
      </c>
      <c r="Z1354" s="4">
        <v>14.186589253940699</v>
      </c>
      <c r="AA1354" s="4">
        <v>14.4754811839813</v>
      </c>
      <c r="AB1354" s="4">
        <f t="shared" si="87"/>
        <v>14.466084339604</v>
      </c>
    </row>
    <row r="1355" spans="2:28" x14ac:dyDescent="0.2">
      <c r="B1355" s="4" t="s">
        <v>3329</v>
      </c>
      <c r="C1355" s="4">
        <v>14.760300000000001</v>
      </c>
      <c r="D1355" s="4">
        <v>14.5672</v>
      </c>
      <c r="E1355" s="4">
        <v>14.430999999999999</v>
      </c>
      <c r="F1355" s="4">
        <f t="shared" si="84"/>
        <v>14.586166666666665</v>
      </c>
      <c r="I1355" s="4" t="s">
        <v>1461</v>
      </c>
      <c r="J1355" s="4">
        <v>13.797800000000001</v>
      </c>
      <c r="K1355" s="4">
        <v>16.333300000000001</v>
      </c>
      <c r="L1355" s="4">
        <v>13.732900000000001</v>
      </c>
      <c r="M1355" s="4">
        <f t="shared" si="85"/>
        <v>14.621333333333334</v>
      </c>
      <c r="Q1355" s="43" t="s">
        <v>3317</v>
      </c>
      <c r="R1355" s="4">
        <v>14.4800240109137</v>
      </c>
      <c r="S1355" s="4">
        <v>14.377359761375599</v>
      </c>
      <c r="T1355" s="4">
        <v>14.3260459301545</v>
      </c>
      <c r="U1355" s="4">
        <f t="shared" si="86"/>
        <v>14.394476567481268</v>
      </c>
      <c r="X1355" s="43" t="s">
        <v>2237</v>
      </c>
      <c r="Y1355" s="4">
        <v>14.502850463908899</v>
      </c>
      <c r="Z1355" s="4">
        <v>14.5164375499745</v>
      </c>
      <c r="AA1355" s="4">
        <v>14.3713796598974</v>
      </c>
      <c r="AB1355" s="4">
        <f t="shared" si="87"/>
        <v>14.463555891260265</v>
      </c>
    </row>
    <row r="1356" spans="2:28" x14ac:dyDescent="0.2">
      <c r="B1356" s="4" t="s">
        <v>3518</v>
      </c>
      <c r="C1356" s="4">
        <v>14.3461</v>
      </c>
      <c r="D1356" s="4">
        <v>14.201599999999999</v>
      </c>
      <c r="E1356" s="4">
        <v>15.210699999999999</v>
      </c>
      <c r="F1356" s="4">
        <f t="shared" si="84"/>
        <v>14.586133333333331</v>
      </c>
      <c r="I1356" s="4" t="s">
        <v>2679</v>
      </c>
      <c r="J1356" s="4">
        <v>14.6877</v>
      </c>
      <c r="K1356" s="4">
        <v>14.6867</v>
      </c>
      <c r="L1356" s="4">
        <v>14.4872</v>
      </c>
      <c r="M1356" s="4">
        <f t="shared" si="85"/>
        <v>14.620533333333334</v>
      </c>
      <c r="Q1356" s="43" t="s">
        <v>3677</v>
      </c>
      <c r="R1356" s="4">
        <v>14.5068045530912</v>
      </c>
      <c r="S1356" s="4">
        <v>14.3000688164782</v>
      </c>
      <c r="T1356" s="4">
        <v>14.3690122938025</v>
      </c>
      <c r="U1356" s="4">
        <f t="shared" si="86"/>
        <v>14.391961887790634</v>
      </c>
      <c r="X1356" s="43" t="s">
        <v>738</v>
      </c>
      <c r="Y1356" s="4">
        <v>14.465416329689599</v>
      </c>
      <c r="Z1356" s="4">
        <v>14.465309938709799</v>
      </c>
      <c r="AA1356" s="4">
        <v>14.459658786214</v>
      </c>
      <c r="AB1356" s="4">
        <f t="shared" si="87"/>
        <v>14.463461684871133</v>
      </c>
    </row>
    <row r="1357" spans="2:28" x14ac:dyDescent="0.2">
      <c r="B1357" s="4" t="s">
        <v>1045</v>
      </c>
      <c r="C1357" s="4">
        <v>14.503</v>
      </c>
      <c r="D1357" s="4">
        <v>13.960800000000001</v>
      </c>
      <c r="E1357" s="4">
        <v>15.2864</v>
      </c>
      <c r="F1357" s="4">
        <f t="shared" si="84"/>
        <v>14.583399999999999</v>
      </c>
      <c r="I1357" s="4" t="s">
        <v>712</v>
      </c>
      <c r="J1357" s="4">
        <v>14.8169</v>
      </c>
      <c r="K1357" s="4">
        <v>14.3414</v>
      </c>
      <c r="L1357" s="4">
        <v>14.7</v>
      </c>
      <c r="M1357" s="4">
        <f t="shared" si="85"/>
        <v>14.619433333333333</v>
      </c>
      <c r="Q1357" s="43" t="s">
        <v>3869</v>
      </c>
      <c r="R1357" s="4">
        <v>14.5708075517941</v>
      </c>
      <c r="S1357" s="4">
        <v>14.316930154298801</v>
      </c>
      <c r="T1357" s="4">
        <v>14.281577247014599</v>
      </c>
      <c r="U1357" s="4">
        <f t="shared" si="86"/>
        <v>14.389771651035835</v>
      </c>
      <c r="X1357" s="43" t="s">
        <v>1433</v>
      </c>
      <c r="Y1357" s="4">
        <v>14.7545040382923</v>
      </c>
      <c r="Z1357" s="4">
        <v>14.3069504623629</v>
      </c>
      <c r="AA1357" s="4">
        <v>14.325989255476699</v>
      </c>
      <c r="AB1357" s="4">
        <f t="shared" si="87"/>
        <v>14.462481252043967</v>
      </c>
    </row>
    <row r="1358" spans="2:28" x14ac:dyDescent="0.2">
      <c r="B1358" s="4" t="s">
        <v>3562</v>
      </c>
      <c r="C1358" s="4">
        <v>14.654400000000001</v>
      </c>
      <c r="D1358" s="4">
        <v>14.800599999999999</v>
      </c>
      <c r="E1358" s="4">
        <v>14.2926</v>
      </c>
      <c r="F1358" s="4">
        <f t="shared" si="84"/>
        <v>14.582533333333332</v>
      </c>
      <c r="I1358" s="4" t="s">
        <v>998</v>
      </c>
      <c r="J1358" s="4">
        <v>14.8149</v>
      </c>
      <c r="K1358" s="4">
        <v>13.855700000000001</v>
      </c>
      <c r="L1358" s="4">
        <v>15.186199999999999</v>
      </c>
      <c r="M1358" s="4">
        <f t="shared" si="85"/>
        <v>14.618933333333333</v>
      </c>
      <c r="Q1358" s="43" t="s">
        <v>4361</v>
      </c>
      <c r="R1358" s="4">
        <v>14.2429975538346</v>
      </c>
      <c r="S1358" s="4">
        <v>14.631358102351401</v>
      </c>
      <c r="T1358" s="4">
        <v>14.294226005258301</v>
      </c>
      <c r="U1358" s="4">
        <f t="shared" si="86"/>
        <v>14.389527220481433</v>
      </c>
      <c r="X1358" s="43" t="s">
        <v>2736</v>
      </c>
      <c r="Y1358" s="4">
        <v>14.4646194959469</v>
      </c>
      <c r="Z1358" s="4">
        <v>14.4715878487835</v>
      </c>
      <c r="AA1358" s="4">
        <v>14.4511988622203</v>
      </c>
      <c r="AB1358" s="4">
        <f t="shared" si="87"/>
        <v>14.462468735650233</v>
      </c>
    </row>
    <row r="1359" spans="2:28" x14ac:dyDescent="0.2">
      <c r="B1359" s="4" t="s">
        <v>3318</v>
      </c>
      <c r="C1359" s="4">
        <v>14.373699999999999</v>
      </c>
      <c r="D1359" s="4">
        <v>15.107799999999999</v>
      </c>
      <c r="E1359" s="4">
        <v>14.2646</v>
      </c>
      <c r="F1359" s="4">
        <f t="shared" si="84"/>
        <v>14.582033333333333</v>
      </c>
      <c r="I1359" s="4" t="s">
        <v>2997</v>
      </c>
      <c r="J1359" s="4">
        <v>14.9458</v>
      </c>
      <c r="K1359" s="4">
        <v>14.107699999999999</v>
      </c>
      <c r="L1359" s="4">
        <v>14.802099999999999</v>
      </c>
      <c r="M1359" s="4">
        <f t="shared" si="85"/>
        <v>14.618533333333332</v>
      </c>
      <c r="Q1359" s="43" t="s">
        <v>4233</v>
      </c>
      <c r="R1359" s="4">
        <v>14.193704825854701</v>
      </c>
      <c r="S1359" s="4">
        <v>14.1858300366517</v>
      </c>
      <c r="T1359" s="4">
        <v>14.786367912851199</v>
      </c>
      <c r="U1359" s="4">
        <f t="shared" si="86"/>
        <v>14.388634258452534</v>
      </c>
      <c r="X1359" s="43" t="s">
        <v>3496</v>
      </c>
      <c r="Y1359" s="4">
        <v>14.4611788634761</v>
      </c>
      <c r="Z1359" s="4">
        <v>14.443124659717</v>
      </c>
      <c r="AA1359" s="4">
        <v>14.4677200145067</v>
      </c>
      <c r="AB1359" s="4">
        <f t="shared" si="87"/>
        <v>14.457341179233268</v>
      </c>
    </row>
    <row r="1360" spans="2:28" x14ac:dyDescent="0.2">
      <c r="B1360" s="4" t="s">
        <v>2659</v>
      </c>
      <c r="C1360" s="4">
        <v>14.4773</v>
      </c>
      <c r="D1360" s="4">
        <v>14.6934</v>
      </c>
      <c r="E1360" s="4">
        <v>14.570600000000001</v>
      </c>
      <c r="F1360" s="4">
        <f t="shared" si="84"/>
        <v>14.580433333333334</v>
      </c>
      <c r="I1360" s="4" t="s">
        <v>3926</v>
      </c>
      <c r="J1360" s="4">
        <v>14.583600000000001</v>
      </c>
      <c r="K1360" s="4">
        <v>14.7447</v>
      </c>
      <c r="L1360" s="4">
        <v>14.5212</v>
      </c>
      <c r="M1360" s="4">
        <f t="shared" si="85"/>
        <v>14.6165</v>
      </c>
      <c r="Q1360" s="43" t="s">
        <v>109</v>
      </c>
      <c r="R1360" s="4">
        <v>14.761943577444701</v>
      </c>
      <c r="S1360" s="4">
        <v>14.1595883080966</v>
      </c>
      <c r="T1360" s="4">
        <v>14.2430673689855</v>
      </c>
      <c r="U1360" s="4">
        <f t="shared" si="86"/>
        <v>14.388199751508933</v>
      </c>
      <c r="X1360" s="43" t="s">
        <v>2991</v>
      </c>
      <c r="Y1360" s="4">
        <v>14.468639854977299</v>
      </c>
      <c r="Z1360" s="4">
        <v>14.4151665242187</v>
      </c>
      <c r="AA1360" s="4">
        <v>14.4871430222956</v>
      </c>
      <c r="AB1360" s="4">
        <f t="shared" si="87"/>
        <v>14.456983133830533</v>
      </c>
    </row>
    <row r="1361" spans="2:28" x14ac:dyDescent="0.2">
      <c r="B1361" s="4" t="s">
        <v>3000</v>
      </c>
      <c r="C1361" s="4">
        <v>14.984299999999999</v>
      </c>
      <c r="D1361" s="4">
        <v>14.4306</v>
      </c>
      <c r="E1361" s="4">
        <v>14.3207</v>
      </c>
      <c r="F1361" s="4">
        <f t="shared" si="84"/>
        <v>14.578533333333333</v>
      </c>
      <c r="I1361" s="4" t="s">
        <v>116</v>
      </c>
      <c r="J1361" s="4">
        <v>14.845700000000001</v>
      </c>
      <c r="K1361" s="4">
        <v>14.489599999999999</v>
      </c>
      <c r="L1361" s="4">
        <v>14.510999999999999</v>
      </c>
      <c r="M1361" s="4">
        <f t="shared" si="85"/>
        <v>14.615433333333334</v>
      </c>
      <c r="Q1361" s="43" t="s">
        <v>4405</v>
      </c>
      <c r="R1361" s="4">
        <v>14.541255589921199</v>
      </c>
      <c r="S1361" s="4">
        <v>14.473424247214</v>
      </c>
      <c r="T1361" s="4">
        <v>14.144676311974001</v>
      </c>
      <c r="U1361" s="4">
        <f t="shared" si="86"/>
        <v>14.386452049703067</v>
      </c>
      <c r="X1361" s="43" t="s">
        <v>3935</v>
      </c>
      <c r="Y1361" s="4">
        <v>14.5179549486796</v>
      </c>
      <c r="Z1361" s="4">
        <v>14.4452088297896</v>
      </c>
      <c r="AA1361" s="4">
        <v>14.3960436839627</v>
      </c>
      <c r="AB1361" s="4">
        <f t="shared" si="87"/>
        <v>14.453069154143968</v>
      </c>
    </row>
    <row r="1362" spans="2:28" x14ac:dyDescent="0.2">
      <c r="B1362" s="4" t="s">
        <v>4053</v>
      </c>
      <c r="C1362" s="4">
        <v>14.4528</v>
      </c>
      <c r="D1362" s="4">
        <v>14.557700000000001</v>
      </c>
      <c r="E1362" s="4">
        <v>14.7234</v>
      </c>
      <c r="F1362" s="4">
        <f t="shared" si="84"/>
        <v>14.577966666666667</v>
      </c>
      <c r="I1362" s="4" t="s">
        <v>2990</v>
      </c>
      <c r="J1362" s="4">
        <v>14.3462</v>
      </c>
      <c r="K1362" s="4">
        <v>14.8749</v>
      </c>
      <c r="L1362" s="4">
        <v>14.6243</v>
      </c>
      <c r="M1362" s="4">
        <f t="shared" si="85"/>
        <v>14.615133333333333</v>
      </c>
      <c r="Q1362" s="43" t="s">
        <v>2189</v>
      </c>
      <c r="R1362" s="4">
        <v>14.1615898752445</v>
      </c>
      <c r="S1362" s="4">
        <v>14.4671386571891</v>
      </c>
      <c r="T1362" s="4">
        <v>14.5254591707173</v>
      </c>
      <c r="U1362" s="4">
        <f t="shared" si="86"/>
        <v>14.384729234383633</v>
      </c>
      <c r="X1362" s="43" t="s">
        <v>2798</v>
      </c>
      <c r="Y1362" s="4">
        <v>14.533883969271701</v>
      </c>
      <c r="Z1362" s="4">
        <v>14.4667390431075</v>
      </c>
      <c r="AA1362" s="4">
        <v>14.358342594214999</v>
      </c>
      <c r="AB1362" s="4">
        <f t="shared" si="87"/>
        <v>14.452988535531398</v>
      </c>
    </row>
    <row r="1363" spans="2:28" x14ac:dyDescent="0.2">
      <c r="B1363" s="4" t="s">
        <v>801</v>
      </c>
      <c r="C1363" s="4">
        <v>14.7682</v>
      </c>
      <c r="D1363" s="4">
        <v>14.602</v>
      </c>
      <c r="E1363" s="4">
        <v>14.359500000000001</v>
      </c>
      <c r="F1363" s="4">
        <f t="shared" si="84"/>
        <v>14.576566666666666</v>
      </c>
      <c r="I1363" s="4" t="s">
        <v>933</v>
      </c>
      <c r="J1363" s="4">
        <v>14.7751</v>
      </c>
      <c r="K1363" s="4">
        <v>14.3643</v>
      </c>
      <c r="L1363" s="4">
        <v>14.6967</v>
      </c>
      <c r="M1363" s="4">
        <f t="shared" si="85"/>
        <v>14.612033333333335</v>
      </c>
      <c r="Q1363" s="43" t="s">
        <v>2932</v>
      </c>
      <c r="R1363" s="4">
        <v>14.4436904805687</v>
      </c>
      <c r="S1363" s="4">
        <v>14.3827831656369</v>
      </c>
      <c r="T1363" s="4">
        <v>14.321863274672401</v>
      </c>
      <c r="U1363" s="4">
        <f t="shared" si="86"/>
        <v>14.382778973626001</v>
      </c>
      <c r="X1363" s="43" t="s">
        <v>425</v>
      </c>
      <c r="Y1363" s="4">
        <v>14.4418005894718</v>
      </c>
      <c r="Z1363" s="4">
        <v>14.456473161338099</v>
      </c>
      <c r="AA1363" s="4">
        <v>14.454068629218201</v>
      </c>
      <c r="AB1363" s="4">
        <f t="shared" si="87"/>
        <v>14.4507807933427</v>
      </c>
    </row>
    <row r="1364" spans="2:28" x14ac:dyDescent="0.2">
      <c r="B1364" s="4" t="s">
        <v>907</v>
      </c>
      <c r="C1364" s="4">
        <v>14.903499999999999</v>
      </c>
      <c r="D1364" s="4">
        <v>13.9824</v>
      </c>
      <c r="E1364" s="4">
        <v>14.842700000000001</v>
      </c>
      <c r="F1364" s="4">
        <f t="shared" si="84"/>
        <v>14.5762</v>
      </c>
      <c r="I1364" s="4" t="s">
        <v>244</v>
      </c>
      <c r="J1364" s="4">
        <v>15.0349</v>
      </c>
      <c r="K1364" s="4">
        <v>13.7606</v>
      </c>
      <c r="L1364" s="4">
        <v>15.036799999999999</v>
      </c>
      <c r="M1364" s="4">
        <f t="shared" si="85"/>
        <v>14.610766666666668</v>
      </c>
      <c r="Q1364" s="43" t="s">
        <v>3455</v>
      </c>
      <c r="R1364" s="4">
        <v>14.069681740144899</v>
      </c>
      <c r="S1364" s="4">
        <v>14.4653906691559</v>
      </c>
      <c r="T1364" s="4">
        <v>14.6078880262966</v>
      </c>
      <c r="U1364" s="4">
        <f t="shared" si="86"/>
        <v>14.380986811865801</v>
      </c>
      <c r="X1364" s="43" t="s">
        <v>120</v>
      </c>
      <c r="Y1364" s="4">
        <v>14.4301207770988</v>
      </c>
      <c r="Z1364" s="4">
        <v>14.592766796450899</v>
      </c>
      <c r="AA1364" s="4">
        <v>14.326113052250999</v>
      </c>
      <c r="AB1364" s="4">
        <f t="shared" si="87"/>
        <v>14.4496668752669</v>
      </c>
    </row>
    <row r="1365" spans="2:28" x14ac:dyDescent="0.2">
      <c r="B1365" s="4" t="s">
        <v>557</v>
      </c>
      <c r="C1365" s="4">
        <v>14.835000000000001</v>
      </c>
      <c r="D1365" s="4">
        <v>14.4529</v>
      </c>
      <c r="E1365" s="4">
        <v>14.4405</v>
      </c>
      <c r="F1365" s="4">
        <f t="shared" si="84"/>
        <v>14.576133333333333</v>
      </c>
      <c r="I1365" s="4" t="s">
        <v>160</v>
      </c>
      <c r="J1365" s="4">
        <v>14.3658</v>
      </c>
      <c r="K1365" s="4">
        <v>15.2323</v>
      </c>
      <c r="L1365" s="4">
        <v>14.2309</v>
      </c>
      <c r="M1365" s="4">
        <f t="shared" si="85"/>
        <v>14.609666666666667</v>
      </c>
      <c r="Q1365" s="43" t="s">
        <v>3125</v>
      </c>
      <c r="R1365" s="4">
        <v>14.4626349803421</v>
      </c>
      <c r="S1365" s="4">
        <v>14.3675996965079</v>
      </c>
      <c r="T1365" s="4">
        <v>14.308290975054501</v>
      </c>
      <c r="U1365" s="4">
        <f t="shared" si="86"/>
        <v>14.379508550634833</v>
      </c>
      <c r="X1365" s="43" t="s">
        <v>3569</v>
      </c>
      <c r="Y1365" s="4">
        <v>14.4393185129373</v>
      </c>
      <c r="Z1365" s="4">
        <v>14.6439174629778</v>
      </c>
      <c r="AA1365" s="4">
        <v>14.2589106713632</v>
      </c>
      <c r="AB1365" s="4">
        <f t="shared" si="87"/>
        <v>14.447382215759433</v>
      </c>
    </row>
    <row r="1366" spans="2:28" x14ac:dyDescent="0.2">
      <c r="B1366" s="4" t="s">
        <v>4019</v>
      </c>
      <c r="C1366" s="4">
        <v>14.7195</v>
      </c>
      <c r="D1366" s="4">
        <v>14.616400000000001</v>
      </c>
      <c r="E1366" s="4">
        <v>14.386900000000001</v>
      </c>
      <c r="F1366" s="4">
        <f t="shared" si="84"/>
        <v>14.574266666666668</v>
      </c>
      <c r="I1366" s="4" t="s">
        <v>2171</v>
      </c>
      <c r="J1366" s="4">
        <v>14.2539</v>
      </c>
      <c r="K1366" s="4">
        <v>15.9245</v>
      </c>
      <c r="L1366" s="4">
        <v>13.6358</v>
      </c>
      <c r="M1366" s="4">
        <f t="shared" si="85"/>
        <v>14.604733333333334</v>
      </c>
      <c r="Q1366" s="43" t="s">
        <v>2447</v>
      </c>
      <c r="R1366" s="4">
        <v>14.5098337641305</v>
      </c>
      <c r="S1366" s="4">
        <v>14.298110550139899</v>
      </c>
      <c r="T1366" s="4">
        <v>14.325782072111901</v>
      </c>
      <c r="U1366" s="4">
        <f t="shared" si="86"/>
        <v>14.377908795460767</v>
      </c>
      <c r="X1366" s="43" t="s">
        <v>4592</v>
      </c>
      <c r="Y1366" s="4">
        <v>14.4067931993439</v>
      </c>
      <c r="Z1366" s="4">
        <v>14.443219516569201</v>
      </c>
      <c r="AA1366" s="4">
        <v>14.4900206916162</v>
      </c>
      <c r="AB1366" s="4">
        <f t="shared" si="87"/>
        <v>14.446677802509768</v>
      </c>
    </row>
    <row r="1367" spans="2:28" x14ac:dyDescent="0.2">
      <c r="B1367" s="4" t="s">
        <v>3876</v>
      </c>
      <c r="C1367" s="4">
        <v>14.5966</v>
      </c>
      <c r="D1367" s="4">
        <v>14.607100000000001</v>
      </c>
      <c r="E1367" s="4">
        <v>14.504</v>
      </c>
      <c r="F1367" s="4">
        <f t="shared" si="84"/>
        <v>14.569233333333335</v>
      </c>
      <c r="I1367" s="4" t="s">
        <v>90</v>
      </c>
      <c r="J1367" s="4">
        <v>14.21</v>
      </c>
      <c r="K1367" s="4">
        <v>14.723699999999999</v>
      </c>
      <c r="L1367" s="4">
        <v>14.8775</v>
      </c>
      <c r="M1367" s="4">
        <f t="shared" si="85"/>
        <v>14.603733333333333</v>
      </c>
      <c r="Q1367" s="43" t="s">
        <v>4613</v>
      </c>
      <c r="R1367" s="4">
        <v>13.9711854736252</v>
      </c>
      <c r="S1367" s="4">
        <v>14.563309692043401</v>
      </c>
      <c r="T1367" s="4">
        <v>14.590828479556601</v>
      </c>
      <c r="U1367" s="4">
        <f t="shared" si="86"/>
        <v>14.375107881741734</v>
      </c>
      <c r="X1367" s="43" t="s">
        <v>3684</v>
      </c>
      <c r="Y1367" s="4">
        <v>14.4410060575883</v>
      </c>
      <c r="Z1367" s="4">
        <v>14.45362622555</v>
      </c>
      <c r="AA1367" s="4">
        <v>14.4450009120981</v>
      </c>
      <c r="AB1367" s="4">
        <f t="shared" si="87"/>
        <v>14.446544398412135</v>
      </c>
    </row>
    <row r="1368" spans="2:28" x14ac:dyDescent="0.2">
      <c r="B1368" s="4" t="s">
        <v>3344</v>
      </c>
      <c r="C1368" s="4">
        <v>14.802199999999999</v>
      </c>
      <c r="D1368" s="4">
        <v>14.157299999999999</v>
      </c>
      <c r="E1368" s="4">
        <v>14.746600000000001</v>
      </c>
      <c r="F1368" s="4">
        <f t="shared" si="84"/>
        <v>14.5687</v>
      </c>
      <c r="I1368" s="4" t="s">
        <v>1850</v>
      </c>
      <c r="J1368" s="4">
        <v>14.9534</v>
      </c>
      <c r="K1368" s="4">
        <v>14.1206</v>
      </c>
      <c r="L1368" s="4">
        <v>14.7363</v>
      </c>
      <c r="M1368" s="4">
        <f t="shared" si="85"/>
        <v>14.603433333333333</v>
      </c>
      <c r="Q1368" s="43" t="s">
        <v>2237</v>
      </c>
      <c r="R1368" s="4">
        <v>14.373708212584599</v>
      </c>
      <c r="S1368" s="4">
        <v>14.381894615267001</v>
      </c>
      <c r="T1368" s="4">
        <v>14.3568530273006</v>
      </c>
      <c r="U1368" s="4">
        <f t="shared" si="86"/>
        <v>14.370818618384066</v>
      </c>
      <c r="X1368" s="43" t="s">
        <v>1534</v>
      </c>
      <c r="Y1368" s="4">
        <v>14.2211102445899</v>
      </c>
      <c r="Z1368" s="4">
        <v>15.2090427506404</v>
      </c>
      <c r="AA1368" s="4">
        <v>13.906456162067</v>
      </c>
      <c r="AB1368" s="4">
        <f t="shared" si="87"/>
        <v>14.445536385765768</v>
      </c>
    </row>
    <row r="1369" spans="2:28" x14ac:dyDescent="0.2">
      <c r="B1369" s="4" t="s">
        <v>1071</v>
      </c>
      <c r="C1369" s="4">
        <v>14.3756</v>
      </c>
      <c r="D1369" s="4">
        <v>14.280900000000001</v>
      </c>
      <c r="E1369" s="4">
        <v>15.048</v>
      </c>
      <c r="F1369" s="4">
        <f t="shared" si="84"/>
        <v>14.568166666666668</v>
      </c>
      <c r="I1369" s="4" t="s">
        <v>1374</v>
      </c>
      <c r="J1369" s="4">
        <v>14.708299999999999</v>
      </c>
      <c r="K1369" s="4">
        <v>14.5098</v>
      </c>
      <c r="L1369" s="4">
        <v>14.587</v>
      </c>
      <c r="M1369" s="4">
        <f t="shared" si="85"/>
        <v>14.601699999999999</v>
      </c>
      <c r="Q1369" s="43" t="s">
        <v>3027</v>
      </c>
      <c r="R1369" s="4">
        <v>14.222216261801</v>
      </c>
      <c r="S1369" s="4">
        <v>14.5206254734859</v>
      </c>
      <c r="T1369" s="4">
        <v>14.3634518216658</v>
      </c>
      <c r="U1369" s="4">
        <f t="shared" si="86"/>
        <v>14.368764518984234</v>
      </c>
      <c r="X1369" s="43" t="s">
        <v>530</v>
      </c>
      <c r="Y1369" s="4">
        <v>14.301678669363101</v>
      </c>
      <c r="Z1369" s="4">
        <v>14.5419264506471</v>
      </c>
      <c r="AA1369" s="4">
        <v>14.491868103522</v>
      </c>
      <c r="AB1369" s="4">
        <f t="shared" si="87"/>
        <v>14.445157741177402</v>
      </c>
    </row>
    <row r="1370" spans="2:28" x14ac:dyDescent="0.2">
      <c r="B1370" s="4" t="s">
        <v>495</v>
      </c>
      <c r="C1370" s="4">
        <v>14.269600000000001</v>
      </c>
      <c r="D1370" s="4">
        <v>14.389900000000001</v>
      </c>
      <c r="E1370" s="4">
        <v>15.044</v>
      </c>
      <c r="F1370" s="4">
        <f t="shared" si="84"/>
        <v>14.567833333333335</v>
      </c>
      <c r="I1370" s="4" t="s">
        <v>3048</v>
      </c>
      <c r="J1370" s="4">
        <v>14.702</v>
      </c>
      <c r="K1370" s="4">
        <v>14.414899999999999</v>
      </c>
      <c r="L1370" s="4">
        <v>14.687900000000001</v>
      </c>
      <c r="M1370" s="4">
        <f t="shared" si="85"/>
        <v>14.601599999999999</v>
      </c>
      <c r="Q1370" s="43" t="s">
        <v>2563</v>
      </c>
      <c r="R1370" s="4">
        <v>14.3058294696151</v>
      </c>
      <c r="S1370" s="4">
        <v>14.3359475308181</v>
      </c>
      <c r="T1370" s="4">
        <v>14.4639809638924</v>
      </c>
      <c r="U1370" s="4">
        <f t="shared" si="86"/>
        <v>14.368585988108535</v>
      </c>
      <c r="X1370" s="43" t="s">
        <v>741</v>
      </c>
      <c r="Y1370" s="4">
        <v>14.476634366912901</v>
      </c>
      <c r="Z1370" s="4">
        <v>14.5583295438759</v>
      </c>
      <c r="AA1370" s="4">
        <v>14.297794946008</v>
      </c>
      <c r="AB1370" s="4">
        <f t="shared" si="87"/>
        <v>14.4442529522656</v>
      </c>
    </row>
    <row r="1371" spans="2:28" x14ac:dyDescent="0.2">
      <c r="B1371" s="4" t="s">
        <v>688</v>
      </c>
      <c r="C1371" s="4">
        <v>15.1965</v>
      </c>
      <c r="D1371" s="4">
        <v>14.461399999999999</v>
      </c>
      <c r="E1371" s="4">
        <v>14.044</v>
      </c>
      <c r="F1371" s="4">
        <f t="shared" si="84"/>
        <v>14.567299999999998</v>
      </c>
      <c r="I1371" s="4" t="s">
        <v>2957</v>
      </c>
      <c r="J1371" s="4">
        <v>14.6096</v>
      </c>
      <c r="K1371" s="4">
        <v>14.731400000000001</v>
      </c>
      <c r="L1371" s="4">
        <v>14.458600000000001</v>
      </c>
      <c r="M1371" s="4">
        <f t="shared" si="85"/>
        <v>14.599866666666665</v>
      </c>
      <c r="Q1371" s="43" t="s">
        <v>2520</v>
      </c>
      <c r="R1371" s="4">
        <v>14.4663481886412</v>
      </c>
      <c r="S1371" s="4">
        <v>14.385339076326099</v>
      </c>
      <c r="T1371" s="4">
        <v>14.2519267089931</v>
      </c>
      <c r="U1371" s="4">
        <f t="shared" si="86"/>
        <v>14.367871324653466</v>
      </c>
      <c r="X1371" s="43" t="s">
        <v>2635</v>
      </c>
      <c r="Y1371" s="4">
        <v>14.4621473955048</v>
      </c>
      <c r="Z1371" s="4">
        <v>14.5427000769897</v>
      </c>
      <c r="AA1371" s="4">
        <v>14.3277488705866</v>
      </c>
      <c r="AB1371" s="4">
        <f t="shared" si="87"/>
        <v>14.444198781027033</v>
      </c>
    </row>
    <row r="1372" spans="2:28" x14ac:dyDescent="0.2">
      <c r="B1372" s="4" t="s">
        <v>3472</v>
      </c>
      <c r="C1372" s="4">
        <v>14.721299999999999</v>
      </c>
      <c r="D1372" s="4">
        <v>14.5908</v>
      </c>
      <c r="E1372" s="4">
        <v>14.3851</v>
      </c>
      <c r="F1372" s="4">
        <f t="shared" si="84"/>
        <v>14.565733333333334</v>
      </c>
      <c r="I1372" s="4" t="s">
        <v>2240</v>
      </c>
      <c r="J1372" s="4">
        <v>15.0261</v>
      </c>
      <c r="K1372" s="4">
        <v>14.3908</v>
      </c>
      <c r="L1372" s="4">
        <v>14.382300000000001</v>
      </c>
      <c r="M1372" s="4">
        <f t="shared" si="85"/>
        <v>14.599733333333333</v>
      </c>
      <c r="Q1372" s="43" t="s">
        <v>786</v>
      </c>
      <c r="R1372" s="4">
        <v>14.3232522160583</v>
      </c>
      <c r="S1372" s="4">
        <v>14.303144529841401</v>
      </c>
      <c r="T1372" s="4">
        <v>14.4765315848058</v>
      </c>
      <c r="U1372" s="4">
        <f t="shared" si="86"/>
        <v>14.367642776901834</v>
      </c>
      <c r="X1372" s="43" t="s">
        <v>35</v>
      </c>
      <c r="Y1372" s="4">
        <v>14.556613731710399</v>
      </c>
      <c r="Z1372" s="4">
        <v>14.3581317973862</v>
      </c>
      <c r="AA1372" s="4">
        <v>14.4149464943988</v>
      </c>
      <c r="AB1372" s="4">
        <f t="shared" si="87"/>
        <v>14.443230674498466</v>
      </c>
    </row>
    <row r="1373" spans="2:28" x14ac:dyDescent="0.2">
      <c r="B1373" s="4" t="s">
        <v>3161</v>
      </c>
      <c r="C1373" s="4">
        <v>14.588100000000001</v>
      </c>
      <c r="D1373" s="4">
        <v>14.6297</v>
      </c>
      <c r="E1373" s="4">
        <v>14.4741</v>
      </c>
      <c r="F1373" s="4">
        <f t="shared" si="84"/>
        <v>14.563966666666667</v>
      </c>
      <c r="I1373" s="4" t="s">
        <v>3239</v>
      </c>
      <c r="J1373" s="4">
        <v>14.5349</v>
      </c>
      <c r="K1373" s="4">
        <v>14.927</v>
      </c>
      <c r="L1373" s="4">
        <v>14.3292</v>
      </c>
      <c r="M1373" s="4">
        <f t="shared" si="85"/>
        <v>14.597033333333334</v>
      </c>
      <c r="Q1373" s="43" t="s">
        <v>674</v>
      </c>
      <c r="R1373" s="4">
        <v>14.386092821908401</v>
      </c>
      <c r="S1373" s="4">
        <v>14.204418517184401</v>
      </c>
      <c r="T1373" s="4">
        <v>14.5098340989426</v>
      </c>
      <c r="U1373" s="4">
        <f t="shared" si="86"/>
        <v>14.366781812678466</v>
      </c>
      <c r="X1373" s="43" t="s">
        <v>948</v>
      </c>
      <c r="Y1373" s="4">
        <v>14.5330550936566</v>
      </c>
      <c r="Z1373" s="4">
        <v>14.071499159558201</v>
      </c>
      <c r="AA1373" s="4">
        <v>14.7212612179295</v>
      </c>
      <c r="AB1373" s="4">
        <f t="shared" si="87"/>
        <v>14.441938490381434</v>
      </c>
    </row>
    <row r="1374" spans="2:28" x14ac:dyDescent="0.2">
      <c r="B1374" s="4" t="s">
        <v>4037</v>
      </c>
      <c r="C1374" s="4">
        <v>14.5684</v>
      </c>
      <c r="D1374" s="4">
        <v>14.525700000000001</v>
      </c>
      <c r="E1374" s="4">
        <v>14.596399999999999</v>
      </c>
      <c r="F1374" s="4">
        <f t="shared" si="84"/>
        <v>14.563499999999999</v>
      </c>
      <c r="I1374" s="4" t="s">
        <v>577</v>
      </c>
      <c r="J1374" s="4">
        <v>14.8086</v>
      </c>
      <c r="K1374" s="4">
        <v>14.2864</v>
      </c>
      <c r="L1374" s="4">
        <v>14.6936</v>
      </c>
      <c r="M1374" s="4">
        <f t="shared" si="85"/>
        <v>14.596200000000001</v>
      </c>
      <c r="Q1374" s="43" t="s">
        <v>4078</v>
      </c>
      <c r="R1374" s="4">
        <v>14.190670096258399</v>
      </c>
      <c r="S1374" s="4">
        <v>14.3826739014764</v>
      </c>
      <c r="T1374" s="4">
        <v>14.525852515149699</v>
      </c>
      <c r="U1374" s="4">
        <f t="shared" si="86"/>
        <v>14.366398837628166</v>
      </c>
      <c r="X1374" s="43" t="s">
        <v>408</v>
      </c>
      <c r="Y1374" s="4">
        <v>14.4756797311759</v>
      </c>
      <c r="Z1374" s="4">
        <v>14.320630094968401</v>
      </c>
      <c r="AA1374" s="4">
        <v>14.5272796297398</v>
      </c>
      <c r="AB1374" s="4">
        <f t="shared" si="87"/>
        <v>14.441196485294702</v>
      </c>
    </row>
    <row r="1375" spans="2:28" x14ac:dyDescent="0.2">
      <c r="B1375" s="4" t="s">
        <v>1469</v>
      </c>
      <c r="C1375" s="4">
        <v>14.1553</v>
      </c>
      <c r="D1375" s="4">
        <v>14.451700000000001</v>
      </c>
      <c r="E1375" s="4">
        <v>15.0794</v>
      </c>
      <c r="F1375" s="4">
        <f t="shared" si="84"/>
        <v>14.562133333333334</v>
      </c>
      <c r="I1375" s="4" t="s">
        <v>2563</v>
      </c>
      <c r="J1375" s="4">
        <v>14.309699999999999</v>
      </c>
      <c r="K1375" s="4">
        <v>14.872400000000001</v>
      </c>
      <c r="L1375" s="4">
        <v>14.601599999999999</v>
      </c>
      <c r="M1375" s="4">
        <f t="shared" si="85"/>
        <v>14.594566666666665</v>
      </c>
      <c r="Q1375" s="43" t="s">
        <v>1538</v>
      </c>
      <c r="R1375" s="4">
        <v>14.5655740488553</v>
      </c>
      <c r="S1375" s="4">
        <v>13.880302161294701</v>
      </c>
      <c r="T1375" s="4">
        <v>14.653257406927899</v>
      </c>
      <c r="U1375" s="4">
        <f t="shared" si="86"/>
        <v>14.366377872359299</v>
      </c>
      <c r="X1375" s="43" t="s">
        <v>1633</v>
      </c>
      <c r="Y1375" s="4">
        <v>14.2333730533396</v>
      </c>
      <c r="Z1375" s="4">
        <v>14.5365282804858</v>
      </c>
      <c r="AA1375" s="4">
        <v>14.5477563626637</v>
      </c>
      <c r="AB1375" s="4">
        <f t="shared" si="87"/>
        <v>14.439219232163033</v>
      </c>
    </row>
    <row r="1376" spans="2:28" x14ac:dyDescent="0.2">
      <c r="B1376" s="4" t="s">
        <v>4038</v>
      </c>
      <c r="C1376" s="4">
        <v>14.5745</v>
      </c>
      <c r="D1376" s="4">
        <v>14.6717</v>
      </c>
      <c r="E1376" s="4">
        <v>14.4361</v>
      </c>
      <c r="F1376" s="4">
        <f t="shared" si="84"/>
        <v>14.560766666666666</v>
      </c>
      <c r="I1376" s="4" t="s">
        <v>3513</v>
      </c>
      <c r="J1376" s="4">
        <v>14.344900000000001</v>
      </c>
      <c r="K1376" s="4">
        <v>14.9023</v>
      </c>
      <c r="L1376" s="4">
        <v>14.5334</v>
      </c>
      <c r="M1376" s="4">
        <f t="shared" si="85"/>
        <v>14.593533333333333</v>
      </c>
      <c r="Q1376" s="43" t="s">
        <v>3682</v>
      </c>
      <c r="R1376" s="4">
        <v>14.567427627902299</v>
      </c>
      <c r="S1376" s="4">
        <v>14.3477798918411</v>
      </c>
      <c r="T1376" s="4">
        <v>14.1830536441206</v>
      </c>
      <c r="U1376" s="4">
        <f t="shared" si="86"/>
        <v>14.366087054621332</v>
      </c>
      <c r="X1376" s="43" t="s">
        <v>4009</v>
      </c>
      <c r="Y1376" s="4">
        <v>14.425434286501099</v>
      </c>
      <c r="Z1376" s="4">
        <v>14.4724702996549</v>
      </c>
      <c r="AA1376" s="4">
        <v>14.416387687334799</v>
      </c>
      <c r="AB1376" s="4">
        <f t="shared" si="87"/>
        <v>14.438097424496933</v>
      </c>
    </row>
    <row r="1377" spans="2:28" x14ac:dyDescent="0.2">
      <c r="B1377" s="4" t="s">
        <v>1562</v>
      </c>
      <c r="C1377" s="4">
        <v>14.203799999999999</v>
      </c>
      <c r="D1377" s="4">
        <v>14.6424</v>
      </c>
      <c r="E1377" s="4">
        <v>14.8316</v>
      </c>
      <c r="F1377" s="4">
        <f t="shared" si="84"/>
        <v>14.559266666666666</v>
      </c>
      <c r="I1377" s="4" t="s">
        <v>2747</v>
      </c>
      <c r="J1377" s="4">
        <v>14.686500000000001</v>
      </c>
      <c r="K1377" s="4">
        <v>14.287699999999999</v>
      </c>
      <c r="L1377" s="4">
        <v>14.8042</v>
      </c>
      <c r="M1377" s="4">
        <f t="shared" si="85"/>
        <v>14.592799999999999</v>
      </c>
      <c r="Q1377" s="43" t="s">
        <v>3568</v>
      </c>
      <c r="R1377" s="4">
        <v>14.840487645465799</v>
      </c>
      <c r="S1377" s="4">
        <v>14.1124569169778</v>
      </c>
      <c r="T1377" s="4">
        <v>14.143722750167701</v>
      </c>
      <c r="U1377" s="4">
        <f t="shared" si="86"/>
        <v>14.365555770870435</v>
      </c>
      <c r="X1377" s="43" t="s">
        <v>596</v>
      </c>
      <c r="Y1377" s="4">
        <v>14.4956331490973</v>
      </c>
      <c r="Z1377" s="4">
        <v>14.703092437410699</v>
      </c>
      <c r="AA1377" s="4">
        <v>14.115194122002</v>
      </c>
      <c r="AB1377" s="4">
        <f t="shared" si="87"/>
        <v>14.43797323617</v>
      </c>
    </row>
    <row r="1378" spans="2:28" x14ac:dyDescent="0.2">
      <c r="B1378" s="4" t="s">
        <v>1704</v>
      </c>
      <c r="C1378" s="4">
        <v>14.5595</v>
      </c>
      <c r="D1378" s="4">
        <v>14.398199999999999</v>
      </c>
      <c r="E1378" s="4">
        <v>14.7179</v>
      </c>
      <c r="F1378" s="4">
        <f t="shared" si="84"/>
        <v>14.558533333333335</v>
      </c>
      <c r="I1378" s="4" t="s">
        <v>1469</v>
      </c>
      <c r="J1378" s="4">
        <v>14.3604</v>
      </c>
      <c r="K1378" s="4">
        <v>14.8576</v>
      </c>
      <c r="L1378" s="4">
        <v>14.555400000000001</v>
      </c>
      <c r="M1378" s="4">
        <f t="shared" si="85"/>
        <v>14.591133333333334</v>
      </c>
      <c r="Q1378" s="43" t="s">
        <v>1059</v>
      </c>
      <c r="R1378" s="4">
        <v>14.4560900297054</v>
      </c>
      <c r="S1378" s="4">
        <v>14.400409851909</v>
      </c>
      <c r="T1378" s="4">
        <v>14.219076179293999</v>
      </c>
      <c r="U1378" s="4">
        <f t="shared" si="86"/>
        <v>14.358525353636134</v>
      </c>
      <c r="X1378" s="43" t="s">
        <v>2323</v>
      </c>
      <c r="Y1378" s="4">
        <v>14.4807761099625</v>
      </c>
      <c r="Z1378" s="4">
        <v>14.4228942984035</v>
      </c>
      <c r="AA1378" s="4">
        <v>14.4091338284132</v>
      </c>
      <c r="AB1378" s="4">
        <f t="shared" si="87"/>
        <v>14.437601412259733</v>
      </c>
    </row>
    <row r="1379" spans="2:28" x14ac:dyDescent="0.2">
      <c r="B1379" s="4" t="s">
        <v>3797</v>
      </c>
      <c r="C1379" s="4">
        <v>14.636799999999999</v>
      </c>
      <c r="D1379" s="4">
        <v>14.321899999999999</v>
      </c>
      <c r="E1379" s="4">
        <v>14.716100000000001</v>
      </c>
      <c r="F1379" s="4">
        <f t="shared" si="84"/>
        <v>14.558266666666668</v>
      </c>
      <c r="I1379" s="4" t="s">
        <v>2772</v>
      </c>
      <c r="J1379" s="4">
        <v>14.7347</v>
      </c>
      <c r="K1379" s="4">
        <v>14.4384</v>
      </c>
      <c r="L1379" s="4">
        <v>14.5938</v>
      </c>
      <c r="M1379" s="4">
        <f t="shared" si="85"/>
        <v>14.588966666666666</v>
      </c>
      <c r="Q1379" s="43" t="s">
        <v>3150</v>
      </c>
      <c r="R1379" s="4">
        <v>14.4603620512248</v>
      </c>
      <c r="S1379" s="4">
        <v>14.3071340882532</v>
      </c>
      <c r="T1379" s="4">
        <v>14.3070168694638</v>
      </c>
      <c r="U1379" s="4">
        <f t="shared" si="86"/>
        <v>14.358171002980599</v>
      </c>
      <c r="X1379" s="43" t="s">
        <v>3395</v>
      </c>
      <c r="Y1379" s="4">
        <v>14.398707531607901</v>
      </c>
      <c r="Z1379" s="4">
        <v>14.507522308161001</v>
      </c>
      <c r="AA1379" s="4">
        <v>14.4003950883085</v>
      </c>
      <c r="AB1379" s="4">
        <f t="shared" si="87"/>
        <v>14.435541642692465</v>
      </c>
    </row>
    <row r="1380" spans="2:28" x14ac:dyDescent="0.2">
      <c r="B1380" s="4" t="s">
        <v>3110</v>
      </c>
      <c r="C1380" s="4">
        <v>14.7516</v>
      </c>
      <c r="D1380" s="4">
        <v>14.424099999999999</v>
      </c>
      <c r="E1380" s="4">
        <v>14.4849</v>
      </c>
      <c r="F1380" s="4">
        <f t="shared" si="84"/>
        <v>14.553533333333334</v>
      </c>
      <c r="I1380" s="4" t="s">
        <v>3933</v>
      </c>
      <c r="J1380" s="4">
        <v>14.683299999999999</v>
      </c>
      <c r="K1380" s="4">
        <v>14.756399999999999</v>
      </c>
      <c r="L1380" s="4">
        <v>14.326700000000001</v>
      </c>
      <c r="M1380" s="4">
        <f t="shared" si="85"/>
        <v>14.588799999999999</v>
      </c>
      <c r="Q1380" s="43" t="s">
        <v>4387</v>
      </c>
      <c r="R1380" s="4">
        <v>14.306774565405201</v>
      </c>
      <c r="S1380" s="4">
        <v>14.4245653206256</v>
      </c>
      <c r="T1380" s="4">
        <v>14.3428058956325</v>
      </c>
      <c r="U1380" s="4">
        <f t="shared" si="86"/>
        <v>14.358048593887768</v>
      </c>
      <c r="X1380" s="43" t="s">
        <v>268</v>
      </c>
      <c r="Y1380" s="4">
        <v>14.3849862695968</v>
      </c>
      <c r="Z1380" s="4">
        <v>14.473574126191201</v>
      </c>
      <c r="AA1380" s="4">
        <v>14.4454921596929</v>
      </c>
      <c r="AB1380" s="4">
        <f t="shared" si="87"/>
        <v>14.4346841851603</v>
      </c>
    </row>
    <row r="1381" spans="2:28" x14ac:dyDescent="0.2">
      <c r="B1381" s="4" t="s">
        <v>2190</v>
      </c>
      <c r="C1381" s="4">
        <v>15.077999999999999</v>
      </c>
      <c r="D1381" s="4">
        <v>14.6599</v>
      </c>
      <c r="E1381" s="4">
        <v>13.9224</v>
      </c>
      <c r="F1381" s="4">
        <f t="shared" si="84"/>
        <v>14.553433333333333</v>
      </c>
      <c r="I1381" s="4" t="s">
        <v>3094</v>
      </c>
      <c r="J1381" s="4">
        <v>14.352499999999999</v>
      </c>
      <c r="K1381" s="4">
        <v>14.961399999999999</v>
      </c>
      <c r="L1381" s="4">
        <v>14.4505</v>
      </c>
      <c r="M1381" s="4">
        <f t="shared" si="85"/>
        <v>14.588133333333332</v>
      </c>
      <c r="Q1381" s="43" t="s">
        <v>3726</v>
      </c>
      <c r="R1381" s="4">
        <v>14.3959552046522</v>
      </c>
      <c r="S1381" s="4">
        <v>14.350957477618101</v>
      </c>
      <c r="T1381" s="4">
        <v>14.3262053921184</v>
      </c>
      <c r="U1381" s="4">
        <f t="shared" si="86"/>
        <v>14.357706024796235</v>
      </c>
      <c r="X1381" s="43" t="s">
        <v>1265</v>
      </c>
      <c r="Y1381" s="4">
        <v>14.2340150750801</v>
      </c>
      <c r="Z1381" s="4">
        <v>14.4959822395394</v>
      </c>
      <c r="AA1381" s="4">
        <v>14.5699545155145</v>
      </c>
      <c r="AB1381" s="4">
        <f t="shared" si="87"/>
        <v>14.433317276711334</v>
      </c>
    </row>
    <row r="1382" spans="2:28" x14ac:dyDescent="0.2">
      <c r="B1382" s="4" t="s">
        <v>2590</v>
      </c>
      <c r="C1382" s="4">
        <v>14.2761</v>
      </c>
      <c r="D1382" s="4">
        <v>14.723800000000001</v>
      </c>
      <c r="E1382" s="4">
        <v>14.6561</v>
      </c>
      <c r="F1382" s="4">
        <f t="shared" si="84"/>
        <v>14.552</v>
      </c>
      <c r="I1382" s="4" t="s">
        <v>2470</v>
      </c>
      <c r="J1382" s="4">
        <v>14.6816</v>
      </c>
      <c r="K1382" s="4">
        <v>14.4994</v>
      </c>
      <c r="L1382" s="4">
        <v>14.563000000000001</v>
      </c>
      <c r="M1382" s="4">
        <f t="shared" si="85"/>
        <v>14.581333333333333</v>
      </c>
      <c r="Q1382" s="43" t="s">
        <v>4299</v>
      </c>
      <c r="R1382" s="4">
        <v>14.3380766365123</v>
      </c>
      <c r="S1382" s="4">
        <v>14.555471861711499</v>
      </c>
      <c r="T1382" s="4">
        <v>14.176808190729201</v>
      </c>
      <c r="U1382" s="4">
        <f t="shared" si="86"/>
        <v>14.356785562984333</v>
      </c>
      <c r="X1382" s="43" t="s">
        <v>494</v>
      </c>
      <c r="Y1382" s="4">
        <v>14.489811741568399</v>
      </c>
      <c r="Z1382" s="4">
        <v>14.3512966448233</v>
      </c>
      <c r="AA1382" s="4">
        <v>14.447234970916099</v>
      </c>
      <c r="AB1382" s="4">
        <f t="shared" si="87"/>
        <v>14.429447785769264</v>
      </c>
    </row>
    <row r="1383" spans="2:28" x14ac:dyDescent="0.2">
      <c r="B1383" s="4" t="s">
        <v>2099</v>
      </c>
      <c r="C1383" s="4">
        <v>14.583</v>
      </c>
      <c r="D1383" s="4">
        <v>14.7971</v>
      </c>
      <c r="E1383" s="4">
        <v>14.2662</v>
      </c>
      <c r="F1383" s="4">
        <f t="shared" si="84"/>
        <v>14.548766666666666</v>
      </c>
      <c r="I1383" s="4" t="s">
        <v>1724</v>
      </c>
      <c r="J1383" s="4">
        <v>14.783200000000001</v>
      </c>
      <c r="K1383" s="4">
        <v>14.3773</v>
      </c>
      <c r="L1383" s="4">
        <v>14.5753</v>
      </c>
      <c r="M1383" s="4">
        <f t="shared" si="85"/>
        <v>14.5786</v>
      </c>
      <c r="Q1383" s="43" t="s">
        <v>2575</v>
      </c>
      <c r="R1383" s="4">
        <v>14.113847989267301</v>
      </c>
      <c r="S1383" s="4">
        <v>14.371352586799301</v>
      </c>
      <c r="T1383" s="4">
        <v>14.5712431775694</v>
      </c>
      <c r="U1383" s="4">
        <f t="shared" si="86"/>
        <v>14.352147917878668</v>
      </c>
      <c r="X1383" s="43" t="s">
        <v>57</v>
      </c>
      <c r="Y1383" s="4">
        <v>14.462767720973201</v>
      </c>
      <c r="Z1383" s="4">
        <v>14.435494876036699</v>
      </c>
      <c r="AA1383" s="4">
        <v>14.389418146149699</v>
      </c>
      <c r="AB1383" s="4">
        <f t="shared" si="87"/>
        <v>14.429226914386533</v>
      </c>
    </row>
    <row r="1384" spans="2:28" x14ac:dyDescent="0.2">
      <c r="B1384" s="4" t="s">
        <v>2494</v>
      </c>
      <c r="C1384" s="4">
        <v>14.7334</v>
      </c>
      <c r="D1384" s="4">
        <v>14.428100000000001</v>
      </c>
      <c r="E1384" s="4">
        <v>14.480700000000001</v>
      </c>
      <c r="F1384" s="4">
        <f t="shared" si="84"/>
        <v>14.547400000000001</v>
      </c>
      <c r="I1384" s="4" t="s">
        <v>2099</v>
      </c>
      <c r="J1384" s="4">
        <v>14.438000000000001</v>
      </c>
      <c r="K1384" s="4">
        <v>14.8992</v>
      </c>
      <c r="L1384" s="4">
        <v>14.396699999999999</v>
      </c>
      <c r="M1384" s="4">
        <f t="shared" si="85"/>
        <v>14.577966666666669</v>
      </c>
      <c r="Q1384" s="43" t="s">
        <v>1831</v>
      </c>
      <c r="R1384" s="4">
        <v>14.661256538510999</v>
      </c>
      <c r="S1384" s="4">
        <v>14.207318770693499</v>
      </c>
      <c r="T1384" s="4">
        <v>14.1811811738263</v>
      </c>
      <c r="U1384" s="4">
        <f t="shared" si="86"/>
        <v>14.349918827676932</v>
      </c>
      <c r="X1384" s="43" t="s">
        <v>3959</v>
      </c>
      <c r="Y1384" s="4">
        <v>14.4459093048066</v>
      </c>
      <c r="Z1384" s="4">
        <v>14.3755582126573</v>
      </c>
      <c r="AA1384" s="4">
        <v>14.465372375708499</v>
      </c>
      <c r="AB1384" s="4">
        <f t="shared" si="87"/>
        <v>14.428946631057466</v>
      </c>
    </row>
    <row r="1385" spans="2:28" x14ac:dyDescent="0.2">
      <c r="B1385" s="4" t="s">
        <v>2378</v>
      </c>
      <c r="C1385" s="4">
        <v>14.6754</v>
      </c>
      <c r="D1385" s="4">
        <v>14.733599999999999</v>
      </c>
      <c r="E1385" s="4">
        <v>14.2302</v>
      </c>
      <c r="F1385" s="4">
        <f t="shared" si="84"/>
        <v>14.5464</v>
      </c>
      <c r="I1385" s="4" t="s">
        <v>1459</v>
      </c>
      <c r="J1385" s="4">
        <v>13.787599999999999</v>
      </c>
      <c r="K1385" s="4">
        <v>16.1142</v>
      </c>
      <c r="L1385" s="4">
        <v>13.827999999999999</v>
      </c>
      <c r="M1385" s="4">
        <f t="shared" si="85"/>
        <v>14.576599999999999</v>
      </c>
      <c r="Q1385" s="43" t="s">
        <v>3076</v>
      </c>
      <c r="R1385" s="4">
        <v>14.498647212599399</v>
      </c>
      <c r="S1385" s="4">
        <v>14.243420125272801</v>
      </c>
      <c r="T1385" s="4">
        <v>14.306941014942399</v>
      </c>
      <c r="U1385" s="4">
        <f t="shared" si="86"/>
        <v>14.349669450938199</v>
      </c>
      <c r="X1385" s="43" t="s">
        <v>3561</v>
      </c>
      <c r="Y1385" s="4">
        <v>14.462372154334201</v>
      </c>
      <c r="Z1385" s="4">
        <v>14.5026252499132</v>
      </c>
      <c r="AA1385" s="4">
        <v>14.3208302274774</v>
      </c>
      <c r="AB1385" s="4">
        <f t="shared" si="87"/>
        <v>14.428609210574933</v>
      </c>
    </row>
    <row r="1386" spans="2:28" x14ac:dyDescent="0.2">
      <c r="B1386" s="4" t="s">
        <v>3004</v>
      </c>
      <c r="C1386" s="4">
        <v>14.4259</v>
      </c>
      <c r="D1386" s="4">
        <v>14.634499999999999</v>
      </c>
      <c r="E1386" s="4">
        <v>14.576499999999999</v>
      </c>
      <c r="F1386" s="4">
        <f t="shared" si="84"/>
        <v>14.545633333333333</v>
      </c>
      <c r="I1386" s="4" t="s">
        <v>1352</v>
      </c>
      <c r="J1386" s="4">
        <v>14.468</v>
      </c>
      <c r="K1386" s="4">
        <v>14.6639</v>
      </c>
      <c r="L1386" s="4">
        <v>14.596399999999999</v>
      </c>
      <c r="M1386" s="4">
        <f t="shared" si="85"/>
        <v>14.576100000000002</v>
      </c>
      <c r="Q1386" s="43" t="s">
        <v>2363</v>
      </c>
      <c r="R1386" s="4">
        <v>14.678763344110999</v>
      </c>
      <c r="S1386" s="4">
        <v>14.2532631447343</v>
      </c>
      <c r="T1386" s="4">
        <v>14.1166453263207</v>
      </c>
      <c r="U1386" s="4">
        <f t="shared" si="86"/>
        <v>14.349557271722</v>
      </c>
      <c r="X1386" s="43" t="s">
        <v>2799</v>
      </c>
      <c r="Y1386" s="4">
        <v>14.4008936499784</v>
      </c>
      <c r="Z1386" s="4">
        <v>14.4324450383924</v>
      </c>
      <c r="AA1386" s="4">
        <v>14.448431286729299</v>
      </c>
      <c r="AB1386" s="4">
        <f t="shared" si="87"/>
        <v>14.427256658366701</v>
      </c>
    </row>
    <row r="1387" spans="2:28" x14ac:dyDescent="0.2">
      <c r="B1387" s="4" t="s">
        <v>2374</v>
      </c>
      <c r="C1387" s="4">
        <v>14.4693</v>
      </c>
      <c r="D1387" s="4">
        <v>14.728199999999999</v>
      </c>
      <c r="E1387" s="4">
        <v>14.438599999999999</v>
      </c>
      <c r="F1387" s="4">
        <f t="shared" si="84"/>
        <v>14.545366666666666</v>
      </c>
      <c r="I1387" s="4" t="s">
        <v>2608</v>
      </c>
      <c r="J1387" s="4">
        <v>14.6142</v>
      </c>
      <c r="K1387" s="4">
        <v>14.2746</v>
      </c>
      <c r="L1387" s="4">
        <v>14.8375</v>
      </c>
      <c r="M1387" s="4">
        <f t="shared" si="85"/>
        <v>14.575433333333335</v>
      </c>
      <c r="Q1387" s="43" t="s">
        <v>2750</v>
      </c>
      <c r="R1387" s="4">
        <v>14.3814881479032</v>
      </c>
      <c r="S1387" s="4">
        <v>14.267437530565701</v>
      </c>
      <c r="T1387" s="4">
        <v>14.394418740526</v>
      </c>
      <c r="U1387" s="4">
        <f t="shared" si="86"/>
        <v>14.3477814729983</v>
      </c>
      <c r="X1387" s="43" t="s">
        <v>1060</v>
      </c>
      <c r="Y1387" s="4">
        <v>14.8912782049557</v>
      </c>
      <c r="Z1387" s="4">
        <v>14.172849053770699</v>
      </c>
      <c r="AA1387" s="4">
        <v>14.215194398446499</v>
      </c>
      <c r="AB1387" s="4">
        <f t="shared" si="87"/>
        <v>14.426440552390966</v>
      </c>
    </row>
    <row r="1388" spans="2:28" x14ac:dyDescent="0.2">
      <c r="B1388" s="4" t="s">
        <v>3538</v>
      </c>
      <c r="C1388" s="4">
        <v>14.8559</v>
      </c>
      <c r="D1388" s="4">
        <v>14.750999999999999</v>
      </c>
      <c r="E1388" s="4">
        <v>14.0252</v>
      </c>
      <c r="F1388" s="4">
        <f t="shared" si="84"/>
        <v>14.544033333333333</v>
      </c>
      <c r="I1388" s="4" t="s">
        <v>2717</v>
      </c>
      <c r="J1388" s="4">
        <v>14.8</v>
      </c>
      <c r="K1388" s="4">
        <v>14.3835</v>
      </c>
      <c r="L1388" s="4">
        <v>14.5229</v>
      </c>
      <c r="M1388" s="4">
        <f t="shared" si="85"/>
        <v>14.568800000000001</v>
      </c>
      <c r="Q1388" s="43" t="s">
        <v>3526</v>
      </c>
      <c r="R1388" s="4">
        <v>14.7037900382165</v>
      </c>
      <c r="S1388" s="4">
        <v>14.145205414270899</v>
      </c>
      <c r="T1388" s="4">
        <v>14.194254813897199</v>
      </c>
      <c r="U1388" s="4">
        <f t="shared" si="86"/>
        <v>14.347750088794868</v>
      </c>
      <c r="X1388" s="43" t="s">
        <v>1755</v>
      </c>
      <c r="Y1388" s="4">
        <v>14.3989428615403</v>
      </c>
      <c r="Z1388" s="4">
        <v>14.387574213414499</v>
      </c>
      <c r="AA1388" s="4">
        <v>14.4924631675424</v>
      </c>
      <c r="AB1388" s="4">
        <f t="shared" si="87"/>
        <v>14.426326747499067</v>
      </c>
    </row>
    <row r="1389" spans="2:28" x14ac:dyDescent="0.2">
      <c r="B1389" s="4" t="s">
        <v>2889</v>
      </c>
      <c r="C1389" s="4">
        <v>14.4003</v>
      </c>
      <c r="D1389" s="4">
        <v>14.6113</v>
      </c>
      <c r="E1389" s="4">
        <v>14.618499999999999</v>
      </c>
      <c r="F1389" s="4">
        <f t="shared" si="84"/>
        <v>14.543366666666666</v>
      </c>
      <c r="I1389" s="4" t="s">
        <v>2671</v>
      </c>
      <c r="J1389" s="4">
        <v>14.932399999999999</v>
      </c>
      <c r="K1389" s="4">
        <v>13.785500000000001</v>
      </c>
      <c r="L1389" s="4">
        <v>14.9834</v>
      </c>
      <c r="M1389" s="4">
        <f t="shared" si="85"/>
        <v>14.567100000000002</v>
      </c>
      <c r="Q1389" s="43" t="s">
        <v>2814</v>
      </c>
      <c r="R1389" s="4">
        <v>14.4377286236505</v>
      </c>
      <c r="S1389" s="4">
        <v>14.1867980716194</v>
      </c>
      <c r="T1389" s="4">
        <v>14.407312384583101</v>
      </c>
      <c r="U1389" s="4">
        <f t="shared" si="86"/>
        <v>14.343946359951</v>
      </c>
      <c r="X1389" s="43" t="s">
        <v>3559</v>
      </c>
      <c r="Y1389" s="4">
        <v>14.3020665269707</v>
      </c>
      <c r="Z1389" s="4">
        <v>14.5825304603283</v>
      </c>
      <c r="AA1389" s="4">
        <v>14.390870919194001</v>
      </c>
      <c r="AB1389" s="4">
        <f t="shared" si="87"/>
        <v>14.425155968831</v>
      </c>
    </row>
    <row r="1390" spans="2:28" x14ac:dyDescent="0.2">
      <c r="B1390" s="4" t="s">
        <v>3088</v>
      </c>
      <c r="C1390" s="4">
        <v>14.3301</v>
      </c>
      <c r="D1390" s="4">
        <v>14.6129</v>
      </c>
      <c r="E1390" s="4">
        <v>14.664099999999999</v>
      </c>
      <c r="F1390" s="4">
        <f t="shared" si="84"/>
        <v>14.535699999999999</v>
      </c>
      <c r="I1390" s="4" t="s">
        <v>3372</v>
      </c>
      <c r="J1390" s="4">
        <v>14.4739</v>
      </c>
      <c r="K1390" s="4">
        <v>15.3756</v>
      </c>
      <c r="L1390" s="4">
        <v>13.8504</v>
      </c>
      <c r="M1390" s="4">
        <f t="shared" si="85"/>
        <v>14.566633333333334</v>
      </c>
      <c r="Q1390" s="43" t="s">
        <v>4243</v>
      </c>
      <c r="R1390" s="4">
        <v>14.474867147862801</v>
      </c>
      <c r="S1390" s="4">
        <v>14.4720981048235</v>
      </c>
      <c r="T1390" s="4">
        <v>14.0774432339303</v>
      </c>
      <c r="U1390" s="4">
        <f t="shared" si="86"/>
        <v>14.341469495538867</v>
      </c>
      <c r="X1390" s="43" t="s">
        <v>195</v>
      </c>
      <c r="Y1390" s="4">
        <v>14.391689820083799</v>
      </c>
      <c r="Z1390" s="4">
        <v>14.4166778978644</v>
      </c>
      <c r="AA1390" s="4">
        <v>14.46544428913</v>
      </c>
      <c r="AB1390" s="4">
        <f t="shared" si="87"/>
        <v>14.4246040023594</v>
      </c>
    </row>
    <row r="1391" spans="2:28" x14ac:dyDescent="0.2">
      <c r="B1391" s="4" t="s">
        <v>1205</v>
      </c>
      <c r="C1391" s="4">
        <v>14.127000000000001</v>
      </c>
      <c r="D1391" s="4">
        <v>14.5497</v>
      </c>
      <c r="E1391" s="4">
        <v>14.928900000000001</v>
      </c>
      <c r="F1391" s="4">
        <f t="shared" si="84"/>
        <v>14.535200000000001</v>
      </c>
      <c r="I1391" s="4" t="s">
        <v>186</v>
      </c>
      <c r="J1391" s="4">
        <v>14.510199999999999</v>
      </c>
      <c r="K1391" s="4">
        <v>14.8202</v>
      </c>
      <c r="L1391" s="4">
        <v>14.368499999999999</v>
      </c>
      <c r="M1391" s="4">
        <f t="shared" si="85"/>
        <v>14.566299999999998</v>
      </c>
      <c r="Q1391" s="43" t="s">
        <v>2815</v>
      </c>
      <c r="R1391" s="4">
        <v>14.4231754795554</v>
      </c>
      <c r="S1391" s="4">
        <v>14.304756947532001</v>
      </c>
      <c r="T1391" s="4">
        <v>14.289590240218001</v>
      </c>
      <c r="U1391" s="4">
        <f t="shared" si="86"/>
        <v>14.339174222435133</v>
      </c>
      <c r="X1391" s="43" t="s">
        <v>2646</v>
      </c>
      <c r="Y1391" s="4">
        <v>14.3801444310007</v>
      </c>
      <c r="Z1391" s="4">
        <v>14.4824746862413</v>
      </c>
      <c r="AA1391" s="4">
        <v>14.3977655003393</v>
      </c>
      <c r="AB1391" s="4">
        <f t="shared" si="87"/>
        <v>14.420128205860431</v>
      </c>
    </row>
    <row r="1392" spans="2:28" x14ac:dyDescent="0.2">
      <c r="B1392" s="4" t="s">
        <v>355</v>
      </c>
      <c r="C1392" s="4">
        <v>13.9892</v>
      </c>
      <c r="D1392" s="4">
        <v>14.709300000000001</v>
      </c>
      <c r="E1392" s="4">
        <v>14.9046</v>
      </c>
      <c r="F1392" s="4">
        <f t="shared" si="84"/>
        <v>14.534366666666669</v>
      </c>
      <c r="I1392" s="4" t="s">
        <v>1830</v>
      </c>
      <c r="J1392" s="4">
        <v>14.761799999999999</v>
      </c>
      <c r="K1392" s="4">
        <v>14.487</v>
      </c>
      <c r="L1392" s="4">
        <v>14.446199999999999</v>
      </c>
      <c r="M1392" s="4">
        <f t="shared" si="85"/>
        <v>14.565</v>
      </c>
      <c r="Q1392" s="43" t="s">
        <v>76</v>
      </c>
      <c r="R1392" s="4">
        <v>14.201052785272401</v>
      </c>
      <c r="S1392" s="4">
        <v>14.5201398966199</v>
      </c>
      <c r="T1392" s="4">
        <v>14.292201703326199</v>
      </c>
      <c r="U1392" s="4">
        <f t="shared" si="86"/>
        <v>14.337798128406169</v>
      </c>
      <c r="X1392" s="43" t="s">
        <v>731</v>
      </c>
      <c r="Y1392" s="4">
        <v>14.5233408312957</v>
      </c>
      <c r="Z1392" s="4">
        <v>14.5834731611546</v>
      </c>
      <c r="AA1392" s="4">
        <v>14.147847341979499</v>
      </c>
      <c r="AB1392" s="4">
        <f t="shared" si="87"/>
        <v>14.418220444809933</v>
      </c>
    </row>
    <row r="1393" spans="2:28" x14ac:dyDescent="0.2">
      <c r="B1393" s="4" t="s">
        <v>3269</v>
      </c>
      <c r="C1393" s="4">
        <v>14.497299999999999</v>
      </c>
      <c r="D1393" s="4">
        <v>14.4391</v>
      </c>
      <c r="E1393" s="4">
        <v>14.661899999999999</v>
      </c>
      <c r="F1393" s="4">
        <f t="shared" si="84"/>
        <v>14.532766666666666</v>
      </c>
      <c r="I1393" s="4" t="s">
        <v>1158</v>
      </c>
      <c r="J1393" s="4">
        <v>14.852600000000001</v>
      </c>
      <c r="K1393" s="4">
        <v>14.079700000000001</v>
      </c>
      <c r="L1393" s="4">
        <v>14.758900000000001</v>
      </c>
      <c r="M1393" s="4">
        <f t="shared" si="85"/>
        <v>14.563733333333333</v>
      </c>
      <c r="Q1393" s="43" t="s">
        <v>1652</v>
      </c>
      <c r="R1393" s="4">
        <v>14.332884263892</v>
      </c>
      <c r="S1393" s="4">
        <v>14.3230916324062</v>
      </c>
      <c r="T1393" s="4">
        <v>14.356673045771499</v>
      </c>
      <c r="U1393" s="4">
        <f t="shared" si="86"/>
        <v>14.337549647356568</v>
      </c>
      <c r="X1393" s="43" t="s">
        <v>4114</v>
      </c>
      <c r="Y1393" s="4">
        <v>14.3164601678968</v>
      </c>
      <c r="Z1393" s="4">
        <v>14.459055756664</v>
      </c>
      <c r="AA1393" s="4">
        <v>14.476933259376001</v>
      </c>
      <c r="AB1393" s="4">
        <f t="shared" si="87"/>
        <v>14.417483061312268</v>
      </c>
    </row>
    <row r="1394" spans="2:28" x14ac:dyDescent="0.2">
      <c r="B1394" s="4" t="s">
        <v>2240</v>
      </c>
      <c r="C1394" s="4">
        <v>14.515499999999999</v>
      </c>
      <c r="D1394" s="4">
        <v>14.654500000000001</v>
      </c>
      <c r="E1394" s="4">
        <v>14.425000000000001</v>
      </c>
      <c r="F1394" s="4">
        <f t="shared" si="84"/>
        <v>14.531666666666666</v>
      </c>
      <c r="I1394" s="4" t="s">
        <v>390</v>
      </c>
      <c r="J1394" s="4">
        <v>14.5976</v>
      </c>
      <c r="K1394" s="4">
        <v>14.4818</v>
      </c>
      <c r="L1394" s="4">
        <v>14.61</v>
      </c>
      <c r="M1394" s="4">
        <f t="shared" si="85"/>
        <v>14.563133333333333</v>
      </c>
      <c r="Q1394" s="43" t="s">
        <v>1325</v>
      </c>
      <c r="R1394" s="4">
        <v>14.3549390931214</v>
      </c>
      <c r="S1394" s="4">
        <v>14.2787016248193</v>
      </c>
      <c r="T1394" s="4">
        <v>14.3708090274067</v>
      </c>
      <c r="U1394" s="4">
        <f t="shared" si="86"/>
        <v>14.334816581782468</v>
      </c>
      <c r="X1394" s="43" t="s">
        <v>4546</v>
      </c>
      <c r="Y1394" s="4">
        <v>14.589332913862901</v>
      </c>
      <c r="Z1394" s="4">
        <v>14.7487213354494</v>
      </c>
      <c r="AA1394" s="4">
        <v>13.910576234098199</v>
      </c>
      <c r="AB1394" s="4">
        <f t="shared" si="87"/>
        <v>14.416210161136833</v>
      </c>
    </row>
    <row r="1395" spans="2:28" x14ac:dyDescent="0.2">
      <c r="B1395" s="4" t="s">
        <v>835</v>
      </c>
      <c r="C1395" s="4">
        <v>14.509499999999999</v>
      </c>
      <c r="D1395" s="4">
        <v>14.6839</v>
      </c>
      <c r="E1395" s="4">
        <v>14.3987</v>
      </c>
      <c r="F1395" s="4">
        <f t="shared" si="84"/>
        <v>14.530699999999998</v>
      </c>
      <c r="I1395" s="4" t="s">
        <v>3661</v>
      </c>
      <c r="J1395" s="4">
        <v>14.6157</v>
      </c>
      <c r="K1395" s="4">
        <v>14.4771</v>
      </c>
      <c r="L1395" s="4">
        <v>14.5936</v>
      </c>
      <c r="M1395" s="4">
        <f t="shared" si="85"/>
        <v>14.562133333333334</v>
      </c>
      <c r="Q1395" s="43" t="s">
        <v>2491</v>
      </c>
      <c r="R1395" s="4">
        <v>14.275799892147701</v>
      </c>
      <c r="S1395" s="4">
        <v>14.550742404581101</v>
      </c>
      <c r="T1395" s="4">
        <v>14.175036300158499</v>
      </c>
      <c r="U1395" s="4">
        <f t="shared" si="86"/>
        <v>14.333859532295767</v>
      </c>
      <c r="X1395" s="43" t="s">
        <v>847</v>
      </c>
      <c r="Y1395" s="4">
        <v>14.4154199721221</v>
      </c>
      <c r="Z1395" s="4">
        <v>14.530252731958001</v>
      </c>
      <c r="AA1395" s="4">
        <v>14.2992272089735</v>
      </c>
      <c r="AB1395" s="4">
        <f t="shared" si="87"/>
        <v>14.414966637684534</v>
      </c>
    </row>
    <row r="1396" spans="2:28" x14ac:dyDescent="0.2">
      <c r="B1396" s="4" t="s">
        <v>275</v>
      </c>
      <c r="C1396" s="4">
        <v>14.566700000000001</v>
      </c>
      <c r="D1396" s="4">
        <v>14.584300000000001</v>
      </c>
      <c r="E1396" s="4">
        <v>14.4396</v>
      </c>
      <c r="F1396" s="4">
        <f t="shared" si="84"/>
        <v>14.530200000000001</v>
      </c>
      <c r="I1396" s="4" t="s">
        <v>519</v>
      </c>
      <c r="J1396" s="4">
        <v>14.4276</v>
      </c>
      <c r="K1396" s="4">
        <v>14.9369</v>
      </c>
      <c r="L1396" s="4">
        <v>14.3164</v>
      </c>
      <c r="M1396" s="4">
        <f t="shared" si="85"/>
        <v>14.5603</v>
      </c>
      <c r="Q1396" s="43" t="s">
        <v>687</v>
      </c>
      <c r="R1396" s="4">
        <v>14.9701635664824</v>
      </c>
      <c r="S1396" s="4">
        <v>13.282201292178099</v>
      </c>
      <c r="T1396" s="4">
        <v>14.7490124065966</v>
      </c>
      <c r="U1396" s="4">
        <f t="shared" si="86"/>
        <v>14.333792421752365</v>
      </c>
      <c r="X1396" s="43" t="s">
        <v>3980</v>
      </c>
      <c r="Y1396" s="4">
        <v>14.5793676606245</v>
      </c>
      <c r="Z1396" s="4">
        <v>14.3684625623186</v>
      </c>
      <c r="AA1396" s="4">
        <v>14.295187150331699</v>
      </c>
      <c r="AB1396" s="4">
        <f t="shared" si="87"/>
        <v>14.414339124424933</v>
      </c>
    </row>
    <row r="1397" spans="2:28" x14ac:dyDescent="0.2">
      <c r="B1397" s="4" t="s">
        <v>896</v>
      </c>
      <c r="C1397" s="4">
        <v>15.274900000000001</v>
      </c>
      <c r="D1397" s="4">
        <v>14.107100000000001</v>
      </c>
      <c r="E1397" s="4">
        <v>14.201000000000001</v>
      </c>
      <c r="F1397" s="4">
        <f t="shared" si="84"/>
        <v>14.527666666666667</v>
      </c>
      <c r="I1397" s="4" t="s">
        <v>410</v>
      </c>
      <c r="J1397" s="4">
        <v>14.2798</v>
      </c>
      <c r="K1397" s="4">
        <v>15.174200000000001</v>
      </c>
      <c r="L1397" s="4">
        <v>14.2181</v>
      </c>
      <c r="M1397" s="4">
        <f t="shared" si="85"/>
        <v>14.557366666666667</v>
      </c>
      <c r="Q1397" s="43" t="s">
        <v>3449</v>
      </c>
      <c r="R1397" s="4">
        <v>14.4439657454952</v>
      </c>
      <c r="S1397" s="4">
        <v>14.363874981414</v>
      </c>
      <c r="T1397" s="4">
        <v>14.1865693369799</v>
      </c>
      <c r="U1397" s="4">
        <f t="shared" si="86"/>
        <v>14.331470021296367</v>
      </c>
      <c r="X1397" s="43" t="s">
        <v>2822</v>
      </c>
      <c r="Y1397" s="4">
        <v>14.291797079427599</v>
      </c>
      <c r="Z1397" s="4">
        <v>14.4931470757467</v>
      </c>
      <c r="AA1397" s="4">
        <v>14.455433630695801</v>
      </c>
      <c r="AB1397" s="4">
        <f t="shared" si="87"/>
        <v>14.413459261956701</v>
      </c>
    </row>
    <row r="1398" spans="2:28" x14ac:dyDescent="0.2">
      <c r="B1398" s="4" t="s">
        <v>1669</v>
      </c>
      <c r="C1398" s="4">
        <v>14.601599999999999</v>
      </c>
      <c r="D1398" s="4">
        <v>14.5822</v>
      </c>
      <c r="E1398" s="4">
        <v>14.377599999999999</v>
      </c>
      <c r="F1398" s="4">
        <f t="shared" si="84"/>
        <v>14.520466666666666</v>
      </c>
      <c r="I1398" s="4" t="s">
        <v>795</v>
      </c>
      <c r="J1398" s="4">
        <v>14.251799999999999</v>
      </c>
      <c r="K1398" s="4">
        <v>15.146000000000001</v>
      </c>
      <c r="L1398" s="4">
        <v>14.269600000000001</v>
      </c>
      <c r="M1398" s="4">
        <f t="shared" si="85"/>
        <v>14.5558</v>
      </c>
      <c r="Q1398" s="43" t="s">
        <v>3467</v>
      </c>
      <c r="R1398" s="4">
        <v>14.2864462863347</v>
      </c>
      <c r="S1398" s="4">
        <v>14.408313708399699</v>
      </c>
      <c r="T1398" s="4">
        <v>14.2994279992469</v>
      </c>
      <c r="U1398" s="4">
        <f t="shared" si="86"/>
        <v>14.331395997993766</v>
      </c>
      <c r="X1398" s="43" t="s">
        <v>3077</v>
      </c>
      <c r="Y1398" s="4">
        <v>14.1528596463749</v>
      </c>
      <c r="Z1398" s="4">
        <v>14.2535694329567</v>
      </c>
      <c r="AA1398" s="4">
        <v>14.8191430863533</v>
      </c>
      <c r="AB1398" s="4">
        <f t="shared" si="87"/>
        <v>14.4085240552283</v>
      </c>
    </row>
    <row r="1399" spans="2:28" x14ac:dyDescent="0.2">
      <c r="B1399" s="4" t="s">
        <v>2674</v>
      </c>
      <c r="C1399" s="4">
        <v>14.2445</v>
      </c>
      <c r="D1399" s="4">
        <v>14.811500000000001</v>
      </c>
      <c r="E1399" s="4">
        <v>14.503299999999999</v>
      </c>
      <c r="F1399" s="4">
        <f t="shared" si="84"/>
        <v>14.519766666666667</v>
      </c>
      <c r="I1399" s="4" t="s">
        <v>1236</v>
      </c>
      <c r="J1399" s="4">
        <v>14.7341</v>
      </c>
      <c r="K1399" s="4">
        <v>14.5634</v>
      </c>
      <c r="L1399" s="4">
        <v>14.368399999999999</v>
      </c>
      <c r="M1399" s="4">
        <f t="shared" si="85"/>
        <v>14.555300000000001</v>
      </c>
      <c r="Q1399" s="43" t="s">
        <v>475</v>
      </c>
      <c r="R1399" s="4">
        <v>14.4702291983109</v>
      </c>
      <c r="S1399" s="4">
        <v>14.3441107421396</v>
      </c>
      <c r="T1399" s="4">
        <v>14.1724448316193</v>
      </c>
      <c r="U1399" s="4">
        <f t="shared" si="86"/>
        <v>14.328928257356601</v>
      </c>
      <c r="X1399" s="43" t="s">
        <v>628</v>
      </c>
      <c r="Y1399" s="4">
        <v>14.333384277761301</v>
      </c>
      <c r="Z1399" s="4">
        <v>14.6441552308084</v>
      </c>
      <c r="AA1399" s="4">
        <v>14.2477426193956</v>
      </c>
      <c r="AB1399" s="4">
        <f t="shared" si="87"/>
        <v>14.408427375988433</v>
      </c>
    </row>
    <row r="1400" spans="2:28" x14ac:dyDescent="0.2">
      <c r="B1400" s="4" t="s">
        <v>3622</v>
      </c>
      <c r="C1400" s="4">
        <v>14.2803</v>
      </c>
      <c r="D1400" s="4">
        <v>14.4641</v>
      </c>
      <c r="E1400" s="4">
        <v>14.8103</v>
      </c>
      <c r="F1400" s="4">
        <f t="shared" si="84"/>
        <v>14.518233333333333</v>
      </c>
      <c r="I1400" s="4" t="s">
        <v>588</v>
      </c>
      <c r="J1400" s="4">
        <v>14.8058</v>
      </c>
      <c r="K1400" s="4">
        <v>14.3043</v>
      </c>
      <c r="L1400" s="4">
        <v>14.551399999999999</v>
      </c>
      <c r="M1400" s="4">
        <f t="shared" si="85"/>
        <v>14.553833333333332</v>
      </c>
      <c r="Q1400" s="43" t="s">
        <v>1560</v>
      </c>
      <c r="R1400" s="4">
        <v>14.138583938696399</v>
      </c>
      <c r="S1400" s="4">
        <v>14.3794009489256</v>
      </c>
      <c r="T1400" s="4">
        <v>14.4565256463063</v>
      </c>
      <c r="U1400" s="4">
        <f t="shared" si="86"/>
        <v>14.324836844642766</v>
      </c>
      <c r="X1400" s="43" t="s">
        <v>3111</v>
      </c>
      <c r="Y1400" s="4">
        <v>14.345165852962101</v>
      </c>
      <c r="Z1400" s="4">
        <v>14.484412495153499</v>
      </c>
      <c r="AA1400" s="4">
        <v>14.3894262317596</v>
      </c>
      <c r="AB1400" s="4">
        <f t="shared" si="87"/>
        <v>14.406334859958401</v>
      </c>
    </row>
    <row r="1401" spans="2:28" x14ac:dyDescent="0.2">
      <c r="B1401" s="4" t="s">
        <v>3755</v>
      </c>
      <c r="C1401" s="4">
        <v>14.5893</v>
      </c>
      <c r="D1401" s="4">
        <v>14.459199999999999</v>
      </c>
      <c r="E1401" s="4">
        <v>14.504200000000001</v>
      </c>
      <c r="F1401" s="4">
        <f t="shared" si="84"/>
        <v>14.517566666666667</v>
      </c>
      <c r="I1401" s="4" t="s">
        <v>2805</v>
      </c>
      <c r="J1401" s="4">
        <v>14.5938</v>
      </c>
      <c r="K1401" s="4">
        <v>14.7379</v>
      </c>
      <c r="L1401" s="4">
        <v>14.327999999999999</v>
      </c>
      <c r="M1401" s="4">
        <f t="shared" si="85"/>
        <v>14.553233333333333</v>
      </c>
      <c r="Q1401" s="43" t="s">
        <v>4313</v>
      </c>
      <c r="R1401" s="4">
        <v>14.6766437973388</v>
      </c>
      <c r="S1401" s="4">
        <v>14.1707898142174</v>
      </c>
      <c r="T1401" s="4">
        <v>14.1227745267849</v>
      </c>
      <c r="U1401" s="4">
        <f t="shared" si="86"/>
        <v>14.323402712780366</v>
      </c>
      <c r="X1401" s="43" t="s">
        <v>2027</v>
      </c>
      <c r="Y1401" s="4">
        <v>14.3780711055162</v>
      </c>
      <c r="Z1401" s="4">
        <v>14.3583624256138</v>
      </c>
      <c r="AA1401" s="4">
        <v>14.4767091776613</v>
      </c>
      <c r="AB1401" s="4">
        <f t="shared" si="87"/>
        <v>14.404380902930434</v>
      </c>
    </row>
    <row r="1402" spans="2:28" x14ac:dyDescent="0.2">
      <c r="B1402" s="4" t="s">
        <v>2543</v>
      </c>
      <c r="C1402" s="4">
        <v>14.8406</v>
      </c>
      <c r="D1402" s="4">
        <v>14.6272</v>
      </c>
      <c r="E1402" s="4">
        <v>14.0824</v>
      </c>
      <c r="F1402" s="4">
        <f t="shared" si="84"/>
        <v>14.516733333333335</v>
      </c>
      <c r="I1402" s="4" t="s">
        <v>3505</v>
      </c>
      <c r="J1402" s="4">
        <v>14.2247</v>
      </c>
      <c r="K1402" s="4">
        <v>14.953099999999999</v>
      </c>
      <c r="L1402" s="4">
        <v>14.477499999999999</v>
      </c>
      <c r="M1402" s="4">
        <f t="shared" si="85"/>
        <v>14.551766666666666</v>
      </c>
      <c r="Q1402" s="43" t="s">
        <v>2726</v>
      </c>
      <c r="R1402" s="4">
        <v>14.258837676129801</v>
      </c>
      <c r="S1402" s="4">
        <v>14.3810771258958</v>
      </c>
      <c r="T1402" s="4">
        <v>14.3278910994188</v>
      </c>
      <c r="U1402" s="4">
        <f t="shared" si="86"/>
        <v>14.322601967148133</v>
      </c>
      <c r="X1402" s="43" t="s">
        <v>1910</v>
      </c>
      <c r="Y1402" s="4">
        <v>14.4982908608382</v>
      </c>
      <c r="Z1402" s="4">
        <v>14.192679799119301</v>
      </c>
      <c r="AA1402" s="4">
        <v>14.5196416492804</v>
      </c>
      <c r="AB1402" s="4">
        <f t="shared" si="87"/>
        <v>14.403537436412634</v>
      </c>
    </row>
    <row r="1403" spans="2:28" x14ac:dyDescent="0.2">
      <c r="B1403" s="4" t="s">
        <v>2044</v>
      </c>
      <c r="C1403" s="4">
        <v>15.207000000000001</v>
      </c>
      <c r="D1403" s="4">
        <v>13.4131</v>
      </c>
      <c r="E1403" s="4">
        <v>14.9283</v>
      </c>
      <c r="F1403" s="4">
        <f t="shared" si="84"/>
        <v>14.516133333333334</v>
      </c>
      <c r="I1403" s="4" t="s">
        <v>2044</v>
      </c>
      <c r="J1403" s="4">
        <v>14.6227</v>
      </c>
      <c r="K1403" s="4">
        <v>15.009499999999999</v>
      </c>
      <c r="L1403" s="4">
        <v>14.014900000000001</v>
      </c>
      <c r="M1403" s="4">
        <f t="shared" si="85"/>
        <v>14.549033333333332</v>
      </c>
      <c r="Q1403" s="43" t="s">
        <v>494</v>
      </c>
      <c r="R1403" s="4">
        <v>14.3374713181215</v>
      </c>
      <c r="S1403" s="4">
        <v>14.295780995055001</v>
      </c>
      <c r="T1403" s="4">
        <v>14.329762732650201</v>
      </c>
      <c r="U1403" s="4">
        <f t="shared" si="86"/>
        <v>14.321005015275567</v>
      </c>
      <c r="X1403" s="43" t="s">
        <v>3161</v>
      </c>
      <c r="Y1403" s="4">
        <v>14.350354454281799</v>
      </c>
      <c r="Z1403" s="4">
        <v>14.532660579888301</v>
      </c>
      <c r="AA1403" s="4">
        <v>14.3230497477995</v>
      </c>
      <c r="AB1403" s="4">
        <f t="shared" si="87"/>
        <v>14.402021593989867</v>
      </c>
    </row>
    <row r="1404" spans="2:28" x14ac:dyDescent="0.2">
      <c r="B1404" s="4" t="s">
        <v>2789</v>
      </c>
      <c r="C1404" s="4">
        <v>14.585699999999999</v>
      </c>
      <c r="D1404" s="4">
        <v>14.4618</v>
      </c>
      <c r="E1404" s="4">
        <v>14.5006</v>
      </c>
      <c r="F1404" s="4">
        <f t="shared" si="84"/>
        <v>14.516033333333333</v>
      </c>
      <c r="I1404" s="4" t="s">
        <v>1009</v>
      </c>
      <c r="J1404" s="4">
        <v>13.3238</v>
      </c>
      <c r="K1404" s="4">
        <v>16.5458</v>
      </c>
      <c r="L1404" s="4">
        <v>13.7667</v>
      </c>
      <c r="M1404" s="4">
        <f t="shared" si="85"/>
        <v>14.545433333333333</v>
      </c>
      <c r="Q1404" s="43" t="s">
        <v>3180</v>
      </c>
      <c r="R1404" s="4">
        <v>14.175414008448399</v>
      </c>
      <c r="S1404" s="4">
        <v>14.4005789314586</v>
      </c>
      <c r="T1404" s="4">
        <v>14.380787781821301</v>
      </c>
      <c r="U1404" s="4">
        <f t="shared" si="86"/>
        <v>14.318926907242767</v>
      </c>
      <c r="X1404" s="43" t="s">
        <v>31</v>
      </c>
      <c r="Y1404" s="4">
        <v>14.468373361363801</v>
      </c>
      <c r="Z1404" s="4">
        <v>14.2824853954245</v>
      </c>
      <c r="AA1404" s="4">
        <v>14.452673314906001</v>
      </c>
      <c r="AB1404" s="4">
        <f t="shared" si="87"/>
        <v>14.401177357231433</v>
      </c>
    </row>
    <row r="1405" spans="2:28" x14ac:dyDescent="0.2">
      <c r="B1405" s="4" t="s">
        <v>1631</v>
      </c>
      <c r="C1405" s="4">
        <v>14.6229</v>
      </c>
      <c r="D1405" s="4">
        <v>14.4321</v>
      </c>
      <c r="E1405" s="4">
        <v>14.492800000000001</v>
      </c>
      <c r="F1405" s="4">
        <f t="shared" si="84"/>
        <v>14.515933333333335</v>
      </c>
      <c r="I1405" s="4" t="s">
        <v>1685</v>
      </c>
      <c r="J1405" s="4">
        <v>14.8041</v>
      </c>
      <c r="K1405" s="4">
        <v>14.0365</v>
      </c>
      <c r="L1405" s="4">
        <v>14.788600000000001</v>
      </c>
      <c r="M1405" s="4">
        <f t="shared" si="85"/>
        <v>14.543066666666668</v>
      </c>
      <c r="Q1405" s="43" t="s">
        <v>3071</v>
      </c>
      <c r="R1405" s="4">
        <v>14.5443185271736</v>
      </c>
      <c r="S1405" s="4">
        <v>14.252234941462</v>
      </c>
      <c r="T1405" s="4">
        <v>14.134585352588401</v>
      </c>
      <c r="U1405" s="4">
        <f t="shared" si="86"/>
        <v>14.310379607074667</v>
      </c>
      <c r="X1405" s="43" t="s">
        <v>2113</v>
      </c>
      <c r="Y1405" s="4">
        <v>14.3479835456055</v>
      </c>
      <c r="Z1405" s="4">
        <v>14.5456122274012</v>
      </c>
      <c r="AA1405" s="4">
        <v>14.307196387747201</v>
      </c>
      <c r="AB1405" s="4">
        <f t="shared" si="87"/>
        <v>14.400264053584635</v>
      </c>
    </row>
    <row r="1406" spans="2:28" x14ac:dyDescent="0.2">
      <c r="B1406" s="4" t="s">
        <v>2760</v>
      </c>
      <c r="C1406" s="4">
        <v>14.8355</v>
      </c>
      <c r="D1406" s="4">
        <v>14.4183</v>
      </c>
      <c r="E1406" s="4">
        <v>14.287800000000001</v>
      </c>
      <c r="F1406" s="4">
        <f t="shared" si="84"/>
        <v>14.513866666666667</v>
      </c>
      <c r="I1406" s="4" t="s">
        <v>1537</v>
      </c>
      <c r="J1406" s="4">
        <v>14.5115</v>
      </c>
      <c r="K1406" s="4">
        <v>14.4552</v>
      </c>
      <c r="L1406" s="4">
        <v>14.6609</v>
      </c>
      <c r="M1406" s="4">
        <f t="shared" si="85"/>
        <v>14.542533333333333</v>
      </c>
      <c r="Q1406" s="43" t="s">
        <v>3746</v>
      </c>
      <c r="R1406" s="4">
        <v>14.4505397179382</v>
      </c>
      <c r="S1406" s="4">
        <v>14.2718468776831</v>
      </c>
      <c r="T1406" s="4">
        <v>14.208461032870501</v>
      </c>
      <c r="U1406" s="4">
        <f t="shared" si="86"/>
        <v>14.310282542830601</v>
      </c>
      <c r="X1406" s="43" t="s">
        <v>3082</v>
      </c>
      <c r="Y1406" s="4">
        <v>14.3637051087735</v>
      </c>
      <c r="Z1406" s="4">
        <v>14.498271308530301</v>
      </c>
      <c r="AA1406" s="4">
        <v>14.3281907826142</v>
      </c>
      <c r="AB1406" s="4">
        <f t="shared" si="87"/>
        <v>14.396722399972667</v>
      </c>
    </row>
    <row r="1407" spans="2:28" x14ac:dyDescent="0.2">
      <c r="B1407" s="4" t="s">
        <v>612</v>
      </c>
      <c r="C1407" s="4">
        <v>14.2613</v>
      </c>
      <c r="D1407" s="4">
        <v>14.421200000000001</v>
      </c>
      <c r="E1407" s="4">
        <v>14.8528</v>
      </c>
      <c r="F1407" s="4">
        <f t="shared" si="84"/>
        <v>14.511766666666666</v>
      </c>
      <c r="I1407" s="4" t="s">
        <v>1528</v>
      </c>
      <c r="J1407" s="4">
        <v>13.9016</v>
      </c>
      <c r="K1407" s="4">
        <v>15.2864</v>
      </c>
      <c r="L1407" s="4">
        <v>14.4361</v>
      </c>
      <c r="M1407" s="4">
        <f t="shared" si="85"/>
        <v>14.541366666666667</v>
      </c>
      <c r="Q1407" s="43" t="s">
        <v>392</v>
      </c>
      <c r="R1407" s="4">
        <v>14.639710560243699</v>
      </c>
      <c r="S1407" s="4">
        <v>14.0232214027374</v>
      </c>
      <c r="T1407" s="4">
        <v>14.2591564429265</v>
      </c>
      <c r="U1407" s="4">
        <f t="shared" si="86"/>
        <v>14.3073628019692</v>
      </c>
      <c r="X1407" s="43" t="s">
        <v>1044</v>
      </c>
      <c r="Y1407" s="4">
        <v>14.5465033821344</v>
      </c>
      <c r="Z1407" s="4">
        <v>14.0870328442968</v>
      </c>
      <c r="AA1407" s="4">
        <v>14.554724669735499</v>
      </c>
      <c r="AB1407" s="4">
        <f t="shared" si="87"/>
        <v>14.396086965388898</v>
      </c>
    </row>
    <row r="1408" spans="2:28" x14ac:dyDescent="0.2">
      <c r="B1408" s="4" t="s">
        <v>1593</v>
      </c>
      <c r="C1408" s="4">
        <v>14.481299999999999</v>
      </c>
      <c r="D1408" s="4">
        <v>14.3468</v>
      </c>
      <c r="E1408" s="4">
        <v>14.704700000000001</v>
      </c>
      <c r="F1408" s="4">
        <f t="shared" si="84"/>
        <v>14.510933333333334</v>
      </c>
      <c r="I1408" s="4" t="s">
        <v>1182</v>
      </c>
      <c r="J1408" s="4">
        <v>14.6884</v>
      </c>
      <c r="K1408" s="4">
        <v>14.3995</v>
      </c>
      <c r="L1408" s="4">
        <v>14.534599999999999</v>
      </c>
      <c r="M1408" s="4">
        <f t="shared" si="85"/>
        <v>14.540833333333332</v>
      </c>
      <c r="Q1408" s="43" t="s">
        <v>3395</v>
      </c>
      <c r="R1408" s="4">
        <v>14.266193116471801</v>
      </c>
      <c r="S1408" s="4">
        <v>14.3534366561965</v>
      </c>
      <c r="T1408" s="4">
        <v>14.2895913655741</v>
      </c>
      <c r="U1408" s="4">
        <f t="shared" si="86"/>
        <v>14.303073712747468</v>
      </c>
      <c r="X1408" s="43" t="s">
        <v>716</v>
      </c>
      <c r="Y1408" s="4">
        <v>14.507298014276101</v>
      </c>
      <c r="Z1408" s="4">
        <v>14.2047284533256</v>
      </c>
      <c r="AA1408" s="4">
        <v>14.470607456091701</v>
      </c>
      <c r="AB1408" s="4">
        <f t="shared" si="87"/>
        <v>14.3942113078978</v>
      </c>
    </row>
    <row r="1409" spans="2:28" x14ac:dyDescent="0.2">
      <c r="B1409" s="4" t="s">
        <v>3041</v>
      </c>
      <c r="C1409" s="4">
        <v>14.5082</v>
      </c>
      <c r="D1409" s="4">
        <v>14.5137</v>
      </c>
      <c r="E1409" s="4">
        <v>14.5078</v>
      </c>
      <c r="F1409" s="4">
        <f t="shared" si="84"/>
        <v>14.509900000000002</v>
      </c>
      <c r="I1409" s="4" t="s">
        <v>3746</v>
      </c>
      <c r="J1409" s="4">
        <v>14.4391</v>
      </c>
      <c r="K1409" s="4">
        <v>14.593</v>
      </c>
      <c r="L1409" s="4">
        <v>14.5871</v>
      </c>
      <c r="M1409" s="4">
        <f t="shared" si="85"/>
        <v>14.539733333333333</v>
      </c>
      <c r="Q1409" s="43" t="s">
        <v>1906</v>
      </c>
      <c r="R1409" s="4">
        <v>14.2867302502529</v>
      </c>
      <c r="S1409" s="4">
        <v>14.2938202407943</v>
      </c>
      <c r="T1409" s="4">
        <v>14.3144237116956</v>
      </c>
      <c r="U1409" s="4">
        <f t="shared" si="86"/>
        <v>14.298324734247601</v>
      </c>
      <c r="X1409" s="43" t="s">
        <v>2416</v>
      </c>
      <c r="Y1409" s="4">
        <v>14.386859255088</v>
      </c>
      <c r="Z1409" s="4">
        <v>14.3006692056058</v>
      </c>
      <c r="AA1409" s="4">
        <v>14.4868565978823</v>
      </c>
      <c r="AB1409" s="4">
        <f t="shared" si="87"/>
        <v>14.391461686192033</v>
      </c>
    </row>
    <row r="1410" spans="2:28" x14ac:dyDescent="0.2">
      <c r="B1410" s="4" t="s">
        <v>3303</v>
      </c>
      <c r="C1410" s="4">
        <v>14.505000000000001</v>
      </c>
      <c r="D1410" s="4">
        <v>14.6204</v>
      </c>
      <c r="E1410" s="4">
        <v>14.398400000000001</v>
      </c>
      <c r="F1410" s="4">
        <f t="shared" ref="F1410:F1473" si="88">(C1410+D1410+E1410)/3</f>
        <v>14.507933333333334</v>
      </c>
      <c r="I1410" s="4" t="s">
        <v>2567</v>
      </c>
      <c r="J1410" s="4">
        <v>14.530900000000001</v>
      </c>
      <c r="K1410" s="4">
        <v>14.4892</v>
      </c>
      <c r="L1410" s="4">
        <v>14.591799999999999</v>
      </c>
      <c r="M1410" s="4">
        <f t="shared" ref="M1410:M1473" si="89">(J1410+K1410+L1410)/3</f>
        <v>14.5373</v>
      </c>
      <c r="Q1410" s="43" t="s">
        <v>1637</v>
      </c>
      <c r="R1410" s="4">
        <v>14.4034476290601</v>
      </c>
      <c r="S1410" s="4">
        <v>14.2580616230749</v>
      </c>
      <c r="T1410" s="4">
        <v>14.2297777588084</v>
      </c>
      <c r="U1410" s="4">
        <f t="shared" ref="U1410:U1473" si="90">(R1410+S1410+T1410)/3</f>
        <v>14.297095670314468</v>
      </c>
      <c r="X1410" s="43" t="s">
        <v>2704</v>
      </c>
      <c r="Y1410" s="4">
        <v>14.4145084491653</v>
      </c>
      <c r="Z1410" s="4">
        <v>14.4405115416619</v>
      </c>
      <c r="AA1410" s="4">
        <v>14.316444588394001</v>
      </c>
      <c r="AB1410" s="4">
        <f t="shared" ref="AB1410:AB1473" si="91">(Y1410+Z1410+AA1410)/3</f>
        <v>14.390488193073734</v>
      </c>
    </row>
    <row r="1411" spans="2:28" x14ac:dyDescent="0.2">
      <c r="B1411" s="4" t="s">
        <v>1170</v>
      </c>
      <c r="C1411" s="4">
        <v>14.4923</v>
      </c>
      <c r="D1411" s="4">
        <v>14.618</v>
      </c>
      <c r="E1411" s="4">
        <v>14.410500000000001</v>
      </c>
      <c r="F1411" s="4">
        <f t="shared" si="88"/>
        <v>14.506933333333334</v>
      </c>
      <c r="I1411" s="4" t="s">
        <v>3778</v>
      </c>
      <c r="J1411" s="4">
        <v>14.5982</v>
      </c>
      <c r="K1411" s="4">
        <v>14.254099999999999</v>
      </c>
      <c r="L1411" s="4">
        <v>14.755100000000001</v>
      </c>
      <c r="M1411" s="4">
        <f t="shared" si="89"/>
        <v>14.5358</v>
      </c>
      <c r="Q1411" s="43" t="s">
        <v>3685</v>
      </c>
      <c r="R1411" s="4">
        <v>14.180026704505099</v>
      </c>
      <c r="S1411" s="4">
        <v>14.338699058508499</v>
      </c>
      <c r="T1411" s="4">
        <v>14.3646392048883</v>
      </c>
      <c r="U1411" s="4">
        <f t="shared" si="90"/>
        <v>14.294454989300633</v>
      </c>
      <c r="X1411" s="43" t="s">
        <v>3265</v>
      </c>
      <c r="Y1411" s="4">
        <v>14.427557480557301</v>
      </c>
      <c r="Z1411" s="4">
        <v>14.3317483074698</v>
      </c>
      <c r="AA1411" s="4">
        <v>14.4119632673235</v>
      </c>
      <c r="AB1411" s="4">
        <f t="shared" si="91"/>
        <v>14.3904230184502</v>
      </c>
    </row>
    <row r="1412" spans="2:28" x14ac:dyDescent="0.2">
      <c r="B1412" s="4" t="s">
        <v>825</v>
      </c>
      <c r="C1412" s="4">
        <v>14.19</v>
      </c>
      <c r="D1412" s="4">
        <v>13.9161</v>
      </c>
      <c r="E1412" s="4">
        <v>15.4123</v>
      </c>
      <c r="F1412" s="4">
        <f t="shared" si="88"/>
        <v>14.506133333333333</v>
      </c>
      <c r="I1412" s="4" t="s">
        <v>479</v>
      </c>
      <c r="J1412" s="4">
        <v>14.3599</v>
      </c>
      <c r="K1412" s="4">
        <v>15.047700000000001</v>
      </c>
      <c r="L1412" s="4">
        <v>14.1905</v>
      </c>
      <c r="M1412" s="4">
        <f t="shared" si="89"/>
        <v>14.5327</v>
      </c>
      <c r="Q1412" s="43" t="s">
        <v>2720</v>
      </c>
      <c r="R1412" s="4">
        <v>14.5792226842725</v>
      </c>
      <c r="S1412" s="4">
        <v>14.5427989007759</v>
      </c>
      <c r="T1412" s="4">
        <v>13.7608979825721</v>
      </c>
      <c r="U1412" s="4">
        <f t="shared" si="90"/>
        <v>14.294306522540168</v>
      </c>
      <c r="X1412" s="43" t="s">
        <v>1902</v>
      </c>
      <c r="Y1412" s="4">
        <v>14.5603890913412</v>
      </c>
      <c r="Z1412" s="4">
        <v>14.7554706783342</v>
      </c>
      <c r="AA1412" s="4">
        <v>13.853118651045399</v>
      </c>
      <c r="AB1412" s="4">
        <f t="shared" si="91"/>
        <v>14.3896594735736</v>
      </c>
    </row>
    <row r="1413" spans="2:28" x14ac:dyDescent="0.2">
      <c r="B1413" s="4" t="s">
        <v>681</v>
      </c>
      <c r="C1413" s="4">
        <v>14.3703</v>
      </c>
      <c r="D1413" s="4">
        <v>14.484500000000001</v>
      </c>
      <c r="E1413" s="4">
        <v>14.654299999999999</v>
      </c>
      <c r="F1413" s="4">
        <f t="shared" si="88"/>
        <v>14.503033333333335</v>
      </c>
      <c r="I1413" s="4" t="s">
        <v>3053</v>
      </c>
      <c r="J1413" s="4">
        <v>14.7399</v>
      </c>
      <c r="K1413" s="4">
        <v>13.7385</v>
      </c>
      <c r="L1413" s="4">
        <v>15.119199999999999</v>
      </c>
      <c r="M1413" s="4">
        <f t="shared" si="89"/>
        <v>14.532533333333333</v>
      </c>
      <c r="Q1413" s="43" t="s">
        <v>3581</v>
      </c>
      <c r="R1413" s="4">
        <v>14.252338438255499</v>
      </c>
      <c r="S1413" s="4">
        <v>14.1972793547028</v>
      </c>
      <c r="T1413" s="4">
        <v>14.431423023200299</v>
      </c>
      <c r="U1413" s="4">
        <f t="shared" si="90"/>
        <v>14.293680272052868</v>
      </c>
      <c r="X1413" s="43" t="s">
        <v>3010</v>
      </c>
      <c r="Y1413" s="4">
        <v>14.499810148055101</v>
      </c>
      <c r="Z1413" s="4">
        <v>14.2998480107637</v>
      </c>
      <c r="AA1413" s="4">
        <v>14.368997787092299</v>
      </c>
      <c r="AB1413" s="4">
        <f t="shared" si="91"/>
        <v>14.389551981970365</v>
      </c>
    </row>
    <row r="1414" spans="2:28" x14ac:dyDescent="0.2">
      <c r="B1414" s="4" t="s">
        <v>1029</v>
      </c>
      <c r="C1414" s="4">
        <v>14.385999999999999</v>
      </c>
      <c r="D1414" s="4">
        <v>14.353300000000001</v>
      </c>
      <c r="E1414" s="4">
        <v>14.765700000000001</v>
      </c>
      <c r="F1414" s="4">
        <f t="shared" si="88"/>
        <v>14.501666666666667</v>
      </c>
      <c r="I1414" s="4" t="s">
        <v>3942</v>
      </c>
      <c r="J1414" s="4">
        <v>14.5817</v>
      </c>
      <c r="K1414" s="4">
        <v>14.3193</v>
      </c>
      <c r="L1414" s="4">
        <v>14.6965</v>
      </c>
      <c r="M1414" s="4">
        <f t="shared" si="89"/>
        <v>14.532499999999999</v>
      </c>
      <c r="Q1414" s="43" t="s">
        <v>4029</v>
      </c>
      <c r="R1414" s="4">
        <v>14.885738531350199</v>
      </c>
      <c r="S1414" s="4">
        <v>13.8112588245927</v>
      </c>
      <c r="T1414" s="4">
        <v>14.1803014864629</v>
      </c>
      <c r="U1414" s="4">
        <f t="shared" si="90"/>
        <v>14.292432947468599</v>
      </c>
      <c r="X1414" s="43" t="s">
        <v>3035</v>
      </c>
      <c r="Y1414" s="4">
        <v>14.420459220413001</v>
      </c>
      <c r="Z1414" s="4">
        <v>14.298901652947301</v>
      </c>
      <c r="AA1414" s="4">
        <v>14.4484617936675</v>
      </c>
      <c r="AB1414" s="4">
        <f t="shared" si="91"/>
        <v>14.3892742223426</v>
      </c>
    </row>
    <row r="1415" spans="2:28" x14ac:dyDescent="0.2">
      <c r="B1415" s="4" t="s">
        <v>828</v>
      </c>
      <c r="C1415" s="4">
        <v>14.430199999999999</v>
      </c>
      <c r="D1415" s="4">
        <v>14.4941</v>
      </c>
      <c r="E1415" s="4">
        <v>14.5787</v>
      </c>
      <c r="F1415" s="4">
        <f t="shared" si="88"/>
        <v>14.500999999999999</v>
      </c>
      <c r="I1415" s="4" t="s">
        <v>505</v>
      </c>
      <c r="J1415" s="4">
        <v>13.9434</v>
      </c>
      <c r="K1415" s="4">
        <v>16.0945</v>
      </c>
      <c r="L1415" s="4">
        <v>13.5512</v>
      </c>
      <c r="M1415" s="4">
        <f t="shared" si="89"/>
        <v>14.5297</v>
      </c>
      <c r="Q1415" s="43" t="s">
        <v>3626</v>
      </c>
      <c r="R1415" s="4">
        <v>14.3167787241995</v>
      </c>
      <c r="S1415" s="4">
        <v>14.3416826834316</v>
      </c>
      <c r="T1415" s="4">
        <v>14.2072483771029</v>
      </c>
      <c r="U1415" s="4">
        <f t="shared" si="90"/>
        <v>14.288569928244668</v>
      </c>
      <c r="X1415" s="43" t="s">
        <v>3949</v>
      </c>
      <c r="Y1415" s="4">
        <v>14.6031525054174</v>
      </c>
      <c r="Z1415" s="4">
        <v>14.2732406047579</v>
      </c>
      <c r="AA1415" s="4">
        <v>14.2908915640404</v>
      </c>
      <c r="AB1415" s="4">
        <f t="shared" si="91"/>
        <v>14.389094891405234</v>
      </c>
    </row>
    <row r="1416" spans="2:28" x14ac:dyDescent="0.2">
      <c r="B1416" s="4" t="s">
        <v>1375</v>
      </c>
      <c r="C1416" s="4">
        <v>14.4086</v>
      </c>
      <c r="D1416" s="4">
        <v>14.6069</v>
      </c>
      <c r="E1416" s="4">
        <v>14.4724</v>
      </c>
      <c r="F1416" s="4">
        <f t="shared" si="88"/>
        <v>14.495966666666666</v>
      </c>
      <c r="I1416" s="4" t="s">
        <v>495</v>
      </c>
      <c r="J1416" s="4">
        <v>13.8957</v>
      </c>
      <c r="K1416" s="4">
        <v>15.7498</v>
      </c>
      <c r="L1416" s="4">
        <v>13.9415</v>
      </c>
      <c r="M1416" s="4">
        <f t="shared" si="89"/>
        <v>14.528999999999998</v>
      </c>
      <c r="Q1416" s="43" t="s">
        <v>3560</v>
      </c>
      <c r="R1416" s="4">
        <v>14.364741903255201</v>
      </c>
      <c r="S1416" s="4">
        <v>14.2236550147502</v>
      </c>
      <c r="T1416" s="4">
        <v>14.2688057003797</v>
      </c>
      <c r="U1416" s="4">
        <f t="shared" si="90"/>
        <v>14.285734206128367</v>
      </c>
      <c r="X1416" s="43" t="s">
        <v>1325</v>
      </c>
      <c r="Y1416" s="4">
        <v>14.318498561068999</v>
      </c>
      <c r="Z1416" s="4">
        <v>14.4278702392598</v>
      </c>
      <c r="AA1416" s="4">
        <v>14.405927062298501</v>
      </c>
      <c r="AB1416" s="4">
        <f t="shared" si="91"/>
        <v>14.384098620875767</v>
      </c>
    </row>
    <row r="1417" spans="2:28" x14ac:dyDescent="0.2">
      <c r="B1417" s="4" t="s">
        <v>57</v>
      </c>
      <c r="C1417" s="4">
        <v>14.2393</v>
      </c>
      <c r="D1417" s="4">
        <v>14.510899999999999</v>
      </c>
      <c r="E1417" s="4">
        <v>14.73</v>
      </c>
      <c r="F1417" s="4">
        <f t="shared" si="88"/>
        <v>14.493399999999999</v>
      </c>
      <c r="I1417" s="4" t="s">
        <v>1059</v>
      </c>
      <c r="J1417" s="4">
        <v>14.758699999999999</v>
      </c>
      <c r="K1417" s="4">
        <v>13.8903</v>
      </c>
      <c r="L1417" s="4">
        <v>14.9361</v>
      </c>
      <c r="M1417" s="4">
        <f t="shared" si="89"/>
        <v>14.528366666666665</v>
      </c>
      <c r="Q1417" s="43" t="s">
        <v>759</v>
      </c>
      <c r="R1417" s="4">
        <v>14.226433868702999</v>
      </c>
      <c r="S1417" s="4">
        <v>14.341621758538601</v>
      </c>
      <c r="T1417" s="4">
        <v>14.285266023272699</v>
      </c>
      <c r="U1417" s="4">
        <f t="shared" si="90"/>
        <v>14.284440550171432</v>
      </c>
      <c r="X1417" s="43" t="s">
        <v>4285</v>
      </c>
      <c r="Y1417" s="4">
        <v>14.9708939395326</v>
      </c>
      <c r="Z1417" s="4">
        <v>13.9348629125753</v>
      </c>
      <c r="AA1417" s="4">
        <v>14.245349096387599</v>
      </c>
      <c r="AB1417" s="4">
        <f t="shared" si="91"/>
        <v>14.383701982831832</v>
      </c>
    </row>
    <row r="1418" spans="2:28" x14ac:dyDescent="0.2">
      <c r="B1418" s="4" t="s">
        <v>1405</v>
      </c>
      <c r="C1418" s="4">
        <v>14.2294</v>
      </c>
      <c r="D1418" s="4">
        <v>14.5341</v>
      </c>
      <c r="E1418" s="4">
        <v>14.7133</v>
      </c>
      <c r="F1418" s="4">
        <f t="shared" si="88"/>
        <v>14.492266666666666</v>
      </c>
      <c r="I1418" s="4" t="s">
        <v>755</v>
      </c>
      <c r="J1418" s="4">
        <v>13.6005</v>
      </c>
      <c r="K1418" s="4">
        <v>16.447700000000001</v>
      </c>
      <c r="L1418" s="4">
        <v>13.536</v>
      </c>
      <c r="M1418" s="4">
        <f t="shared" si="89"/>
        <v>14.528066666666668</v>
      </c>
      <c r="Q1418" s="43" t="s">
        <v>1217</v>
      </c>
      <c r="R1418" s="4">
        <v>14.497601579858999</v>
      </c>
      <c r="S1418" s="4">
        <v>14.076378434683701</v>
      </c>
      <c r="T1418" s="4">
        <v>14.272124315405</v>
      </c>
      <c r="U1418" s="4">
        <f t="shared" si="90"/>
        <v>14.282034776649233</v>
      </c>
      <c r="X1418" s="43" t="s">
        <v>1896</v>
      </c>
      <c r="Y1418" s="4">
        <v>14.1687556016901</v>
      </c>
      <c r="Z1418" s="4">
        <v>14.566742534847499</v>
      </c>
      <c r="AA1418" s="4">
        <v>14.4152560493674</v>
      </c>
      <c r="AB1418" s="4">
        <f t="shared" si="91"/>
        <v>14.383584728635</v>
      </c>
    </row>
    <row r="1419" spans="2:28" x14ac:dyDescent="0.2">
      <c r="B1419" s="4" t="s">
        <v>3539</v>
      </c>
      <c r="C1419" s="4">
        <v>14.521599999999999</v>
      </c>
      <c r="D1419" s="4">
        <v>14.3994</v>
      </c>
      <c r="E1419" s="4">
        <v>14.5518</v>
      </c>
      <c r="F1419" s="4">
        <f t="shared" si="88"/>
        <v>14.490933333333333</v>
      </c>
      <c r="I1419" s="4" t="s">
        <v>1244</v>
      </c>
      <c r="J1419" s="4">
        <v>14.6517</v>
      </c>
      <c r="K1419" s="4">
        <v>14.3855</v>
      </c>
      <c r="L1419" s="4">
        <v>14.5449</v>
      </c>
      <c r="M1419" s="4">
        <f t="shared" si="89"/>
        <v>14.527366666666666</v>
      </c>
      <c r="Q1419" s="43" t="s">
        <v>4010</v>
      </c>
      <c r="R1419" s="4">
        <v>14.352613584547299</v>
      </c>
      <c r="S1419" s="4">
        <v>14.189620832927501</v>
      </c>
      <c r="T1419" s="4">
        <v>14.2981374620585</v>
      </c>
      <c r="U1419" s="4">
        <f t="shared" si="90"/>
        <v>14.280123959844433</v>
      </c>
      <c r="X1419" s="43" t="s">
        <v>3861</v>
      </c>
      <c r="Y1419" s="4">
        <v>14.3534003293005</v>
      </c>
      <c r="Z1419" s="4">
        <v>14.558615385196401</v>
      </c>
      <c r="AA1419" s="4">
        <v>14.238631165326799</v>
      </c>
      <c r="AB1419" s="4">
        <f t="shared" si="91"/>
        <v>14.383548959941235</v>
      </c>
    </row>
    <row r="1420" spans="2:28" x14ac:dyDescent="0.2">
      <c r="B1420" s="4" t="s">
        <v>3641</v>
      </c>
      <c r="C1420" s="4">
        <v>14.274800000000001</v>
      </c>
      <c r="D1420" s="4">
        <v>14.6068</v>
      </c>
      <c r="E1420" s="4">
        <v>14.5825</v>
      </c>
      <c r="F1420" s="4">
        <f t="shared" si="88"/>
        <v>14.488033333333334</v>
      </c>
      <c r="I1420" s="4" t="s">
        <v>476</v>
      </c>
      <c r="J1420" s="4">
        <v>14.566000000000001</v>
      </c>
      <c r="K1420" s="4">
        <v>14.2791</v>
      </c>
      <c r="L1420" s="4">
        <v>14.7334</v>
      </c>
      <c r="M1420" s="4">
        <f t="shared" si="89"/>
        <v>14.526166666666668</v>
      </c>
      <c r="Q1420" s="43" t="s">
        <v>4072</v>
      </c>
      <c r="R1420" s="4">
        <v>13.999359066994799</v>
      </c>
      <c r="S1420" s="4">
        <v>14.523397521656401</v>
      </c>
      <c r="T1420" s="4">
        <v>14.3131290569178</v>
      </c>
      <c r="U1420" s="4">
        <f t="shared" si="90"/>
        <v>14.278628548523001</v>
      </c>
      <c r="X1420" s="43" t="s">
        <v>3977</v>
      </c>
      <c r="Y1420" s="4">
        <v>13.853003209263999</v>
      </c>
      <c r="Z1420" s="4">
        <v>14.549643220926599</v>
      </c>
      <c r="AA1420" s="4">
        <v>14.7433464441902</v>
      </c>
      <c r="AB1420" s="4">
        <f t="shared" si="91"/>
        <v>14.3819976247936</v>
      </c>
    </row>
    <row r="1421" spans="2:28" x14ac:dyDescent="0.2">
      <c r="B1421" s="4" t="s">
        <v>4063</v>
      </c>
      <c r="C1421" s="4">
        <v>14.8422</v>
      </c>
      <c r="D1421" s="4">
        <v>14.3072</v>
      </c>
      <c r="E1421" s="4">
        <v>14.3127</v>
      </c>
      <c r="F1421" s="4">
        <f t="shared" si="88"/>
        <v>14.487366666666667</v>
      </c>
      <c r="I1421" s="4" t="s">
        <v>1491</v>
      </c>
      <c r="J1421" s="4">
        <v>14.0261</v>
      </c>
      <c r="K1421" s="4">
        <v>15.479100000000001</v>
      </c>
      <c r="L1421" s="4">
        <v>14.066700000000001</v>
      </c>
      <c r="M1421" s="4">
        <f t="shared" si="89"/>
        <v>14.523966666666666</v>
      </c>
      <c r="Q1421" s="43" t="s">
        <v>3282</v>
      </c>
      <c r="R1421" s="4">
        <v>14.112743296675299</v>
      </c>
      <c r="S1421" s="4">
        <v>14.4117649613633</v>
      </c>
      <c r="T1421" s="4">
        <v>14.3077443267211</v>
      </c>
      <c r="U1421" s="4">
        <f t="shared" si="90"/>
        <v>14.277417528253233</v>
      </c>
      <c r="X1421" s="43" t="s">
        <v>3066</v>
      </c>
      <c r="Y1421" s="4">
        <v>14.248155825062099</v>
      </c>
      <c r="Z1421" s="4">
        <v>14.495809198181099</v>
      </c>
      <c r="AA1421" s="4">
        <v>14.3949289715985</v>
      </c>
      <c r="AB1421" s="4">
        <f t="shared" si="91"/>
        <v>14.379631331613899</v>
      </c>
    </row>
    <row r="1422" spans="2:28" x14ac:dyDescent="0.2">
      <c r="B1422" s="4" t="s">
        <v>1073</v>
      </c>
      <c r="C1422" s="4">
        <v>14.598100000000001</v>
      </c>
      <c r="D1422" s="4">
        <v>14.271800000000001</v>
      </c>
      <c r="E1422" s="4">
        <v>14.5814</v>
      </c>
      <c r="F1422" s="4">
        <f t="shared" si="88"/>
        <v>14.483766666666668</v>
      </c>
      <c r="I1422" s="4" t="s">
        <v>3343</v>
      </c>
      <c r="J1422" s="4">
        <v>14.494400000000001</v>
      </c>
      <c r="K1422" s="4">
        <v>14.341200000000001</v>
      </c>
      <c r="L1422" s="4">
        <v>14.7339</v>
      </c>
      <c r="M1422" s="4">
        <f t="shared" si="89"/>
        <v>14.523166666666667</v>
      </c>
      <c r="Q1422" s="43" t="s">
        <v>3250</v>
      </c>
      <c r="R1422" s="4">
        <v>14.0058606390806</v>
      </c>
      <c r="S1422" s="4">
        <v>14.4643698819668</v>
      </c>
      <c r="T1422" s="4">
        <v>14.359040489639399</v>
      </c>
      <c r="U1422" s="4">
        <f t="shared" si="90"/>
        <v>14.276423670228931</v>
      </c>
      <c r="X1422" s="43" t="s">
        <v>1423</v>
      </c>
      <c r="Y1422" s="4">
        <v>14.5213703480118</v>
      </c>
      <c r="Z1422" s="4">
        <v>14.3531739191247</v>
      </c>
      <c r="AA1422" s="4">
        <v>14.256665891967099</v>
      </c>
      <c r="AB1422" s="4">
        <f t="shared" si="91"/>
        <v>14.377070053034535</v>
      </c>
    </row>
    <row r="1423" spans="2:28" x14ac:dyDescent="0.2">
      <c r="B1423" s="4" t="s">
        <v>2470</v>
      </c>
      <c r="C1423" s="4">
        <v>14.3604</v>
      </c>
      <c r="D1423" s="4">
        <v>14.4854</v>
      </c>
      <c r="E1423" s="4">
        <v>14.598699999999999</v>
      </c>
      <c r="F1423" s="4">
        <f t="shared" si="88"/>
        <v>14.481499999999999</v>
      </c>
      <c r="I1423" s="4" t="s">
        <v>2719</v>
      </c>
      <c r="J1423" s="4">
        <v>14.543200000000001</v>
      </c>
      <c r="K1423" s="4">
        <v>14.3599</v>
      </c>
      <c r="L1423" s="4">
        <v>14.665699999999999</v>
      </c>
      <c r="M1423" s="4">
        <f t="shared" si="89"/>
        <v>14.522933333333334</v>
      </c>
      <c r="Q1423" s="43" t="s">
        <v>199</v>
      </c>
      <c r="R1423" s="4">
        <v>13.9859331779912</v>
      </c>
      <c r="S1423" s="4">
        <v>14.263019547192</v>
      </c>
      <c r="T1423" s="4">
        <v>14.5740567342714</v>
      </c>
      <c r="U1423" s="4">
        <f t="shared" si="90"/>
        <v>14.274336486484868</v>
      </c>
      <c r="X1423" s="43" t="s">
        <v>2136</v>
      </c>
      <c r="Y1423" s="4">
        <v>14.232235660069399</v>
      </c>
      <c r="Z1423" s="4">
        <v>14.479970811303</v>
      </c>
      <c r="AA1423" s="4">
        <v>14.3992615386663</v>
      </c>
      <c r="AB1423" s="4">
        <f t="shared" si="91"/>
        <v>14.370489336679567</v>
      </c>
    </row>
    <row r="1424" spans="2:28" x14ac:dyDescent="0.2">
      <c r="B1424" s="4" t="s">
        <v>3018</v>
      </c>
      <c r="C1424" s="4">
        <v>14.453200000000001</v>
      </c>
      <c r="D1424" s="4">
        <v>14.186500000000001</v>
      </c>
      <c r="E1424" s="4">
        <v>14.8041</v>
      </c>
      <c r="F1424" s="4">
        <f t="shared" si="88"/>
        <v>14.481266666666668</v>
      </c>
      <c r="I1424" s="4" t="s">
        <v>3775</v>
      </c>
      <c r="J1424" s="4">
        <v>14.670299999999999</v>
      </c>
      <c r="K1424" s="4">
        <v>14.2979</v>
      </c>
      <c r="L1424" s="4">
        <v>14.5947</v>
      </c>
      <c r="M1424" s="4">
        <f t="shared" si="89"/>
        <v>14.520966666666666</v>
      </c>
      <c r="Q1424" s="43" t="s">
        <v>3496</v>
      </c>
      <c r="R1424" s="4">
        <v>14.3615522521202</v>
      </c>
      <c r="S1424" s="4">
        <v>14.2701014463519</v>
      </c>
      <c r="T1424" s="4">
        <v>14.1912277551267</v>
      </c>
      <c r="U1424" s="4">
        <f t="shared" si="90"/>
        <v>14.274293817866265</v>
      </c>
      <c r="X1424" s="43" t="s">
        <v>3242</v>
      </c>
      <c r="Y1424" s="4">
        <v>14.4948382740155</v>
      </c>
      <c r="Z1424" s="4">
        <v>14.372883435942899</v>
      </c>
      <c r="AA1424" s="4">
        <v>14.2329211959393</v>
      </c>
      <c r="AB1424" s="4">
        <f t="shared" si="91"/>
        <v>14.366880968632566</v>
      </c>
    </row>
    <row r="1425" spans="2:28" x14ac:dyDescent="0.2">
      <c r="B1425" s="4" t="s">
        <v>2971</v>
      </c>
      <c r="C1425" s="4">
        <v>14.5571</v>
      </c>
      <c r="D1425" s="4">
        <v>14.6332</v>
      </c>
      <c r="E1425" s="4">
        <v>14.246700000000001</v>
      </c>
      <c r="F1425" s="4">
        <f t="shared" si="88"/>
        <v>14.478999999999999</v>
      </c>
      <c r="I1425" s="4" t="s">
        <v>3498</v>
      </c>
      <c r="J1425" s="4">
        <v>14.751099999999999</v>
      </c>
      <c r="K1425" s="4">
        <v>14.005699999999999</v>
      </c>
      <c r="L1425" s="4">
        <v>14.8056</v>
      </c>
      <c r="M1425" s="4">
        <f t="shared" si="89"/>
        <v>14.520799999999999</v>
      </c>
      <c r="Q1425" s="43" t="s">
        <v>2913</v>
      </c>
      <c r="R1425" s="4">
        <v>14.2236932641074</v>
      </c>
      <c r="S1425" s="4">
        <v>14.15404116369</v>
      </c>
      <c r="T1425" s="4">
        <v>14.4411543419008</v>
      </c>
      <c r="U1425" s="4">
        <f t="shared" si="90"/>
        <v>14.272962923232733</v>
      </c>
      <c r="X1425" s="43" t="s">
        <v>3218</v>
      </c>
      <c r="Y1425" s="4">
        <v>14.385137847143399</v>
      </c>
      <c r="Z1425" s="4">
        <v>14.088837539008701</v>
      </c>
      <c r="AA1425" s="4">
        <v>14.6133653644885</v>
      </c>
      <c r="AB1425" s="4">
        <f t="shared" si="91"/>
        <v>14.3624469168802</v>
      </c>
    </row>
    <row r="1426" spans="2:28" x14ac:dyDescent="0.2">
      <c r="B1426" s="4" t="s">
        <v>989</v>
      </c>
      <c r="C1426" s="4">
        <v>14.075900000000001</v>
      </c>
      <c r="D1426" s="4">
        <v>14.2349</v>
      </c>
      <c r="E1426" s="4">
        <v>15.1166</v>
      </c>
      <c r="F1426" s="4">
        <f t="shared" si="88"/>
        <v>14.4758</v>
      </c>
      <c r="I1426" s="4" t="s">
        <v>1892</v>
      </c>
      <c r="J1426" s="4">
        <v>14.6907</v>
      </c>
      <c r="K1426" s="4">
        <v>14.1655</v>
      </c>
      <c r="L1426" s="4">
        <v>14.6965</v>
      </c>
      <c r="M1426" s="4">
        <f t="shared" si="89"/>
        <v>14.517566666666667</v>
      </c>
      <c r="Q1426" s="43" t="s">
        <v>2905</v>
      </c>
      <c r="R1426" s="4">
        <v>14.3099044439716</v>
      </c>
      <c r="S1426" s="4">
        <v>14.239352788320099</v>
      </c>
      <c r="T1426" s="4">
        <v>14.269062049670501</v>
      </c>
      <c r="U1426" s="4">
        <f t="shared" si="90"/>
        <v>14.272773093987402</v>
      </c>
      <c r="X1426" s="43" t="s">
        <v>2262</v>
      </c>
      <c r="Y1426" s="4">
        <v>14.385052431669299</v>
      </c>
      <c r="Z1426" s="4">
        <v>14.2717028609501</v>
      </c>
      <c r="AA1426" s="4">
        <v>14.426796537901399</v>
      </c>
      <c r="AB1426" s="4">
        <f t="shared" si="91"/>
        <v>14.361183943506935</v>
      </c>
    </row>
    <row r="1427" spans="2:28" x14ac:dyDescent="0.2">
      <c r="B1427" s="4" t="s">
        <v>2679</v>
      </c>
      <c r="C1427" s="4">
        <v>14.5379</v>
      </c>
      <c r="D1427" s="4">
        <v>14.532299999999999</v>
      </c>
      <c r="E1427" s="4">
        <v>14.356</v>
      </c>
      <c r="F1427" s="4">
        <f t="shared" si="88"/>
        <v>14.4754</v>
      </c>
      <c r="I1427" s="4" t="s">
        <v>509</v>
      </c>
      <c r="J1427" s="4">
        <v>14.4297</v>
      </c>
      <c r="K1427" s="4">
        <v>14.824199999999999</v>
      </c>
      <c r="L1427" s="4">
        <v>14.2921</v>
      </c>
      <c r="M1427" s="4">
        <f t="shared" si="89"/>
        <v>14.515333333333333</v>
      </c>
      <c r="Q1427" s="43" t="s">
        <v>1732</v>
      </c>
      <c r="R1427" s="4">
        <v>14.3970814261399</v>
      </c>
      <c r="S1427" s="4">
        <v>14.243226240462899</v>
      </c>
      <c r="T1427" s="4">
        <v>14.1750912605166</v>
      </c>
      <c r="U1427" s="4">
        <f t="shared" si="90"/>
        <v>14.271799642373134</v>
      </c>
      <c r="X1427" s="43" t="s">
        <v>1949</v>
      </c>
      <c r="Y1427" s="4">
        <v>14.2672881640355</v>
      </c>
      <c r="Z1427" s="4">
        <v>14.514836595764701</v>
      </c>
      <c r="AA1427" s="4">
        <v>14.298231892075901</v>
      </c>
      <c r="AB1427" s="4">
        <f t="shared" si="91"/>
        <v>14.3601188839587</v>
      </c>
    </row>
    <row r="1428" spans="2:28" x14ac:dyDescent="0.2">
      <c r="B1428" s="4" t="s">
        <v>2185</v>
      </c>
      <c r="C1428" s="4">
        <v>14.3996</v>
      </c>
      <c r="D1428" s="4">
        <v>14.5677</v>
      </c>
      <c r="E1428" s="4">
        <v>14.450699999999999</v>
      </c>
      <c r="F1428" s="4">
        <f t="shared" si="88"/>
        <v>14.472666666666667</v>
      </c>
      <c r="I1428" s="4" t="s">
        <v>3522</v>
      </c>
      <c r="J1428" s="4">
        <v>14.583500000000001</v>
      </c>
      <c r="K1428" s="4">
        <v>14.3095</v>
      </c>
      <c r="L1428" s="4">
        <v>14.6488</v>
      </c>
      <c r="M1428" s="4">
        <f t="shared" si="89"/>
        <v>14.513933333333334</v>
      </c>
      <c r="Q1428" s="43" t="s">
        <v>2771</v>
      </c>
      <c r="R1428" s="4">
        <v>14.1565393308439</v>
      </c>
      <c r="S1428" s="4">
        <v>14.474459140141899</v>
      </c>
      <c r="T1428" s="4">
        <v>14.1843412740551</v>
      </c>
      <c r="U1428" s="4">
        <f t="shared" si="90"/>
        <v>14.271779915013633</v>
      </c>
      <c r="X1428" s="43" t="s">
        <v>2198</v>
      </c>
      <c r="Y1428" s="4">
        <v>14.548459796126201</v>
      </c>
      <c r="Z1428" s="4">
        <v>14.187835011112499</v>
      </c>
      <c r="AA1428" s="4">
        <v>14.3374189637798</v>
      </c>
      <c r="AB1428" s="4">
        <f t="shared" si="91"/>
        <v>14.357904590339501</v>
      </c>
    </row>
    <row r="1429" spans="2:28" x14ac:dyDescent="0.2">
      <c r="B1429" s="4" t="s">
        <v>3582</v>
      </c>
      <c r="C1429" s="4">
        <v>14.672599999999999</v>
      </c>
      <c r="D1429" s="4">
        <v>14.4131</v>
      </c>
      <c r="E1429" s="4">
        <v>14.33</v>
      </c>
      <c r="F1429" s="4">
        <f t="shared" si="88"/>
        <v>14.4719</v>
      </c>
      <c r="I1429" s="4" t="s">
        <v>2185</v>
      </c>
      <c r="J1429" s="4">
        <v>14.3995</v>
      </c>
      <c r="K1429" s="4">
        <v>14.4415</v>
      </c>
      <c r="L1429" s="4">
        <v>14.696300000000001</v>
      </c>
      <c r="M1429" s="4">
        <f t="shared" si="89"/>
        <v>14.512433333333334</v>
      </c>
      <c r="Q1429" s="43" t="s">
        <v>1130</v>
      </c>
      <c r="R1429" s="4">
        <v>13.895023900576801</v>
      </c>
      <c r="S1429" s="4">
        <v>14.2624403916109</v>
      </c>
      <c r="T1429" s="4">
        <v>14.6558398640774</v>
      </c>
      <c r="U1429" s="4">
        <f t="shared" si="90"/>
        <v>14.271101385421701</v>
      </c>
      <c r="X1429" s="43" t="s">
        <v>1617</v>
      </c>
      <c r="Y1429" s="4">
        <v>14.2530579720842</v>
      </c>
      <c r="Z1429" s="4">
        <v>14.4915165378452</v>
      </c>
      <c r="AA1429" s="4">
        <v>14.316440217692801</v>
      </c>
      <c r="AB1429" s="4">
        <f t="shared" si="91"/>
        <v>14.353671575874067</v>
      </c>
    </row>
    <row r="1430" spans="2:28" x14ac:dyDescent="0.2">
      <c r="B1430" s="4" t="s">
        <v>1645</v>
      </c>
      <c r="C1430" s="4">
        <v>14.5587</v>
      </c>
      <c r="D1430" s="4">
        <v>14.513</v>
      </c>
      <c r="E1430" s="4">
        <v>14.3423</v>
      </c>
      <c r="F1430" s="4">
        <f t="shared" si="88"/>
        <v>14.471333333333334</v>
      </c>
      <c r="I1430" s="4" t="s">
        <v>2754</v>
      </c>
      <c r="J1430" s="4">
        <v>14.1599</v>
      </c>
      <c r="K1430" s="4">
        <v>14.9437</v>
      </c>
      <c r="L1430" s="4">
        <v>14.4312</v>
      </c>
      <c r="M1430" s="4">
        <f t="shared" si="89"/>
        <v>14.511600000000001</v>
      </c>
      <c r="Q1430" s="43" t="s">
        <v>1917</v>
      </c>
      <c r="R1430" s="4">
        <v>14.450049821828101</v>
      </c>
      <c r="S1430" s="4">
        <v>14.317709135008201</v>
      </c>
      <c r="T1430" s="4">
        <v>14.0448598110603</v>
      </c>
      <c r="U1430" s="4">
        <f t="shared" si="90"/>
        <v>14.270872922632201</v>
      </c>
      <c r="X1430" s="43" t="s">
        <v>4446</v>
      </c>
      <c r="Y1430" s="4">
        <v>14.1371244645454</v>
      </c>
      <c r="Z1430" s="4">
        <v>14.594626470779801</v>
      </c>
      <c r="AA1430" s="4">
        <v>14.321528424712501</v>
      </c>
      <c r="AB1430" s="4">
        <f t="shared" si="91"/>
        <v>14.351093120012569</v>
      </c>
    </row>
    <row r="1431" spans="2:28" x14ac:dyDescent="0.2">
      <c r="B1431" s="4" t="s">
        <v>1352</v>
      </c>
      <c r="C1431" s="4">
        <v>14.4963</v>
      </c>
      <c r="D1431" s="4">
        <v>14.4087</v>
      </c>
      <c r="E1431" s="4">
        <v>14.505800000000001</v>
      </c>
      <c r="F1431" s="4">
        <f t="shared" si="88"/>
        <v>14.470266666666667</v>
      </c>
      <c r="I1431" s="4" t="s">
        <v>1418</v>
      </c>
      <c r="J1431" s="4">
        <v>14.7066</v>
      </c>
      <c r="K1431" s="4">
        <v>14.073</v>
      </c>
      <c r="L1431" s="4">
        <v>14.7483</v>
      </c>
      <c r="M1431" s="4">
        <f t="shared" si="89"/>
        <v>14.509300000000001</v>
      </c>
      <c r="Q1431" s="43" t="s">
        <v>4579</v>
      </c>
      <c r="R1431" s="4">
        <v>14.1692348252791</v>
      </c>
      <c r="S1431" s="4">
        <v>14.2733065940918</v>
      </c>
      <c r="T1431" s="4">
        <v>14.3687596113325</v>
      </c>
      <c r="U1431" s="4">
        <f t="shared" si="90"/>
        <v>14.270433676901133</v>
      </c>
      <c r="X1431" s="43" t="s">
        <v>2687</v>
      </c>
      <c r="Y1431" s="4">
        <v>14.3884952853137</v>
      </c>
      <c r="Z1431" s="4">
        <v>14.349358555213501</v>
      </c>
      <c r="AA1431" s="4">
        <v>14.311619669414901</v>
      </c>
      <c r="AB1431" s="4">
        <f t="shared" si="91"/>
        <v>14.349824503314034</v>
      </c>
    </row>
    <row r="1432" spans="2:28" x14ac:dyDescent="0.2">
      <c r="B1432" s="4" t="s">
        <v>252</v>
      </c>
      <c r="C1432" s="4">
        <v>14.3584</v>
      </c>
      <c r="D1432" s="4">
        <v>14.467700000000001</v>
      </c>
      <c r="E1432" s="4">
        <v>14.5822</v>
      </c>
      <c r="F1432" s="4">
        <f t="shared" si="88"/>
        <v>14.469433333333333</v>
      </c>
      <c r="I1432" s="4" t="s">
        <v>3083</v>
      </c>
      <c r="J1432" s="4">
        <v>14.121499999999999</v>
      </c>
      <c r="K1432" s="4">
        <v>15.7981</v>
      </c>
      <c r="L1432" s="4">
        <v>13.605</v>
      </c>
      <c r="M1432" s="4">
        <f t="shared" si="89"/>
        <v>14.5082</v>
      </c>
      <c r="Q1432" s="43" t="s">
        <v>1939</v>
      </c>
      <c r="R1432" s="4">
        <v>14.0987544630899</v>
      </c>
      <c r="S1432" s="4">
        <v>14.3679326313058</v>
      </c>
      <c r="T1432" s="4">
        <v>14.343311713786999</v>
      </c>
      <c r="U1432" s="4">
        <f t="shared" si="90"/>
        <v>14.269999602727566</v>
      </c>
      <c r="X1432" s="43" t="s">
        <v>3106</v>
      </c>
      <c r="Y1432" s="4">
        <v>14.2675413214704</v>
      </c>
      <c r="Z1432" s="4">
        <v>14.4819884075254</v>
      </c>
      <c r="AA1432" s="4">
        <v>14.299927453588101</v>
      </c>
      <c r="AB1432" s="4">
        <f t="shared" si="91"/>
        <v>14.3498190608613</v>
      </c>
    </row>
    <row r="1433" spans="2:28" x14ac:dyDescent="0.2">
      <c r="B1433" s="4" t="s">
        <v>837</v>
      </c>
      <c r="C1433" s="4">
        <v>13.792</v>
      </c>
      <c r="D1433" s="4">
        <v>14.396599999999999</v>
      </c>
      <c r="E1433" s="4">
        <v>15.218</v>
      </c>
      <c r="F1433" s="4">
        <f t="shared" si="88"/>
        <v>14.468866666666665</v>
      </c>
      <c r="I1433" s="4" t="s">
        <v>1686</v>
      </c>
      <c r="J1433" s="4">
        <v>14.519500000000001</v>
      </c>
      <c r="K1433" s="4">
        <v>14.0078</v>
      </c>
      <c r="L1433" s="4">
        <v>14.988300000000001</v>
      </c>
      <c r="M1433" s="4">
        <f t="shared" si="89"/>
        <v>14.5052</v>
      </c>
      <c r="Q1433" s="43" t="s">
        <v>1371</v>
      </c>
      <c r="R1433" s="4">
        <v>14.032503987657099</v>
      </c>
      <c r="S1433" s="4">
        <v>14.313673912195901</v>
      </c>
      <c r="T1433" s="4">
        <v>14.451777641741</v>
      </c>
      <c r="U1433" s="4">
        <f t="shared" si="90"/>
        <v>14.265985180531333</v>
      </c>
      <c r="X1433" s="43" t="s">
        <v>575</v>
      </c>
      <c r="Y1433" s="4">
        <v>14.3562386414825</v>
      </c>
      <c r="Z1433" s="4">
        <v>14.407520440514499</v>
      </c>
      <c r="AA1433" s="4">
        <v>14.2856690935975</v>
      </c>
      <c r="AB1433" s="4">
        <f t="shared" si="91"/>
        <v>14.349809391864833</v>
      </c>
    </row>
    <row r="1434" spans="2:28" x14ac:dyDescent="0.2">
      <c r="B1434" s="4" t="s">
        <v>142</v>
      </c>
      <c r="C1434" s="4">
        <v>14.5357</v>
      </c>
      <c r="D1434" s="4">
        <v>14.4057</v>
      </c>
      <c r="E1434" s="4">
        <v>14.4605</v>
      </c>
      <c r="F1434" s="4">
        <f t="shared" si="88"/>
        <v>14.4673</v>
      </c>
      <c r="I1434" s="4" t="s">
        <v>2695</v>
      </c>
      <c r="J1434" s="4">
        <v>14.424899999999999</v>
      </c>
      <c r="K1434" s="4">
        <v>14.9168</v>
      </c>
      <c r="L1434" s="4">
        <v>14.1736</v>
      </c>
      <c r="M1434" s="4">
        <f t="shared" si="89"/>
        <v>14.505099999999999</v>
      </c>
      <c r="Q1434" s="43" t="s">
        <v>2153</v>
      </c>
      <c r="R1434" s="4">
        <v>14.2202910024867</v>
      </c>
      <c r="S1434" s="4">
        <v>14.290982742119301</v>
      </c>
      <c r="T1434" s="4">
        <v>14.2850105303792</v>
      </c>
      <c r="U1434" s="4">
        <f t="shared" si="90"/>
        <v>14.265428091661732</v>
      </c>
      <c r="X1434" s="43" t="s">
        <v>3076</v>
      </c>
      <c r="Y1434" s="4">
        <v>14.294746633908099</v>
      </c>
      <c r="Z1434" s="4">
        <v>14.4202382220255</v>
      </c>
      <c r="AA1434" s="4">
        <v>14.3291989040135</v>
      </c>
      <c r="AB1434" s="4">
        <f t="shared" si="91"/>
        <v>14.3480612533157</v>
      </c>
    </row>
    <row r="1435" spans="2:28" x14ac:dyDescent="0.2">
      <c r="B1435" s="4" t="s">
        <v>462</v>
      </c>
      <c r="C1435" s="4">
        <v>14.8096</v>
      </c>
      <c r="D1435" s="4">
        <v>14.406499999999999</v>
      </c>
      <c r="E1435" s="4">
        <v>14.179500000000001</v>
      </c>
      <c r="F1435" s="4">
        <f t="shared" si="88"/>
        <v>14.465200000000001</v>
      </c>
      <c r="I1435" s="4" t="s">
        <v>3787</v>
      </c>
      <c r="J1435" s="4">
        <v>14.559900000000001</v>
      </c>
      <c r="K1435" s="4">
        <v>14.3017</v>
      </c>
      <c r="L1435" s="4">
        <v>14.652200000000001</v>
      </c>
      <c r="M1435" s="4">
        <f t="shared" si="89"/>
        <v>14.504600000000002</v>
      </c>
      <c r="Q1435" s="43" t="s">
        <v>2822</v>
      </c>
      <c r="R1435" s="4">
        <v>14.099968707558199</v>
      </c>
      <c r="S1435" s="4">
        <v>14.2698859488371</v>
      </c>
      <c r="T1435" s="4">
        <v>14.424532455102201</v>
      </c>
      <c r="U1435" s="4">
        <f t="shared" si="90"/>
        <v>14.264795703832499</v>
      </c>
      <c r="X1435" s="43" t="s">
        <v>3754</v>
      </c>
      <c r="Y1435" s="4">
        <v>14.270046401650999</v>
      </c>
      <c r="Z1435" s="4">
        <v>14.5963909738699</v>
      </c>
      <c r="AA1435" s="4">
        <v>14.162530866720401</v>
      </c>
      <c r="AB1435" s="4">
        <f t="shared" si="91"/>
        <v>14.342989414080433</v>
      </c>
    </row>
    <row r="1436" spans="2:28" x14ac:dyDescent="0.2">
      <c r="B1436" s="4" t="s">
        <v>1049</v>
      </c>
      <c r="C1436" s="4">
        <v>14.6248</v>
      </c>
      <c r="D1436" s="4">
        <v>14.5359</v>
      </c>
      <c r="E1436" s="4">
        <v>14.2342</v>
      </c>
      <c r="F1436" s="4">
        <f t="shared" si="88"/>
        <v>14.464966666666667</v>
      </c>
      <c r="I1436" s="4" t="s">
        <v>608</v>
      </c>
      <c r="J1436" s="4">
        <v>14.5748</v>
      </c>
      <c r="K1436" s="4">
        <v>13.951599999999999</v>
      </c>
      <c r="L1436" s="4">
        <v>14.9864</v>
      </c>
      <c r="M1436" s="4">
        <f t="shared" si="89"/>
        <v>14.504266666666666</v>
      </c>
      <c r="Q1436" s="43" t="s">
        <v>1559</v>
      </c>
      <c r="R1436" s="4">
        <v>14.3041894042663</v>
      </c>
      <c r="S1436" s="4">
        <v>14.0577522932447</v>
      </c>
      <c r="T1436" s="4">
        <v>14.429879298758999</v>
      </c>
      <c r="U1436" s="4">
        <f t="shared" si="90"/>
        <v>14.26394033209</v>
      </c>
      <c r="X1436" s="43" t="s">
        <v>3252</v>
      </c>
      <c r="Y1436" s="4">
        <v>14.3979141951557</v>
      </c>
      <c r="Z1436" s="4">
        <v>14.3702716831554</v>
      </c>
      <c r="AA1436" s="4">
        <v>14.2595747250336</v>
      </c>
      <c r="AB1436" s="4">
        <f t="shared" si="91"/>
        <v>14.342586867781568</v>
      </c>
    </row>
    <row r="1437" spans="2:28" x14ac:dyDescent="0.2">
      <c r="B1437" s="4" t="s">
        <v>3197</v>
      </c>
      <c r="C1437" s="4">
        <v>14.2059</v>
      </c>
      <c r="D1437" s="4">
        <v>14.4399</v>
      </c>
      <c r="E1437" s="4">
        <v>14.743499999999999</v>
      </c>
      <c r="F1437" s="4">
        <f t="shared" si="88"/>
        <v>14.463099999999999</v>
      </c>
      <c r="I1437" s="4" t="s">
        <v>354</v>
      </c>
      <c r="J1437" s="4">
        <v>14.696999999999999</v>
      </c>
      <c r="K1437" s="4">
        <v>14.547700000000001</v>
      </c>
      <c r="L1437" s="4">
        <v>14.267300000000001</v>
      </c>
      <c r="M1437" s="4">
        <f t="shared" si="89"/>
        <v>14.504</v>
      </c>
      <c r="Q1437" s="43" t="s">
        <v>4021</v>
      </c>
      <c r="R1437" s="4">
        <v>14.3752490863332</v>
      </c>
      <c r="S1437" s="4">
        <v>14.2091309431363</v>
      </c>
      <c r="T1437" s="4">
        <v>14.2066508050672</v>
      </c>
      <c r="U1437" s="4">
        <f t="shared" si="90"/>
        <v>14.263676944845566</v>
      </c>
      <c r="X1437" s="43" t="s">
        <v>2679</v>
      </c>
      <c r="Y1437" s="4">
        <v>14.205739409605</v>
      </c>
      <c r="Z1437" s="4">
        <v>14.226050799819999</v>
      </c>
      <c r="AA1437" s="4">
        <v>14.5895147778315</v>
      </c>
      <c r="AB1437" s="4">
        <f t="shared" si="91"/>
        <v>14.340434995752167</v>
      </c>
    </row>
    <row r="1438" spans="2:28" x14ac:dyDescent="0.2">
      <c r="B1438" s="4" t="s">
        <v>2547</v>
      </c>
      <c r="C1438" s="4">
        <v>14.048500000000001</v>
      </c>
      <c r="D1438" s="4">
        <v>14.130699999999999</v>
      </c>
      <c r="E1438" s="4">
        <v>15.208299999999999</v>
      </c>
      <c r="F1438" s="4">
        <f t="shared" si="88"/>
        <v>14.4625</v>
      </c>
      <c r="I1438" s="4" t="s">
        <v>2940</v>
      </c>
      <c r="J1438" s="4">
        <v>14.569800000000001</v>
      </c>
      <c r="K1438" s="4">
        <v>14.1371</v>
      </c>
      <c r="L1438" s="4">
        <v>14.802</v>
      </c>
      <c r="M1438" s="4">
        <f t="shared" si="89"/>
        <v>14.502966666666666</v>
      </c>
      <c r="Q1438" s="43" t="s">
        <v>2850</v>
      </c>
      <c r="R1438" s="4">
        <v>14.0259960456212</v>
      </c>
      <c r="S1438" s="4">
        <v>14.3584494350493</v>
      </c>
      <c r="T1438" s="4">
        <v>14.404442664105099</v>
      </c>
      <c r="U1438" s="4">
        <f t="shared" si="90"/>
        <v>14.2629627149252</v>
      </c>
      <c r="X1438" s="43" t="s">
        <v>927</v>
      </c>
      <c r="Y1438" s="4">
        <v>14.2501845310679</v>
      </c>
      <c r="Z1438" s="4">
        <v>14.332740675921</v>
      </c>
      <c r="AA1438" s="4">
        <v>14.429009121184199</v>
      </c>
      <c r="AB1438" s="4">
        <f t="shared" si="91"/>
        <v>14.337311442724365</v>
      </c>
    </row>
    <row r="1439" spans="2:28" x14ac:dyDescent="0.2">
      <c r="B1439" s="4" t="s">
        <v>3389</v>
      </c>
      <c r="C1439" s="4">
        <v>14.0495</v>
      </c>
      <c r="D1439" s="4">
        <v>15.2028</v>
      </c>
      <c r="E1439" s="4">
        <v>14.1274</v>
      </c>
      <c r="F1439" s="4">
        <f t="shared" si="88"/>
        <v>14.459899999999999</v>
      </c>
      <c r="I1439" s="4" t="s">
        <v>3448</v>
      </c>
      <c r="J1439" s="4">
        <v>14.532299999999999</v>
      </c>
      <c r="K1439" s="4">
        <v>14.561500000000001</v>
      </c>
      <c r="L1439" s="4">
        <v>14.4116</v>
      </c>
      <c r="M1439" s="4">
        <f t="shared" si="89"/>
        <v>14.501800000000001</v>
      </c>
      <c r="Q1439" s="43" t="s">
        <v>2736</v>
      </c>
      <c r="R1439" s="4">
        <v>14.2002506536966</v>
      </c>
      <c r="S1439" s="4">
        <v>14.2677486635201</v>
      </c>
      <c r="T1439" s="4">
        <v>14.3117445854304</v>
      </c>
      <c r="U1439" s="4">
        <f t="shared" si="90"/>
        <v>14.259914634215699</v>
      </c>
      <c r="X1439" s="43" t="s">
        <v>299</v>
      </c>
      <c r="Y1439" s="4">
        <v>14.3476157208967</v>
      </c>
      <c r="Z1439" s="4">
        <v>14.2945735494398</v>
      </c>
      <c r="AA1439" s="4">
        <v>14.3686571820301</v>
      </c>
      <c r="AB1439" s="4">
        <f t="shared" si="91"/>
        <v>14.336948817455534</v>
      </c>
    </row>
    <row r="1440" spans="2:28" x14ac:dyDescent="0.2">
      <c r="B1440" s="4" t="s">
        <v>918</v>
      </c>
      <c r="C1440" s="4">
        <v>14.9466</v>
      </c>
      <c r="D1440" s="4">
        <v>14.143800000000001</v>
      </c>
      <c r="E1440" s="4">
        <v>14.2836</v>
      </c>
      <c r="F1440" s="4">
        <f t="shared" si="88"/>
        <v>14.458</v>
      </c>
      <c r="I1440" s="4" t="s">
        <v>153</v>
      </c>
      <c r="J1440" s="4">
        <v>14.4452</v>
      </c>
      <c r="K1440" s="4">
        <v>14.809200000000001</v>
      </c>
      <c r="L1440" s="4">
        <v>14.2453</v>
      </c>
      <c r="M1440" s="4">
        <f t="shared" si="89"/>
        <v>14.499900000000002</v>
      </c>
      <c r="Q1440" s="43" t="s">
        <v>498</v>
      </c>
      <c r="R1440" s="4">
        <v>14.2927981410832</v>
      </c>
      <c r="S1440" s="4">
        <v>14.308112179916099</v>
      </c>
      <c r="T1440" s="4">
        <v>14.166672317938801</v>
      </c>
      <c r="U1440" s="4">
        <f t="shared" si="90"/>
        <v>14.255860879646031</v>
      </c>
      <c r="X1440" s="43" t="s">
        <v>3853</v>
      </c>
      <c r="Y1440" s="4">
        <v>14.5791786892872</v>
      </c>
      <c r="Z1440" s="4">
        <v>14.2582980161399</v>
      </c>
      <c r="AA1440" s="4">
        <v>14.170091542402901</v>
      </c>
      <c r="AB1440" s="4">
        <f t="shared" si="91"/>
        <v>14.33585608261</v>
      </c>
    </row>
    <row r="1441" spans="2:28" x14ac:dyDescent="0.2">
      <c r="B1441" s="4" t="s">
        <v>71</v>
      </c>
      <c r="C1441" s="4">
        <v>14.231999999999999</v>
      </c>
      <c r="D1441" s="4">
        <v>14.493</v>
      </c>
      <c r="E1441" s="4">
        <v>14.6465</v>
      </c>
      <c r="F1441" s="4">
        <f t="shared" si="88"/>
        <v>14.457166666666666</v>
      </c>
      <c r="I1441" s="4" t="s">
        <v>3952</v>
      </c>
      <c r="J1441" s="4">
        <v>14.6562</v>
      </c>
      <c r="K1441" s="4">
        <v>14.261900000000001</v>
      </c>
      <c r="L1441" s="4">
        <v>14.5749</v>
      </c>
      <c r="M1441" s="4">
        <f t="shared" si="89"/>
        <v>14.497666666666667</v>
      </c>
      <c r="Q1441" s="43" t="s">
        <v>2735</v>
      </c>
      <c r="R1441" s="4">
        <v>14.3040147388816</v>
      </c>
      <c r="S1441" s="4">
        <v>14.0730463119641</v>
      </c>
      <c r="T1441" s="4">
        <v>14.3882694059723</v>
      </c>
      <c r="U1441" s="4">
        <f t="shared" si="90"/>
        <v>14.255110152272666</v>
      </c>
      <c r="X1441" s="43" t="s">
        <v>2139</v>
      </c>
      <c r="Y1441" s="4">
        <v>14.2784741967724</v>
      </c>
      <c r="Z1441" s="4">
        <v>14.5343961078771</v>
      </c>
      <c r="AA1441" s="4">
        <v>14.191369700513601</v>
      </c>
      <c r="AB1441" s="4">
        <f t="shared" si="91"/>
        <v>14.3347466683877</v>
      </c>
    </row>
    <row r="1442" spans="2:28" x14ac:dyDescent="0.2">
      <c r="B1442" s="4" t="s">
        <v>3439</v>
      </c>
      <c r="C1442" s="4">
        <v>14.5158</v>
      </c>
      <c r="D1442" s="4">
        <v>14.484999999999999</v>
      </c>
      <c r="E1442" s="4">
        <v>14.3687</v>
      </c>
      <c r="F1442" s="4">
        <f t="shared" si="88"/>
        <v>14.4565</v>
      </c>
      <c r="I1442" s="4" t="s">
        <v>292</v>
      </c>
      <c r="J1442" s="4">
        <v>14.509399999999999</v>
      </c>
      <c r="K1442" s="4">
        <v>14.332700000000001</v>
      </c>
      <c r="L1442" s="4">
        <v>14.650600000000001</v>
      </c>
      <c r="M1442" s="4">
        <f t="shared" si="89"/>
        <v>14.497566666666666</v>
      </c>
      <c r="Q1442" s="43" t="s">
        <v>2472</v>
      </c>
      <c r="R1442" s="4">
        <v>14.3088967649261</v>
      </c>
      <c r="S1442" s="4">
        <v>14.2966828815387</v>
      </c>
      <c r="T1442" s="4">
        <v>14.155057808602701</v>
      </c>
      <c r="U1442" s="4">
        <f t="shared" si="90"/>
        <v>14.253545818355834</v>
      </c>
      <c r="X1442" s="43" t="s">
        <v>836</v>
      </c>
      <c r="Y1442" s="4">
        <v>14.0778234676989</v>
      </c>
      <c r="Z1442" s="4">
        <v>14.4995062154499</v>
      </c>
      <c r="AA1442" s="4">
        <v>14.4220265621589</v>
      </c>
      <c r="AB1442" s="4">
        <f t="shared" si="91"/>
        <v>14.333118748435901</v>
      </c>
    </row>
    <row r="1443" spans="2:28" x14ac:dyDescent="0.2">
      <c r="B1443" s="4" t="s">
        <v>1647</v>
      </c>
      <c r="C1443" s="4">
        <v>14.8515</v>
      </c>
      <c r="D1443" s="4">
        <v>14.4124</v>
      </c>
      <c r="E1443" s="4">
        <v>14.103199999999999</v>
      </c>
      <c r="F1443" s="4">
        <f t="shared" si="88"/>
        <v>14.4557</v>
      </c>
      <c r="I1443" s="4" t="s">
        <v>3375</v>
      </c>
      <c r="J1443" s="4">
        <v>14.712899999999999</v>
      </c>
      <c r="K1443" s="4">
        <v>14.2994</v>
      </c>
      <c r="L1443" s="4">
        <v>14.476699999999999</v>
      </c>
      <c r="M1443" s="4">
        <f t="shared" si="89"/>
        <v>14.496333333333332</v>
      </c>
      <c r="Q1443" s="43" t="s">
        <v>462</v>
      </c>
      <c r="R1443" s="4">
        <v>14.503081994688401</v>
      </c>
      <c r="S1443" s="4">
        <v>13.957306786435</v>
      </c>
      <c r="T1443" s="4">
        <v>14.296675438849</v>
      </c>
      <c r="U1443" s="4">
        <f t="shared" si="90"/>
        <v>14.2523547399908</v>
      </c>
      <c r="X1443" s="43" t="s">
        <v>2557</v>
      </c>
      <c r="Y1443" s="4">
        <v>14.283925562083599</v>
      </c>
      <c r="Z1443" s="4">
        <v>14.163794835693199</v>
      </c>
      <c r="AA1443" s="4">
        <v>14.5463766023446</v>
      </c>
      <c r="AB1443" s="4">
        <f t="shared" si="91"/>
        <v>14.331365666707134</v>
      </c>
    </row>
    <row r="1444" spans="2:28" x14ac:dyDescent="0.2">
      <c r="B1444" s="4" t="s">
        <v>1609</v>
      </c>
      <c r="C1444" s="4">
        <v>14.218400000000001</v>
      </c>
      <c r="D1444" s="4">
        <v>14.4589</v>
      </c>
      <c r="E1444" s="4">
        <v>14.688800000000001</v>
      </c>
      <c r="F1444" s="4">
        <f t="shared" si="88"/>
        <v>14.455366666666668</v>
      </c>
      <c r="I1444" s="4" t="s">
        <v>468</v>
      </c>
      <c r="J1444" s="4">
        <v>14.378</v>
      </c>
      <c r="K1444" s="4">
        <v>14.5656</v>
      </c>
      <c r="L1444" s="4">
        <v>14.542</v>
      </c>
      <c r="M1444" s="4">
        <f t="shared" si="89"/>
        <v>14.495199999999999</v>
      </c>
      <c r="Q1444" s="43" t="s">
        <v>3474</v>
      </c>
      <c r="R1444" s="4">
        <v>14.167265429373501</v>
      </c>
      <c r="S1444" s="4">
        <v>14.2780821639862</v>
      </c>
      <c r="T1444" s="4">
        <v>14.309130420072</v>
      </c>
      <c r="U1444" s="4">
        <f t="shared" si="90"/>
        <v>14.2514926711439</v>
      </c>
      <c r="X1444" s="43" t="s">
        <v>3903</v>
      </c>
      <c r="Y1444" s="4">
        <v>14.3731534319344</v>
      </c>
      <c r="Z1444" s="4">
        <v>14.5840768881184</v>
      </c>
      <c r="AA1444" s="4">
        <v>14.0343031846858</v>
      </c>
      <c r="AB1444" s="4">
        <f t="shared" si="91"/>
        <v>14.330511168246199</v>
      </c>
    </row>
    <row r="1445" spans="2:28" x14ac:dyDescent="0.2">
      <c r="B1445" s="4" t="s">
        <v>3625</v>
      </c>
      <c r="C1445" s="4">
        <v>13.809100000000001</v>
      </c>
      <c r="D1445" s="4">
        <v>14.7385</v>
      </c>
      <c r="E1445" s="4">
        <v>14.815300000000001</v>
      </c>
      <c r="F1445" s="4">
        <f t="shared" si="88"/>
        <v>14.454300000000002</v>
      </c>
      <c r="I1445" s="4" t="s">
        <v>750</v>
      </c>
      <c r="J1445" s="4">
        <v>14.464399999999999</v>
      </c>
      <c r="K1445" s="4">
        <v>14.707800000000001</v>
      </c>
      <c r="L1445" s="4">
        <v>14.3087</v>
      </c>
      <c r="M1445" s="4">
        <f t="shared" si="89"/>
        <v>14.493633333333333</v>
      </c>
      <c r="Q1445" s="43" t="s">
        <v>972</v>
      </c>
      <c r="R1445" s="4">
        <v>14.372982587614899</v>
      </c>
      <c r="S1445" s="4">
        <v>14.472765422723199</v>
      </c>
      <c r="T1445" s="4">
        <v>13.9061194704096</v>
      </c>
      <c r="U1445" s="4">
        <f t="shared" si="90"/>
        <v>14.250622493582567</v>
      </c>
      <c r="X1445" s="43" t="s">
        <v>2409</v>
      </c>
      <c r="Y1445" s="4">
        <v>14.2189971301816</v>
      </c>
      <c r="Z1445" s="4">
        <v>14.2600384776042</v>
      </c>
      <c r="AA1445" s="4">
        <v>14.510842520187801</v>
      </c>
      <c r="AB1445" s="4">
        <f t="shared" si="91"/>
        <v>14.3299593759912</v>
      </c>
    </row>
    <row r="1446" spans="2:28" x14ac:dyDescent="0.2">
      <c r="B1446" s="4" t="s">
        <v>1338</v>
      </c>
      <c r="C1446" s="4">
        <v>14.4156</v>
      </c>
      <c r="D1446" s="4">
        <v>14.497199999999999</v>
      </c>
      <c r="E1446" s="4">
        <v>14.4466</v>
      </c>
      <c r="F1446" s="4">
        <f t="shared" si="88"/>
        <v>14.453133333333332</v>
      </c>
      <c r="I1446" s="4" t="s">
        <v>1279</v>
      </c>
      <c r="J1446" s="4">
        <v>14.693199999999999</v>
      </c>
      <c r="K1446" s="4">
        <v>13.844799999999999</v>
      </c>
      <c r="L1446" s="4">
        <v>14.9377</v>
      </c>
      <c r="M1446" s="4">
        <f t="shared" si="89"/>
        <v>14.491899999999999</v>
      </c>
      <c r="Q1446" s="43" t="s">
        <v>3620</v>
      </c>
      <c r="R1446" s="4">
        <v>14.1792614829267</v>
      </c>
      <c r="S1446" s="4">
        <v>14.241025271982201</v>
      </c>
      <c r="T1446" s="4">
        <v>14.3275552359817</v>
      </c>
      <c r="U1446" s="4">
        <f t="shared" si="90"/>
        <v>14.2492806636302</v>
      </c>
      <c r="X1446" s="43" t="s">
        <v>3337</v>
      </c>
      <c r="Y1446" s="4">
        <v>14.4173282888801</v>
      </c>
      <c r="Z1446" s="4">
        <v>14.220702269927401</v>
      </c>
      <c r="AA1446" s="4">
        <v>14.351758981236101</v>
      </c>
      <c r="AB1446" s="4">
        <f t="shared" si="91"/>
        <v>14.329929846681202</v>
      </c>
    </row>
    <row r="1447" spans="2:28" x14ac:dyDescent="0.2">
      <c r="B1447" s="4" t="s">
        <v>3203</v>
      </c>
      <c r="C1447" s="4">
        <v>14.541600000000001</v>
      </c>
      <c r="D1447" s="4">
        <v>13.888999999999999</v>
      </c>
      <c r="E1447" s="4">
        <v>14.928599999999999</v>
      </c>
      <c r="F1447" s="4">
        <f t="shared" si="88"/>
        <v>14.453066666666667</v>
      </c>
      <c r="I1447" s="4" t="s">
        <v>764</v>
      </c>
      <c r="J1447" s="4">
        <v>14.7287</v>
      </c>
      <c r="K1447" s="4">
        <v>13.9709</v>
      </c>
      <c r="L1447" s="4">
        <v>14.775600000000001</v>
      </c>
      <c r="M1447" s="4">
        <f t="shared" si="89"/>
        <v>14.491733333333334</v>
      </c>
      <c r="Q1447" s="43" t="s">
        <v>856</v>
      </c>
      <c r="R1447" s="4">
        <v>13.906621080654499</v>
      </c>
      <c r="S1447" s="4">
        <v>14.2569045799222</v>
      </c>
      <c r="T1447" s="4">
        <v>14.5786669444594</v>
      </c>
      <c r="U1447" s="4">
        <f t="shared" si="90"/>
        <v>14.247397535012032</v>
      </c>
      <c r="X1447" s="43" t="s">
        <v>3860</v>
      </c>
      <c r="Y1447" s="4">
        <v>14.274521833150301</v>
      </c>
      <c r="Z1447" s="4">
        <v>14.4688647377171</v>
      </c>
      <c r="AA1447" s="4">
        <v>14.244269074864199</v>
      </c>
      <c r="AB1447" s="4">
        <f t="shared" si="91"/>
        <v>14.329218548577201</v>
      </c>
    </row>
    <row r="1448" spans="2:28" x14ac:dyDescent="0.2">
      <c r="B1448" s="4" t="s">
        <v>3996</v>
      </c>
      <c r="C1448" s="4">
        <v>14.152699999999999</v>
      </c>
      <c r="D1448" s="4">
        <v>14.4649</v>
      </c>
      <c r="E1448" s="4">
        <v>14.7386</v>
      </c>
      <c r="F1448" s="4">
        <f t="shared" si="88"/>
        <v>14.452066666666667</v>
      </c>
      <c r="I1448" s="4" t="s">
        <v>1968</v>
      </c>
      <c r="J1448" s="4">
        <v>14.242100000000001</v>
      </c>
      <c r="K1448" s="4">
        <v>14.693</v>
      </c>
      <c r="L1448" s="4">
        <v>14.534800000000001</v>
      </c>
      <c r="M1448" s="4">
        <f t="shared" si="89"/>
        <v>14.489966666666666</v>
      </c>
      <c r="Q1448" s="43" t="s">
        <v>1432</v>
      </c>
      <c r="R1448" s="4">
        <v>14.590734928543499</v>
      </c>
      <c r="S1448" s="4">
        <v>14.018037607723601</v>
      </c>
      <c r="T1448" s="4">
        <v>14.1311985574127</v>
      </c>
      <c r="U1448" s="4">
        <f t="shared" si="90"/>
        <v>14.246657031226599</v>
      </c>
      <c r="X1448" s="43" t="s">
        <v>581</v>
      </c>
      <c r="Y1448" s="4">
        <v>14.4495830937176</v>
      </c>
      <c r="Z1448" s="4">
        <v>14.2024214003717</v>
      </c>
      <c r="AA1448" s="4">
        <v>14.333623977117099</v>
      </c>
      <c r="AB1448" s="4">
        <f t="shared" si="91"/>
        <v>14.328542823735466</v>
      </c>
    </row>
    <row r="1449" spans="2:28" x14ac:dyDescent="0.2">
      <c r="B1449" s="4" t="s">
        <v>2726</v>
      </c>
      <c r="C1449" s="4">
        <v>14.3017</v>
      </c>
      <c r="D1449" s="4">
        <v>14.508800000000001</v>
      </c>
      <c r="E1449" s="4">
        <v>14.5405</v>
      </c>
      <c r="F1449" s="4">
        <f t="shared" si="88"/>
        <v>14.450333333333333</v>
      </c>
      <c r="I1449" s="4" t="s">
        <v>3855</v>
      </c>
      <c r="J1449" s="4">
        <v>14.757899999999999</v>
      </c>
      <c r="K1449" s="4">
        <v>14.0017</v>
      </c>
      <c r="L1449" s="4">
        <v>14.7075</v>
      </c>
      <c r="M1449" s="4">
        <f t="shared" si="89"/>
        <v>14.489033333333333</v>
      </c>
      <c r="Q1449" s="43" t="s">
        <v>2986</v>
      </c>
      <c r="R1449" s="4">
        <v>14.3614740125466</v>
      </c>
      <c r="S1449" s="4">
        <v>14.1990732516355</v>
      </c>
      <c r="T1449" s="4">
        <v>14.1779364554517</v>
      </c>
      <c r="U1449" s="4">
        <f t="shared" si="90"/>
        <v>14.246161239877933</v>
      </c>
      <c r="X1449" s="43" t="s">
        <v>2960</v>
      </c>
      <c r="Y1449" s="4">
        <v>14.3235848148234</v>
      </c>
      <c r="Z1449" s="4">
        <v>14.3129114794824</v>
      </c>
      <c r="AA1449" s="4">
        <v>14.3490282925064</v>
      </c>
      <c r="AB1449" s="4">
        <f t="shared" si="91"/>
        <v>14.328508195604067</v>
      </c>
    </row>
    <row r="1450" spans="2:28" x14ac:dyDescent="0.2">
      <c r="B1450" s="4" t="s">
        <v>2868</v>
      </c>
      <c r="C1450" s="4">
        <v>14.0951</v>
      </c>
      <c r="D1450" s="4">
        <v>14.016999999999999</v>
      </c>
      <c r="E1450" s="4">
        <v>15.237399999999999</v>
      </c>
      <c r="F1450" s="4">
        <f t="shared" si="88"/>
        <v>14.449833333333332</v>
      </c>
      <c r="I1450" s="4" t="s">
        <v>2883</v>
      </c>
      <c r="J1450" s="4">
        <v>14.405900000000001</v>
      </c>
      <c r="K1450" s="4">
        <v>14.3725</v>
      </c>
      <c r="L1450" s="4">
        <v>14.687900000000001</v>
      </c>
      <c r="M1450" s="4">
        <f t="shared" si="89"/>
        <v>14.488766666666669</v>
      </c>
      <c r="Q1450" s="43" t="s">
        <v>1272</v>
      </c>
      <c r="R1450" s="4">
        <v>14.463659357701101</v>
      </c>
      <c r="S1450" s="4">
        <v>14.0512498875008</v>
      </c>
      <c r="T1450" s="4">
        <v>14.219807351386599</v>
      </c>
      <c r="U1450" s="4">
        <f t="shared" si="90"/>
        <v>14.244905532196166</v>
      </c>
      <c r="X1450" s="43" t="s">
        <v>4213</v>
      </c>
      <c r="Y1450" s="4">
        <v>14.112732413185199</v>
      </c>
      <c r="Z1450" s="4">
        <v>14.1994088364441</v>
      </c>
      <c r="AA1450" s="4">
        <v>14.669130695247</v>
      </c>
      <c r="AB1450" s="4">
        <f t="shared" si="91"/>
        <v>14.327090648292099</v>
      </c>
    </row>
    <row r="1451" spans="2:28" x14ac:dyDescent="0.2">
      <c r="B1451" s="4" t="s">
        <v>3310</v>
      </c>
      <c r="C1451" s="4">
        <v>13.8604</v>
      </c>
      <c r="D1451" s="4">
        <v>14.370200000000001</v>
      </c>
      <c r="E1451" s="4">
        <v>15.1165</v>
      </c>
      <c r="F1451" s="4">
        <f t="shared" si="88"/>
        <v>14.449033333333334</v>
      </c>
      <c r="I1451" s="4" t="s">
        <v>3106</v>
      </c>
      <c r="J1451" s="4">
        <v>14.407</v>
      </c>
      <c r="K1451" s="4">
        <v>14.343</v>
      </c>
      <c r="L1451" s="4">
        <v>14.710100000000001</v>
      </c>
      <c r="M1451" s="4">
        <f t="shared" si="89"/>
        <v>14.486699999999999</v>
      </c>
      <c r="Q1451" s="43" t="s">
        <v>2860</v>
      </c>
      <c r="R1451" s="4">
        <v>14.3328278096887</v>
      </c>
      <c r="S1451" s="4">
        <v>14.369142243734901</v>
      </c>
      <c r="T1451" s="4">
        <v>14.032729663661399</v>
      </c>
      <c r="U1451" s="4">
        <f t="shared" si="90"/>
        <v>14.244899905695</v>
      </c>
      <c r="X1451" s="43" t="s">
        <v>1228</v>
      </c>
      <c r="Y1451" s="4">
        <v>14.4077797374093</v>
      </c>
      <c r="Z1451" s="4">
        <v>14.5241244374751</v>
      </c>
      <c r="AA1451" s="4">
        <v>14.0467721514029</v>
      </c>
      <c r="AB1451" s="4">
        <f t="shared" si="91"/>
        <v>14.326225442095767</v>
      </c>
    </row>
    <row r="1452" spans="2:28" x14ac:dyDescent="0.2">
      <c r="B1452" s="4" t="s">
        <v>3860</v>
      </c>
      <c r="C1452" s="4">
        <v>14.4175</v>
      </c>
      <c r="D1452" s="4">
        <v>14.6137</v>
      </c>
      <c r="E1452" s="4">
        <v>14.3139</v>
      </c>
      <c r="F1452" s="4">
        <f t="shared" si="88"/>
        <v>14.448366666666667</v>
      </c>
      <c r="I1452" s="4" t="s">
        <v>1030</v>
      </c>
      <c r="J1452" s="4">
        <v>14.3249</v>
      </c>
      <c r="K1452" s="4">
        <v>14.739800000000001</v>
      </c>
      <c r="L1452" s="4">
        <v>14.393800000000001</v>
      </c>
      <c r="M1452" s="4">
        <f t="shared" si="89"/>
        <v>14.486166666666668</v>
      </c>
      <c r="Q1452" s="43" t="s">
        <v>2294</v>
      </c>
      <c r="R1452" s="4">
        <v>14.1597360968363</v>
      </c>
      <c r="S1452" s="4">
        <v>14.196194602789401</v>
      </c>
      <c r="T1452" s="4">
        <v>14.3761323793782</v>
      </c>
      <c r="U1452" s="4">
        <f t="shared" si="90"/>
        <v>14.244021026334634</v>
      </c>
      <c r="X1452" s="43" t="s">
        <v>3382</v>
      </c>
      <c r="Y1452" s="4">
        <v>14.400009848568599</v>
      </c>
      <c r="Z1452" s="4">
        <v>14.1136680445822</v>
      </c>
      <c r="AA1452" s="4">
        <v>14.4638463271035</v>
      </c>
      <c r="AB1452" s="4">
        <f t="shared" si="91"/>
        <v>14.325841406751431</v>
      </c>
    </row>
    <row r="1453" spans="2:28" x14ac:dyDescent="0.2">
      <c r="B1453" s="4" t="s">
        <v>1947</v>
      </c>
      <c r="C1453" s="4">
        <v>13.684100000000001</v>
      </c>
      <c r="D1453" s="4">
        <v>14.452299999999999</v>
      </c>
      <c r="E1453" s="4">
        <v>15.207100000000001</v>
      </c>
      <c r="F1453" s="4">
        <f t="shared" si="88"/>
        <v>14.447833333333335</v>
      </c>
      <c r="I1453" s="4" t="s">
        <v>512</v>
      </c>
      <c r="J1453" s="4">
        <v>13.5184</v>
      </c>
      <c r="K1453" s="4">
        <v>17.065999999999999</v>
      </c>
      <c r="L1453" s="4">
        <v>12.8697</v>
      </c>
      <c r="M1453" s="4">
        <f t="shared" si="89"/>
        <v>14.484699999999998</v>
      </c>
      <c r="Q1453" s="43" t="s">
        <v>1817</v>
      </c>
      <c r="R1453" s="4">
        <v>14.6184363392685</v>
      </c>
      <c r="S1453" s="4">
        <v>14.196318124929499</v>
      </c>
      <c r="T1453" s="4">
        <v>13.913843765038401</v>
      </c>
      <c r="U1453" s="4">
        <f t="shared" si="90"/>
        <v>14.242866076412133</v>
      </c>
      <c r="X1453" s="43" t="s">
        <v>2603</v>
      </c>
      <c r="Y1453" s="4">
        <v>14.1712435055212</v>
      </c>
      <c r="Z1453" s="4">
        <v>14.221188498868999</v>
      </c>
      <c r="AA1453" s="4">
        <v>14.580883784820401</v>
      </c>
      <c r="AB1453" s="4">
        <f t="shared" si="91"/>
        <v>14.324438596403533</v>
      </c>
    </row>
    <row r="1454" spans="2:28" x14ac:dyDescent="0.2">
      <c r="B1454" s="4" t="s">
        <v>1329</v>
      </c>
      <c r="C1454" s="4">
        <v>14.6455</v>
      </c>
      <c r="D1454" s="4">
        <v>14.329499999999999</v>
      </c>
      <c r="E1454" s="4">
        <v>14.3635</v>
      </c>
      <c r="F1454" s="4">
        <f t="shared" si="88"/>
        <v>14.446166666666668</v>
      </c>
      <c r="I1454" s="4" t="s">
        <v>3902</v>
      </c>
      <c r="J1454" s="4">
        <v>14.462</v>
      </c>
      <c r="K1454" s="4">
        <v>14.537599999999999</v>
      </c>
      <c r="L1454" s="4">
        <v>14.453900000000001</v>
      </c>
      <c r="M1454" s="4">
        <f t="shared" si="89"/>
        <v>14.484500000000002</v>
      </c>
      <c r="Q1454" s="43" t="s">
        <v>2993</v>
      </c>
      <c r="R1454" s="4">
        <v>14.536180128307601</v>
      </c>
      <c r="S1454" s="4">
        <v>13.9862119062755</v>
      </c>
      <c r="T1454" s="4">
        <v>14.2060748466868</v>
      </c>
      <c r="U1454" s="4">
        <f t="shared" si="90"/>
        <v>14.242822293756632</v>
      </c>
      <c r="X1454" s="43" t="s">
        <v>1042</v>
      </c>
      <c r="Y1454" s="4">
        <v>14.3986395350565</v>
      </c>
      <c r="Z1454" s="4">
        <v>14.3806953376265</v>
      </c>
      <c r="AA1454" s="4">
        <v>14.193206219186401</v>
      </c>
      <c r="AB1454" s="4">
        <f t="shared" si="91"/>
        <v>14.324180363956467</v>
      </c>
    </row>
    <row r="1455" spans="2:28" x14ac:dyDescent="0.2">
      <c r="B1455" s="4" t="s">
        <v>2063</v>
      </c>
      <c r="C1455" s="4">
        <v>14.400700000000001</v>
      </c>
      <c r="D1455" s="4">
        <v>14.467599999999999</v>
      </c>
      <c r="E1455" s="4">
        <v>14.4657</v>
      </c>
      <c r="F1455" s="4">
        <f t="shared" si="88"/>
        <v>14.444666666666665</v>
      </c>
      <c r="I1455" s="4" t="s">
        <v>904</v>
      </c>
      <c r="J1455" s="4">
        <v>14.501300000000001</v>
      </c>
      <c r="K1455" s="4">
        <v>14.517799999999999</v>
      </c>
      <c r="L1455" s="4">
        <v>14.431900000000001</v>
      </c>
      <c r="M1455" s="4">
        <f t="shared" si="89"/>
        <v>14.483666666666666</v>
      </c>
      <c r="Q1455" s="43" t="s">
        <v>4446</v>
      </c>
      <c r="R1455" s="4">
        <v>14.175779238609801</v>
      </c>
      <c r="S1455" s="4">
        <v>14.244644689029499</v>
      </c>
      <c r="T1455" s="4">
        <v>14.304206602325801</v>
      </c>
      <c r="U1455" s="4">
        <f t="shared" si="90"/>
        <v>14.241543509988366</v>
      </c>
      <c r="X1455" s="43" t="s">
        <v>2546</v>
      </c>
      <c r="Y1455" s="4">
        <v>14.308317917622</v>
      </c>
      <c r="Z1455" s="4">
        <v>14.280192539109599</v>
      </c>
      <c r="AA1455" s="4">
        <v>14.3823688098303</v>
      </c>
      <c r="AB1455" s="4">
        <f t="shared" si="91"/>
        <v>14.323626422187298</v>
      </c>
    </row>
    <row r="1456" spans="2:28" x14ac:dyDescent="0.2">
      <c r="B1456" s="4" t="s">
        <v>1251</v>
      </c>
      <c r="C1456" s="4">
        <v>14.442399999999999</v>
      </c>
      <c r="D1456" s="4">
        <v>14.4854</v>
      </c>
      <c r="E1456" s="4">
        <v>14.397</v>
      </c>
      <c r="F1456" s="4">
        <f t="shared" si="88"/>
        <v>14.441599999999999</v>
      </c>
      <c r="I1456" s="4" t="s">
        <v>2530</v>
      </c>
      <c r="J1456" s="4">
        <v>14.910500000000001</v>
      </c>
      <c r="K1456" s="4">
        <v>13.978999999999999</v>
      </c>
      <c r="L1456" s="4">
        <v>14.5543</v>
      </c>
      <c r="M1456" s="4">
        <f t="shared" si="89"/>
        <v>14.481266666666665</v>
      </c>
      <c r="Q1456" s="43" t="s">
        <v>3216</v>
      </c>
      <c r="R1456" s="4">
        <v>14.1520744355734</v>
      </c>
      <c r="S1456" s="4">
        <v>14.022669781751199</v>
      </c>
      <c r="T1456" s="4">
        <v>14.547589195658899</v>
      </c>
      <c r="U1456" s="4">
        <f t="shared" si="90"/>
        <v>14.240777804327834</v>
      </c>
      <c r="X1456" s="43" t="s">
        <v>1157</v>
      </c>
      <c r="Y1456" s="4">
        <v>14.5732669972151</v>
      </c>
      <c r="Z1456" s="4">
        <v>14.167844054613299</v>
      </c>
      <c r="AA1456" s="4">
        <v>14.2276510395983</v>
      </c>
      <c r="AB1456" s="4">
        <f t="shared" si="91"/>
        <v>14.322920697142232</v>
      </c>
    </row>
    <row r="1457" spans="2:28" x14ac:dyDescent="0.2">
      <c r="B1457" s="4" t="s">
        <v>1362</v>
      </c>
      <c r="C1457" s="4">
        <v>14.5878</v>
      </c>
      <c r="D1457" s="4">
        <v>14.356299999999999</v>
      </c>
      <c r="E1457" s="4">
        <v>14.3756</v>
      </c>
      <c r="F1457" s="4">
        <f t="shared" si="88"/>
        <v>14.4399</v>
      </c>
      <c r="I1457" s="4" t="s">
        <v>2330</v>
      </c>
      <c r="J1457" s="4">
        <v>15.606999999999999</v>
      </c>
      <c r="K1457" s="4">
        <v>14.9636</v>
      </c>
      <c r="L1457" s="4">
        <v>12.864599999999999</v>
      </c>
      <c r="M1457" s="4">
        <f t="shared" si="89"/>
        <v>14.478399999999999</v>
      </c>
      <c r="Q1457" s="43" t="s">
        <v>353</v>
      </c>
      <c r="R1457" s="4">
        <v>13.799032111564401</v>
      </c>
      <c r="S1457" s="4">
        <v>14.397806189055</v>
      </c>
      <c r="T1457" s="4">
        <v>14.5140157681143</v>
      </c>
      <c r="U1457" s="4">
        <f t="shared" si="90"/>
        <v>14.236951356244568</v>
      </c>
      <c r="X1457" s="43" t="s">
        <v>3439</v>
      </c>
      <c r="Y1457" s="4">
        <v>14.2700533107926</v>
      </c>
      <c r="Z1457" s="4">
        <v>14.328862329023099</v>
      </c>
      <c r="AA1457" s="4">
        <v>14.3678685835021</v>
      </c>
      <c r="AB1457" s="4">
        <f t="shared" si="91"/>
        <v>14.322261407772601</v>
      </c>
    </row>
    <row r="1458" spans="2:28" x14ac:dyDescent="0.2">
      <c r="B1458" s="4" t="s">
        <v>3058</v>
      </c>
      <c r="C1458" s="4">
        <v>14.7614</v>
      </c>
      <c r="D1458" s="4">
        <v>14.202</v>
      </c>
      <c r="E1458" s="4">
        <v>14.355</v>
      </c>
      <c r="F1458" s="4">
        <f t="shared" si="88"/>
        <v>14.439466666666666</v>
      </c>
      <c r="I1458" s="4" t="s">
        <v>3123</v>
      </c>
      <c r="J1458" s="4">
        <v>14.5192</v>
      </c>
      <c r="K1458" s="4">
        <v>14.4832</v>
      </c>
      <c r="L1458" s="4">
        <v>14.428100000000001</v>
      </c>
      <c r="M1458" s="4">
        <f t="shared" si="89"/>
        <v>14.476833333333333</v>
      </c>
      <c r="Q1458" s="43" t="s">
        <v>4592</v>
      </c>
      <c r="R1458" s="4">
        <v>14.227928767814999</v>
      </c>
      <c r="S1458" s="4">
        <v>13.968359226977199</v>
      </c>
      <c r="T1458" s="4">
        <v>14.513700649511</v>
      </c>
      <c r="U1458" s="4">
        <f t="shared" si="90"/>
        <v>14.2366628814344</v>
      </c>
      <c r="X1458" s="43" t="s">
        <v>1652</v>
      </c>
      <c r="Y1458" s="4">
        <v>14.3249576937224</v>
      </c>
      <c r="Z1458" s="4">
        <v>14.4198935755193</v>
      </c>
      <c r="AA1458" s="4">
        <v>14.220073662998299</v>
      </c>
      <c r="AB1458" s="4">
        <f t="shared" si="91"/>
        <v>14.321641644079998</v>
      </c>
    </row>
    <row r="1459" spans="2:28" x14ac:dyDescent="0.2">
      <c r="B1459" s="4" t="s">
        <v>1649</v>
      </c>
      <c r="C1459" s="4">
        <v>14.6089</v>
      </c>
      <c r="D1459" s="4">
        <v>14.083500000000001</v>
      </c>
      <c r="E1459" s="4">
        <v>14.6241</v>
      </c>
      <c r="F1459" s="4">
        <f t="shared" si="88"/>
        <v>14.438833333333333</v>
      </c>
      <c r="I1459" s="4" t="s">
        <v>3857</v>
      </c>
      <c r="J1459" s="4">
        <v>14.361800000000001</v>
      </c>
      <c r="K1459" s="4">
        <v>14.4376</v>
      </c>
      <c r="L1459" s="4">
        <v>14.6305</v>
      </c>
      <c r="M1459" s="4">
        <f t="shared" si="89"/>
        <v>14.476633333333332</v>
      </c>
      <c r="Q1459" s="43" t="s">
        <v>735</v>
      </c>
      <c r="R1459" s="4">
        <v>13.8158534644933</v>
      </c>
      <c r="S1459" s="4">
        <v>14.238970747322901</v>
      </c>
      <c r="T1459" s="4">
        <v>14.652639798711</v>
      </c>
      <c r="U1459" s="4">
        <f t="shared" si="90"/>
        <v>14.235821336842401</v>
      </c>
      <c r="X1459" s="43" t="s">
        <v>3186</v>
      </c>
      <c r="Y1459" s="4">
        <v>14.4183067279435</v>
      </c>
      <c r="Z1459" s="4">
        <v>14.111985712758401</v>
      </c>
      <c r="AA1459" s="4">
        <v>14.433752728196801</v>
      </c>
      <c r="AB1459" s="4">
        <f t="shared" si="91"/>
        <v>14.321348389632901</v>
      </c>
    </row>
    <row r="1460" spans="2:28" x14ac:dyDescent="0.2">
      <c r="B1460" s="4" t="s">
        <v>3412</v>
      </c>
      <c r="C1460" s="4">
        <v>14.561999999999999</v>
      </c>
      <c r="D1460" s="4">
        <v>14.484299999999999</v>
      </c>
      <c r="E1460" s="4">
        <v>14.251099999999999</v>
      </c>
      <c r="F1460" s="4">
        <f t="shared" si="88"/>
        <v>14.432466666666665</v>
      </c>
      <c r="I1460" s="4" t="s">
        <v>708</v>
      </c>
      <c r="J1460" s="4">
        <v>14.1831</v>
      </c>
      <c r="K1460" s="4">
        <v>15.2822</v>
      </c>
      <c r="L1460" s="4">
        <v>13.9604</v>
      </c>
      <c r="M1460" s="4">
        <f t="shared" si="89"/>
        <v>14.475233333333334</v>
      </c>
      <c r="Q1460" s="43" t="s">
        <v>4163</v>
      </c>
      <c r="R1460" s="4">
        <v>14.198990532270299</v>
      </c>
      <c r="S1460" s="4">
        <v>14.2881765896439</v>
      </c>
      <c r="T1460" s="4">
        <v>14.2105082179968</v>
      </c>
      <c r="U1460" s="4">
        <f t="shared" si="90"/>
        <v>14.232558446637</v>
      </c>
      <c r="X1460" s="43" t="s">
        <v>758</v>
      </c>
      <c r="Y1460" s="4">
        <v>14.423606377792099</v>
      </c>
      <c r="Z1460" s="4">
        <v>14.390428032014199</v>
      </c>
      <c r="AA1460" s="4">
        <v>14.146913663367799</v>
      </c>
      <c r="AB1460" s="4">
        <f t="shared" si="91"/>
        <v>14.320316024391365</v>
      </c>
    </row>
    <row r="1461" spans="2:28" x14ac:dyDescent="0.2">
      <c r="B1461" s="4" t="s">
        <v>1932</v>
      </c>
      <c r="C1461" s="4">
        <v>14.1411</v>
      </c>
      <c r="D1461" s="4">
        <v>14.478199999999999</v>
      </c>
      <c r="E1461" s="4">
        <v>14.676399999999999</v>
      </c>
      <c r="F1461" s="4">
        <f t="shared" si="88"/>
        <v>14.431899999999999</v>
      </c>
      <c r="I1461" s="4" t="s">
        <v>1242</v>
      </c>
      <c r="J1461" s="4">
        <v>14.3687</v>
      </c>
      <c r="K1461" s="4">
        <v>14.858599999999999</v>
      </c>
      <c r="L1461" s="4">
        <v>14.1968</v>
      </c>
      <c r="M1461" s="4">
        <f t="shared" si="89"/>
        <v>14.474699999999999</v>
      </c>
      <c r="Q1461" s="43" t="s">
        <v>2366</v>
      </c>
      <c r="R1461" s="4">
        <v>14.1903891147289</v>
      </c>
      <c r="S1461" s="4">
        <v>14.181740800542</v>
      </c>
      <c r="T1461" s="4">
        <v>14.319100305548799</v>
      </c>
      <c r="U1461" s="4">
        <f t="shared" si="90"/>
        <v>14.230410073606565</v>
      </c>
      <c r="X1461" s="43" t="s">
        <v>3484</v>
      </c>
      <c r="Y1461" s="4">
        <v>14.2518218485411</v>
      </c>
      <c r="Z1461" s="4">
        <v>14.439871658526201</v>
      </c>
      <c r="AA1461" s="4">
        <v>14.2690150791218</v>
      </c>
      <c r="AB1461" s="4">
        <f t="shared" si="91"/>
        <v>14.320236195396367</v>
      </c>
    </row>
    <row r="1462" spans="2:28" x14ac:dyDescent="0.2">
      <c r="B1462" s="4" t="s">
        <v>3404</v>
      </c>
      <c r="C1462" s="4">
        <v>14.394600000000001</v>
      </c>
      <c r="D1462" s="4">
        <v>14.437799999999999</v>
      </c>
      <c r="E1462" s="4">
        <v>14.4597</v>
      </c>
      <c r="F1462" s="4">
        <f t="shared" si="88"/>
        <v>14.4307</v>
      </c>
      <c r="I1462" s="4" t="s">
        <v>3415</v>
      </c>
      <c r="J1462" s="4">
        <v>14.7902</v>
      </c>
      <c r="K1462" s="4">
        <v>13.9413</v>
      </c>
      <c r="L1462" s="4">
        <v>14.690899999999999</v>
      </c>
      <c r="M1462" s="4">
        <f t="shared" si="89"/>
        <v>14.474133333333333</v>
      </c>
      <c r="Q1462" s="43" t="s">
        <v>948</v>
      </c>
      <c r="R1462" s="4">
        <v>13.975883195875101</v>
      </c>
      <c r="S1462" s="4">
        <v>14.262645187908699</v>
      </c>
      <c r="T1462" s="4">
        <v>14.4520173127876</v>
      </c>
      <c r="U1462" s="4">
        <f t="shared" si="90"/>
        <v>14.230181898857134</v>
      </c>
      <c r="X1462" s="43" t="s">
        <v>1608</v>
      </c>
      <c r="Y1462" s="4">
        <v>14.2727523803135</v>
      </c>
      <c r="Z1462" s="4">
        <v>14.0004119208148</v>
      </c>
      <c r="AA1462" s="4">
        <v>14.683907486951099</v>
      </c>
      <c r="AB1462" s="4">
        <f t="shared" si="91"/>
        <v>14.319023929359801</v>
      </c>
    </row>
    <row r="1463" spans="2:28" x14ac:dyDescent="0.2">
      <c r="B1463" s="4" t="s">
        <v>1302</v>
      </c>
      <c r="C1463" s="4">
        <v>14.350099999999999</v>
      </c>
      <c r="D1463" s="4">
        <v>14.3872</v>
      </c>
      <c r="E1463" s="4">
        <v>14.550800000000001</v>
      </c>
      <c r="F1463" s="4">
        <f t="shared" si="88"/>
        <v>14.429366666666667</v>
      </c>
      <c r="I1463" s="4" t="s">
        <v>94</v>
      </c>
      <c r="J1463" s="4">
        <v>14.2265</v>
      </c>
      <c r="K1463" s="4">
        <v>15.2516</v>
      </c>
      <c r="L1463" s="4">
        <v>13.944100000000001</v>
      </c>
      <c r="M1463" s="4">
        <f t="shared" si="89"/>
        <v>14.474066666666666</v>
      </c>
      <c r="Q1463" s="43" t="s">
        <v>98</v>
      </c>
      <c r="R1463" s="4">
        <v>13.871838942120601</v>
      </c>
      <c r="S1463" s="4">
        <v>14.382905628705</v>
      </c>
      <c r="T1463" s="4">
        <v>14.4289040666338</v>
      </c>
      <c r="U1463" s="4">
        <f t="shared" si="90"/>
        <v>14.227882879153134</v>
      </c>
      <c r="X1463" s="43" t="s">
        <v>2697</v>
      </c>
      <c r="Y1463" s="4">
        <v>14.119045653197</v>
      </c>
      <c r="Z1463" s="4">
        <v>14.387164317098399</v>
      </c>
      <c r="AA1463" s="4">
        <v>14.4494001866824</v>
      </c>
      <c r="AB1463" s="4">
        <f t="shared" si="91"/>
        <v>14.318536718992599</v>
      </c>
    </row>
    <row r="1464" spans="2:28" x14ac:dyDescent="0.2">
      <c r="B1464" s="4" t="s">
        <v>3226</v>
      </c>
      <c r="C1464" s="4">
        <v>13.9361</v>
      </c>
      <c r="D1464" s="4">
        <v>14.780099999999999</v>
      </c>
      <c r="E1464" s="4">
        <v>14.567500000000001</v>
      </c>
      <c r="F1464" s="4">
        <f t="shared" si="88"/>
        <v>14.427900000000001</v>
      </c>
      <c r="I1464" s="4" t="s">
        <v>294</v>
      </c>
      <c r="J1464" s="4">
        <v>14.580399999999999</v>
      </c>
      <c r="K1464" s="4">
        <v>14.292899999999999</v>
      </c>
      <c r="L1464" s="4">
        <v>14.5463</v>
      </c>
      <c r="M1464" s="4">
        <f t="shared" si="89"/>
        <v>14.4732</v>
      </c>
      <c r="Q1464" s="43" t="s">
        <v>1229</v>
      </c>
      <c r="R1464" s="4">
        <v>14.1290538955079</v>
      </c>
      <c r="S1464" s="4">
        <v>14.366745444981801</v>
      </c>
      <c r="T1464" s="4">
        <v>14.184308455044601</v>
      </c>
      <c r="U1464" s="4">
        <f t="shared" si="90"/>
        <v>14.226702598511432</v>
      </c>
      <c r="X1464" s="43" t="s">
        <v>273</v>
      </c>
      <c r="Y1464" s="4">
        <v>14.3832635703625</v>
      </c>
      <c r="Z1464" s="4">
        <v>14.2843022004063</v>
      </c>
      <c r="AA1464" s="4">
        <v>14.2868477159717</v>
      </c>
      <c r="AB1464" s="4">
        <f t="shared" si="91"/>
        <v>14.3181378289135</v>
      </c>
    </row>
    <row r="1465" spans="2:28" x14ac:dyDescent="0.2">
      <c r="B1465" s="4" t="s">
        <v>2153</v>
      </c>
      <c r="C1465" s="4">
        <v>14.646800000000001</v>
      </c>
      <c r="D1465" s="4">
        <v>14.4682</v>
      </c>
      <c r="E1465" s="4">
        <v>14.163</v>
      </c>
      <c r="F1465" s="4">
        <f t="shared" si="88"/>
        <v>14.426000000000002</v>
      </c>
      <c r="I1465" s="4" t="s">
        <v>3443</v>
      </c>
      <c r="J1465" s="4">
        <v>14.7563</v>
      </c>
      <c r="K1465" s="4">
        <v>14.1326</v>
      </c>
      <c r="L1465" s="4">
        <v>14.530200000000001</v>
      </c>
      <c r="M1465" s="4">
        <f t="shared" si="89"/>
        <v>14.473033333333333</v>
      </c>
      <c r="Q1465" s="43" t="s">
        <v>1044</v>
      </c>
      <c r="R1465" s="4">
        <v>14.1342503105309</v>
      </c>
      <c r="S1465" s="4">
        <v>14.1403560799095</v>
      </c>
      <c r="T1465" s="4">
        <v>14.3979874927695</v>
      </c>
      <c r="U1465" s="4">
        <f t="shared" si="90"/>
        <v>14.224197961069967</v>
      </c>
      <c r="X1465" s="43" t="s">
        <v>4043</v>
      </c>
      <c r="Y1465" s="4">
        <v>14.465512201743</v>
      </c>
      <c r="Z1465" s="4">
        <v>15.1838880820578</v>
      </c>
      <c r="AA1465" s="4">
        <v>13.3035638947346</v>
      </c>
      <c r="AB1465" s="4">
        <f t="shared" si="91"/>
        <v>14.317654726178468</v>
      </c>
    </row>
    <row r="1466" spans="2:28" x14ac:dyDescent="0.2">
      <c r="B1466" s="4" t="s">
        <v>2479</v>
      </c>
      <c r="C1466" s="4">
        <v>14.5185</v>
      </c>
      <c r="D1466" s="4">
        <v>14.430899999999999</v>
      </c>
      <c r="E1466" s="4">
        <v>14.3248</v>
      </c>
      <c r="F1466" s="4">
        <f t="shared" si="88"/>
        <v>14.424733333333331</v>
      </c>
      <c r="I1466" s="4" t="s">
        <v>892</v>
      </c>
      <c r="J1466" s="4">
        <v>14.3055</v>
      </c>
      <c r="K1466" s="4">
        <v>14.587199999999999</v>
      </c>
      <c r="L1466" s="4">
        <v>14.517200000000001</v>
      </c>
      <c r="M1466" s="4">
        <f t="shared" si="89"/>
        <v>14.469966666666666</v>
      </c>
      <c r="Q1466" s="43" t="s">
        <v>1959</v>
      </c>
      <c r="R1466" s="4">
        <v>14.3415787016565</v>
      </c>
      <c r="S1466" s="4">
        <v>14.0046082070818</v>
      </c>
      <c r="T1466" s="4">
        <v>14.322939002908999</v>
      </c>
      <c r="U1466" s="4">
        <f t="shared" si="90"/>
        <v>14.223041970549099</v>
      </c>
      <c r="X1466" s="43" t="s">
        <v>4021</v>
      </c>
      <c r="Y1466" s="4">
        <v>14.4802011974446</v>
      </c>
      <c r="Z1466" s="4">
        <v>14.1398222915556</v>
      </c>
      <c r="AA1466" s="4">
        <v>14.3250373670018</v>
      </c>
      <c r="AB1466" s="4">
        <f t="shared" si="91"/>
        <v>14.315020285334001</v>
      </c>
    </row>
    <row r="1467" spans="2:28" x14ac:dyDescent="0.2">
      <c r="B1467" s="4" t="s">
        <v>1295</v>
      </c>
      <c r="C1467" s="4">
        <v>14.5344</v>
      </c>
      <c r="D1467" s="4">
        <v>14.2895</v>
      </c>
      <c r="E1467" s="4">
        <v>14.4474</v>
      </c>
      <c r="F1467" s="4">
        <f t="shared" si="88"/>
        <v>14.423766666666667</v>
      </c>
      <c r="I1467" s="4" t="s">
        <v>2335</v>
      </c>
      <c r="J1467" s="4">
        <v>14.6875</v>
      </c>
      <c r="K1467" s="4">
        <v>14.23</v>
      </c>
      <c r="L1467" s="4">
        <v>14.4903</v>
      </c>
      <c r="M1467" s="4">
        <f t="shared" si="89"/>
        <v>14.469266666666668</v>
      </c>
      <c r="Q1467" s="43" t="s">
        <v>1530</v>
      </c>
      <c r="R1467" s="4">
        <v>14.0433987567573</v>
      </c>
      <c r="S1467" s="4">
        <v>14.225851067331799</v>
      </c>
      <c r="T1467" s="4">
        <v>14.3870239521688</v>
      </c>
      <c r="U1467" s="4">
        <f t="shared" si="90"/>
        <v>14.218757925419302</v>
      </c>
      <c r="X1467" s="43" t="s">
        <v>3828</v>
      </c>
      <c r="Y1467" s="4">
        <v>14.205528825234101</v>
      </c>
      <c r="Z1467" s="4">
        <v>14.170020878325399</v>
      </c>
      <c r="AA1467" s="4">
        <v>14.5672812379063</v>
      </c>
      <c r="AB1467" s="4">
        <f t="shared" si="91"/>
        <v>14.3142769804886</v>
      </c>
    </row>
    <row r="1468" spans="2:28" x14ac:dyDescent="0.2">
      <c r="B1468" s="4" t="s">
        <v>4052</v>
      </c>
      <c r="C1468" s="4">
        <v>14.323499999999999</v>
      </c>
      <c r="D1468" s="4">
        <v>14.5914</v>
      </c>
      <c r="E1468" s="4">
        <v>14.356400000000001</v>
      </c>
      <c r="F1468" s="4">
        <f t="shared" si="88"/>
        <v>14.423766666666666</v>
      </c>
      <c r="I1468" s="4" t="s">
        <v>498</v>
      </c>
      <c r="J1468" s="4">
        <v>14.764900000000001</v>
      </c>
      <c r="K1468" s="4">
        <v>14.0618</v>
      </c>
      <c r="L1468" s="4">
        <v>14.575799999999999</v>
      </c>
      <c r="M1468" s="4">
        <f t="shared" si="89"/>
        <v>14.467500000000001</v>
      </c>
      <c r="Q1468" s="43" t="s">
        <v>3353</v>
      </c>
      <c r="R1468" s="4">
        <v>14.174790877105499</v>
      </c>
      <c r="S1468" s="4">
        <v>14.216913477542001</v>
      </c>
      <c r="T1468" s="4">
        <v>14.2631121795251</v>
      </c>
      <c r="U1468" s="4">
        <f t="shared" si="90"/>
        <v>14.218272178057534</v>
      </c>
      <c r="X1468" s="43" t="s">
        <v>302</v>
      </c>
      <c r="Y1468" s="4">
        <v>14.338616811641</v>
      </c>
      <c r="Z1468" s="4">
        <v>14.255168228634099</v>
      </c>
      <c r="AA1468" s="4">
        <v>14.3482664424111</v>
      </c>
      <c r="AB1468" s="4">
        <f t="shared" si="91"/>
        <v>14.314017160895402</v>
      </c>
    </row>
    <row r="1469" spans="2:28" x14ac:dyDescent="0.2">
      <c r="B1469" s="4" t="s">
        <v>3043</v>
      </c>
      <c r="C1469" s="4">
        <v>14.286799999999999</v>
      </c>
      <c r="D1469" s="4">
        <v>14.388299999999999</v>
      </c>
      <c r="E1469" s="4">
        <v>14.5901</v>
      </c>
      <c r="F1469" s="4">
        <f t="shared" si="88"/>
        <v>14.421733333333334</v>
      </c>
      <c r="I1469" s="4" t="s">
        <v>1266</v>
      </c>
      <c r="J1469" s="4">
        <v>14.7369</v>
      </c>
      <c r="K1469" s="4">
        <v>14.097899999999999</v>
      </c>
      <c r="L1469" s="4">
        <v>14.5671</v>
      </c>
      <c r="M1469" s="4">
        <f t="shared" si="89"/>
        <v>14.4673</v>
      </c>
      <c r="Q1469" s="43" t="s">
        <v>3288</v>
      </c>
      <c r="R1469" s="4">
        <v>14.0246698234033</v>
      </c>
      <c r="S1469" s="4">
        <v>14.3876366143623</v>
      </c>
      <c r="T1469" s="4">
        <v>14.241964500643901</v>
      </c>
      <c r="U1469" s="4">
        <f t="shared" si="90"/>
        <v>14.218090312803168</v>
      </c>
      <c r="X1469" s="43" t="s">
        <v>3414</v>
      </c>
      <c r="Y1469" s="4">
        <v>14.261898651090499</v>
      </c>
      <c r="Z1469" s="4">
        <v>14.338675762627201</v>
      </c>
      <c r="AA1469" s="4">
        <v>14.340956411514</v>
      </c>
      <c r="AB1469" s="4">
        <f t="shared" si="91"/>
        <v>14.313843608410567</v>
      </c>
    </row>
    <row r="1470" spans="2:28" x14ac:dyDescent="0.2">
      <c r="B1470" s="4" t="s">
        <v>2148</v>
      </c>
      <c r="C1470" s="4">
        <v>14.628500000000001</v>
      </c>
      <c r="D1470" s="4">
        <v>14.9145</v>
      </c>
      <c r="E1470" s="4">
        <v>13.718</v>
      </c>
      <c r="F1470" s="4">
        <f t="shared" si="88"/>
        <v>14.420333333333332</v>
      </c>
      <c r="I1470" s="4" t="s">
        <v>2212</v>
      </c>
      <c r="J1470" s="4">
        <v>14.272500000000001</v>
      </c>
      <c r="K1470" s="4">
        <v>15.1953</v>
      </c>
      <c r="L1470" s="4">
        <v>13.928800000000001</v>
      </c>
      <c r="M1470" s="4">
        <f t="shared" si="89"/>
        <v>14.465533333333333</v>
      </c>
      <c r="Q1470" s="43" t="s">
        <v>1278</v>
      </c>
      <c r="R1470" s="4">
        <v>13.9903264078261</v>
      </c>
      <c r="S1470" s="4">
        <v>14.344550544049801</v>
      </c>
      <c r="T1470" s="4">
        <v>14.316533810541401</v>
      </c>
      <c r="U1470" s="4">
        <f t="shared" si="90"/>
        <v>14.217136920805766</v>
      </c>
      <c r="X1470" s="43" t="s">
        <v>2636</v>
      </c>
      <c r="Y1470" s="4">
        <v>14.212002863520301</v>
      </c>
      <c r="Z1470" s="4">
        <v>14.4389148498329</v>
      </c>
      <c r="AA1470" s="4">
        <v>14.2893536247774</v>
      </c>
      <c r="AB1470" s="4">
        <f t="shared" si="91"/>
        <v>14.313423779376867</v>
      </c>
    </row>
    <row r="1471" spans="2:28" x14ac:dyDescent="0.2">
      <c r="B1471" s="4" t="s">
        <v>2149</v>
      </c>
      <c r="C1471" s="4">
        <v>14.2723</v>
      </c>
      <c r="D1471" s="4">
        <v>14.699400000000001</v>
      </c>
      <c r="E1471" s="4">
        <v>14.288</v>
      </c>
      <c r="F1471" s="4">
        <f t="shared" si="88"/>
        <v>14.419899999999998</v>
      </c>
      <c r="I1471" s="4" t="s">
        <v>356</v>
      </c>
      <c r="J1471" s="4">
        <v>14.704000000000001</v>
      </c>
      <c r="K1471" s="4">
        <v>14.081099999999999</v>
      </c>
      <c r="L1471" s="4">
        <v>14.606199999999999</v>
      </c>
      <c r="M1471" s="4">
        <f t="shared" si="89"/>
        <v>14.463766666666666</v>
      </c>
      <c r="Q1471" s="43" t="s">
        <v>3167</v>
      </c>
      <c r="R1471" s="4">
        <v>14.234701487121701</v>
      </c>
      <c r="S1471" s="4">
        <v>14.2218018367802</v>
      </c>
      <c r="T1471" s="4">
        <v>14.1910264124581</v>
      </c>
      <c r="U1471" s="4">
        <f t="shared" si="90"/>
        <v>14.215843245453334</v>
      </c>
      <c r="X1471" s="43" t="s">
        <v>1289</v>
      </c>
      <c r="Y1471" s="4">
        <v>14.432504283681199</v>
      </c>
      <c r="Z1471" s="4">
        <v>14.2066082833874</v>
      </c>
      <c r="AA1471" s="4">
        <v>14.2975335765673</v>
      </c>
      <c r="AB1471" s="4">
        <f t="shared" si="91"/>
        <v>14.312215381211965</v>
      </c>
    </row>
    <row r="1472" spans="2:28" x14ac:dyDescent="0.2">
      <c r="B1472" s="4" t="s">
        <v>3144</v>
      </c>
      <c r="C1472" s="4">
        <v>14.41</v>
      </c>
      <c r="D1472" s="4">
        <v>14.4907</v>
      </c>
      <c r="E1472" s="4">
        <v>14.358599999999999</v>
      </c>
      <c r="F1472" s="4">
        <f t="shared" si="88"/>
        <v>14.419766666666666</v>
      </c>
      <c r="I1472" s="4" t="s">
        <v>2153</v>
      </c>
      <c r="J1472" s="4">
        <v>14.490500000000001</v>
      </c>
      <c r="K1472" s="4">
        <v>14.403700000000001</v>
      </c>
      <c r="L1472" s="4">
        <v>14.493499999999999</v>
      </c>
      <c r="M1472" s="4">
        <f t="shared" si="89"/>
        <v>14.462566666666667</v>
      </c>
      <c r="Q1472" s="43" t="s">
        <v>859</v>
      </c>
      <c r="R1472" s="4">
        <v>13.8855533218806</v>
      </c>
      <c r="S1472" s="4">
        <v>14.171493393967101</v>
      </c>
      <c r="T1472" s="4">
        <v>14.588572413958</v>
      </c>
      <c r="U1472" s="4">
        <f t="shared" si="90"/>
        <v>14.2152063766019</v>
      </c>
      <c r="X1472" s="43" t="s">
        <v>2149</v>
      </c>
      <c r="Y1472" s="4">
        <v>14.2080313721214</v>
      </c>
      <c r="Z1472" s="4">
        <v>14.231622632761599</v>
      </c>
      <c r="AA1472" s="4">
        <v>14.4897077056804</v>
      </c>
      <c r="AB1472" s="4">
        <f t="shared" si="91"/>
        <v>14.309787236854467</v>
      </c>
    </row>
    <row r="1473" spans="2:28" x14ac:dyDescent="0.2">
      <c r="B1473" s="4" t="s">
        <v>37</v>
      </c>
      <c r="C1473" s="4">
        <v>14.327</v>
      </c>
      <c r="D1473" s="4">
        <v>14.6403</v>
      </c>
      <c r="E1473" s="4">
        <v>14.289899999999999</v>
      </c>
      <c r="F1473" s="4">
        <f t="shared" si="88"/>
        <v>14.419066666666666</v>
      </c>
      <c r="I1473" s="4" t="s">
        <v>535</v>
      </c>
      <c r="J1473" s="4">
        <v>14.5572</v>
      </c>
      <c r="K1473" s="4">
        <v>14.490500000000001</v>
      </c>
      <c r="L1473" s="4">
        <v>14.3398</v>
      </c>
      <c r="M1473" s="4">
        <f t="shared" si="89"/>
        <v>14.4625</v>
      </c>
      <c r="Q1473" s="43" t="s">
        <v>3390</v>
      </c>
      <c r="R1473" s="4">
        <v>14.231207207753499</v>
      </c>
      <c r="S1473" s="4">
        <v>14.120683529312499</v>
      </c>
      <c r="T1473" s="4">
        <v>14.2936776164061</v>
      </c>
      <c r="U1473" s="4">
        <f t="shared" si="90"/>
        <v>14.215189451157366</v>
      </c>
      <c r="X1473" s="43" t="s">
        <v>348</v>
      </c>
      <c r="Y1473" s="4">
        <v>14.0291766038607</v>
      </c>
      <c r="Z1473" s="4">
        <v>14.5141288999335</v>
      </c>
      <c r="AA1473" s="4">
        <v>14.378170988804699</v>
      </c>
      <c r="AB1473" s="4">
        <f t="shared" si="91"/>
        <v>14.3071588308663</v>
      </c>
    </row>
    <row r="1474" spans="2:28" x14ac:dyDescent="0.2">
      <c r="B1474" s="4" t="s">
        <v>3171</v>
      </c>
      <c r="C1474" s="4">
        <v>14.2935</v>
      </c>
      <c r="D1474" s="4">
        <v>14.5844</v>
      </c>
      <c r="E1474" s="4">
        <v>14.377599999999999</v>
      </c>
      <c r="F1474" s="4">
        <f t="shared" ref="F1474:F1537" si="92">(C1474+D1474+E1474)/3</f>
        <v>14.4185</v>
      </c>
      <c r="I1474" s="4" t="s">
        <v>3703</v>
      </c>
      <c r="J1474" s="4">
        <v>14.4878</v>
      </c>
      <c r="K1474" s="4">
        <v>14.1751</v>
      </c>
      <c r="L1474" s="4">
        <v>14.7239</v>
      </c>
      <c r="M1474" s="4">
        <f t="shared" ref="M1474:M1537" si="93">(J1474+K1474+L1474)/3</f>
        <v>14.462266666666666</v>
      </c>
      <c r="Q1474" s="43" t="s">
        <v>1007</v>
      </c>
      <c r="R1474" s="4">
        <v>14.661595616964</v>
      </c>
      <c r="S1474" s="4">
        <v>13.960106810529799</v>
      </c>
      <c r="T1474" s="4">
        <v>14.0142586427529</v>
      </c>
      <c r="U1474" s="4">
        <f t="shared" ref="U1474:U1537" si="94">(R1474+S1474+T1474)/3</f>
        <v>14.211987023415567</v>
      </c>
      <c r="X1474" s="43" t="s">
        <v>2491</v>
      </c>
      <c r="Y1474" s="4">
        <v>14.3915244628223</v>
      </c>
      <c r="Z1474" s="4">
        <v>14.3975783930648</v>
      </c>
      <c r="AA1474" s="4">
        <v>14.130739469133299</v>
      </c>
      <c r="AB1474" s="4">
        <f t="shared" ref="AB1474:AB1537" si="95">(Y1474+Z1474+AA1474)/3</f>
        <v>14.306614108340133</v>
      </c>
    </row>
    <row r="1475" spans="2:28" x14ac:dyDescent="0.2">
      <c r="B1475" s="4" t="s">
        <v>2925</v>
      </c>
      <c r="C1475" s="4">
        <v>14.4305</v>
      </c>
      <c r="D1475" s="4">
        <v>14.4551</v>
      </c>
      <c r="E1475" s="4">
        <v>14.3675</v>
      </c>
      <c r="F1475" s="4">
        <f t="shared" si="92"/>
        <v>14.417700000000002</v>
      </c>
      <c r="I1475" s="4" t="s">
        <v>3397</v>
      </c>
      <c r="J1475" s="4">
        <v>14.2843</v>
      </c>
      <c r="K1475" s="4">
        <v>14.9125</v>
      </c>
      <c r="L1475" s="4">
        <v>14.187900000000001</v>
      </c>
      <c r="M1475" s="4">
        <f t="shared" si="93"/>
        <v>14.461566666666668</v>
      </c>
      <c r="Q1475" s="43" t="s">
        <v>3293</v>
      </c>
      <c r="R1475" s="4">
        <v>14.1496076333892</v>
      </c>
      <c r="S1475" s="4">
        <v>14.1332095353055</v>
      </c>
      <c r="T1475" s="4">
        <v>14.3519561694039</v>
      </c>
      <c r="U1475" s="4">
        <f t="shared" si="94"/>
        <v>14.211591112699532</v>
      </c>
      <c r="X1475" s="43" t="s">
        <v>2591</v>
      </c>
      <c r="Y1475" s="4">
        <v>14.3293622611894</v>
      </c>
      <c r="Z1475" s="4">
        <v>14.232855122941199</v>
      </c>
      <c r="AA1475" s="4">
        <v>14.3574051621103</v>
      </c>
      <c r="AB1475" s="4">
        <f t="shared" si="95"/>
        <v>14.306540848746968</v>
      </c>
    </row>
    <row r="1476" spans="2:28" x14ac:dyDescent="0.2">
      <c r="B1476" s="4" t="s">
        <v>1328</v>
      </c>
      <c r="C1476" s="4">
        <v>14.491</v>
      </c>
      <c r="D1476" s="4">
        <v>14.4702</v>
      </c>
      <c r="E1476" s="4">
        <v>14.2872</v>
      </c>
      <c r="F1476" s="4">
        <f t="shared" si="92"/>
        <v>14.416133333333333</v>
      </c>
      <c r="I1476" s="4" t="s">
        <v>1251</v>
      </c>
      <c r="J1476" s="4">
        <v>14.545299999999999</v>
      </c>
      <c r="K1476" s="4">
        <v>14.246</v>
      </c>
      <c r="L1476" s="4">
        <v>14.589600000000001</v>
      </c>
      <c r="M1476" s="4">
        <f t="shared" si="93"/>
        <v>14.460299999999998</v>
      </c>
      <c r="Q1476" s="43" t="s">
        <v>572</v>
      </c>
      <c r="R1476" s="4">
        <v>14.0691257913842</v>
      </c>
      <c r="S1476" s="4">
        <v>14.107451252109399</v>
      </c>
      <c r="T1476" s="4">
        <v>14.457328672854899</v>
      </c>
      <c r="U1476" s="4">
        <f t="shared" si="94"/>
        <v>14.211301905449501</v>
      </c>
      <c r="X1476" s="43" t="s">
        <v>3254</v>
      </c>
      <c r="Y1476" s="4">
        <v>14.384720763764101</v>
      </c>
      <c r="Z1476" s="4">
        <v>14.596565431249701</v>
      </c>
      <c r="AA1476" s="4">
        <v>13.934357078177101</v>
      </c>
      <c r="AB1476" s="4">
        <f t="shared" si="95"/>
        <v>14.305214424396967</v>
      </c>
    </row>
    <row r="1477" spans="2:28" x14ac:dyDescent="0.2">
      <c r="B1477" s="4" t="s">
        <v>3031</v>
      </c>
      <c r="C1477" s="4">
        <v>14.2723</v>
      </c>
      <c r="D1477" s="4">
        <v>14.387499999999999</v>
      </c>
      <c r="E1477" s="4">
        <v>14.587999999999999</v>
      </c>
      <c r="F1477" s="4">
        <f t="shared" si="92"/>
        <v>14.415933333333333</v>
      </c>
      <c r="I1477" s="4" t="s">
        <v>2524</v>
      </c>
      <c r="J1477" s="4">
        <v>14.5654</v>
      </c>
      <c r="K1477" s="4">
        <v>14.428599999999999</v>
      </c>
      <c r="L1477" s="4">
        <v>14.3847</v>
      </c>
      <c r="M1477" s="4">
        <f t="shared" si="93"/>
        <v>14.459566666666667</v>
      </c>
      <c r="Q1477" s="43" t="s">
        <v>1477</v>
      </c>
      <c r="R1477" s="4">
        <v>14.287942616814</v>
      </c>
      <c r="S1477" s="4">
        <v>14.1584732575392</v>
      </c>
      <c r="T1477" s="4">
        <v>14.1807640499085</v>
      </c>
      <c r="U1477" s="4">
        <f t="shared" si="94"/>
        <v>14.209059974753899</v>
      </c>
      <c r="X1477" s="43" t="s">
        <v>711</v>
      </c>
      <c r="Y1477" s="4">
        <v>14.252744767279999</v>
      </c>
      <c r="Z1477" s="4">
        <v>14.4942305861015</v>
      </c>
      <c r="AA1477" s="4">
        <v>14.1675241587927</v>
      </c>
      <c r="AB1477" s="4">
        <f t="shared" si="95"/>
        <v>14.304833170724734</v>
      </c>
    </row>
    <row r="1478" spans="2:28" x14ac:dyDescent="0.2">
      <c r="B1478" s="4" t="s">
        <v>3916</v>
      </c>
      <c r="C1478" s="4">
        <v>13.6401</v>
      </c>
      <c r="D1478" s="4">
        <v>14.446199999999999</v>
      </c>
      <c r="E1478" s="4">
        <v>15.1615</v>
      </c>
      <c r="F1478" s="4">
        <f t="shared" si="92"/>
        <v>14.415933333333333</v>
      </c>
      <c r="I1478" s="4" t="s">
        <v>3728</v>
      </c>
      <c r="J1478" s="4">
        <v>14.6996</v>
      </c>
      <c r="K1478" s="4">
        <v>14.8055</v>
      </c>
      <c r="L1478" s="4">
        <v>13.8714</v>
      </c>
      <c r="M1478" s="4">
        <f t="shared" si="93"/>
        <v>14.458833333333333</v>
      </c>
      <c r="Q1478" s="43" t="s">
        <v>3440</v>
      </c>
      <c r="R1478" s="4">
        <v>14.1601615419111</v>
      </c>
      <c r="S1478" s="4">
        <v>14.2027795773064</v>
      </c>
      <c r="T1478" s="4">
        <v>14.263843397846401</v>
      </c>
      <c r="U1478" s="4">
        <f t="shared" si="94"/>
        <v>14.208928172354632</v>
      </c>
      <c r="X1478" s="43" t="s">
        <v>1660</v>
      </c>
      <c r="Y1478" s="4">
        <v>14.261207774326699</v>
      </c>
      <c r="Z1478" s="4">
        <v>14.3064610775807</v>
      </c>
      <c r="AA1478" s="4">
        <v>14.3429525832324</v>
      </c>
      <c r="AB1478" s="4">
        <f t="shared" si="95"/>
        <v>14.303540478379935</v>
      </c>
    </row>
    <row r="1479" spans="2:28" x14ac:dyDescent="0.2">
      <c r="B1479" s="4" t="s">
        <v>470</v>
      </c>
      <c r="C1479" s="4">
        <v>14.4838</v>
      </c>
      <c r="D1479" s="4">
        <v>14.154999999999999</v>
      </c>
      <c r="E1479" s="4">
        <v>14.6</v>
      </c>
      <c r="F1479" s="4">
        <f t="shared" si="92"/>
        <v>14.412933333333333</v>
      </c>
      <c r="I1479" s="4" t="s">
        <v>4009</v>
      </c>
      <c r="J1479" s="4">
        <v>14.526</v>
      </c>
      <c r="K1479" s="4">
        <v>14.240399999999999</v>
      </c>
      <c r="L1479" s="4">
        <v>14.605700000000001</v>
      </c>
      <c r="M1479" s="4">
        <f t="shared" si="93"/>
        <v>14.457366666666665</v>
      </c>
      <c r="Q1479" s="43" t="s">
        <v>65</v>
      </c>
      <c r="R1479" s="4">
        <v>14.227300957396499</v>
      </c>
      <c r="S1479" s="4">
        <v>14.450251102229799</v>
      </c>
      <c r="T1479" s="4">
        <v>13.945370011859101</v>
      </c>
      <c r="U1479" s="4">
        <f t="shared" si="94"/>
        <v>14.207640690495134</v>
      </c>
      <c r="X1479" s="43" t="s">
        <v>3246</v>
      </c>
      <c r="Y1479" s="4">
        <v>14.17397508937</v>
      </c>
      <c r="Z1479" s="4">
        <v>14.309167220781299</v>
      </c>
      <c r="AA1479" s="4">
        <v>14.4273136031811</v>
      </c>
      <c r="AB1479" s="4">
        <f t="shared" si="95"/>
        <v>14.303485304444132</v>
      </c>
    </row>
    <row r="1480" spans="2:28" x14ac:dyDescent="0.2">
      <c r="B1480" s="4" t="s">
        <v>1952</v>
      </c>
      <c r="C1480" s="4">
        <v>14.630599999999999</v>
      </c>
      <c r="D1480" s="4">
        <v>14.2875</v>
      </c>
      <c r="E1480" s="4">
        <v>14.3163</v>
      </c>
      <c r="F1480" s="4">
        <f t="shared" si="92"/>
        <v>14.411466666666668</v>
      </c>
      <c r="I1480" s="4" t="s">
        <v>1316</v>
      </c>
      <c r="J1480" s="4">
        <v>14.1326</v>
      </c>
      <c r="K1480" s="4">
        <v>14.9603</v>
      </c>
      <c r="L1480" s="4">
        <v>14.271699999999999</v>
      </c>
      <c r="M1480" s="4">
        <f t="shared" si="93"/>
        <v>14.454866666666666</v>
      </c>
      <c r="Q1480" s="43" t="s">
        <v>2149</v>
      </c>
      <c r="R1480" s="4">
        <v>14.2419515785296</v>
      </c>
      <c r="S1480" s="4">
        <v>14.1400854320042</v>
      </c>
      <c r="T1480" s="4">
        <v>14.2318286474215</v>
      </c>
      <c r="U1480" s="4">
        <f t="shared" si="94"/>
        <v>14.2046218859851</v>
      </c>
      <c r="X1480" s="43" t="s">
        <v>3455</v>
      </c>
      <c r="Y1480" s="4">
        <v>14.142975687362499</v>
      </c>
      <c r="Z1480" s="4">
        <v>14.054521953112101</v>
      </c>
      <c r="AA1480" s="4">
        <v>14.7114767075755</v>
      </c>
      <c r="AB1480" s="4">
        <f t="shared" si="95"/>
        <v>14.302991449350033</v>
      </c>
    </row>
    <row r="1481" spans="2:28" x14ac:dyDescent="0.2">
      <c r="B1481" s="4" t="s">
        <v>4017</v>
      </c>
      <c r="C1481" s="4">
        <v>14.548400000000001</v>
      </c>
      <c r="D1481" s="4">
        <v>14.501899999999999</v>
      </c>
      <c r="E1481" s="4">
        <v>14.178599999999999</v>
      </c>
      <c r="F1481" s="4">
        <f t="shared" si="92"/>
        <v>14.409633333333332</v>
      </c>
      <c r="I1481" s="4" t="s">
        <v>2296</v>
      </c>
      <c r="J1481" s="4">
        <v>14.5655</v>
      </c>
      <c r="K1481" s="4">
        <v>14.887</v>
      </c>
      <c r="L1481" s="4">
        <v>13.896000000000001</v>
      </c>
      <c r="M1481" s="4">
        <f t="shared" si="93"/>
        <v>14.4495</v>
      </c>
      <c r="Q1481" s="43" t="s">
        <v>4300</v>
      </c>
      <c r="R1481" s="4">
        <v>14.1738318869059</v>
      </c>
      <c r="S1481" s="4">
        <v>14.254170780177001</v>
      </c>
      <c r="T1481" s="4">
        <v>14.180195736848299</v>
      </c>
      <c r="U1481" s="4">
        <f t="shared" si="94"/>
        <v>14.202732801310399</v>
      </c>
      <c r="X1481" s="43" t="s">
        <v>749</v>
      </c>
      <c r="Y1481" s="4">
        <v>14.4657838046347</v>
      </c>
      <c r="Z1481" s="4">
        <v>14.363429669820301</v>
      </c>
      <c r="AA1481" s="4">
        <v>14.0768720255603</v>
      </c>
      <c r="AB1481" s="4">
        <f t="shared" si="95"/>
        <v>14.3020285000051</v>
      </c>
    </row>
    <row r="1482" spans="2:28" x14ac:dyDescent="0.2">
      <c r="B1482" s="4" t="s">
        <v>2991</v>
      </c>
      <c r="C1482" s="4">
        <v>14.679</v>
      </c>
      <c r="D1482" s="4">
        <v>14.536799999999999</v>
      </c>
      <c r="E1482" s="4">
        <v>14.0121</v>
      </c>
      <c r="F1482" s="4">
        <f t="shared" si="92"/>
        <v>14.409300000000002</v>
      </c>
      <c r="I1482" s="4" t="s">
        <v>1338</v>
      </c>
      <c r="J1482" s="4">
        <v>14.5626</v>
      </c>
      <c r="K1482" s="4">
        <v>14.2247</v>
      </c>
      <c r="L1482" s="4">
        <v>14.559799999999999</v>
      </c>
      <c r="M1482" s="4">
        <f t="shared" si="93"/>
        <v>14.449033333333333</v>
      </c>
      <c r="Q1482" s="43" t="s">
        <v>2247</v>
      </c>
      <c r="R1482" s="4">
        <v>14.1477884113307</v>
      </c>
      <c r="S1482" s="4">
        <v>14.2098796882049</v>
      </c>
      <c r="T1482" s="4">
        <v>14.2394168149892</v>
      </c>
      <c r="U1482" s="4">
        <f t="shared" si="94"/>
        <v>14.199028304841599</v>
      </c>
      <c r="X1482" s="43" t="s">
        <v>720</v>
      </c>
      <c r="Y1482" s="4">
        <v>14.504574863292399</v>
      </c>
      <c r="Z1482" s="4">
        <v>14.158519277546301</v>
      </c>
      <c r="AA1482" s="4">
        <v>14.241617111784</v>
      </c>
      <c r="AB1482" s="4">
        <f t="shared" si="95"/>
        <v>14.301570417540901</v>
      </c>
    </row>
    <row r="1483" spans="2:28" x14ac:dyDescent="0.2">
      <c r="B1483" s="4" t="s">
        <v>1418</v>
      </c>
      <c r="C1483" s="4">
        <v>14.5565</v>
      </c>
      <c r="D1483" s="4">
        <v>14.3066</v>
      </c>
      <c r="E1483" s="4">
        <v>14.362</v>
      </c>
      <c r="F1483" s="4">
        <f t="shared" si="92"/>
        <v>14.408366666666666</v>
      </c>
      <c r="I1483" s="4" t="s">
        <v>1645</v>
      </c>
      <c r="J1483" s="4">
        <v>14.686299999999999</v>
      </c>
      <c r="K1483" s="4">
        <v>13.9026</v>
      </c>
      <c r="L1483" s="4">
        <v>14.756</v>
      </c>
      <c r="M1483" s="4">
        <f t="shared" si="93"/>
        <v>14.448299999999998</v>
      </c>
      <c r="Q1483" s="43" t="s">
        <v>3604</v>
      </c>
      <c r="R1483" s="4">
        <v>14.095670574671701</v>
      </c>
      <c r="S1483" s="4">
        <v>14.173179464592399</v>
      </c>
      <c r="T1483" s="4">
        <v>14.323225614343</v>
      </c>
      <c r="U1483" s="4">
        <f t="shared" si="94"/>
        <v>14.197358551202369</v>
      </c>
      <c r="X1483" s="43" t="s">
        <v>2705</v>
      </c>
      <c r="Y1483" s="4">
        <v>14.092380338598501</v>
      </c>
      <c r="Z1483" s="4">
        <v>14.4820241511018</v>
      </c>
      <c r="AA1483" s="4">
        <v>14.3300540893496</v>
      </c>
      <c r="AB1483" s="4">
        <f t="shared" si="95"/>
        <v>14.301486193016634</v>
      </c>
    </row>
    <row r="1484" spans="2:28" x14ac:dyDescent="0.2">
      <c r="B1484" s="4" t="s">
        <v>496</v>
      </c>
      <c r="C1484" s="4">
        <v>15.3796</v>
      </c>
      <c r="D1484" s="4">
        <v>14.0854</v>
      </c>
      <c r="E1484" s="4">
        <v>13.755000000000001</v>
      </c>
      <c r="F1484" s="4">
        <f t="shared" si="92"/>
        <v>14.406666666666666</v>
      </c>
      <c r="I1484" s="4" t="s">
        <v>387</v>
      </c>
      <c r="J1484" s="4">
        <v>14.411199999999999</v>
      </c>
      <c r="K1484" s="4">
        <v>14.700900000000001</v>
      </c>
      <c r="L1484" s="4">
        <v>14.227</v>
      </c>
      <c r="M1484" s="4">
        <f t="shared" si="93"/>
        <v>14.446366666666668</v>
      </c>
      <c r="Q1484" s="43" t="s">
        <v>1937</v>
      </c>
      <c r="R1484" s="4">
        <v>14.249907724094101</v>
      </c>
      <c r="S1484" s="4">
        <v>14.151104595264799</v>
      </c>
      <c r="T1484" s="4">
        <v>14.1903367615422</v>
      </c>
      <c r="U1484" s="4">
        <f t="shared" si="94"/>
        <v>14.197116360300365</v>
      </c>
      <c r="X1484" s="43" t="s">
        <v>3444</v>
      </c>
      <c r="Y1484" s="4">
        <v>14.2423755028519</v>
      </c>
      <c r="Z1484" s="4">
        <v>14.3751360665963</v>
      </c>
      <c r="AA1484" s="4">
        <v>14.2860295012926</v>
      </c>
      <c r="AB1484" s="4">
        <f t="shared" si="95"/>
        <v>14.3011803569136</v>
      </c>
    </row>
    <row r="1485" spans="2:28" x14ac:dyDescent="0.2">
      <c r="B1485" s="4" t="s">
        <v>2008</v>
      </c>
      <c r="C1485" s="4">
        <v>14.457800000000001</v>
      </c>
      <c r="D1485" s="4">
        <v>14.307600000000001</v>
      </c>
      <c r="E1485" s="4">
        <v>14.4506</v>
      </c>
      <c r="F1485" s="4">
        <f t="shared" si="92"/>
        <v>14.405333333333333</v>
      </c>
      <c r="I1485" s="4" t="s">
        <v>1183</v>
      </c>
      <c r="J1485" s="4">
        <v>14.5046</v>
      </c>
      <c r="K1485" s="4">
        <v>14.248699999999999</v>
      </c>
      <c r="L1485" s="4">
        <v>14.5848</v>
      </c>
      <c r="M1485" s="4">
        <f t="shared" si="93"/>
        <v>14.446033333333332</v>
      </c>
      <c r="Q1485" s="43" t="s">
        <v>1086</v>
      </c>
      <c r="R1485" s="4">
        <v>14.3654054516043</v>
      </c>
      <c r="S1485" s="4">
        <v>13.924157162163</v>
      </c>
      <c r="T1485" s="4">
        <v>14.3010772911014</v>
      </c>
      <c r="U1485" s="4">
        <f t="shared" si="94"/>
        <v>14.196879968289567</v>
      </c>
      <c r="X1485" s="43" t="s">
        <v>736</v>
      </c>
      <c r="Y1485" s="4">
        <v>14.209372030647501</v>
      </c>
      <c r="Z1485" s="4">
        <v>14.2433000877349</v>
      </c>
      <c r="AA1485" s="4">
        <v>14.4493141101335</v>
      </c>
      <c r="AB1485" s="4">
        <f t="shared" si="95"/>
        <v>14.300662076171967</v>
      </c>
    </row>
    <row r="1486" spans="2:28" x14ac:dyDescent="0.2">
      <c r="B1486" s="4" t="s">
        <v>2183</v>
      </c>
      <c r="C1486" s="4">
        <v>14.6629</v>
      </c>
      <c r="D1486" s="4">
        <v>14.801399999999999</v>
      </c>
      <c r="E1486" s="4">
        <v>13.749700000000001</v>
      </c>
      <c r="F1486" s="4">
        <f t="shared" si="92"/>
        <v>14.404666666666666</v>
      </c>
      <c r="I1486" s="4" t="s">
        <v>1265</v>
      </c>
      <c r="J1486" s="4">
        <v>14.3452</v>
      </c>
      <c r="K1486" s="4">
        <v>14.6386</v>
      </c>
      <c r="L1486" s="4">
        <v>14.35</v>
      </c>
      <c r="M1486" s="4">
        <f t="shared" si="93"/>
        <v>14.444600000000001</v>
      </c>
      <c r="Q1486" s="43" t="s">
        <v>593</v>
      </c>
      <c r="R1486" s="4">
        <v>14.070979666831199</v>
      </c>
      <c r="S1486" s="4">
        <v>14.2413002298557</v>
      </c>
      <c r="T1486" s="4">
        <v>14.2742100773474</v>
      </c>
      <c r="U1486" s="4">
        <f t="shared" si="94"/>
        <v>14.195496658011434</v>
      </c>
      <c r="X1486" s="43" t="s">
        <v>2112</v>
      </c>
      <c r="Y1486" s="4">
        <v>14.286714432168999</v>
      </c>
      <c r="Z1486" s="4">
        <v>14.338067029563399</v>
      </c>
      <c r="AA1486" s="4">
        <v>14.273597323003999</v>
      </c>
      <c r="AB1486" s="4">
        <f t="shared" si="95"/>
        <v>14.299459594912131</v>
      </c>
    </row>
    <row r="1487" spans="2:28" x14ac:dyDescent="0.2">
      <c r="B1487" s="4" t="s">
        <v>3886</v>
      </c>
      <c r="C1487" s="4">
        <v>14.1912</v>
      </c>
      <c r="D1487" s="4">
        <v>14.525600000000001</v>
      </c>
      <c r="E1487" s="4">
        <v>14.496700000000001</v>
      </c>
      <c r="F1487" s="4">
        <f t="shared" si="92"/>
        <v>14.404499999999999</v>
      </c>
      <c r="I1487" s="4" t="s">
        <v>1765</v>
      </c>
      <c r="J1487" s="4">
        <v>14.405099999999999</v>
      </c>
      <c r="K1487" s="4">
        <v>14.197699999999999</v>
      </c>
      <c r="L1487" s="4">
        <v>14.725</v>
      </c>
      <c r="M1487" s="4">
        <f t="shared" si="93"/>
        <v>14.442599999999999</v>
      </c>
      <c r="Q1487" s="43" t="s">
        <v>1195</v>
      </c>
      <c r="R1487" s="4">
        <v>13.951066385627</v>
      </c>
      <c r="S1487" s="4">
        <v>14.2533864956228</v>
      </c>
      <c r="T1487" s="4">
        <v>14.369636058388799</v>
      </c>
      <c r="U1487" s="4">
        <f t="shared" si="94"/>
        <v>14.191362979879534</v>
      </c>
      <c r="X1487" s="43" t="s">
        <v>2320</v>
      </c>
      <c r="Y1487" s="4">
        <v>14.1122868722993</v>
      </c>
      <c r="Z1487" s="4">
        <v>14.4253228428597</v>
      </c>
      <c r="AA1487" s="4">
        <v>14.360033068843199</v>
      </c>
      <c r="AB1487" s="4">
        <f t="shared" si="95"/>
        <v>14.299214261334066</v>
      </c>
    </row>
    <row r="1488" spans="2:28" x14ac:dyDescent="0.2">
      <c r="B1488" s="4" t="s">
        <v>3242</v>
      </c>
      <c r="C1488" s="4">
        <v>14.476100000000001</v>
      </c>
      <c r="D1488" s="4">
        <v>14.325699999999999</v>
      </c>
      <c r="E1488" s="4">
        <v>14.4101</v>
      </c>
      <c r="F1488" s="4">
        <f t="shared" si="92"/>
        <v>14.403966666666667</v>
      </c>
      <c r="I1488" s="4" t="s">
        <v>1381</v>
      </c>
      <c r="J1488" s="4">
        <v>14.443899999999999</v>
      </c>
      <c r="K1488" s="4">
        <v>14.5863</v>
      </c>
      <c r="L1488" s="4">
        <v>14.287800000000001</v>
      </c>
      <c r="M1488" s="4">
        <f t="shared" si="93"/>
        <v>14.439333333333332</v>
      </c>
      <c r="Q1488" s="43" t="s">
        <v>2807</v>
      </c>
      <c r="R1488" s="4">
        <v>14.274401724399899</v>
      </c>
      <c r="S1488" s="4">
        <v>14.1353464026803</v>
      </c>
      <c r="T1488" s="4">
        <v>14.161908391651499</v>
      </c>
      <c r="U1488" s="4">
        <f t="shared" si="94"/>
        <v>14.190552172910566</v>
      </c>
      <c r="X1488" s="43" t="s">
        <v>4449</v>
      </c>
      <c r="Y1488" s="4">
        <v>14.2141821003852</v>
      </c>
      <c r="Z1488" s="4">
        <v>14.246973643252799</v>
      </c>
      <c r="AA1488" s="4">
        <v>14.429318404683499</v>
      </c>
      <c r="AB1488" s="4">
        <f t="shared" si="95"/>
        <v>14.296824716107167</v>
      </c>
    </row>
    <row r="1489" spans="2:28" x14ac:dyDescent="0.2">
      <c r="B1489" s="4" t="s">
        <v>3288</v>
      </c>
      <c r="C1489" s="4">
        <v>14.2996</v>
      </c>
      <c r="D1489" s="4">
        <v>14.2903</v>
      </c>
      <c r="E1489" s="4">
        <v>14.6203</v>
      </c>
      <c r="F1489" s="4">
        <f t="shared" si="92"/>
        <v>14.4034</v>
      </c>
      <c r="I1489" s="4" t="s">
        <v>3504</v>
      </c>
      <c r="J1489" s="4">
        <v>14.569599999999999</v>
      </c>
      <c r="K1489" s="4">
        <v>14.4221</v>
      </c>
      <c r="L1489" s="4">
        <v>14.3216</v>
      </c>
      <c r="M1489" s="4">
        <f t="shared" si="93"/>
        <v>14.437766666666667</v>
      </c>
      <c r="Q1489" s="43" t="s">
        <v>3338</v>
      </c>
      <c r="R1489" s="4">
        <v>14.333572672761001</v>
      </c>
      <c r="S1489" s="4">
        <v>14.208679786097701</v>
      </c>
      <c r="T1489" s="4">
        <v>14.0216848783791</v>
      </c>
      <c r="U1489" s="4">
        <f t="shared" si="94"/>
        <v>14.1879791124126</v>
      </c>
      <c r="X1489" s="43" t="s">
        <v>1925</v>
      </c>
      <c r="Y1489" s="4">
        <v>14.2449778738244</v>
      </c>
      <c r="Z1489" s="4">
        <v>15.003316175818499</v>
      </c>
      <c r="AA1489" s="4">
        <v>13.6364502638405</v>
      </c>
      <c r="AB1489" s="4">
        <f t="shared" si="95"/>
        <v>14.294914771161134</v>
      </c>
    </row>
    <row r="1490" spans="2:28" x14ac:dyDescent="0.2">
      <c r="B1490" s="4" t="s">
        <v>3490</v>
      </c>
      <c r="C1490" s="4">
        <v>14.2613</v>
      </c>
      <c r="D1490" s="4">
        <v>14.708600000000001</v>
      </c>
      <c r="E1490" s="4">
        <v>14.2369</v>
      </c>
      <c r="F1490" s="4">
        <f t="shared" si="92"/>
        <v>14.402266666666668</v>
      </c>
      <c r="I1490" s="4" t="s">
        <v>2626</v>
      </c>
      <c r="J1490" s="4">
        <v>14.576700000000001</v>
      </c>
      <c r="K1490" s="4">
        <v>14.3268</v>
      </c>
      <c r="L1490" s="4">
        <v>14.405900000000001</v>
      </c>
      <c r="M1490" s="4">
        <f t="shared" si="93"/>
        <v>14.436466666666668</v>
      </c>
      <c r="Q1490" s="43" t="s">
        <v>3544</v>
      </c>
      <c r="R1490" s="4">
        <v>14.370778059632499</v>
      </c>
      <c r="S1490" s="4">
        <v>14.047210521841</v>
      </c>
      <c r="T1490" s="4">
        <v>14.1428579838039</v>
      </c>
      <c r="U1490" s="4">
        <f t="shared" si="94"/>
        <v>14.186948855092467</v>
      </c>
      <c r="X1490" s="43" t="s">
        <v>3141</v>
      </c>
      <c r="Y1490" s="4">
        <v>14.3064285253328</v>
      </c>
      <c r="Z1490" s="4">
        <v>14.2384607391069</v>
      </c>
      <c r="AA1490" s="4">
        <v>14.339458746912801</v>
      </c>
      <c r="AB1490" s="4">
        <f t="shared" si="95"/>
        <v>14.294782670450834</v>
      </c>
    </row>
    <row r="1491" spans="2:28" x14ac:dyDescent="0.2">
      <c r="B1491" s="4" t="s">
        <v>904</v>
      </c>
      <c r="C1491" s="4">
        <v>14.751799999999999</v>
      </c>
      <c r="D1491" s="4">
        <v>14.4671</v>
      </c>
      <c r="E1491" s="4">
        <v>13.977399999999999</v>
      </c>
      <c r="F1491" s="4">
        <f t="shared" si="92"/>
        <v>14.398766666666665</v>
      </c>
      <c r="I1491" s="4" t="s">
        <v>3715</v>
      </c>
      <c r="J1491" s="4">
        <v>14.318099999999999</v>
      </c>
      <c r="K1491" s="4">
        <v>14.809900000000001</v>
      </c>
      <c r="L1491" s="4">
        <v>14.180899999999999</v>
      </c>
      <c r="M1491" s="4">
        <f t="shared" si="93"/>
        <v>14.436300000000001</v>
      </c>
      <c r="Q1491" s="43" t="s">
        <v>1072</v>
      </c>
      <c r="R1491" s="4">
        <v>14.3773964100764</v>
      </c>
      <c r="S1491" s="4">
        <v>13.7668175030513</v>
      </c>
      <c r="T1491" s="4">
        <v>14.412593798708899</v>
      </c>
      <c r="U1491" s="4">
        <f t="shared" si="94"/>
        <v>14.185602570612199</v>
      </c>
      <c r="X1491" s="43" t="s">
        <v>109</v>
      </c>
      <c r="Y1491" s="4">
        <v>14.2336340690524</v>
      </c>
      <c r="Z1491" s="4">
        <v>14.3617769640085</v>
      </c>
      <c r="AA1491" s="4">
        <v>14.288682187223401</v>
      </c>
      <c r="AB1491" s="4">
        <f t="shared" si="95"/>
        <v>14.294697740094767</v>
      </c>
    </row>
    <row r="1492" spans="2:28" x14ac:dyDescent="0.2">
      <c r="B1492" s="4" t="s">
        <v>4028</v>
      </c>
      <c r="C1492" s="4">
        <v>14.4162</v>
      </c>
      <c r="D1492" s="4">
        <v>14.4796</v>
      </c>
      <c r="E1492" s="4">
        <v>14.3</v>
      </c>
      <c r="F1492" s="4">
        <f t="shared" si="92"/>
        <v>14.398600000000002</v>
      </c>
      <c r="I1492" s="4" t="s">
        <v>1558</v>
      </c>
      <c r="J1492" s="4">
        <v>14.4899</v>
      </c>
      <c r="K1492" s="4">
        <v>14.318899999999999</v>
      </c>
      <c r="L1492" s="4">
        <v>14.499000000000001</v>
      </c>
      <c r="M1492" s="4">
        <f t="shared" si="93"/>
        <v>14.435933333333333</v>
      </c>
      <c r="Q1492" s="43" t="s">
        <v>2455</v>
      </c>
      <c r="R1492" s="4">
        <v>14.3375228116671</v>
      </c>
      <c r="S1492" s="4">
        <v>14.1987215307832</v>
      </c>
      <c r="T1492" s="4">
        <v>14.016555999254701</v>
      </c>
      <c r="U1492" s="4">
        <f t="shared" si="94"/>
        <v>14.184266780568334</v>
      </c>
      <c r="X1492" s="43" t="s">
        <v>3717</v>
      </c>
      <c r="Y1492" s="4">
        <v>14.239123734464</v>
      </c>
      <c r="Z1492" s="4">
        <v>14.4911553947613</v>
      </c>
      <c r="AA1492" s="4">
        <v>14.1525973443498</v>
      </c>
      <c r="AB1492" s="4">
        <f t="shared" si="95"/>
        <v>14.294292157858367</v>
      </c>
    </row>
    <row r="1493" spans="2:28" x14ac:dyDescent="0.2">
      <c r="B1493" s="4" t="s">
        <v>3419</v>
      </c>
      <c r="C1493" s="4">
        <v>14.233599999999999</v>
      </c>
      <c r="D1493" s="4">
        <v>14.2057</v>
      </c>
      <c r="E1493" s="4">
        <v>14.7477</v>
      </c>
      <c r="F1493" s="4">
        <f t="shared" si="92"/>
        <v>14.395666666666665</v>
      </c>
      <c r="I1493" s="4" t="s">
        <v>4024</v>
      </c>
      <c r="J1493" s="4">
        <v>14.102399999999999</v>
      </c>
      <c r="K1493" s="4">
        <v>15.137499999999999</v>
      </c>
      <c r="L1493" s="4">
        <v>14.0665</v>
      </c>
      <c r="M1493" s="4">
        <f t="shared" si="93"/>
        <v>14.435466666666665</v>
      </c>
      <c r="Q1493" s="43" t="s">
        <v>2894</v>
      </c>
      <c r="R1493" s="4">
        <v>14.0471225378003</v>
      </c>
      <c r="S1493" s="4">
        <v>14.1725179755109</v>
      </c>
      <c r="T1493" s="4">
        <v>14.3323284008314</v>
      </c>
      <c r="U1493" s="4">
        <f t="shared" si="94"/>
        <v>14.183989638047533</v>
      </c>
      <c r="X1493" s="43" t="s">
        <v>610</v>
      </c>
      <c r="Y1493" s="4">
        <v>14.2244622483027</v>
      </c>
      <c r="Z1493" s="4">
        <v>14.4745803683526</v>
      </c>
      <c r="AA1493" s="4">
        <v>14.182982696612401</v>
      </c>
      <c r="AB1493" s="4">
        <f t="shared" si="95"/>
        <v>14.294008437755899</v>
      </c>
    </row>
    <row r="1494" spans="2:28" x14ac:dyDescent="0.2">
      <c r="B1494" s="4" t="s">
        <v>2335</v>
      </c>
      <c r="C1494" s="4">
        <v>14.4557</v>
      </c>
      <c r="D1494" s="4">
        <v>14.3849</v>
      </c>
      <c r="E1494" s="4">
        <v>14.3367</v>
      </c>
      <c r="F1494" s="4">
        <f t="shared" si="92"/>
        <v>14.392433333333335</v>
      </c>
      <c r="I1494" s="4" t="s">
        <v>3496</v>
      </c>
      <c r="J1494" s="4">
        <v>14.7104</v>
      </c>
      <c r="K1494" s="4">
        <v>13.822100000000001</v>
      </c>
      <c r="L1494" s="4">
        <v>14.7613</v>
      </c>
      <c r="M1494" s="4">
        <f t="shared" si="93"/>
        <v>14.431266666666666</v>
      </c>
      <c r="Q1494" s="43" t="s">
        <v>4480</v>
      </c>
      <c r="R1494" s="4">
        <v>14.3765309914839</v>
      </c>
      <c r="S1494" s="4">
        <v>14.1329663900983</v>
      </c>
      <c r="T1494" s="4">
        <v>14.0348196947778</v>
      </c>
      <c r="U1494" s="4">
        <f t="shared" si="94"/>
        <v>14.181439025453335</v>
      </c>
      <c r="X1494" s="43" t="s">
        <v>943</v>
      </c>
      <c r="Y1494" s="4">
        <v>14.251350640913101</v>
      </c>
      <c r="Z1494" s="4">
        <v>14.2807223784681</v>
      </c>
      <c r="AA1494" s="4">
        <v>14.3404569367256</v>
      </c>
      <c r="AB1494" s="4">
        <f t="shared" si="95"/>
        <v>14.290843318702267</v>
      </c>
    </row>
    <row r="1495" spans="2:28" x14ac:dyDescent="0.2">
      <c r="B1495" s="4" t="s">
        <v>3693</v>
      </c>
      <c r="C1495" s="4">
        <v>15.1351</v>
      </c>
      <c r="D1495" s="4">
        <v>14.556100000000001</v>
      </c>
      <c r="E1495" s="4">
        <v>13.4841</v>
      </c>
      <c r="F1495" s="4">
        <f t="shared" si="92"/>
        <v>14.391766666666667</v>
      </c>
      <c r="I1495" s="4" t="s">
        <v>1939</v>
      </c>
      <c r="J1495" s="4">
        <v>14.5601</v>
      </c>
      <c r="K1495" s="4">
        <v>14.173999999999999</v>
      </c>
      <c r="L1495" s="4">
        <v>14.556900000000001</v>
      </c>
      <c r="M1495" s="4">
        <f t="shared" si="93"/>
        <v>14.430333333333332</v>
      </c>
      <c r="Q1495" s="43" t="s">
        <v>3628</v>
      </c>
      <c r="R1495" s="4">
        <v>14.0468992818335</v>
      </c>
      <c r="S1495" s="4">
        <v>14.343519021986401</v>
      </c>
      <c r="T1495" s="4">
        <v>14.150833749614501</v>
      </c>
      <c r="U1495" s="4">
        <f t="shared" si="94"/>
        <v>14.180417351144799</v>
      </c>
      <c r="X1495" s="43" t="s">
        <v>3133</v>
      </c>
      <c r="Y1495" s="4">
        <v>14.280189006680899</v>
      </c>
      <c r="Z1495" s="4">
        <v>14.3410743634202</v>
      </c>
      <c r="AA1495" s="4">
        <v>14.248987035480001</v>
      </c>
      <c r="AB1495" s="4">
        <f t="shared" si="95"/>
        <v>14.290083468527031</v>
      </c>
    </row>
    <row r="1496" spans="2:28" x14ac:dyDescent="0.2">
      <c r="B1496" s="4" t="s">
        <v>2437</v>
      </c>
      <c r="C1496" s="4">
        <v>13.4703</v>
      </c>
      <c r="D1496" s="4">
        <v>14.0449</v>
      </c>
      <c r="E1496" s="4">
        <v>15.6599</v>
      </c>
      <c r="F1496" s="4">
        <f t="shared" si="92"/>
        <v>14.3917</v>
      </c>
      <c r="I1496" s="4" t="s">
        <v>3479</v>
      </c>
      <c r="J1496" s="4">
        <v>14.6134</v>
      </c>
      <c r="K1496" s="4">
        <v>13.974600000000001</v>
      </c>
      <c r="L1496" s="4">
        <v>14.7014</v>
      </c>
      <c r="M1496" s="4">
        <f t="shared" si="93"/>
        <v>14.4298</v>
      </c>
      <c r="Q1496" s="43" t="s">
        <v>3289</v>
      </c>
      <c r="R1496" s="4">
        <v>14.198855693387401</v>
      </c>
      <c r="S1496" s="4">
        <v>14.2307608040032</v>
      </c>
      <c r="T1496" s="4">
        <v>14.1027907291851</v>
      </c>
      <c r="U1496" s="4">
        <f t="shared" si="94"/>
        <v>14.177469075525233</v>
      </c>
      <c r="X1496" s="43" t="s">
        <v>2383</v>
      </c>
      <c r="Y1496" s="4">
        <v>13.8571368417425</v>
      </c>
      <c r="Z1496" s="4">
        <v>14.3459182478193</v>
      </c>
      <c r="AA1496" s="4">
        <v>14.6649163535726</v>
      </c>
      <c r="AB1496" s="4">
        <f t="shared" si="95"/>
        <v>14.289323814378134</v>
      </c>
    </row>
    <row r="1497" spans="2:28" x14ac:dyDescent="0.2">
      <c r="B1497" s="4" t="s">
        <v>2079</v>
      </c>
      <c r="C1497" s="4">
        <v>14.4857</v>
      </c>
      <c r="D1497" s="4">
        <v>14.564</v>
      </c>
      <c r="E1497" s="4">
        <v>14.1225</v>
      </c>
      <c r="F1497" s="4">
        <f t="shared" si="92"/>
        <v>14.390733333333335</v>
      </c>
      <c r="I1497" s="4" t="s">
        <v>2374</v>
      </c>
      <c r="J1497" s="4">
        <v>14.789300000000001</v>
      </c>
      <c r="K1497" s="4">
        <v>13.919600000000001</v>
      </c>
      <c r="L1497" s="4">
        <v>14.5801</v>
      </c>
      <c r="M1497" s="4">
        <f t="shared" si="93"/>
        <v>14.429666666666668</v>
      </c>
      <c r="Q1497" s="43" t="s">
        <v>3264</v>
      </c>
      <c r="R1497" s="4">
        <v>14.0709830977249</v>
      </c>
      <c r="S1497" s="4">
        <v>14.201549811594999</v>
      </c>
      <c r="T1497" s="4">
        <v>14.253647584607499</v>
      </c>
      <c r="U1497" s="4">
        <f t="shared" si="94"/>
        <v>14.175393497975799</v>
      </c>
      <c r="X1497" s="43" t="s">
        <v>1672</v>
      </c>
      <c r="Y1497" s="4">
        <v>14.136751088940199</v>
      </c>
      <c r="Z1497" s="4">
        <v>14.1505445859595</v>
      </c>
      <c r="AA1497" s="4">
        <v>14.5775773370284</v>
      </c>
      <c r="AB1497" s="4">
        <f t="shared" si="95"/>
        <v>14.288291003976033</v>
      </c>
    </row>
    <row r="1498" spans="2:28" x14ac:dyDescent="0.2">
      <c r="B1498" s="4" t="s">
        <v>2533</v>
      </c>
      <c r="C1498" s="4">
        <v>14.600199999999999</v>
      </c>
      <c r="D1498" s="4">
        <v>14.3878</v>
      </c>
      <c r="E1498" s="4">
        <v>14.1815</v>
      </c>
      <c r="F1498" s="4">
        <f t="shared" si="92"/>
        <v>14.389833333333334</v>
      </c>
      <c r="I1498" s="4" t="s">
        <v>1437</v>
      </c>
      <c r="J1498" s="4">
        <v>14.1807</v>
      </c>
      <c r="K1498" s="4">
        <v>15.024900000000001</v>
      </c>
      <c r="L1498" s="4">
        <v>14.079599999999999</v>
      </c>
      <c r="M1498" s="4">
        <f t="shared" si="93"/>
        <v>14.428400000000002</v>
      </c>
      <c r="Q1498" s="43" t="s">
        <v>2546</v>
      </c>
      <c r="R1498" s="4">
        <v>14.385997118593201</v>
      </c>
      <c r="S1498" s="4">
        <v>14.103202954162899</v>
      </c>
      <c r="T1498" s="4">
        <v>14.0323498215825</v>
      </c>
      <c r="U1498" s="4">
        <f t="shared" si="94"/>
        <v>14.173849964779533</v>
      </c>
      <c r="X1498" s="43" t="s">
        <v>2677</v>
      </c>
      <c r="Y1498" s="4">
        <v>14.309132432909101</v>
      </c>
      <c r="Z1498" s="4">
        <v>13.718965005643399</v>
      </c>
      <c r="AA1498" s="4">
        <v>14.834304170657999</v>
      </c>
      <c r="AB1498" s="4">
        <f t="shared" si="95"/>
        <v>14.287467203070166</v>
      </c>
    </row>
    <row r="1499" spans="2:28" x14ac:dyDescent="0.2">
      <c r="B1499" s="4" t="s">
        <v>163</v>
      </c>
      <c r="C1499" s="4">
        <v>14.249599999999999</v>
      </c>
      <c r="D1499" s="4">
        <v>14.488799999999999</v>
      </c>
      <c r="E1499" s="4">
        <v>14.428900000000001</v>
      </c>
      <c r="F1499" s="4">
        <f t="shared" si="92"/>
        <v>14.389099999999999</v>
      </c>
      <c r="I1499" s="4" t="s">
        <v>2063</v>
      </c>
      <c r="J1499" s="4">
        <v>14.495900000000001</v>
      </c>
      <c r="K1499" s="4">
        <v>13.882199999999999</v>
      </c>
      <c r="L1499" s="4">
        <v>14.894500000000001</v>
      </c>
      <c r="M1499" s="4">
        <f t="shared" si="93"/>
        <v>14.424199999999999</v>
      </c>
      <c r="Q1499" s="43" t="s">
        <v>2217</v>
      </c>
      <c r="R1499" s="4">
        <v>14.2646301005782</v>
      </c>
      <c r="S1499" s="4">
        <v>13.9746203713526</v>
      </c>
      <c r="T1499" s="4">
        <v>14.281439182238101</v>
      </c>
      <c r="U1499" s="4">
        <f t="shared" si="94"/>
        <v>14.173563218056302</v>
      </c>
      <c r="X1499" s="43" t="s">
        <v>1588</v>
      </c>
      <c r="Y1499" s="4">
        <v>14.271581848406999</v>
      </c>
      <c r="Z1499" s="4">
        <v>14.316025333331201</v>
      </c>
      <c r="AA1499" s="4">
        <v>14.274053945054</v>
      </c>
      <c r="AB1499" s="4">
        <f t="shared" si="95"/>
        <v>14.2872203755974</v>
      </c>
    </row>
    <row r="1500" spans="2:28" x14ac:dyDescent="0.2">
      <c r="B1500" s="4" t="s">
        <v>3320</v>
      </c>
      <c r="C1500" s="4">
        <v>14.2928</v>
      </c>
      <c r="D1500" s="4">
        <v>14.703900000000001</v>
      </c>
      <c r="E1500" s="4">
        <v>14.169499999999999</v>
      </c>
      <c r="F1500" s="4">
        <f t="shared" si="92"/>
        <v>14.388733333333334</v>
      </c>
      <c r="I1500" s="4" t="s">
        <v>1357</v>
      </c>
      <c r="J1500" s="4">
        <v>14.2256</v>
      </c>
      <c r="K1500" s="4">
        <v>14.7501</v>
      </c>
      <c r="L1500" s="4">
        <v>14.29</v>
      </c>
      <c r="M1500" s="4">
        <f t="shared" si="93"/>
        <v>14.421899999999999</v>
      </c>
      <c r="Q1500" s="43" t="s">
        <v>1701</v>
      </c>
      <c r="R1500" s="4">
        <v>14.0511690922801</v>
      </c>
      <c r="S1500" s="4">
        <v>14.224818171052</v>
      </c>
      <c r="T1500" s="4">
        <v>14.229129730064299</v>
      </c>
      <c r="U1500" s="4">
        <f t="shared" si="94"/>
        <v>14.168372331132133</v>
      </c>
      <c r="X1500" s="43" t="s">
        <v>2594</v>
      </c>
      <c r="Y1500" s="4">
        <v>14.307946069758</v>
      </c>
      <c r="Z1500" s="4">
        <v>14.370588267414201</v>
      </c>
      <c r="AA1500" s="4">
        <v>14.182786634714301</v>
      </c>
      <c r="AB1500" s="4">
        <f t="shared" si="95"/>
        <v>14.287106990628834</v>
      </c>
    </row>
    <row r="1501" spans="2:28" x14ac:dyDescent="0.2">
      <c r="B1501" s="4" t="s">
        <v>870</v>
      </c>
      <c r="C1501" s="4">
        <v>14.466900000000001</v>
      </c>
      <c r="D1501" s="4">
        <v>13.811400000000001</v>
      </c>
      <c r="E1501" s="4">
        <v>14.885300000000001</v>
      </c>
      <c r="F1501" s="4">
        <f t="shared" si="92"/>
        <v>14.387866666666667</v>
      </c>
      <c r="I1501" s="4" t="s">
        <v>1166</v>
      </c>
      <c r="J1501" s="4">
        <v>14.3071</v>
      </c>
      <c r="K1501" s="4">
        <v>14.5822</v>
      </c>
      <c r="L1501" s="4">
        <v>14.3626</v>
      </c>
      <c r="M1501" s="4">
        <f t="shared" si="93"/>
        <v>14.417299999999999</v>
      </c>
      <c r="Q1501" s="43" t="s">
        <v>2708</v>
      </c>
      <c r="R1501" s="4">
        <v>14.136720808504</v>
      </c>
      <c r="S1501" s="4">
        <v>14.339371838270599</v>
      </c>
      <c r="T1501" s="4">
        <v>14.028523264111</v>
      </c>
      <c r="U1501" s="4">
        <f t="shared" si="94"/>
        <v>14.168205303628532</v>
      </c>
      <c r="X1501" s="43" t="s">
        <v>3002</v>
      </c>
      <c r="Y1501" s="4">
        <v>14.5448788515274</v>
      </c>
      <c r="Z1501" s="4">
        <v>14.316062406080601</v>
      </c>
      <c r="AA1501" s="4">
        <v>13.996475980268</v>
      </c>
      <c r="AB1501" s="4">
        <f t="shared" si="95"/>
        <v>14.285805745958667</v>
      </c>
    </row>
    <row r="1502" spans="2:28" x14ac:dyDescent="0.2">
      <c r="B1502" s="4" t="s">
        <v>3334</v>
      </c>
      <c r="C1502" s="4">
        <v>14.360799999999999</v>
      </c>
      <c r="D1502" s="4">
        <v>14.369</v>
      </c>
      <c r="E1502" s="4">
        <v>14.432399999999999</v>
      </c>
      <c r="F1502" s="4">
        <f t="shared" si="92"/>
        <v>14.3874</v>
      </c>
      <c r="I1502" s="4" t="s">
        <v>1647</v>
      </c>
      <c r="J1502" s="4">
        <v>14.258599999999999</v>
      </c>
      <c r="K1502" s="4">
        <v>14.188599999999999</v>
      </c>
      <c r="L1502" s="4">
        <v>14.792299999999999</v>
      </c>
      <c r="M1502" s="4">
        <f t="shared" si="93"/>
        <v>14.413166666666667</v>
      </c>
      <c r="Q1502" s="43" t="s">
        <v>601</v>
      </c>
      <c r="R1502" s="4">
        <v>14.144792176768201</v>
      </c>
      <c r="S1502" s="4">
        <v>14.107859533290201</v>
      </c>
      <c r="T1502" s="4">
        <v>14.245889747702</v>
      </c>
      <c r="U1502" s="4">
        <f t="shared" si="94"/>
        <v>14.166180485920135</v>
      </c>
      <c r="X1502" s="43" t="s">
        <v>2446</v>
      </c>
      <c r="Y1502" s="4">
        <v>14.1994087376133</v>
      </c>
      <c r="Z1502" s="4">
        <v>14.3985899278071</v>
      </c>
      <c r="AA1502" s="4">
        <v>14.259270328228499</v>
      </c>
      <c r="AB1502" s="4">
        <f t="shared" si="95"/>
        <v>14.2857563312163</v>
      </c>
    </row>
    <row r="1503" spans="2:28" x14ac:dyDescent="0.2">
      <c r="B1503" s="4" t="s">
        <v>2216</v>
      </c>
      <c r="C1503" s="4">
        <v>14.293799999999999</v>
      </c>
      <c r="D1503" s="4">
        <v>14.477499999999999</v>
      </c>
      <c r="E1503" s="4">
        <v>14.39</v>
      </c>
      <c r="F1503" s="4">
        <f t="shared" si="92"/>
        <v>14.387099999999998</v>
      </c>
      <c r="I1503" s="4" t="s">
        <v>1013</v>
      </c>
      <c r="J1503" s="4">
        <v>14.6805</v>
      </c>
      <c r="K1503" s="4">
        <v>13.7828</v>
      </c>
      <c r="L1503" s="4">
        <v>14.7751</v>
      </c>
      <c r="M1503" s="4">
        <f t="shared" si="93"/>
        <v>14.412799999999999</v>
      </c>
      <c r="Q1503" s="43" t="s">
        <v>228</v>
      </c>
      <c r="R1503" s="4">
        <v>14.161704035565601</v>
      </c>
      <c r="S1503" s="4">
        <v>13.9356455803388</v>
      </c>
      <c r="T1503" s="4">
        <v>14.4002363895756</v>
      </c>
      <c r="U1503" s="4">
        <f t="shared" si="94"/>
        <v>14.165862001826667</v>
      </c>
      <c r="X1503" s="43" t="s">
        <v>827</v>
      </c>
      <c r="Y1503" s="4">
        <v>14.3069213723305</v>
      </c>
      <c r="Z1503" s="4">
        <v>14.3046200890519</v>
      </c>
      <c r="AA1503" s="4">
        <v>14.2423815660997</v>
      </c>
      <c r="AB1503" s="4">
        <f t="shared" si="95"/>
        <v>14.284641009160701</v>
      </c>
    </row>
    <row r="1504" spans="2:28" x14ac:dyDescent="0.2">
      <c r="B1504" s="4" t="s">
        <v>3977</v>
      </c>
      <c r="C1504" s="4">
        <v>14.2967</v>
      </c>
      <c r="D1504" s="4">
        <v>14.371600000000001</v>
      </c>
      <c r="E1504" s="4">
        <v>14.4907</v>
      </c>
      <c r="F1504" s="4">
        <f t="shared" si="92"/>
        <v>14.386333333333335</v>
      </c>
      <c r="I1504" s="4" t="s">
        <v>2887</v>
      </c>
      <c r="J1504" s="4">
        <v>14.599299999999999</v>
      </c>
      <c r="K1504" s="4">
        <v>14.0557</v>
      </c>
      <c r="L1504" s="4">
        <v>14.5745</v>
      </c>
      <c r="M1504" s="4">
        <f t="shared" si="93"/>
        <v>14.409833333333333</v>
      </c>
      <c r="Q1504" s="43" t="s">
        <v>1670</v>
      </c>
      <c r="R1504" s="4">
        <v>13.8307247268131</v>
      </c>
      <c r="S1504" s="4">
        <v>14.1480845427541</v>
      </c>
      <c r="T1504" s="4">
        <v>14.5173472730858</v>
      </c>
      <c r="U1504" s="4">
        <f t="shared" si="94"/>
        <v>14.165385514217666</v>
      </c>
      <c r="X1504" s="43" t="s">
        <v>3661</v>
      </c>
      <c r="Y1504" s="4">
        <v>14.3958248744035</v>
      </c>
      <c r="Z1504" s="4">
        <v>14.2495088481629</v>
      </c>
      <c r="AA1504" s="4">
        <v>14.203389998109101</v>
      </c>
      <c r="AB1504" s="4">
        <f t="shared" si="95"/>
        <v>14.282907906891834</v>
      </c>
    </row>
    <row r="1505" spans="2:28" x14ac:dyDescent="0.2">
      <c r="B1505" s="4" t="s">
        <v>3276</v>
      </c>
      <c r="C1505" s="4">
        <v>14.246499999999999</v>
      </c>
      <c r="D1505" s="4">
        <v>14.4649</v>
      </c>
      <c r="E1505" s="4">
        <v>14.4436</v>
      </c>
      <c r="F1505" s="4">
        <f t="shared" si="92"/>
        <v>14.385</v>
      </c>
      <c r="I1505" s="4" t="s">
        <v>1369</v>
      </c>
      <c r="J1505" s="4">
        <v>14.1912</v>
      </c>
      <c r="K1505" s="4">
        <v>14.724500000000001</v>
      </c>
      <c r="L1505" s="4">
        <v>14.3131</v>
      </c>
      <c r="M1505" s="4">
        <f t="shared" si="93"/>
        <v>14.409599999999999</v>
      </c>
      <c r="Q1505" s="43" t="s">
        <v>2315</v>
      </c>
      <c r="R1505" s="4">
        <v>14.1272255869657</v>
      </c>
      <c r="S1505" s="4">
        <v>14.182858247578601</v>
      </c>
      <c r="T1505" s="4">
        <v>14.1828313649021</v>
      </c>
      <c r="U1505" s="4">
        <f t="shared" si="94"/>
        <v>14.164305066482134</v>
      </c>
      <c r="X1505" s="43" t="s">
        <v>3353</v>
      </c>
      <c r="Y1505" s="4">
        <v>14.2853047826459</v>
      </c>
      <c r="Z1505" s="4">
        <v>14.223307408502199</v>
      </c>
      <c r="AA1505" s="4">
        <v>14.339215864662201</v>
      </c>
      <c r="AB1505" s="4">
        <f t="shared" si="95"/>
        <v>14.282609351936765</v>
      </c>
    </row>
    <row r="1506" spans="2:28" x14ac:dyDescent="0.2">
      <c r="B1506" s="4" t="s">
        <v>463</v>
      </c>
      <c r="C1506" s="4">
        <v>14.429399999999999</v>
      </c>
      <c r="D1506" s="4">
        <v>14.3134</v>
      </c>
      <c r="E1506" s="4">
        <v>14.4061</v>
      </c>
      <c r="F1506" s="4">
        <f t="shared" si="92"/>
        <v>14.382966666666666</v>
      </c>
      <c r="I1506" s="4" t="s">
        <v>136</v>
      </c>
      <c r="J1506" s="4">
        <v>14.574299999999999</v>
      </c>
      <c r="K1506" s="4">
        <v>14.3332</v>
      </c>
      <c r="L1506" s="4">
        <v>14.319100000000001</v>
      </c>
      <c r="M1506" s="4">
        <f t="shared" si="93"/>
        <v>14.408866666666666</v>
      </c>
      <c r="Q1506" s="43" t="s">
        <v>4009</v>
      </c>
      <c r="R1506" s="4">
        <v>14.114463181533599</v>
      </c>
      <c r="S1506" s="4">
        <v>14.161187347250699</v>
      </c>
      <c r="T1506" s="4">
        <v>14.2135246588009</v>
      </c>
      <c r="U1506" s="4">
        <f t="shared" si="94"/>
        <v>14.163058395861732</v>
      </c>
      <c r="X1506" s="43" t="s">
        <v>788</v>
      </c>
      <c r="Y1506" s="4">
        <v>14.2382231889846</v>
      </c>
      <c r="Z1506" s="4">
        <v>14.3836519712941</v>
      </c>
      <c r="AA1506" s="4">
        <v>14.2117675056822</v>
      </c>
      <c r="AB1506" s="4">
        <f t="shared" si="95"/>
        <v>14.277880888653632</v>
      </c>
    </row>
    <row r="1507" spans="2:28" x14ac:dyDescent="0.2">
      <c r="B1507" s="4" t="s">
        <v>2957</v>
      </c>
      <c r="C1507" s="4">
        <v>14.464600000000001</v>
      </c>
      <c r="D1507" s="4">
        <v>14.3553</v>
      </c>
      <c r="E1507" s="4">
        <v>14.3277</v>
      </c>
      <c r="F1507" s="4">
        <f t="shared" si="92"/>
        <v>14.382533333333333</v>
      </c>
      <c r="I1507" s="4" t="s">
        <v>2008</v>
      </c>
      <c r="J1507" s="4">
        <v>14.463100000000001</v>
      </c>
      <c r="K1507" s="4">
        <v>14.301299999999999</v>
      </c>
      <c r="L1507" s="4">
        <v>14.4528</v>
      </c>
      <c r="M1507" s="4">
        <f t="shared" si="93"/>
        <v>14.405733333333336</v>
      </c>
      <c r="Q1507" s="43" t="s">
        <v>1570</v>
      </c>
      <c r="R1507" s="4">
        <v>13.9456954761962</v>
      </c>
      <c r="S1507" s="4">
        <v>14.357392873981</v>
      </c>
      <c r="T1507" s="4">
        <v>14.1832943294499</v>
      </c>
      <c r="U1507" s="4">
        <f t="shared" si="94"/>
        <v>14.162127559875699</v>
      </c>
      <c r="X1507" s="43" t="s">
        <v>2549</v>
      </c>
      <c r="Y1507" s="4">
        <v>14.162901276316999</v>
      </c>
      <c r="Z1507" s="4">
        <v>14.302693799985301</v>
      </c>
      <c r="AA1507" s="4">
        <v>14.365298089462801</v>
      </c>
      <c r="AB1507" s="4">
        <f t="shared" si="95"/>
        <v>14.276964388588368</v>
      </c>
    </row>
    <row r="1508" spans="2:28" x14ac:dyDescent="0.2">
      <c r="B1508" s="4" t="s">
        <v>3261</v>
      </c>
      <c r="C1508" s="4">
        <v>14.407299999999999</v>
      </c>
      <c r="D1508" s="4">
        <v>14.145899999999999</v>
      </c>
      <c r="E1508" s="4">
        <v>14.5937</v>
      </c>
      <c r="F1508" s="4">
        <f t="shared" si="92"/>
        <v>14.382299999999999</v>
      </c>
      <c r="I1508" s="4" t="s">
        <v>3627</v>
      </c>
      <c r="J1508" s="4">
        <v>14.166</v>
      </c>
      <c r="K1508" s="4">
        <v>14.4892</v>
      </c>
      <c r="L1508" s="4">
        <v>14.557600000000001</v>
      </c>
      <c r="M1508" s="4">
        <f t="shared" si="93"/>
        <v>14.404266666666667</v>
      </c>
      <c r="Q1508" s="43" t="s">
        <v>3935</v>
      </c>
      <c r="R1508" s="4">
        <v>14.1892290172541</v>
      </c>
      <c r="S1508" s="4">
        <v>14.175551159656401</v>
      </c>
      <c r="T1508" s="4">
        <v>14.120589609151301</v>
      </c>
      <c r="U1508" s="4">
        <f t="shared" si="94"/>
        <v>14.161789928687268</v>
      </c>
      <c r="X1508" s="43" t="s">
        <v>218</v>
      </c>
      <c r="Y1508" s="4">
        <v>14.1551815475437</v>
      </c>
      <c r="Z1508" s="4">
        <v>14.350800362540999</v>
      </c>
      <c r="AA1508" s="4">
        <v>14.3200029033082</v>
      </c>
      <c r="AB1508" s="4">
        <f t="shared" si="95"/>
        <v>14.275328271130967</v>
      </c>
    </row>
    <row r="1509" spans="2:28" x14ac:dyDescent="0.2">
      <c r="B1509" s="4" t="s">
        <v>3120</v>
      </c>
      <c r="C1509" s="4">
        <v>14.061400000000001</v>
      </c>
      <c r="D1509" s="4">
        <v>13.993600000000001</v>
      </c>
      <c r="E1509" s="4">
        <v>15.091799999999999</v>
      </c>
      <c r="F1509" s="4">
        <f t="shared" si="92"/>
        <v>14.382266666666666</v>
      </c>
      <c r="I1509" s="4" t="s">
        <v>3804</v>
      </c>
      <c r="J1509" s="4">
        <v>13.972099999999999</v>
      </c>
      <c r="K1509" s="4">
        <v>15.425700000000001</v>
      </c>
      <c r="L1509" s="4">
        <v>13.8125</v>
      </c>
      <c r="M1509" s="4">
        <f t="shared" si="93"/>
        <v>14.403433333333334</v>
      </c>
      <c r="Q1509" s="43" t="s">
        <v>2679</v>
      </c>
      <c r="R1509" s="4">
        <v>14.0438194839396</v>
      </c>
      <c r="S1509" s="4">
        <v>14.1533914852312</v>
      </c>
      <c r="T1509" s="4">
        <v>14.280954090380201</v>
      </c>
      <c r="U1509" s="4">
        <f t="shared" si="94"/>
        <v>14.159388353183667</v>
      </c>
      <c r="X1509" s="43" t="s">
        <v>700</v>
      </c>
      <c r="Y1509" s="4">
        <v>14.2976254010955</v>
      </c>
      <c r="Z1509" s="4">
        <v>14.3080141123961</v>
      </c>
      <c r="AA1509" s="4">
        <v>14.218960643697001</v>
      </c>
      <c r="AB1509" s="4">
        <f t="shared" si="95"/>
        <v>14.274866719062866</v>
      </c>
    </row>
    <row r="1510" spans="2:28" x14ac:dyDescent="0.2">
      <c r="B1510" s="4" t="s">
        <v>2848</v>
      </c>
      <c r="C1510" s="4">
        <v>14.4259</v>
      </c>
      <c r="D1510" s="4">
        <v>14.419499999999999</v>
      </c>
      <c r="E1510" s="4">
        <v>14.3005</v>
      </c>
      <c r="F1510" s="4">
        <f t="shared" si="92"/>
        <v>14.381966666666665</v>
      </c>
      <c r="I1510" s="4" t="s">
        <v>243</v>
      </c>
      <c r="J1510" s="4">
        <v>14.7547</v>
      </c>
      <c r="K1510" s="4">
        <v>13.694100000000001</v>
      </c>
      <c r="L1510" s="4">
        <v>14.761200000000001</v>
      </c>
      <c r="M1510" s="4">
        <f t="shared" si="93"/>
        <v>14.403333333333334</v>
      </c>
      <c r="Q1510" s="43" t="s">
        <v>1549</v>
      </c>
      <c r="R1510" s="4">
        <v>14.532662653447099</v>
      </c>
      <c r="S1510" s="4">
        <v>14.235531897918801</v>
      </c>
      <c r="T1510" s="4">
        <v>13.7026457498261</v>
      </c>
      <c r="U1510" s="4">
        <f t="shared" si="94"/>
        <v>14.156946767063999</v>
      </c>
      <c r="X1510" s="43" t="s">
        <v>1353</v>
      </c>
      <c r="Y1510" s="4">
        <v>14.306568625269</v>
      </c>
      <c r="Z1510" s="4">
        <v>14.284258217343099</v>
      </c>
      <c r="AA1510" s="4">
        <v>14.2325710597948</v>
      </c>
      <c r="AB1510" s="4">
        <f t="shared" si="95"/>
        <v>14.274465967468965</v>
      </c>
    </row>
    <row r="1511" spans="2:28" x14ac:dyDescent="0.2">
      <c r="B1511" s="4" t="s">
        <v>1007</v>
      </c>
      <c r="C1511" s="4">
        <v>13.0656</v>
      </c>
      <c r="D1511" s="4">
        <v>14.653499999999999</v>
      </c>
      <c r="E1511" s="4">
        <v>15.419499999999999</v>
      </c>
      <c r="F1511" s="4">
        <f t="shared" si="92"/>
        <v>14.379533333333333</v>
      </c>
      <c r="I1511" s="4" t="s">
        <v>216</v>
      </c>
      <c r="J1511" s="4">
        <v>14.537100000000001</v>
      </c>
      <c r="K1511" s="4">
        <v>14.200799999999999</v>
      </c>
      <c r="L1511" s="4">
        <v>14.469200000000001</v>
      </c>
      <c r="M1511" s="4">
        <f t="shared" si="93"/>
        <v>14.402366666666666</v>
      </c>
      <c r="Q1511" s="43" t="s">
        <v>1716</v>
      </c>
      <c r="R1511" s="4">
        <v>14.1804828235703</v>
      </c>
      <c r="S1511" s="4">
        <v>14.141195127084099</v>
      </c>
      <c r="T1511" s="4">
        <v>14.145189135309799</v>
      </c>
      <c r="U1511" s="4">
        <f t="shared" si="94"/>
        <v>14.155622361988065</v>
      </c>
      <c r="X1511" s="43" t="s">
        <v>679</v>
      </c>
      <c r="Y1511" s="4">
        <v>14.293021221179201</v>
      </c>
      <c r="Z1511" s="4">
        <v>14.186817133181799</v>
      </c>
      <c r="AA1511" s="4">
        <v>14.3434533976857</v>
      </c>
      <c r="AB1511" s="4">
        <f t="shared" si="95"/>
        <v>14.274430584015567</v>
      </c>
    </row>
    <row r="1512" spans="2:28" x14ac:dyDescent="0.2">
      <c r="B1512" s="4" t="s">
        <v>3687</v>
      </c>
      <c r="C1512" s="4">
        <v>14.2332</v>
      </c>
      <c r="D1512" s="4">
        <v>13.911199999999999</v>
      </c>
      <c r="E1512" s="4">
        <v>14.994</v>
      </c>
      <c r="F1512" s="4">
        <f t="shared" si="92"/>
        <v>14.379466666666666</v>
      </c>
      <c r="I1512" s="4" t="s">
        <v>2932</v>
      </c>
      <c r="J1512" s="4">
        <v>14.817500000000001</v>
      </c>
      <c r="K1512" s="4">
        <v>13.597799999999999</v>
      </c>
      <c r="L1512" s="4">
        <v>14.7912</v>
      </c>
      <c r="M1512" s="4">
        <f t="shared" si="93"/>
        <v>14.402166666666668</v>
      </c>
      <c r="Q1512" s="43" t="s">
        <v>2541</v>
      </c>
      <c r="R1512" s="4">
        <v>13.9574307617856</v>
      </c>
      <c r="S1512" s="4">
        <v>14.202899279882001</v>
      </c>
      <c r="T1512" s="4">
        <v>14.2976318412654</v>
      </c>
      <c r="U1512" s="4">
        <f t="shared" si="94"/>
        <v>14.152653960977666</v>
      </c>
      <c r="X1512" s="43" t="s">
        <v>2604</v>
      </c>
      <c r="Y1512" s="4">
        <v>14.436571123831801</v>
      </c>
      <c r="Z1512" s="4">
        <v>14.3052692948574</v>
      </c>
      <c r="AA1512" s="4">
        <v>14.073147673527799</v>
      </c>
      <c r="AB1512" s="4">
        <f t="shared" si="95"/>
        <v>14.271662697405667</v>
      </c>
    </row>
    <row r="1513" spans="2:28" x14ac:dyDescent="0.2">
      <c r="B1513" s="4" t="s">
        <v>35</v>
      </c>
      <c r="C1513" s="4">
        <v>14.226599999999999</v>
      </c>
      <c r="D1513" s="4">
        <v>14.353999999999999</v>
      </c>
      <c r="E1513" s="4">
        <v>14.5572</v>
      </c>
      <c r="F1513" s="4">
        <f t="shared" si="92"/>
        <v>14.379266666666666</v>
      </c>
      <c r="I1513" s="4" t="s">
        <v>242</v>
      </c>
      <c r="J1513" s="4">
        <v>14.555</v>
      </c>
      <c r="K1513" s="4">
        <v>14.259399999999999</v>
      </c>
      <c r="L1513" s="4">
        <v>14.3832</v>
      </c>
      <c r="M1513" s="4">
        <f t="shared" si="93"/>
        <v>14.3992</v>
      </c>
      <c r="Q1513" s="43" t="s">
        <v>277</v>
      </c>
      <c r="R1513" s="4">
        <v>13.954839275802399</v>
      </c>
      <c r="S1513" s="4">
        <v>14.2990372634926</v>
      </c>
      <c r="T1513" s="4">
        <v>14.202242609789399</v>
      </c>
      <c r="U1513" s="4">
        <f t="shared" si="94"/>
        <v>14.152039716361466</v>
      </c>
      <c r="X1513" s="43" t="s">
        <v>4041</v>
      </c>
      <c r="Y1513" s="4">
        <v>14.1789759824866</v>
      </c>
      <c r="Z1513" s="4">
        <v>14.4502339478225</v>
      </c>
      <c r="AA1513" s="4">
        <v>14.184183625848201</v>
      </c>
      <c r="AB1513" s="4">
        <f t="shared" si="95"/>
        <v>14.271131185385768</v>
      </c>
    </row>
    <row r="1514" spans="2:28" x14ac:dyDescent="0.2">
      <c r="B1514" s="4" t="s">
        <v>3409</v>
      </c>
      <c r="C1514" s="4">
        <v>14.6569</v>
      </c>
      <c r="D1514" s="4">
        <v>14.382300000000001</v>
      </c>
      <c r="E1514" s="4">
        <v>14.095599999999999</v>
      </c>
      <c r="F1514" s="4">
        <f t="shared" si="92"/>
        <v>14.378266666666667</v>
      </c>
      <c r="I1514" s="4" t="s">
        <v>3989</v>
      </c>
      <c r="J1514" s="4">
        <v>14.2712</v>
      </c>
      <c r="K1514" s="4">
        <v>14.703900000000001</v>
      </c>
      <c r="L1514" s="4">
        <v>14.218500000000001</v>
      </c>
      <c r="M1514" s="4">
        <f t="shared" si="93"/>
        <v>14.397866666666667</v>
      </c>
      <c r="Q1514" s="43" t="s">
        <v>733</v>
      </c>
      <c r="R1514" s="4">
        <v>14.137550629349301</v>
      </c>
      <c r="S1514" s="4">
        <v>14.1883045331929</v>
      </c>
      <c r="T1514" s="4">
        <v>14.1238073963959</v>
      </c>
      <c r="U1514" s="4">
        <f t="shared" si="94"/>
        <v>14.149887519646034</v>
      </c>
      <c r="X1514" s="43" t="s">
        <v>1438</v>
      </c>
      <c r="Y1514" s="4">
        <v>14.199216578762</v>
      </c>
      <c r="Z1514" s="4">
        <v>14.2547977064322</v>
      </c>
      <c r="AA1514" s="4">
        <v>14.3452319184105</v>
      </c>
      <c r="AB1514" s="4">
        <f t="shared" si="95"/>
        <v>14.266415401201565</v>
      </c>
    </row>
    <row r="1515" spans="2:28" x14ac:dyDescent="0.2">
      <c r="B1515" s="4" t="s">
        <v>3660</v>
      </c>
      <c r="C1515" s="4">
        <v>14.655900000000001</v>
      </c>
      <c r="D1515" s="4">
        <v>14.1713</v>
      </c>
      <c r="E1515" s="4">
        <v>14.2986</v>
      </c>
      <c r="F1515" s="4">
        <f t="shared" si="92"/>
        <v>14.375266666666667</v>
      </c>
      <c r="I1515" s="4" t="s">
        <v>848</v>
      </c>
      <c r="J1515" s="4">
        <v>14.189299999999999</v>
      </c>
      <c r="K1515" s="4">
        <v>14.6371</v>
      </c>
      <c r="L1515" s="4">
        <v>14.3668</v>
      </c>
      <c r="M1515" s="4">
        <f t="shared" si="93"/>
        <v>14.397733333333333</v>
      </c>
      <c r="Q1515" s="43" t="s">
        <v>4133</v>
      </c>
      <c r="R1515" s="4">
        <v>14.390416544167801</v>
      </c>
      <c r="S1515" s="4">
        <v>13.8602233211586</v>
      </c>
      <c r="T1515" s="4">
        <v>14.190010569053101</v>
      </c>
      <c r="U1515" s="4">
        <f t="shared" si="94"/>
        <v>14.146883478126499</v>
      </c>
      <c r="X1515" s="43" t="s">
        <v>1562</v>
      </c>
      <c r="Y1515" s="4">
        <v>14.1730184257981</v>
      </c>
      <c r="Z1515" s="4">
        <v>14.330427533286899</v>
      </c>
      <c r="AA1515" s="4">
        <v>14.2934216721195</v>
      </c>
      <c r="AB1515" s="4">
        <f t="shared" si="95"/>
        <v>14.265622543734834</v>
      </c>
    </row>
    <row r="1516" spans="2:28" x14ac:dyDescent="0.2">
      <c r="B1516" s="4" t="s">
        <v>2351</v>
      </c>
      <c r="C1516" s="4">
        <v>14.4924</v>
      </c>
      <c r="D1516" s="4">
        <v>14.282999999999999</v>
      </c>
      <c r="E1516" s="4">
        <v>14.3466</v>
      </c>
      <c r="F1516" s="4">
        <f t="shared" si="92"/>
        <v>14.374000000000001</v>
      </c>
      <c r="I1516" s="4" t="s">
        <v>2659</v>
      </c>
      <c r="J1516" s="4">
        <v>14.653499999999999</v>
      </c>
      <c r="K1516" s="4">
        <v>13.9777</v>
      </c>
      <c r="L1516" s="4">
        <v>14.552899999999999</v>
      </c>
      <c r="M1516" s="4">
        <f t="shared" si="93"/>
        <v>14.3947</v>
      </c>
      <c r="Q1516" s="43" t="s">
        <v>3219</v>
      </c>
      <c r="R1516" s="4">
        <v>14.283531868911799</v>
      </c>
      <c r="S1516" s="4">
        <v>14.1454080566188</v>
      </c>
      <c r="T1516" s="4">
        <v>13.995836560150099</v>
      </c>
      <c r="U1516" s="4">
        <f t="shared" si="94"/>
        <v>14.141592161893564</v>
      </c>
      <c r="X1516" s="43" t="s">
        <v>1472</v>
      </c>
      <c r="Y1516" s="4">
        <v>14.3810608596068</v>
      </c>
      <c r="Z1516" s="4">
        <v>14.2070272051853</v>
      </c>
      <c r="AA1516" s="4">
        <v>14.2078471586031</v>
      </c>
      <c r="AB1516" s="4">
        <f t="shared" si="95"/>
        <v>14.265311741131733</v>
      </c>
    </row>
    <row r="1517" spans="2:28" x14ac:dyDescent="0.2">
      <c r="B1517" s="4" t="s">
        <v>2995</v>
      </c>
      <c r="C1517" s="4">
        <v>14.067399999999999</v>
      </c>
      <c r="D1517" s="4">
        <v>14.4773</v>
      </c>
      <c r="E1517" s="4">
        <v>14.5769</v>
      </c>
      <c r="F1517" s="4">
        <f t="shared" si="92"/>
        <v>14.373866666666666</v>
      </c>
      <c r="I1517" s="4" t="s">
        <v>167</v>
      </c>
      <c r="J1517" s="4">
        <v>14.3325</v>
      </c>
      <c r="K1517" s="4">
        <v>14.9328</v>
      </c>
      <c r="L1517" s="4">
        <v>13.9095</v>
      </c>
      <c r="M1517" s="4">
        <f t="shared" si="93"/>
        <v>14.391599999999999</v>
      </c>
      <c r="Q1517" s="43" t="s">
        <v>3821</v>
      </c>
      <c r="R1517" s="4">
        <v>14.252508353209601</v>
      </c>
      <c r="S1517" s="4">
        <v>14.2297778746603</v>
      </c>
      <c r="T1517" s="4">
        <v>13.9396679289329</v>
      </c>
      <c r="U1517" s="4">
        <f t="shared" si="94"/>
        <v>14.140651385600933</v>
      </c>
      <c r="X1517" s="43" t="s">
        <v>2602</v>
      </c>
      <c r="Y1517" s="4">
        <v>14.247680689461401</v>
      </c>
      <c r="Z1517" s="4">
        <v>14.2274894998744</v>
      </c>
      <c r="AA1517" s="4">
        <v>14.3193490016409</v>
      </c>
      <c r="AB1517" s="4">
        <f t="shared" si="95"/>
        <v>14.264839730325567</v>
      </c>
    </row>
    <row r="1518" spans="2:28" x14ac:dyDescent="0.2">
      <c r="B1518" s="4" t="s">
        <v>3184</v>
      </c>
      <c r="C1518" s="4">
        <v>13.3012</v>
      </c>
      <c r="D1518" s="4">
        <v>14.999700000000001</v>
      </c>
      <c r="E1518" s="4">
        <v>14.817600000000001</v>
      </c>
      <c r="F1518" s="4">
        <f t="shared" si="92"/>
        <v>14.372833333333332</v>
      </c>
      <c r="I1518" s="4" t="s">
        <v>1438</v>
      </c>
      <c r="J1518" s="4">
        <v>13.726599999999999</v>
      </c>
      <c r="K1518" s="4">
        <v>15.5235</v>
      </c>
      <c r="L1518" s="4">
        <v>13.9206</v>
      </c>
      <c r="M1518" s="4">
        <f t="shared" si="93"/>
        <v>14.390233333333333</v>
      </c>
      <c r="Q1518" s="43" t="s">
        <v>564</v>
      </c>
      <c r="R1518" s="4">
        <v>13.821892472932401</v>
      </c>
      <c r="S1518" s="4">
        <v>14.3468793690081</v>
      </c>
      <c r="T1518" s="4">
        <v>14.2483129428305</v>
      </c>
      <c r="U1518" s="4">
        <f t="shared" si="94"/>
        <v>14.139028261590333</v>
      </c>
      <c r="X1518" s="43" t="s">
        <v>870</v>
      </c>
      <c r="Y1518" s="4">
        <v>14.4650474198649</v>
      </c>
      <c r="Z1518" s="4">
        <v>14.2370383489432</v>
      </c>
      <c r="AA1518" s="4">
        <v>14.0922396123071</v>
      </c>
      <c r="AB1518" s="4">
        <f t="shared" si="95"/>
        <v>14.2647751270384</v>
      </c>
    </row>
    <row r="1519" spans="2:28" x14ac:dyDescent="0.2">
      <c r="B1519" s="4" t="s">
        <v>3525</v>
      </c>
      <c r="C1519" s="4">
        <v>14.4694</v>
      </c>
      <c r="D1519" s="4">
        <v>14.264099999999999</v>
      </c>
      <c r="E1519" s="4">
        <v>14.3835</v>
      </c>
      <c r="F1519" s="4">
        <f t="shared" si="92"/>
        <v>14.372333333333332</v>
      </c>
      <c r="I1519" s="4" t="s">
        <v>3998</v>
      </c>
      <c r="J1519" s="4">
        <v>13.8245</v>
      </c>
      <c r="K1519" s="4">
        <v>14.6364</v>
      </c>
      <c r="L1519" s="4">
        <v>14.700200000000001</v>
      </c>
      <c r="M1519" s="4">
        <f t="shared" si="93"/>
        <v>14.387033333333335</v>
      </c>
      <c r="Q1519" s="43" t="s">
        <v>2029</v>
      </c>
      <c r="R1519" s="4">
        <v>14.037172946195801</v>
      </c>
      <c r="S1519" s="4">
        <v>14.048383324722799</v>
      </c>
      <c r="T1519" s="4">
        <v>14.330806341392</v>
      </c>
      <c r="U1519" s="4">
        <f t="shared" si="94"/>
        <v>14.138787537436867</v>
      </c>
      <c r="X1519" s="43" t="s">
        <v>3015</v>
      </c>
      <c r="Y1519" s="4">
        <v>14.5688128039462</v>
      </c>
      <c r="Z1519" s="4">
        <v>13.873083822598799</v>
      </c>
      <c r="AA1519" s="4">
        <v>14.352425897241099</v>
      </c>
      <c r="AB1519" s="4">
        <f t="shared" si="95"/>
        <v>14.264774174595367</v>
      </c>
    </row>
    <row r="1520" spans="2:28" x14ac:dyDescent="0.2">
      <c r="B1520" s="4" t="s">
        <v>226</v>
      </c>
      <c r="C1520" s="4">
        <v>14.261799999999999</v>
      </c>
      <c r="D1520" s="4">
        <v>14.4236</v>
      </c>
      <c r="E1520" s="4">
        <v>14.4315</v>
      </c>
      <c r="F1520" s="4">
        <f t="shared" si="92"/>
        <v>14.372300000000001</v>
      </c>
      <c r="I1520" s="4" t="s">
        <v>2149</v>
      </c>
      <c r="J1520" s="4">
        <v>14.404</v>
      </c>
      <c r="K1520" s="4">
        <v>14.3188</v>
      </c>
      <c r="L1520" s="4">
        <v>14.425800000000001</v>
      </c>
      <c r="M1520" s="4">
        <f t="shared" si="93"/>
        <v>14.382866666666667</v>
      </c>
      <c r="Q1520" s="43" t="s">
        <v>1630</v>
      </c>
      <c r="R1520" s="4">
        <v>14.2371147971383</v>
      </c>
      <c r="S1520" s="4">
        <v>13.963942376279601</v>
      </c>
      <c r="T1520" s="4">
        <v>14.213573690980899</v>
      </c>
      <c r="U1520" s="4">
        <f t="shared" si="94"/>
        <v>14.138210288132933</v>
      </c>
      <c r="X1520" s="43" t="s">
        <v>715</v>
      </c>
      <c r="Y1520" s="4">
        <v>14.3457450807187</v>
      </c>
      <c r="Z1520" s="4">
        <v>14.1992994582686</v>
      </c>
      <c r="AA1520" s="4">
        <v>14.2442217588858</v>
      </c>
      <c r="AB1520" s="4">
        <f t="shared" si="95"/>
        <v>14.263088765957699</v>
      </c>
    </row>
    <row r="1521" spans="2:28" x14ac:dyDescent="0.2">
      <c r="B1521" s="4" t="s">
        <v>1333</v>
      </c>
      <c r="C1521" s="4">
        <v>14.7706</v>
      </c>
      <c r="D1521" s="4">
        <v>14.1999</v>
      </c>
      <c r="E1521" s="4">
        <v>14.145200000000001</v>
      </c>
      <c r="F1521" s="4">
        <f t="shared" si="92"/>
        <v>14.371900000000002</v>
      </c>
      <c r="I1521" s="4" t="s">
        <v>925</v>
      </c>
      <c r="J1521" s="4">
        <v>14.798400000000001</v>
      </c>
      <c r="K1521" s="4">
        <v>13.5322</v>
      </c>
      <c r="L1521" s="4">
        <v>14.814399999999999</v>
      </c>
      <c r="M1521" s="4">
        <f t="shared" si="93"/>
        <v>14.381666666666666</v>
      </c>
      <c r="Q1521" s="43" t="s">
        <v>1343</v>
      </c>
      <c r="R1521" s="4">
        <v>14.162105745371001</v>
      </c>
      <c r="S1521" s="4">
        <v>14.113262088719299</v>
      </c>
      <c r="T1521" s="4">
        <v>14.1364602931568</v>
      </c>
      <c r="U1521" s="4">
        <f t="shared" si="94"/>
        <v>14.137276042415699</v>
      </c>
      <c r="X1521" s="43" t="s">
        <v>2818</v>
      </c>
      <c r="Y1521" s="4">
        <v>14.3337285708247</v>
      </c>
      <c r="Z1521" s="4">
        <v>14.323688605469</v>
      </c>
      <c r="AA1521" s="4">
        <v>14.130316325421299</v>
      </c>
      <c r="AB1521" s="4">
        <f t="shared" si="95"/>
        <v>14.262577833904999</v>
      </c>
    </row>
    <row r="1522" spans="2:28" x14ac:dyDescent="0.2">
      <c r="B1522" s="4" t="s">
        <v>936</v>
      </c>
      <c r="C1522" s="4">
        <v>13.8012</v>
      </c>
      <c r="D1522" s="4">
        <v>14.8088</v>
      </c>
      <c r="E1522" s="4">
        <v>14.501099999999999</v>
      </c>
      <c r="F1522" s="4">
        <f t="shared" si="92"/>
        <v>14.370366666666667</v>
      </c>
      <c r="I1522" s="4" t="s">
        <v>3020</v>
      </c>
      <c r="J1522" s="4">
        <v>14.571999999999999</v>
      </c>
      <c r="K1522" s="4">
        <v>13.966900000000001</v>
      </c>
      <c r="L1522" s="4">
        <v>14.5916</v>
      </c>
      <c r="M1522" s="4">
        <f t="shared" si="93"/>
        <v>14.376833333333332</v>
      </c>
      <c r="Q1522" s="43" t="s">
        <v>4580</v>
      </c>
      <c r="R1522" s="4">
        <v>14.358330915746601</v>
      </c>
      <c r="S1522" s="4">
        <v>14.1186099583007</v>
      </c>
      <c r="T1522" s="4">
        <v>13.923396169585599</v>
      </c>
      <c r="U1522" s="4">
        <f t="shared" si="94"/>
        <v>14.133445681210967</v>
      </c>
      <c r="X1522" s="43" t="s">
        <v>475</v>
      </c>
      <c r="Y1522" s="4">
        <v>14.329665406593</v>
      </c>
      <c r="Z1522" s="4">
        <v>14.412830380509501</v>
      </c>
      <c r="AA1522" s="4">
        <v>14.037503426085699</v>
      </c>
      <c r="AB1522" s="4">
        <f t="shared" si="95"/>
        <v>14.2599997377294</v>
      </c>
    </row>
    <row r="1523" spans="2:28" x14ac:dyDescent="0.2">
      <c r="B1523" s="4" t="s">
        <v>2370</v>
      </c>
      <c r="C1523" s="4">
        <v>14.517099999999999</v>
      </c>
      <c r="D1523" s="4">
        <v>14.473000000000001</v>
      </c>
      <c r="E1523" s="4">
        <v>14.1159</v>
      </c>
      <c r="F1523" s="4">
        <f t="shared" si="92"/>
        <v>14.368666666666664</v>
      </c>
      <c r="I1523" s="4" t="s">
        <v>1766</v>
      </c>
      <c r="J1523" s="4">
        <v>14.545500000000001</v>
      </c>
      <c r="K1523" s="4">
        <v>14.092599999999999</v>
      </c>
      <c r="L1523" s="4">
        <v>14.4902</v>
      </c>
      <c r="M1523" s="4">
        <f t="shared" si="93"/>
        <v>14.376100000000001</v>
      </c>
      <c r="Q1523" s="43" t="s">
        <v>3256</v>
      </c>
      <c r="R1523" s="4">
        <v>14.165764995523</v>
      </c>
      <c r="S1523" s="4">
        <v>14.1165275672641</v>
      </c>
      <c r="T1523" s="4">
        <v>14.103197150901</v>
      </c>
      <c r="U1523" s="4">
        <f t="shared" si="94"/>
        <v>14.128496571229368</v>
      </c>
      <c r="X1523" s="43" t="s">
        <v>4299</v>
      </c>
      <c r="Y1523" s="4">
        <v>13.743996199462799</v>
      </c>
      <c r="Z1523" s="4">
        <v>14.576197501022</v>
      </c>
      <c r="AA1523" s="4">
        <v>14.4597791155102</v>
      </c>
      <c r="AB1523" s="4">
        <f t="shared" si="95"/>
        <v>14.259990938665</v>
      </c>
    </row>
    <row r="1524" spans="2:28" x14ac:dyDescent="0.2">
      <c r="B1524" s="4" t="s">
        <v>577</v>
      </c>
      <c r="C1524" s="4">
        <v>14.3704</v>
      </c>
      <c r="D1524" s="4">
        <v>14.375</v>
      </c>
      <c r="E1524" s="4">
        <v>14.358000000000001</v>
      </c>
      <c r="F1524" s="4">
        <f t="shared" si="92"/>
        <v>14.367800000000001</v>
      </c>
      <c r="I1524" s="4" t="s">
        <v>2799</v>
      </c>
      <c r="J1524" s="4">
        <v>15.0036</v>
      </c>
      <c r="K1524" s="4">
        <v>13.1875</v>
      </c>
      <c r="L1524" s="4">
        <v>14.937099999999999</v>
      </c>
      <c r="M1524" s="4">
        <f t="shared" si="93"/>
        <v>14.376066666666667</v>
      </c>
      <c r="Q1524" s="43" t="s">
        <v>3835</v>
      </c>
      <c r="R1524" s="4">
        <v>14.0016089094121</v>
      </c>
      <c r="S1524" s="4">
        <v>14.1734941500108</v>
      </c>
      <c r="T1524" s="4">
        <v>14.1992775427141</v>
      </c>
      <c r="U1524" s="4">
        <f t="shared" si="94"/>
        <v>14.124793534045667</v>
      </c>
      <c r="X1524" s="43" t="s">
        <v>805</v>
      </c>
      <c r="Y1524" s="4">
        <v>14.121500861359699</v>
      </c>
      <c r="Z1524" s="4">
        <v>14.030423733694001</v>
      </c>
      <c r="AA1524" s="4">
        <v>14.6280064936808</v>
      </c>
      <c r="AB1524" s="4">
        <f t="shared" si="95"/>
        <v>14.259977029578167</v>
      </c>
    </row>
    <row r="1525" spans="2:28" x14ac:dyDescent="0.2">
      <c r="B1525" s="4" t="s">
        <v>3991</v>
      </c>
      <c r="C1525" s="4">
        <v>14.219200000000001</v>
      </c>
      <c r="D1525" s="4">
        <v>14.417400000000001</v>
      </c>
      <c r="E1525" s="4">
        <v>14.461600000000001</v>
      </c>
      <c r="F1525" s="4">
        <f t="shared" si="92"/>
        <v>14.366066666666669</v>
      </c>
      <c r="I1525" s="4" t="s">
        <v>1837</v>
      </c>
      <c r="J1525" s="4">
        <v>14.206899999999999</v>
      </c>
      <c r="K1525" s="4">
        <v>14.4003</v>
      </c>
      <c r="L1525" s="4">
        <v>14.5206</v>
      </c>
      <c r="M1525" s="4">
        <f t="shared" si="93"/>
        <v>14.375933333333334</v>
      </c>
      <c r="Q1525" s="43" t="s">
        <v>793</v>
      </c>
      <c r="R1525" s="4">
        <v>13.9924692563172</v>
      </c>
      <c r="S1525" s="4">
        <v>14.1558090524117</v>
      </c>
      <c r="T1525" s="4">
        <v>14.223650735312299</v>
      </c>
      <c r="U1525" s="4">
        <f t="shared" si="94"/>
        <v>14.123976348013732</v>
      </c>
      <c r="X1525" s="43" t="s">
        <v>3870</v>
      </c>
      <c r="Y1525" s="4">
        <v>14.378433384135</v>
      </c>
      <c r="Z1525" s="4">
        <v>14.247375532024201</v>
      </c>
      <c r="AA1525" s="4">
        <v>14.147912929111101</v>
      </c>
      <c r="AB1525" s="4">
        <f t="shared" si="95"/>
        <v>14.257907281756767</v>
      </c>
    </row>
    <row r="1526" spans="2:28" x14ac:dyDescent="0.2">
      <c r="B1526" s="4" t="s">
        <v>2929</v>
      </c>
      <c r="C1526" s="4">
        <v>14.236000000000001</v>
      </c>
      <c r="D1526" s="4">
        <v>14.124700000000001</v>
      </c>
      <c r="E1526" s="4">
        <v>14.734</v>
      </c>
      <c r="F1526" s="4">
        <f t="shared" si="92"/>
        <v>14.3649</v>
      </c>
      <c r="I1526" s="4" t="s">
        <v>3685</v>
      </c>
      <c r="J1526" s="4">
        <v>14.0509</v>
      </c>
      <c r="K1526" s="4">
        <v>14.821099999999999</v>
      </c>
      <c r="L1526" s="4">
        <v>14.2523</v>
      </c>
      <c r="M1526" s="4">
        <f t="shared" si="93"/>
        <v>14.374766666666666</v>
      </c>
      <c r="Q1526" s="43" t="s">
        <v>2304</v>
      </c>
      <c r="R1526" s="4">
        <v>14.118074795447299</v>
      </c>
      <c r="S1526" s="4">
        <v>14.052819848566299</v>
      </c>
      <c r="T1526" s="4">
        <v>14.183036412310701</v>
      </c>
      <c r="U1526" s="4">
        <f t="shared" si="94"/>
        <v>14.117977018774766</v>
      </c>
      <c r="X1526" s="43" t="s">
        <v>577</v>
      </c>
      <c r="Y1526" s="4">
        <v>14.2488666121967</v>
      </c>
      <c r="Z1526" s="4">
        <v>14.294096594409901</v>
      </c>
      <c r="AA1526" s="4">
        <v>14.2293237797646</v>
      </c>
      <c r="AB1526" s="4">
        <f t="shared" si="95"/>
        <v>14.257428995457067</v>
      </c>
    </row>
    <row r="1527" spans="2:28" x14ac:dyDescent="0.2">
      <c r="B1527" s="4" t="s">
        <v>506</v>
      </c>
      <c r="C1527" s="4">
        <v>14.488799999999999</v>
      </c>
      <c r="D1527" s="4">
        <v>14.305300000000001</v>
      </c>
      <c r="E1527" s="4">
        <v>14.2973</v>
      </c>
      <c r="F1527" s="4">
        <f t="shared" si="92"/>
        <v>14.363799999999999</v>
      </c>
      <c r="I1527" s="4" t="s">
        <v>1553</v>
      </c>
      <c r="J1527" s="4">
        <v>14.400499999999999</v>
      </c>
      <c r="K1527" s="4">
        <v>14.3766</v>
      </c>
      <c r="L1527" s="4">
        <v>14.337899999999999</v>
      </c>
      <c r="M1527" s="4">
        <f t="shared" si="93"/>
        <v>14.371666666666664</v>
      </c>
      <c r="Q1527" s="43" t="s">
        <v>2364</v>
      </c>
      <c r="R1527" s="4">
        <v>14.1005914806678</v>
      </c>
      <c r="S1527" s="4">
        <v>14.1645649294696</v>
      </c>
      <c r="T1527" s="4">
        <v>14.083295488721401</v>
      </c>
      <c r="U1527" s="4">
        <f t="shared" si="94"/>
        <v>14.116150632952932</v>
      </c>
      <c r="X1527" s="43" t="s">
        <v>3306</v>
      </c>
      <c r="Y1527" s="4">
        <v>14.2811461455842</v>
      </c>
      <c r="Z1527" s="4">
        <v>14.217118713164201</v>
      </c>
      <c r="AA1527" s="4">
        <v>14.260832307610899</v>
      </c>
      <c r="AB1527" s="4">
        <f t="shared" si="95"/>
        <v>14.253032388786432</v>
      </c>
    </row>
    <row r="1528" spans="2:28" x14ac:dyDescent="0.2">
      <c r="B1528" s="4" t="s">
        <v>425</v>
      </c>
      <c r="C1528" s="4">
        <v>14.321300000000001</v>
      </c>
      <c r="D1528" s="4">
        <v>14.3276</v>
      </c>
      <c r="E1528" s="4">
        <v>14.439500000000001</v>
      </c>
      <c r="F1528" s="4">
        <f t="shared" si="92"/>
        <v>14.3628</v>
      </c>
      <c r="I1528" s="4" t="s">
        <v>3082</v>
      </c>
      <c r="J1528" s="4">
        <v>14.1806</v>
      </c>
      <c r="K1528" s="4">
        <v>14.6486</v>
      </c>
      <c r="L1528" s="4">
        <v>14.2835</v>
      </c>
      <c r="M1528" s="4">
        <f t="shared" si="93"/>
        <v>14.370900000000001</v>
      </c>
      <c r="Q1528" s="43" t="s">
        <v>1597</v>
      </c>
      <c r="R1528" s="4">
        <v>14.3614051703429</v>
      </c>
      <c r="S1528" s="4">
        <v>14.009939642795301</v>
      </c>
      <c r="T1528" s="4">
        <v>13.9735027525389</v>
      </c>
      <c r="U1528" s="4">
        <f t="shared" si="94"/>
        <v>14.114949188559033</v>
      </c>
      <c r="X1528" s="43" t="s">
        <v>3726</v>
      </c>
      <c r="Y1528" s="4">
        <v>14.2516392673694</v>
      </c>
      <c r="Z1528" s="4">
        <v>14.403081806859801</v>
      </c>
      <c r="AA1528" s="4">
        <v>14.097694987470501</v>
      </c>
      <c r="AB1528" s="4">
        <f t="shared" si="95"/>
        <v>14.250805353899901</v>
      </c>
    </row>
    <row r="1529" spans="2:28" x14ac:dyDescent="0.2">
      <c r="B1529" s="4" t="s">
        <v>3450</v>
      </c>
      <c r="C1529" s="4">
        <v>14.3231</v>
      </c>
      <c r="D1529" s="4">
        <v>14.5138</v>
      </c>
      <c r="E1529" s="4">
        <v>14.2499</v>
      </c>
      <c r="F1529" s="4">
        <f t="shared" si="92"/>
        <v>14.362266666666665</v>
      </c>
      <c r="I1529" s="4" t="s">
        <v>1016</v>
      </c>
      <c r="J1529" s="4">
        <v>13.822699999999999</v>
      </c>
      <c r="K1529" s="4">
        <v>16.040299999999998</v>
      </c>
      <c r="L1529" s="4">
        <v>13.2494</v>
      </c>
      <c r="M1529" s="4">
        <f t="shared" si="93"/>
        <v>14.370800000000001</v>
      </c>
      <c r="Q1529" s="43" t="s">
        <v>1060</v>
      </c>
      <c r="R1529" s="4">
        <v>13.7100470383748</v>
      </c>
      <c r="S1529" s="4">
        <v>14.4861748373644</v>
      </c>
      <c r="T1529" s="4">
        <v>14.1471668425063</v>
      </c>
      <c r="U1529" s="4">
        <f t="shared" si="94"/>
        <v>14.114462906081833</v>
      </c>
      <c r="X1529" s="43" t="s">
        <v>925</v>
      </c>
      <c r="Y1529" s="4">
        <v>14.251207537505399</v>
      </c>
      <c r="Z1529" s="4">
        <v>14.1517590041587</v>
      </c>
      <c r="AA1529" s="4">
        <v>14.3440107102633</v>
      </c>
      <c r="AB1529" s="4">
        <f t="shared" si="95"/>
        <v>14.248992417309132</v>
      </c>
    </row>
    <row r="1530" spans="2:28" x14ac:dyDescent="0.2">
      <c r="B1530" s="4" t="s">
        <v>776</v>
      </c>
      <c r="C1530" s="4">
        <v>13.9946</v>
      </c>
      <c r="D1530" s="4">
        <v>14.8049</v>
      </c>
      <c r="E1530" s="4">
        <v>14.2776</v>
      </c>
      <c r="F1530" s="4">
        <f t="shared" si="92"/>
        <v>14.359033333333334</v>
      </c>
      <c r="I1530" s="4" t="s">
        <v>381</v>
      </c>
      <c r="J1530" s="4">
        <v>14.3733</v>
      </c>
      <c r="K1530" s="4">
        <v>14.2919</v>
      </c>
      <c r="L1530" s="4">
        <v>14.4457</v>
      </c>
      <c r="M1530" s="4">
        <f t="shared" si="93"/>
        <v>14.3703</v>
      </c>
      <c r="Q1530" s="43" t="s">
        <v>664</v>
      </c>
      <c r="R1530" s="4">
        <v>13.838124569084901</v>
      </c>
      <c r="S1530" s="4">
        <v>13.981083332513901</v>
      </c>
      <c r="T1530" s="4">
        <v>14.5220595218938</v>
      </c>
      <c r="U1530" s="4">
        <f t="shared" si="94"/>
        <v>14.113755807830868</v>
      </c>
      <c r="X1530" s="43" t="s">
        <v>2640</v>
      </c>
      <c r="Y1530" s="4">
        <v>14.138672359906501</v>
      </c>
      <c r="Z1530" s="4">
        <v>14.3271350136721</v>
      </c>
      <c r="AA1530" s="4">
        <v>14.279344492313999</v>
      </c>
      <c r="AB1530" s="4">
        <f t="shared" si="95"/>
        <v>14.248383955297532</v>
      </c>
    </row>
    <row r="1531" spans="2:28" x14ac:dyDescent="0.2">
      <c r="B1531" s="4" t="s">
        <v>3455</v>
      </c>
      <c r="C1531" s="4">
        <v>14.3246</v>
      </c>
      <c r="D1531" s="4">
        <v>14.415900000000001</v>
      </c>
      <c r="E1531" s="4">
        <v>14.331</v>
      </c>
      <c r="F1531" s="4">
        <f t="shared" si="92"/>
        <v>14.357166666666666</v>
      </c>
      <c r="I1531" s="4" t="s">
        <v>700</v>
      </c>
      <c r="J1531" s="4">
        <v>14.3695</v>
      </c>
      <c r="K1531" s="4">
        <v>14.361599999999999</v>
      </c>
      <c r="L1531" s="4">
        <v>14.378500000000001</v>
      </c>
      <c r="M1531" s="4">
        <f t="shared" si="93"/>
        <v>14.369866666666667</v>
      </c>
      <c r="Q1531" s="43" t="s">
        <v>1617</v>
      </c>
      <c r="R1531" s="4">
        <v>14.2521985991</v>
      </c>
      <c r="S1531" s="4">
        <v>13.769272358</v>
      </c>
      <c r="T1531" s="4">
        <v>14.3171320987475</v>
      </c>
      <c r="U1531" s="4">
        <f t="shared" si="94"/>
        <v>14.112867685282501</v>
      </c>
      <c r="X1531" s="43" t="s">
        <v>3394</v>
      </c>
      <c r="Y1531" s="4">
        <v>13.9698943763755</v>
      </c>
      <c r="Z1531" s="4">
        <v>14.5044682003833</v>
      </c>
      <c r="AA1531" s="4">
        <v>14.2663773158921</v>
      </c>
      <c r="AB1531" s="4">
        <f t="shared" si="95"/>
        <v>14.2469132975503</v>
      </c>
    </row>
    <row r="1532" spans="2:28" x14ac:dyDescent="0.2">
      <c r="B1532" s="4" t="s">
        <v>679</v>
      </c>
      <c r="C1532" s="4">
        <v>14.2461</v>
      </c>
      <c r="D1532" s="4">
        <v>14.8573</v>
      </c>
      <c r="E1532" s="4">
        <v>13.965</v>
      </c>
      <c r="F1532" s="4">
        <f t="shared" si="92"/>
        <v>14.356133333333332</v>
      </c>
      <c r="I1532" s="4" t="s">
        <v>3167</v>
      </c>
      <c r="J1532" s="4">
        <v>14.5543</v>
      </c>
      <c r="K1532" s="4">
        <v>14.1211</v>
      </c>
      <c r="L1532" s="4">
        <v>14.433999999999999</v>
      </c>
      <c r="M1532" s="4">
        <f t="shared" si="93"/>
        <v>14.3698</v>
      </c>
      <c r="Q1532" s="43" t="s">
        <v>3017</v>
      </c>
      <c r="R1532" s="4">
        <v>14.4542567056282</v>
      </c>
      <c r="S1532" s="4">
        <v>13.860532029670001</v>
      </c>
      <c r="T1532" s="4">
        <v>14.0150415732217</v>
      </c>
      <c r="U1532" s="4">
        <f t="shared" si="94"/>
        <v>14.109943436173301</v>
      </c>
      <c r="X1532" s="43" t="s">
        <v>3986</v>
      </c>
      <c r="Y1532" s="4">
        <v>14.377567301571901</v>
      </c>
      <c r="Z1532" s="4">
        <v>14.036714723701801</v>
      </c>
      <c r="AA1532" s="4">
        <v>14.3213871641751</v>
      </c>
      <c r="AB1532" s="4">
        <f t="shared" si="95"/>
        <v>14.2452230631496</v>
      </c>
    </row>
    <row r="1533" spans="2:28" x14ac:dyDescent="0.2">
      <c r="B1533" s="4" t="s">
        <v>2635</v>
      </c>
      <c r="C1533" s="4">
        <v>14.480399999999999</v>
      </c>
      <c r="D1533" s="4">
        <v>14.3508</v>
      </c>
      <c r="E1533" s="4">
        <v>14.2346</v>
      </c>
      <c r="F1533" s="4">
        <f t="shared" si="92"/>
        <v>14.355266666666665</v>
      </c>
      <c r="I1533" s="4" t="s">
        <v>3506</v>
      </c>
      <c r="J1533" s="4">
        <v>14.3262</v>
      </c>
      <c r="K1533" s="4">
        <v>14.327299999999999</v>
      </c>
      <c r="L1533" s="4">
        <v>14.4549</v>
      </c>
      <c r="M1533" s="4">
        <f t="shared" si="93"/>
        <v>14.369466666666668</v>
      </c>
      <c r="Q1533" s="43" t="s">
        <v>49</v>
      </c>
      <c r="R1533" s="4">
        <v>14.171212176418701</v>
      </c>
      <c r="S1533" s="4">
        <v>14.257137807702501</v>
      </c>
      <c r="T1533" s="4">
        <v>13.896776693947499</v>
      </c>
      <c r="U1533" s="4">
        <f t="shared" si="94"/>
        <v>14.108375559356233</v>
      </c>
      <c r="X1533" s="43" t="s">
        <v>2295</v>
      </c>
      <c r="Y1533" s="4">
        <v>14.2915038972201</v>
      </c>
      <c r="Z1533" s="4">
        <v>14.2113275455227</v>
      </c>
      <c r="AA1533" s="4">
        <v>14.2326738436415</v>
      </c>
      <c r="AB1533" s="4">
        <f t="shared" si="95"/>
        <v>14.245168428794765</v>
      </c>
    </row>
    <row r="1534" spans="2:28" x14ac:dyDescent="0.2">
      <c r="B1534" s="4" t="s">
        <v>1939</v>
      </c>
      <c r="C1534" s="4">
        <v>14.2126</v>
      </c>
      <c r="D1534" s="4">
        <v>14.439399999999999</v>
      </c>
      <c r="E1534" s="4">
        <v>14.410299999999999</v>
      </c>
      <c r="F1534" s="4">
        <f t="shared" si="92"/>
        <v>14.354100000000001</v>
      </c>
      <c r="I1534" s="4" t="s">
        <v>2079</v>
      </c>
      <c r="J1534" s="4">
        <v>14.6607</v>
      </c>
      <c r="K1534" s="4">
        <v>14.328799999999999</v>
      </c>
      <c r="L1534" s="4">
        <v>14.1113</v>
      </c>
      <c r="M1534" s="4">
        <f t="shared" si="93"/>
        <v>14.366933333333334</v>
      </c>
      <c r="Q1534" s="43" t="s">
        <v>1814</v>
      </c>
      <c r="R1534" s="4">
        <v>14.1470100274722</v>
      </c>
      <c r="S1534" s="4">
        <v>14.0551478556314</v>
      </c>
      <c r="T1534" s="4">
        <v>14.1229019741378</v>
      </c>
      <c r="U1534" s="4">
        <f t="shared" si="94"/>
        <v>14.108353285747134</v>
      </c>
      <c r="X1534" s="43" t="s">
        <v>1710</v>
      </c>
      <c r="Y1534" s="4">
        <v>14.264711379732301</v>
      </c>
      <c r="Z1534" s="4">
        <v>14.184076541915299</v>
      </c>
      <c r="AA1534" s="4">
        <v>14.285013685874</v>
      </c>
      <c r="AB1534" s="4">
        <f t="shared" si="95"/>
        <v>14.244600535840533</v>
      </c>
    </row>
    <row r="1535" spans="2:28" x14ac:dyDescent="0.2">
      <c r="B1535" s="4" t="s">
        <v>2256</v>
      </c>
      <c r="C1535" s="4">
        <v>14.2774</v>
      </c>
      <c r="D1535" s="4">
        <v>14.4345</v>
      </c>
      <c r="E1535" s="4">
        <v>14.3477</v>
      </c>
      <c r="F1535" s="4">
        <f t="shared" si="92"/>
        <v>14.353200000000001</v>
      </c>
      <c r="I1535" s="4" t="s">
        <v>3893</v>
      </c>
      <c r="J1535" s="4">
        <v>13.9085</v>
      </c>
      <c r="K1535" s="4">
        <v>14.72</v>
      </c>
      <c r="L1535" s="4">
        <v>14.4663</v>
      </c>
      <c r="M1535" s="4">
        <f t="shared" si="93"/>
        <v>14.364933333333335</v>
      </c>
      <c r="Q1535" s="43" t="s">
        <v>3057</v>
      </c>
      <c r="R1535" s="4">
        <v>14.4512303656131</v>
      </c>
      <c r="S1535" s="4">
        <v>13.9950922271845</v>
      </c>
      <c r="T1535" s="4">
        <v>13.8784282581185</v>
      </c>
      <c r="U1535" s="4">
        <f t="shared" si="94"/>
        <v>14.108250283638702</v>
      </c>
      <c r="X1535" s="43" t="s">
        <v>4313</v>
      </c>
      <c r="Y1535" s="4">
        <v>14.094071646542</v>
      </c>
      <c r="Z1535" s="4">
        <v>14.4499901403418</v>
      </c>
      <c r="AA1535" s="4">
        <v>14.187801348588801</v>
      </c>
      <c r="AB1535" s="4">
        <f t="shared" si="95"/>
        <v>14.243954378490868</v>
      </c>
    </row>
    <row r="1536" spans="2:28" x14ac:dyDescent="0.2">
      <c r="B1536" s="4" t="s">
        <v>311</v>
      </c>
      <c r="C1536" s="4">
        <v>14.2074</v>
      </c>
      <c r="D1536" s="4">
        <v>14.391500000000001</v>
      </c>
      <c r="E1536" s="4">
        <v>14.4605</v>
      </c>
      <c r="F1536" s="4">
        <f t="shared" si="92"/>
        <v>14.353133333333332</v>
      </c>
      <c r="I1536" s="4" t="s">
        <v>1518</v>
      </c>
      <c r="J1536" s="4">
        <v>13.597300000000001</v>
      </c>
      <c r="K1536" s="4">
        <v>14.726699999999999</v>
      </c>
      <c r="L1536" s="4">
        <v>14.7662</v>
      </c>
      <c r="M1536" s="4">
        <f t="shared" si="93"/>
        <v>14.363399999999999</v>
      </c>
      <c r="Q1536" s="43" t="s">
        <v>3300</v>
      </c>
      <c r="R1536" s="4">
        <v>13.9821373914465</v>
      </c>
      <c r="S1536" s="4">
        <v>14.1852649979618</v>
      </c>
      <c r="T1536" s="4">
        <v>14.1548389986014</v>
      </c>
      <c r="U1536" s="4">
        <f t="shared" si="94"/>
        <v>14.107413796003234</v>
      </c>
      <c r="X1536" s="43" t="s">
        <v>1086</v>
      </c>
      <c r="Y1536" s="4">
        <v>14.2256926045638</v>
      </c>
      <c r="Z1536" s="4">
        <v>13.760984170042301</v>
      </c>
      <c r="AA1536" s="4">
        <v>14.7410025537121</v>
      </c>
      <c r="AB1536" s="4">
        <f t="shared" si="95"/>
        <v>14.242559776106068</v>
      </c>
    </row>
    <row r="1537" spans="2:28" x14ac:dyDescent="0.2">
      <c r="B1537" s="4" t="s">
        <v>2212</v>
      </c>
      <c r="C1537" s="4">
        <v>14.8444</v>
      </c>
      <c r="D1537" s="4">
        <v>14.576499999999999</v>
      </c>
      <c r="E1537" s="4">
        <v>13.638400000000001</v>
      </c>
      <c r="F1537" s="4">
        <f t="shared" si="92"/>
        <v>14.3531</v>
      </c>
      <c r="I1537" s="4" t="s">
        <v>1928</v>
      </c>
      <c r="J1537" s="4">
        <v>14.2852</v>
      </c>
      <c r="K1537" s="4">
        <v>14.3733</v>
      </c>
      <c r="L1537" s="4">
        <v>14.4284</v>
      </c>
      <c r="M1537" s="4">
        <f t="shared" si="93"/>
        <v>14.362299999999999</v>
      </c>
      <c r="Q1537" s="43" t="s">
        <v>413</v>
      </c>
      <c r="R1537" s="4">
        <v>14.098966836399599</v>
      </c>
      <c r="S1537" s="4">
        <v>14.084541433642899</v>
      </c>
      <c r="T1537" s="4">
        <v>14.1377214040374</v>
      </c>
      <c r="U1537" s="4">
        <f t="shared" si="94"/>
        <v>14.107076558026634</v>
      </c>
      <c r="X1537" s="43" t="s">
        <v>1917</v>
      </c>
      <c r="Y1537" s="4">
        <v>14.2028609486641</v>
      </c>
      <c r="Z1537" s="4">
        <v>14.2064876194567</v>
      </c>
      <c r="AA1537" s="4">
        <v>14.3161801962114</v>
      </c>
      <c r="AB1537" s="4">
        <f t="shared" si="95"/>
        <v>14.241842921444066</v>
      </c>
    </row>
    <row r="1538" spans="2:28" x14ac:dyDescent="0.2">
      <c r="B1538" s="4" t="s">
        <v>722</v>
      </c>
      <c r="C1538" s="4">
        <v>13.841799999999999</v>
      </c>
      <c r="D1538" s="4">
        <v>13.946899999999999</v>
      </c>
      <c r="E1538" s="4">
        <v>15.266</v>
      </c>
      <c r="F1538" s="4">
        <f t="shared" ref="F1538:F1601" si="96">(C1538+D1538+E1538)/3</f>
        <v>14.351566666666665</v>
      </c>
      <c r="I1538" s="4" t="s">
        <v>749</v>
      </c>
      <c r="J1538" s="4">
        <v>14.1189</v>
      </c>
      <c r="K1538" s="4">
        <v>15.311</v>
      </c>
      <c r="L1538" s="4">
        <v>13.654299999999999</v>
      </c>
      <c r="M1538" s="4">
        <f t="shared" ref="M1538:M1601" si="97">(J1538+K1538+L1538)/3</f>
        <v>14.361399999999998</v>
      </c>
      <c r="Q1538" s="43" t="s">
        <v>2602</v>
      </c>
      <c r="R1538" s="4">
        <v>14.040157920997</v>
      </c>
      <c r="S1538" s="4">
        <v>14.0101574327558</v>
      </c>
      <c r="T1538" s="4">
        <v>14.2594212795224</v>
      </c>
      <c r="U1538" s="4">
        <f t="shared" ref="U1538:U1601" si="98">(R1538+S1538+T1538)/3</f>
        <v>14.103245544425066</v>
      </c>
      <c r="X1538" s="43" t="s">
        <v>3855</v>
      </c>
      <c r="Y1538" s="4">
        <v>14.2621874908442</v>
      </c>
      <c r="Z1538" s="4">
        <v>14.150000207042799</v>
      </c>
      <c r="AA1538" s="4">
        <v>14.3130185059296</v>
      </c>
      <c r="AB1538" s="4">
        <f t="shared" ref="AB1538:AB1601" si="99">(Y1538+Z1538+AA1538)/3</f>
        <v>14.2417354012722</v>
      </c>
    </row>
    <row r="1539" spans="2:28" x14ac:dyDescent="0.2">
      <c r="B1539" s="4" t="s">
        <v>1821</v>
      </c>
      <c r="C1539" s="4">
        <v>15.7256</v>
      </c>
      <c r="D1539" s="4">
        <v>15.018800000000001</v>
      </c>
      <c r="E1539" s="4">
        <v>12.2973</v>
      </c>
      <c r="F1539" s="4">
        <f t="shared" si="96"/>
        <v>14.347233333333334</v>
      </c>
      <c r="I1539" s="4" t="s">
        <v>2148</v>
      </c>
      <c r="J1539" s="4">
        <v>14.2018</v>
      </c>
      <c r="K1539" s="4">
        <v>14.2584</v>
      </c>
      <c r="L1539" s="4">
        <v>14.6152</v>
      </c>
      <c r="M1539" s="4">
        <f t="shared" si="97"/>
        <v>14.358466666666667</v>
      </c>
      <c r="Q1539" s="43" t="s">
        <v>2791</v>
      </c>
      <c r="R1539" s="4">
        <v>13.950422463483701</v>
      </c>
      <c r="S1539" s="4">
        <v>14.0694617660315</v>
      </c>
      <c r="T1539" s="4">
        <v>14.285809594705601</v>
      </c>
      <c r="U1539" s="4">
        <f t="shared" si="98"/>
        <v>14.101897941406932</v>
      </c>
      <c r="X1539" s="43" t="s">
        <v>2532</v>
      </c>
      <c r="Y1539" s="4">
        <v>14.1775561540759</v>
      </c>
      <c r="Z1539" s="4">
        <v>14.209511088418701</v>
      </c>
      <c r="AA1539" s="4">
        <v>14.3376366563755</v>
      </c>
      <c r="AB1539" s="4">
        <f t="shared" si="99"/>
        <v>14.241567966290035</v>
      </c>
    </row>
    <row r="1540" spans="2:28" x14ac:dyDescent="0.2">
      <c r="B1540" s="4" t="s">
        <v>185</v>
      </c>
      <c r="C1540" s="4">
        <v>14.3004</v>
      </c>
      <c r="D1540" s="4">
        <v>14.064</v>
      </c>
      <c r="E1540" s="4">
        <v>14.676600000000001</v>
      </c>
      <c r="F1540" s="4">
        <f t="shared" si="96"/>
        <v>14.347</v>
      </c>
      <c r="I1540" s="4" t="s">
        <v>4067</v>
      </c>
      <c r="J1540" s="4">
        <v>14.176</v>
      </c>
      <c r="K1540" s="4">
        <v>14.4603</v>
      </c>
      <c r="L1540" s="4">
        <v>14.4373</v>
      </c>
      <c r="M1540" s="4">
        <f t="shared" si="97"/>
        <v>14.357866666666666</v>
      </c>
      <c r="Q1540" s="43" t="s">
        <v>3447</v>
      </c>
      <c r="R1540" s="4">
        <v>14.021415479571299</v>
      </c>
      <c r="S1540" s="4">
        <v>14.0902828916386</v>
      </c>
      <c r="T1540" s="4">
        <v>14.188094390988701</v>
      </c>
      <c r="U1540" s="4">
        <f t="shared" si="98"/>
        <v>14.099930920732866</v>
      </c>
      <c r="X1540" s="43" t="s">
        <v>4163</v>
      </c>
      <c r="Y1540" s="4">
        <v>14.285914998420299</v>
      </c>
      <c r="Z1540" s="4">
        <v>14.0361991809818</v>
      </c>
      <c r="AA1540" s="4">
        <v>14.3947377691622</v>
      </c>
      <c r="AB1540" s="4">
        <f t="shared" si="99"/>
        <v>14.238950649521433</v>
      </c>
    </row>
    <row r="1541" spans="2:28" x14ac:dyDescent="0.2">
      <c r="B1541" s="4" t="s">
        <v>2296</v>
      </c>
      <c r="C1541" s="4">
        <v>14.629799999999999</v>
      </c>
      <c r="D1541" s="4">
        <v>14.3521</v>
      </c>
      <c r="E1541" s="4">
        <v>14.058299999999999</v>
      </c>
      <c r="F1541" s="4">
        <f t="shared" si="96"/>
        <v>14.346733333333333</v>
      </c>
      <c r="I1541" s="4" t="s">
        <v>3621</v>
      </c>
      <c r="J1541" s="4">
        <v>14.5908</v>
      </c>
      <c r="K1541" s="4">
        <v>15.264799999999999</v>
      </c>
      <c r="L1541" s="4">
        <v>13.2157</v>
      </c>
      <c r="M1541" s="4">
        <f t="shared" si="97"/>
        <v>14.357100000000001</v>
      </c>
      <c r="Q1541" s="43" t="s">
        <v>2446</v>
      </c>
      <c r="R1541" s="4">
        <v>14.124084321562</v>
      </c>
      <c r="S1541" s="4">
        <v>13.9840802461654</v>
      </c>
      <c r="T1541" s="4">
        <v>14.1900337465592</v>
      </c>
      <c r="U1541" s="4">
        <f t="shared" si="98"/>
        <v>14.099399438095533</v>
      </c>
      <c r="X1541" s="43" t="s">
        <v>2750</v>
      </c>
      <c r="Y1541" s="4">
        <v>14.283765629570301</v>
      </c>
      <c r="Z1541" s="4">
        <v>14.146537712328</v>
      </c>
      <c r="AA1541" s="4">
        <v>14.2861749902381</v>
      </c>
      <c r="AB1541" s="4">
        <f t="shared" si="99"/>
        <v>14.238826110712134</v>
      </c>
    </row>
    <row r="1542" spans="2:28" x14ac:dyDescent="0.2">
      <c r="B1542" s="4" t="s">
        <v>3108</v>
      </c>
      <c r="C1542" s="4">
        <v>14.3681</v>
      </c>
      <c r="D1542" s="4">
        <v>14.163500000000001</v>
      </c>
      <c r="E1542" s="4">
        <v>14.5085</v>
      </c>
      <c r="F1542" s="4">
        <f t="shared" si="96"/>
        <v>14.3467</v>
      </c>
      <c r="I1542" s="4" t="s">
        <v>1157</v>
      </c>
      <c r="J1542" s="4">
        <v>14.2836</v>
      </c>
      <c r="K1542" s="4">
        <v>15.139099999999999</v>
      </c>
      <c r="L1542" s="4">
        <v>13.640599999999999</v>
      </c>
      <c r="M1542" s="4">
        <f t="shared" si="97"/>
        <v>14.354433333333333</v>
      </c>
      <c r="Q1542" s="43" t="s">
        <v>3378</v>
      </c>
      <c r="R1542" s="4">
        <v>14.203063780535301</v>
      </c>
      <c r="S1542" s="4">
        <v>13.9409812756459</v>
      </c>
      <c r="T1542" s="4">
        <v>14.1498963725598</v>
      </c>
      <c r="U1542" s="4">
        <f t="shared" si="98"/>
        <v>14.097980476247001</v>
      </c>
      <c r="X1542" s="43" t="s">
        <v>4271</v>
      </c>
      <c r="Y1542" s="4">
        <v>14.243833570446901</v>
      </c>
      <c r="Z1542" s="4">
        <v>14.0696022672702</v>
      </c>
      <c r="AA1542" s="4">
        <v>14.396432534692501</v>
      </c>
      <c r="AB1542" s="4">
        <f t="shared" si="99"/>
        <v>14.236622790803201</v>
      </c>
    </row>
    <row r="1543" spans="2:28" x14ac:dyDescent="0.2">
      <c r="B1543" s="4" t="s">
        <v>3586</v>
      </c>
      <c r="C1543" s="4">
        <v>14.544</v>
      </c>
      <c r="D1543" s="4">
        <v>14.3916</v>
      </c>
      <c r="E1543" s="4">
        <v>14.099500000000001</v>
      </c>
      <c r="F1543" s="4">
        <f t="shared" si="96"/>
        <v>14.345033333333333</v>
      </c>
      <c r="I1543" s="4" t="s">
        <v>217</v>
      </c>
      <c r="J1543" s="4">
        <v>13.769600000000001</v>
      </c>
      <c r="K1543" s="4">
        <v>14.8407</v>
      </c>
      <c r="L1543" s="4">
        <v>14.4472</v>
      </c>
      <c r="M1543" s="4">
        <f t="shared" si="97"/>
        <v>14.352500000000001</v>
      </c>
      <c r="Q1543" s="43" t="s">
        <v>732</v>
      </c>
      <c r="R1543" s="4">
        <v>14.0138453722418</v>
      </c>
      <c r="S1543" s="4">
        <v>14.2011890131825</v>
      </c>
      <c r="T1543" s="4">
        <v>14.0778788686575</v>
      </c>
      <c r="U1543" s="4">
        <f t="shared" si="98"/>
        <v>14.097637751360599</v>
      </c>
      <c r="X1543" s="43" t="s">
        <v>122</v>
      </c>
      <c r="Y1543" s="4">
        <v>14.4035446096625</v>
      </c>
      <c r="Z1543" s="4">
        <v>14.5841885846063</v>
      </c>
      <c r="AA1543" s="4">
        <v>13.7198683690607</v>
      </c>
      <c r="AB1543" s="4">
        <f t="shared" si="99"/>
        <v>14.235867187776499</v>
      </c>
    </row>
    <row r="1544" spans="2:28" x14ac:dyDescent="0.2">
      <c r="B1544" s="4" t="s">
        <v>2575</v>
      </c>
      <c r="C1544" s="4">
        <v>14.2897</v>
      </c>
      <c r="D1544" s="4">
        <v>14.3278</v>
      </c>
      <c r="E1544" s="4">
        <v>14.416600000000001</v>
      </c>
      <c r="F1544" s="4">
        <f t="shared" si="96"/>
        <v>14.344700000000001</v>
      </c>
      <c r="I1544" s="4" t="s">
        <v>1811</v>
      </c>
      <c r="J1544" s="4">
        <v>14.5097</v>
      </c>
      <c r="K1544" s="4">
        <v>14.0549</v>
      </c>
      <c r="L1544" s="4">
        <v>14.4924</v>
      </c>
      <c r="M1544" s="4">
        <f t="shared" si="97"/>
        <v>14.352333333333334</v>
      </c>
      <c r="Q1544" s="43" t="s">
        <v>2409</v>
      </c>
      <c r="R1544" s="4">
        <v>14.062754098157599</v>
      </c>
      <c r="S1544" s="4">
        <v>14.043466433882401</v>
      </c>
      <c r="T1544" s="4">
        <v>14.185407485680001</v>
      </c>
      <c r="U1544" s="4">
        <f t="shared" si="98"/>
        <v>14.097209339240001</v>
      </c>
      <c r="X1544" s="43" t="s">
        <v>3609</v>
      </c>
      <c r="Y1544" s="4">
        <v>14.1077772037586</v>
      </c>
      <c r="Z1544" s="4">
        <v>14.2428380650384</v>
      </c>
      <c r="AA1544" s="4">
        <v>14.3556942453004</v>
      </c>
      <c r="AB1544" s="4">
        <f t="shared" si="99"/>
        <v>14.235436504699132</v>
      </c>
    </row>
    <row r="1545" spans="2:28" x14ac:dyDescent="0.2">
      <c r="B1545" s="4" t="s">
        <v>3048</v>
      </c>
      <c r="C1545" s="4">
        <v>14.400600000000001</v>
      </c>
      <c r="D1545" s="4">
        <v>14.449199999999999</v>
      </c>
      <c r="E1545" s="4">
        <v>14.1843</v>
      </c>
      <c r="F1545" s="4">
        <f t="shared" si="96"/>
        <v>14.344700000000001</v>
      </c>
      <c r="I1545" s="4" t="s">
        <v>2590</v>
      </c>
      <c r="J1545" s="4">
        <v>14.649900000000001</v>
      </c>
      <c r="K1545" s="4">
        <v>13.799300000000001</v>
      </c>
      <c r="L1545" s="4">
        <v>14.6065</v>
      </c>
      <c r="M1545" s="4">
        <f t="shared" si="97"/>
        <v>14.351900000000001</v>
      </c>
      <c r="Q1545" s="43" t="s">
        <v>2041</v>
      </c>
      <c r="R1545" s="4">
        <v>14.328712928614801</v>
      </c>
      <c r="S1545" s="4">
        <v>13.8879007210941</v>
      </c>
      <c r="T1545" s="4">
        <v>14.0721986436715</v>
      </c>
      <c r="U1545" s="4">
        <f t="shared" si="98"/>
        <v>14.096270764460135</v>
      </c>
      <c r="X1545" s="43" t="s">
        <v>3656</v>
      </c>
      <c r="Y1545" s="4">
        <v>14.2492742509094</v>
      </c>
      <c r="Z1545" s="4">
        <v>14.342352925005599</v>
      </c>
      <c r="AA1545" s="4">
        <v>14.099811116170599</v>
      </c>
      <c r="AB1545" s="4">
        <f t="shared" si="99"/>
        <v>14.230479430695199</v>
      </c>
    </row>
    <row r="1546" spans="2:28" x14ac:dyDescent="0.2">
      <c r="B1546" s="4" t="s">
        <v>4020</v>
      </c>
      <c r="C1546" s="4">
        <v>14.2905</v>
      </c>
      <c r="D1546" s="4">
        <v>14.295</v>
      </c>
      <c r="E1546" s="4">
        <v>14.443300000000001</v>
      </c>
      <c r="F1546" s="4">
        <f t="shared" si="96"/>
        <v>14.342933333333335</v>
      </c>
      <c r="I1546" s="4" t="s">
        <v>453</v>
      </c>
      <c r="J1546" s="4">
        <v>14.664300000000001</v>
      </c>
      <c r="K1546" s="4">
        <v>13.685700000000001</v>
      </c>
      <c r="L1546" s="4">
        <v>14.695399999999999</v>
      </c>
      <c r="M1546" s="4">
        <f t="shared" si="97"/>
        <v>14.348466666666667</v>
      </c>
      <c r="Q1546" s="43" t="s">
        <v>2991</v>
      </c>
      <c r="R1546" s="4">
        <v>14.1277694910509</v>
      </c>
      <c r="S1546" s="4">
        <v>14.0993645065568</v>
      </c>
      <c r="T1546" s="4">
        <v>14.060205523340301</v>
      </c>
      <c r="U1546" s="4">
        <f t="shared" si="98"/>
        <v>14.095779840316</v>
      </c>
      <c r="X1546" s="43" t="s">
        <v>3862</v>
      </c>
      <c r="Y1546" s="4">
        <v>14.144568405822501</v>
      </c>
      <c r="Z1546" s="4">
        <v>14.293835946443799</v>
      </c>
      <c r="AA1546" s="4">
        <v>14.244228092610699</v>
      </c>
      <c r="AB1546" s="4">
        <f t="shared" si="99"/>
        <v>14.227544148292333</v>
      </c>
    </row>
    <row r="1547" spans="2:28" x14ac:dyDescent="0.2">
      <c r="B1547" s="4" t="s">
        <v>3689</v>
      </c>
      <c r="C1547" s="4">
        <v>14.2323</v>
      </c>
      <c r="D1547" s="4">
        <v>14.4147</v>
      </c>
      <c r="E1547" s="4">
        <v>14.378</v>
      </c>
      <c r="F1547" s="4">
        <f t="shared" si="96"/>
        <v>14.341666666666667</v>
      </c>
      <c r="I1547" s="4" t="s">
        <v>2233</v>
      </c>
      <c r="J1547" s="4">
        <v>14.589600000000001</v>
      </c>
      <c r="K1547" s="4">
        <v>13.9114</v>
      </c>
      <c r="L1547" s="4">
        <v>14.543699999999999</v>
      </c>
      <c r="M1547" s="4">
        <f t="shared" si="97"/>
        <v>14.348233333333333</v>
      </c>
      <c r="Q1547" s="43" t="s">
        <v>3965</v>
      </c>
      <c r="R1547" s="4">
        <v>14.1978868419676</v>
      </c>
      <c r="S1547" s="4">
        <v>14.087691374524301</v>
      </c>
      <c r="T1547" s="4">
        <v>13.9964319174699</v>
      </c>
      <c r="U1547" s="4">
        <f t="shared" si="98"/>
        <v>14.094003377987265</v>
      </c>
      <c r="X1547" s="43" t="s">
        <v>1857</v>
      </c>
      <c r="Y1547" s="4">
        <v>14.5367002487269</v>
      </c>
      <c r="Z1547" s="4">
        <v>14.168096088519899</v>
      </c>
      <c r="AA1547" s="4">
        <v>13.9733109633337</v>
      </c>
      <c r="AB1547" s="4">
        <f t="shared" si="99"/>
        <v>14.226035766860166</v>
      </c>
    </row>
    <row r="1548" spans="2:28" x14ac:dyDescent="0.2">
      <c r="B1548" s="4" t="s">
        <v>2524</v>
      </c>
      <c r="C1548" s="4">
        <v>14.605399999999999</v>
      </c>
      <c r="D1548" s="4">
        <v>14.2554</v>
      </c>
      <c r="E1548" s="4">
        <v>14.150399999999999</v>
      </c>
      <c r="F1548" s="4">
        <f t="shared" si="96"/>
        <v>14.337066666666665</v>
      </c>
      <c r="I1548" s="4" t="s">
        <v>596</v>
      </c>
      <c r="J1548" s="4">
        <v>13.491300000000001</v>
      </c>
      <c r="K1548" s="4">
        <v>16.1524</v>
      </c>
      <c r="L1548" s="4">
        <v>13.3888</v>
      </c>
      <c r="M1548" s="4">
        <f t="shared" si="97"/>
        <v>14.344166666666666</v>
      </c>
      <c r="Q1548" s="43" t="s">
        <v>3141</v>
      </c>
      <c r="R1548" s="4">
        <v>14.1542803403051</v>
      </c>
      <c r="S1548" s="4">
        <v>14.1176121160523</v>
      </c>
      <c r="T1548" s="4">
        <v>14.005326220092501</v>
      </c>
      <c r="U1548" s="4">
        <f t="shared" si="98"/>
        <v>14.0924062254833</v>
      </c>
      <c r="X1548" s="43" t="s">
        <v>3553</v>
      </c>
      <c r="Y1548" s="4">
        <v>14.169281872280701</v>
      </c>
      <c r="Z1548" s="4">
        <v>14.291687253801999</v>
      </c>
      <c r="AA1548" s="4">
        <v>14.2052485456217</v>
      </c>
      <c r="AB1548" s="4">
        <f t="shared" si="99"/>
        <v>14.222072557234801</v>
      </c>
    </row>
    <row r="1549" spans="2:28" x14ac:dyDescent="0.2">
      <c r="B1549" s="4" t="s">
        <v>3425</v>
      </c>
      <c r="C1549" s="4">
        <v>14.2592</v>
      </c>
      <c r="D1549" s="4">
        <v>14.086600000000001</v>
      </c>
      <c r="E1549" s="4">
        <v>14.661199999999999</v>
      </c>
      <c r="F1549" s="4">
        <f t="shared" si="96"/>
        <v>14.335666666666667</v>
      </c>
      <c r="I1549" s="4" t="s">
        <v>1590</v>
      </c>
      <c r="J1549" s="4">
        <v>14.5718</v>
      </c>
      <c r="K1549" s="4">
        <v>14.0076</v>
      </c>
      <c r="L1549" s="4">
        <v>14.445399999999999</v>
      </c>
      <c r="M1549" s="4">
        <f t="shared" si="97"/>
        <v>14.3416</v>
      </c>
      <c r="Q1549" s="43" t="s">
        <v>4041</v>
      </c>
      <c r="R1549" s="4">
        <v>14.0807636054219</v>
      </c>
      <c r="S1549" s="4">
        <v>14.0565743557695</v>
      </c>
      <c r="T1549" s="4">
        <v>14.1353338957842</v>
      </c>
      <c r="U1549" s="4">
        <f t="shared" si="98"/>
        <v>14.090890618991866</v>
      </c>
      <c r="X1549" s="43" t="s">
        <v>1043</v>
      </c>
      <c r="Y1549" s="4">
        <v>13.981162295733199</v>
      </c>
      <c r="Z1549" s="4">
        <v>15.0317019836085</v>
      </c>
      <c r="AA1549" s="4">
        <v>13.6488655673654</v>
      </c>
      <c r="AB1549" s="4">
        <f t="shared" si="99"/>
        <v>14.220576615569032</v>
      </c>
    </row>
    <row r="1550" spans="2:28" x14ac:dyDescent="0.2">
      <c r="B1550" s="4" t="s">
        <v>1757</v>
      </c>
      <c r="C1550" s="4">
        <v>14.315</v>
      </c>
      <c r="D1550" s="4">
        <v>14.279500000000001</v>
      </c>
      <c r="E1550" s="4">
        <v>14.4008</v>
      </c>
      <c r="F1550" s="4">
        <f t="shared" si="96"/>
        <v>14.331766666666667</v>
      </c>
      <c r="I1550" s="4" t="s">
        <v>1796</v>
      </c>
      <c r="J1550" s="4">
        <v>14.0707</v>
      </c>
      <c r="K1550" s="4">
        <v>14.5976</v>
      </c>
      <c r="L1550" s="4">
        <v>14.3505</v>
      </c>
      <c r="M1550" s="4">
        <f t="shared" si="97"/>
        <v>14.339599999999999</v>
      </c>
      <c r="Q1550" s="43" t="s">
        <v>3519</v>
      </c>
      <c r="R1550" s="4">
        <v>14.3763518124284</v>
      </c>
      <c r="S1550" s="4">
        <v>13.8505375441448</v>
      </c>
      <c r="T1550" s="4">
        <v>14.041959858834399</v>
      </c>
      <c r="U1550" s="4">
        <f t="shared" si="98"/>
        <v>14.089616405135866</v>
      </c>
      <c r="X1550" s="43" t="s">
        <v>1959</v>
      </c>
      <c r="Y1550" s="4">
        <v>14.1468946210114</v>
      </c>
      <c r="Z1550" s="4">
        <v>14.304405236415899</v>
      </c>
      <c r="AA1550" s="4">
        <v>14.1978140542926</v>
      </c>
      <c r="AB1550" s="4">
        <f t="shared" si="99"/>
        <v>14.216371303906634</v>
      </c>
    </row>
    <row r="1551" spans="2:28" x14ac:dyDescent="0.2">
      <c r="B1551" s="4" t="s">
        <v>3165</v>
      </c>
      <c r="C1551" s="4">
        <v>14.565799999999999</v>
      </c>
      <c r="D1551" s="4">
        <v>14.129799999999999</v>
      </c>
      <c r="E1551" s="4">
        <v>14.286199999999999</v>
      </c>
      <c r="F1551" s="4">
        <f t="shared" si="96"/>
        <v>14.327266666666667</v>
      </c>
      <c r="I1551" s="4" t="s">
        <v>1198</v>
      </c>
      <c r="J1551" s="4">
        <v>13.9504</v>
      </c>
      <c r="K1551" s="4">
        <v>14.937799999999999</v>
      </c>
      <c r="L1551" s="4">
        <v>14.1259</v>
      </c>
      <c r="M1551" s="4">
        <f t="shared" si="97"/>
        <v>14.338033333333334</v>
      </c>
      <c r="Q1551" s="43" t="s">
        <v>2136</v>
      </c>
      <c r="R1551" s="4">
        <v>14.545130875719501</v>
      </c>
      <c r="S1551" s="4">
        <v>13.740129093458201</v>
      </c>
      <c r="T1551" s="4">
        <v>13.9791920830289</v>
      </c>
      <c r="U1551" s="4">
        <f t="shared" si="98"/>
        <v>14.088150684068866</v>
      </c>
      <c r="X1551" s="43" t="s">
        <v>3720</v>
      </c>
      <c r="Y1551" s="4">
        <v>14.229769126549799</v>
      </c>
      <c r="Z1551" s="4">
        <v>14.228102760843999</v>
      </c>
      <c r="AA1551" s="4">
        <v>14.191238293067199</v>
      </c>
      <c r="AB1551" s="4">
        <f t="shared" si="99"/>
        <v>14.216370060153666</v>
      </c>
    </row>
    <row r="1552" spans="2:28" x14ac:dyDescent="0.2">
      <c r="B1552" s="4" t="s">
        <v>1280</v>
      </c>
      <c r="C1552" s="4">
        <v>14.161300000000001</v>
      </c>
      <c r="D1552" s="4">
        <v>14.152100000000001</v>
      </c>
      <c r="E1552" s="4">
        <v>14.6639</v>
      </c>
      <c r="F1552" s="4">
        <f t="shared" si="96"/>
        <v>14.325766666666667</v>
      </c>
      <c r="I1552" s="4" t="s">
        <v>1672</v>
      </c>
      <c r="J1552" s="4">
        <v>14.4795</v>
      </c>
      <c r="K1552" s="4">
        <v>14.098699999999999</v>
      </c>
      <c r="L1552" s="4">
        <v>14.4339</v>
      </c>
      <c r="M1552" s="4">
        <f t="shared" si="97"/>
        <v>14.337366666666666</v>
      </c>
      <c r="Q1552" s="43" t="s">
        <v>4036</v>
      </c>
      <c r="R1552" s="4">
        <v>14.1893184594971</v>
      </c>
      <c r="S1552" s="4">
        <v>13.9795230059714</v>
      </c>
      <c r="T1552" s="4">
        <v>14.093427333699699</v>
      </c>
      <c r="U1552" s="4">
        <f t="shared" si="98"/>
        <v>14.087422933056066</v>
      </c>
      <c r="X1552" s="43" t="s">
        <v>433</v>
      </c>
      <c r="Y1552" s="4">
        <v>14.170062073588801</v>
      </c>
      <c r="Z1552" s="4">
        <v>14.302020656836399</v>
      </c>
      <c r="AA1552" s="4">
        <v>14.1763636921781</v>
      </c>
      <c r="AB1552" s="4">
        <f t="shared" si="99"/>
        <v>14.216148807534433</v>
      </c>
    </row>
    <row r="1553" spans="2:28" x14ac:dyDescent="0.2">
      <c r="B1553" s="4" t="s">
        <v>273</v>
      </c>
      <c r="C1553" s="4">
        <v>14.330299999999999</v>
      </c>
      <c r="D1553" s="4">
        <v>14.3331</v>
      </c>
      <c r="E1553" s="4">
        <v>14.313499999999999</v>
      </c>
      <c r="F1553" s="4">
        <f t="shared" si="96"/>
        <v>14.325633333333334</v>
      </c>
      <c r="I1553" s="4" t="s">
        <v>299</v>
      </c>
      <c r="J1553" s="4">
        <v>14.6662</v>
      </c>
      <c r="K1553" s="4">
        <v>13.509399999999999</v>
      </c>
      <c r="L1553" s="4">
        <v>14.8363</v>
      </c>
      <c r="M1553" s="4">
        <f t="shared" si="97"/>
        <v>14.337299999999999</v>
      </c>
      <c r="Q1553" s="43" t="s">
        <v>3966</v>
      </c>
      <c r="R1553" s="4">
        <v>14.120301540697699</v>
      </c>
      <c r="S1553" s="4">
        <v>14.0782682279164</v>
      </c>
      <c r="T1553" s="4">
        <v>14.0526997681272</v>
      </c>
      <c r="U1553" s="4">
        <f t="shared" si="98"/>
        <v>14.083756512247099</v>
      </c>
      <c r="X1553" s="43" t="s">
        <v>11</v>
      </c>
      <c r="Y1553" s="4">
        <v>14.179299485497801</v>
      </c>
      <c r="Z1553" s="4">
        <v>14.1578723269548</v>
      </c>
      <c r="AA1553" s="4">
        <v>14.3068317166173</v>
      </c>
      <c r="AB1553" s="4">
        <f t="shared" si="99"/>
        <v>14.214667843023301</v>
      </c>
    </row>
    <row r="1554" spans="2:28" x14ac:dyDescent="0.2">
      <c r="B1554" s="4" t="s">
        <v>997</v>
      </c>
      <c r="C1554" s="4">
        <v>13.7818</v>
      </c>
      <c r="D1554" s="4">
        <v>14.4472</v>
      </c>
      <c r="E1554" s="4">
        <v>14.7286</v>
      </c>
      <c r="F1554" s="4">
        <f t="shared" si="96"/>
        <v>14.3192</v>
      </c>
      <c r="I1554" s="4" t="s">
        <v>912</v>
      </c>
      <c r="J1554" s="4">
        <v>13.1409</v>
      </c>
      <c r="K1554" s="4">
        <v>16.009499999999999</v>
      </c>
      <c r="L1554" s="4">
        <v>13.860799999999999</v>
      </c>
      <c r="M1554" s="4">
        <f t="shared" si="97"/>
        <v>14.337066666666665</v>
      </c>
      <c r="Q1554" s="43" t="s">
        <v>71</v>
      </c>
      <c r="R1554" s="4">
        <v>14.214691062183901</v>
      </c>
      <c r="S1554" s="4">
        <v>13.883801659970301</v>
      </c>
      <c r="T1554" s="4">
        <v>14.1454801609457</v>
      </c>
      <c r="U1554" s="4">
        <f t="shared" si="98"/>
        <v>14.081324294366633</v>
      </c>
      <c r="X1554" s="43" t="s">
        <v>573</v>
      </c>
      <c r="Y1554" s="4">
        <v>14.303065040111001</v>
      </c>
      <c r="Z1554" s="4">
        <v>14.019458080488301</v>
      </c>
      <c r="AA1554" s="4">
        <v>14.3204344716049</v>
      </c>
      <c r="AB1554" s="4">
        <f t="shared" si="99"/>
        <v>14.2143191974014</v>
      </c>
    </row>
    <row r="1555" spans="2:28" x14ac:dyDescent="0.2">
      <c r="B1555" s="4" t="s">
        <v>2549</v>
      </c>
      <c r="C1555" s="4">
        <v>14.475300000000001</v>
      </c>
      <c r="D1555" s="4">
        <v>14.4122</v>
      </c>
      <c r="E1555" s="4">
        <v>14.068199999999999</v>
      </c>
      <c r="F1555" s="4">
        <f t="shared" si="96"/>
        <v>14.318566666666667</v>
      </c>
      <c r="I1555" s="4" t="s">
        <v>250</v>
      </c>
      <c r="J1555" s="4">
        <v>14.5687</v>
      </c>
      <c r="K1555" s="4">
        <v>13.9429</v>
      </c>
      <c r="L1555" s="4">
        <v>14.492699999999999</v>
      </c>
      <c r="M1555" s="4">
        <f t="shared" si="97"/>
        <v>14.334766666666667</v>
      </c>
      <c r="Q1555" s="43" t="s">
        <v>1672</v>
      </c>
      <c r="R1555" s="4">
        <v>14.1452007364742</v>
      </c>
      <c r="S1555" s="4">
        <v>13.889965174547999</v>
      </c>
      <c r="T1555" s="4">
        <v>14.204899300113199</v>
      </c>
      <c r="U1555" s="4">
        <f t="shared" si="98"/>
        <v>14.080021737045131</v>
      </c>
      <c r="X1555" s="43" t="s">
        <v>3399</v>
      </c>
      <c r="Y1555" s="4">
        <v>14.6958950267798</v>
      </c>
      <c r="Z1555" s="4">
        <v>13.394794450297701</v>
      </c>
      <c r="AA1555" s="4">
        <v>14.547690651368899</v>
      </c>
      <c r="AB1555" s="4">
        <f t="shared" si="99"/>
        <v>14.212793376148801</v>
      </c>
    </row>
    <row r="1556" spans="2:28" x14ac:dyDescent="0.2">
      <c r="B1556" s="4" t="s">
        <v>2692</v>
      </c>
      <c r="C1556" s="4">
        <v>14.314500000000001</v>
      </c>
      <c r="D1556" s="4">
        <v>14.550700000000001</v>
      </c>
      <c r="E1556" s="4">
        <v>14.090299999999999</v>
      </c>
      <c r="F1556" s="4">
        <f t="shared" si="96"/>
        <v>14.3185</v>
      </c>
      <c r="I1556" s="4" t="s">
        <v>3378</v>
      </c>
      <c r="J1556" s="4">
        <v>14.5298</v>
      </c>
      <c r="K1556" s="4">
        <v>13.8178</v>
      </c>
      <c r="L1556" s="4">
        <v>14.654</v>
      </c>
      <c r="M1556" s="4">
        <f t="shared" si="97"/>
        <v>14.333866666666665</v>
      </c>
      <c r="Q1556" s="43" t="s">
        <v>3069</v>
      </c>
      <c r="R1556" s="4">
        <v>14.1583754871323</v>
      </c>
      <c r="S1556" s="4">
        <v>13.992360292895301</v>
      </c>
      <c r="T1556" s="4">
        <v>14.086278170437099</v>
      </c>
      <c r="U1556" s="4">
        <f t="shared" si="98"/>
        <v>14.0790046501549</v>
      </c>
      <c r="X1556" s="43" t="s">
        <v>2828</v>
      </c>
      <c r="Y1556" s="4">
        <v>14.2112539519726</v>
      </c>
      <c r="Z1556" s="4">
        <v>14.2646291761101</v>
      </c>
      <c r="AA1556" s="4">
        <v>14.159661745446201</v>
      </c>
      <c r="AB1556" s="4">
        <f t="shared" si="99"/>
        <v>14.211848291176301</v>
      </c>
    </row>
    <row r="1557" spans="2:28" x14ac:dyDescent="0.2">
      <c r="B1557" s="4" t="s">
        <v>2530</v>
      </c>
      <c r="C1557" s="4">
        <v>14.2676</v>
      </c>
      <c r="D1557" s="4">
        <v>14.305</v>
      </c>
      <c r="E1557" s="4">
        <v>14.3764</v>
      </c>
      <c r="F1557" s="4">
        <f t="shared" si="96"/>
        <v>14.316333333333333</v>
      </c>
      <c r="I1557" s="4" t="s">
        <v>1949</v>
      </c>
      <c r="J1557" s="4">
        <v>14.5428</v>
      </c>
      <c r="K1557" s="4">
        <v>13.461499999999999</v>
      </c>
      <c r="L1557" s="4">
        <v>14.987500000000001</v>
      </c>
      <c r="M1557" s="4">
        <f t="shared" si="97"/>
        <v>14.330599999999999</v>
      </c>
      <c r="Q1557" s="43" t="s">
        <v>3717</v>
      </c>
      <c r="R1557" s="4">
        <v>14.1716260357202</v>
      </c>
      <c r="S1557" s="4">
        <v>14.0915453510222</v>
      </c>
      <c r="T1557" s="4">
        <v>13.9721379882614</v>
      </c>
      <c r="U1557" s="4">
        <f t="shared" si="98"/>
        <v>14.0784364583346</v>
      </c>
      <c r="X1557" s="43" t="s">
        <v>2350</v>
      </c>
      <c r="Y1557" s="4">
        <v>14.135871218597099</v>
      </c>
      <c r="Z1557" s="4">
        <v>14.329375630031</v>
      </c>
      <c r="AA1557" s="4">
        <v>14.1622798211679</v>
      </c>
      <c r="AB1557" s="4">
        <f t="shared" si="99"/>
        <v>14.209175556598666</v>
      </c>
    </row>
    <row r="1558" spans="2:28" x14ac:dyDescent="0.2">
      <c r="B1558" s="4" t="s">
        <v>2218</v>
      </c>
      <c r="C1558" s="4">
        <v>14.3165</v>
      </c>
      <c r="D1558" s="4">
        <v>14.568</v>
      </c>
      <c r="E1558" s="4">
        <v>14.055999999999999</v>
      </c>
      <c r="F1558" s="4">
        <f t="shared" si="96"/>
        <v>14.313499999999999</v>
      </c>
      <c r="I1558" s="4" t="s">
        <v>3011</v>
      </c>
      <c r="J1558" s="4">
        <v>14.552199999999999</v>
      </c>
      <c r="K1558" s="4">
        <v>14.197800000000001</v>
      </c>
      <c r="L1558" s="4">
        <v>14.238200000000001</v>
      </c>
      <c r="M1558" s="4">
        <f t="shared" si="97"/>
        <v>14.3294</v>
      </c>
      <c r="Q1558" s="43" t="s">
        <v>3082</v>
      </c>
      <c r="R1558" s="4">
        <v>14.0741089584757</v>
      </c>
      <c r="S1558" s="4">
        <v>13.983230563315001</v>
      </c>
      <c r="T1558" s="4">
        <v>14.176405759293401</v>
      </c>
      <c r="U1558" s="4">
        <f t="shared" si="98"/>
        <v>14.077915093694701</v>
      </c>
      <c r="X1558" s="43" t="s">
        <v>1014</v>
      </c>
      <c r="Y1558" s="4">
        <v>14.1969482460871</v>
      </c>
      <c r="Z1558" s="4">
        <v>14.3747878935822</v>
      </c>
      <c r="AA1558" s="4">
        <v>14.0538521221862</v>
      </c>
      <c r="AB1558" s="4">
        <f t="shared" si="99"/>
        <v>14.208529420618499</v>
      </c>
    </row>
    <row r="1559" spans="2:28" x14ac:dyDescent="0.2">
      <c r="B1559" s="4" t="s">
        <v>1769</v>
      </c>
      <c r="C1559" s="4">
        <v>14.6473</v>
      </c>
      <c r="D1559" s="4">
        <v>14.4223</v>
      </c>
      <c r="E1559" s="4">
        <v>13.869300000000001</v>
      </c>
      <c r="F1559" s="4">
        <f t="shared" si="96"/>
        <v>14.312966666666668</v>
      </c>
      <c r="I1559" s="4" t="s">
        <v>3398</v>
      </c>
      <c r="J1559" s="4">
        <v>14.171900000000001</v>
      </c>
      <c r="K1559" s="4">
        <v>14.571</v>
      </c>
      <c r="L1559" s="4">
        <v>14.2392</v>
      </c>
      <c r="M1559" s="4">
        <f t="shared" si="97"/>
        <v>14.327366666666668</v>
      </c>
      <c r="Q1559" s="43" t="s">
        <v>4355</v>
      </c>
      <c r="R1559" s="4">
        <v>14.495191712947699</v>
      </c>
      <c r="S1559" s="4">
        <v>14.0301683409405</v>
      </c>
      <c r="T1559" s="4">
        <v>13.7069274457987</v>
      </c>
      <c r="U1559" s="4">
        <f t="shared" si="98"/>
        <v>14.077429166562299</v>
      </c>
      <c r="X1559" s="43" t="s">
        <v>3100</v>
      </c>
      <c r="Y1559" s="4">
        <v>14.1021211564619</v>
      </c>
      <c r="Z1559" s="4">
        <v>14.299737856130101</v>
      </c>
      <c r="AA1559" s="4">
        <v>14.2208397701707</v>
      </c>
      <c r="AB1559" s="4">
        <f t="shared" si="99"/>
        <v>14.207566260920899</v>
      </c>
    </row>
    <row r="1560" spans="2:28" x14ac:dyDescent="0.2">
      <c r="B1560" s="4" t="s">
        <v>1552</v>
      </c>
      <c r="C1560" s="4">
        <v>13.5631</v>
      </c>
      <c r="D1560" s="4">
        <v>14.152799999999999</v>
      </c>
      <c r="E1560" s="4">
        <v>15.218</v>
      </c>
      <c r="F1560" s="4">
        <f t="shared" si="96"/>
        <v>14.311299999999997</v>
      </c>
      <c r="I1560" s="4" t="s">
        <v>3064</v>
      </c>
      <c r="J1560" s="4">
        <v>14.4717</v>
      </c>
      <c r="K1560" s="4">
        <v>14.007899999999999</v>
      </c>
      <c r="L1560" s="4">
        <v>14.491099999999999</v>
      </c>
      <c r="M1560" s="4">
        <f t="shared" si="97"/>
        <v>14.323566666666665</v>
      </c>
      <c r="Q1560" s="43" t="s">
        <v>3777</v>
      </c>
      <c r="R1560" s="4">
        <v>14.1039829343847</v>
      </c>
      <c r="S1560" s="4">
        <v>14.0097090195099</v>
      </c>
      <c r="T1560" s="4">
        <v>14.1129029484105</v>
      </c>
      <c r="U1560" s="4">
        <f t="shared" si="98"/>
        <v>14.075531634101701</v>
      </c>
      <c r="X1560" s="43" t="s">
        <v>3878</v>
      </c>
      <c r="Y1560" s="4">
        <v>14.1115864585061</v>
      </c>
      <c r="Z1560" s="4">
        <v>14.199349958953601</v>
      </c>
      <c r="AA1560" s="4">
        <v>14.3106316823492</v>
      </c>
      <c r="AB1560" s="4">
        <f t="shared" si="99"/>
        <v>14.207189366602966</v>
      </c>
    </row>
    <row r="1561" spans="2:28" x14ac:dyDescent="0.2">
      <c r="B1561" s="4" t="s">
        <v>2904</v>
      </c>
      <c r="C1561" s="4">
        <v>14.4039</v>
      </c>
      <c r="D1561" s="4">
        <v>13.786</v>
      </c>
      <c r="E1561" s="4">
        <v>14.7433</v>
      </c>
      <c r="F1561" s="4">
        <f t="shared" si="96"/>
        <v>14.311066666666667</v>
      </c>
      <c r="I1561" s="4" t="s">
        <v>2216</v>
      </c>
      <c r="J1561" s="4">
        <v>14.448700000000001</v>
      </c>
      <c r="K1561" s="4">
        <v>13.8652</v>
      </c>
      <c r="L1561" s="4">
        <v>14.6554</v>
      </c>
      <c r="M1561" s="4">
        <f t="shared" si="97"/>
        <v>14.323100000000002</v>
      </c>
      <c r="Q1561" s="43" t="s">
        <v>884</v>
      </c>
      <c r="R1561" s="4">
        <v>13.738826047429299</v>
      </c>
      <c r="S1561" s="4">
        <v>14.196375996731</v>
      </c>
      <c r="T1561" s="4">
        <v>14.2748113932739</v>
      </c>
      <c r="U1561" s="4">
        <f t="shared" si="98"/>
        <v>14.070004479144734</v>
      </c>
      <c r="X1561" s="43" t="s">
        <v>2062</v>
      </c>
      <c r="Y1561" s="4">
        <v>14.201040921081001</v>
      </c>
      <c r="Z1561" s="4">
        <v>14.049866580449599</v>
      </c>
      <c r="AA1561" s="4">
        <v>14.3692620138886</v>
      </c>
      <c r="AB1561" s="4">
        <f t="shared" si="99"/>
        <v>14.2067231718064</v>
      </c>
    </row>
    <row r="1562" spans="2:28" x14ac:dyDescent="0.2">
      <c r="B1562" s="4" t="s">
        <v>1686</v>
      </c>
      <c r="C1562" s="4">
        <v>13.914199999999999</v>
      </c>
      <c r="D1562" s="4">
        <v>14.3194</v>
      </c>
      <c r="E1562" s="4">
        <v>14.6972</v>
      </c>
      <c r="F1562" s="4">
        <f t="shared" si="96"/>
        <v>14.310266666666665</v>
      </c>
      <c r="I1562" s="4" t="s">
        <v>3644</v>
      </c>
      <c r="J1562" s="4">
        <v>14.2295</v>
      </c>
      <c r="K1562" s="4">
        <v>14.5204</v>
      </c>
      <c r="L1562" s="4">
        <v>14.2135</v>
      </c>
      <c r="M1562" s="4">
        <f t="shared" si="97"/>
        <v>14.321133333333334</v>
      </c>
      <c r="Q1562" s="43" t="s">
        <v>1534</v>
      </c>
      <c r="R1562" s="4">
        <v>14.249830234006501</v>
      </c>
      <c r="S1562" s="4">
        <v>13.769252012065699</v>
      </c>
      <c r="T1562" s="4">
        <v>14.1899031170218</v>
      </c>
      <c r="U1562" s="4">
        <f t="shared" si="98"/>
        <v>14.069661787698001</v>
      </c>
      <c r="X1562" s="43" t="s">
        <v>1758</v>
      </c>
      <c r="Y1562" s="4">
        <v>14.412288739372</v>
      </c>
      <c r="Z1562" s="4">
        <v>14.1283345337333</v>
      </c>
      <c r="AA1562" s="4">
        <v>14.079397071630099</v>
      </c>
      <c r="AB1562" s="4">
        <f t="shared" si="99"/>
        <v>14.206673448245134</v>
      </c>
    </row>
    <row r="1563" spans="2:28" x14ac:dyDescent="0.2">
      <c r="B1563" s="4" t="s">
        <v>2695</v>
      </c>
      <c r="C1563" s="4">
        <v>14.261699999999999</v>
      </c>
      <c r="D1563" s="4">
        <v>14.381</v>
      </c>
      <c r="E1563" s="4">
        <v>14.2799</v>
      </c>
      <c r="F1563" s="4">
        <f t="shared" si="96"/>
        <v>14.307533333333332</v>
      </c>
      <c r="I1563" s="4" t="s">
        <v>3766</v>
      </c>
      <c r="J1563" s="4">
        <v>14.476800000000001</v>
      </c>
      <c r="K1563" s="4">
        <v>14.2034</v>
      </c>
      <c r="L1563" s="4">
        <v>14.2821</v>
      </c>
      <c r="M1563" s="4">
        <f t="shared" si="97"/>
        <v>14.320766666666666</v>
      </c>
      <c r="Q1563" s="43" t="s">
        <v>484</v>
      </c>
      <c r="R1563" s="4">
        <v>13.991937001367999</v>
      </c>
      <c r="S1563" s="4">
        <v>13.985145345445</v>
      </c>
      <c r="T1563" s="4">
        <v>14.225160384210501</v>
      </c>
      <c r="U1563" s="4">
        <f t="shared" si="98"/>
        <v>14.0674142436745</v>
      </c>
      <c r="X1563" s="43" t="s">
        <v>543</v>
      </c>
      <c r="Y1563" s="4">
        <v>14.3927343316902</v>
      </c>
      <c r="Z1563" s="4">
        <v>14.3027994080393</v>
      </c>
      <c r="AA1563" s="4">
        <v>13.9187498117861</v>
      </c>
      <c r="AB1563" s="4">
        <f t="shared" si="99"/>
        <v>14.204761183838533</v>
      </c>
    </row>
    <row r="1564" spans="2:28" x14ac:dyDescent="0.2">
      <c r="B1564" s="4" t="s">
        <v>2626</v>
      </c>
      <c r="C1564" s="4">
        <v>14.219900000000001</v>
      </c>
      <c r="D1564" s="4">
        <v>14.3584</v>
      </c>
      <c r="E1564" s="4">
        <v>14.344200000000001</v>
      </c>
      <c r="F1564" s="4">
        <f t="shared" si="96"/>
        <v>14.307499999999999</v>
      </c>
      <c r="I1564" s="4" t="s">
        <v>2760</v>
      </c>
      <c r="J1564" s="4">
        <v>14.322800000000001</v>
      </c>
      <c r="K1564" s="4">
        <v>14.4115</v>
      </c>
      <c r="L1564" s="4">
        <v>14.223000000000001</v>
      </c>
      <c r="M1564" s="4">
        <f t="shared" si="97"/>
        <v>14.319100000000001</v>
      </c>
      <c r="Q1564" s="43" t="s">
        <v>1207</v>
      </c>
      <c r="R1564" s="4">
        <v>13.972006418214701</v>
      </c>
      <c r="S1564" s="4">
        <v>14.0004137889718</v>
      </c>
      <c r="T1564" s="4">
        <v>14.229275239227</v>
      </c>
      <c r="U1564" s="4">
        <f t="shared" si="98"/>
        <v>14.067231815471168</v>
      </c>
      <c r="X1564" s="43" t="s">
        <v>2428</v>
      </c>
      <c r="Y1564" s="4">
        <v>14.324877631647601</v>
      </c>
      <c r="Z1564" s="4">
        <v>14.0855599189816</v>
      </c>
      <c r="AA1564" s="4">
        <v>14.2008420820012</v>
      </c>
      <c r="AB1564" s="4">
        <f t="shared" si="99"/>
        <v>14.203759877543467</v>
      </c>
    </row>
    <row r="1565" spans="2:28" x14ac:dyDescent="0.2">
      <c r="B1565" s="4" t="s">
        <v>3809</v>
      </c>
      <c r="C1565" s="4">
        <v>14.2225</v>
      </c>
      <c r="D1565" s="4">
        <v>14.2813</v>
      </c>
      <c r="E1565" s="4">
        <v>14.4115</v>
      </c>
      <c r="F1565" s="4">
        <f t="shared" si="96"/>
        <v>14.305100000000001</v>
      </c>
      <c r="I1565" s="4" t="s">
        <v>3202</v>
      </c>
      <c r="J1565" s="4">
        <v>14.5625</v>
      </c>
      <c r="K1565" s="4">
        <v>13.856299999999999</v>
      </c>
      <c r="L1565" s="4">
        <v>14.5379</v>
      </c>
      <c r="M1565" s="4">
        <f t="shared" si="97"/>
        <v>14.318899999999999</v>
      </c>
      <c r="Q1565" s="43" t="s">
        <v>3934</v>
      </c>
      <c r="R1565" s="4">
        <v>14.2679327426185</v>
      </c>
      <c r="S1565" s="4">
        <v>13.872243968291301</v>
      </c>
      <c r="T1565" s="4">
        <v>14.0607488238449</v>
      </c>
      <c r="U1565" s="4">
        <f t="shared" si="98"/>
        <v>14.066975178251568</v>
      </c>
      <c r="X1565" s="43" t="s">
        <v>2993</v>
      </c>
      <c r="Y1565" s="4">
        <v>13.6789725193679</v>
      </c>
      <c r="Z1565" s="4">
        <v>14.0502517124407</v>
      </c>
      <c r="AA1565" s="4">
        <v>14.8722614224551</v>
      </c>
      <c r="AB1565" s="4">
        <f t="shared" si="99"/>
        <v>14.2004952180879</v>
      </c>
    </row>
    <row r="1566" spans="2:28" x14ac:dyDescent="0.2">
      <c r="B1566" s="4" t="s">
        <v>304</v>
      </c>
      <c r="C1566" s="4">
        <v>14.396800000000001</v>
      </c>
      <c r="D1566" s="4">
        <v>14.239000000000001</v>
      </c>
      <c r="E1566" s="4">
        <v>14.279</v>
      </c>
      <c r="F1566" s="4">
        <f t="shared" si="96"/>
        <v>14.304933333333333</v>
      </c>
      <c r="I1566" s="4" t="s">
        <v>2742</v>
      </c>
      <c r="J1566" s="4">
        <v>14.407299999999999</v>
      </c>
      <c r="K1566" s="4">
        <v>14.154500000000001</v>
      </c>
      <c r="L1566" s="4">
        <v>14.393700000000001</v>
      </c>
      <c r="M1566" s="4">
        <f t="shared" si="97"/>
        <v>14.3185</v>
      </c>
      <c r="Q1566" s="43" t="s">
        <v>3903</v>
      </c>
      <c r="R1566" s="4">
        <v>14.1911439365707</v>
      </c>
      <c r="S1566" s="4">
        <v>13.9718951103827</v>
      </c>
      <c r="T1566" s="4">
        <v>14.0358632032901</v>
      </c>
      <c r="U1566" s="4">
        <f t="shared" si="98"/>
        <v>14.066300750081167</v>
      </c>
      <c r="X1566" s="43" t="s">
        <v>2741</v>
      </c>
      <c r="Y1566" s="4">
        <v>13.9845460886468</v>
      </c>
      <c r="Z1566" s="4">
        <v>14.3878552292359</v>
      </c>
      <c r="AA1566" s="4">
        <v>14.212635655299501</v>
      </c>
      <c r="AB1566" s="4">
        <f t="shared" si="99"/>
        <v>14.195012324394066</v>
      </c>
    </row>
    <row r="1567" spans="2:28" x14ac:dyDescent="0.2">
      <c r="B1567" s="4" t="s">
        <v>2689</v>
      </c>
      <c r="C1567" s="4">
        <v>14.3901</v>
      </c>
      <c r="D1567" s="4">
        <v>14.224600000000001</v>
      </c>
      <c r="E1567" s="4">
        <v>14.292400000000001</v>
      </c>
      <c r="F1567" s="4">
        <f t="shared" si="96"/>
        <v>14.302366666666666</v>
      </c>
      <c r="I1567" s="4" t="s">
        <v>3514</v>
      </c>
      <c r="J1567" s="4">
        <v>14.3209</v>
      </c>
      <c r="K1567" s="4">
        <v>13.9505</v>
      </c>
      <c r="L1567" s="4">
        <v>14.6805</v>
      </c>
      <c r="M1567" s="4">
        <f t="shared" si="97"/>
        <v>14.317300000000001</v>
      </c>
      <c r="Q1567" s="43" t="s">
        <v>1949</v>
      </c>
      <c r="R1567" s="4">
        <v>13.818123500646101</v>
      </c>
      <c r="S1567" s="4">
        <v>14.233176131416201</v>
      </c>
      <c r="T1567" s="4">
        <v>14.1442094980966</v>
      </c>
      <c r="U1567" s="4">
        <f t="shared" si="98"/>
        <v>14.065169710052968</v>
      </c>
      <c r="X1567" s="43" t="s">
        <v>4312</v>
      </c>
      <c r="Y1567" s="4">
        <v>14.3063978337705</v>
      </c>
      <c r="Z1567" s="4">
        <v>14.1497428822505</v>
      </c>
      <c r="AA1567" s="4">
        <v>14.1178311742052</v>
      </c>
      <c r="AB1567" s="4">
        <f t="shared" si="99"/>
        <v>14.191323963408735</v>
      </c>
    </row>
    <row r="1568" spans="2:28" x14ac:dyDescent="0.2">
      <c r="B1568" s="4" t="s">
        <v>223</v>
      </c>
      <c r="C1568" s="4">
        <v>14.396599999999999</v>
      </c>
      <c r="D1568" s="4">
        <v>14.3855</v>
      </c>
      <c r="E1568" s="4">
        <v>14.1175</v>
      </c>
      <c r="F1568" s="4">
        <f t="shared" si="96"/>
        <v>14.299866666666667</v>
      </c>
      <c r="I1568" s="4" t="s">
        <v>205</v>
      </c>
      <c r="J1568" s="4">
        <v>14.191599999999999</v>
      </c>
      <c r="K1568" s="4">
        <v>14.7315</v>
      </c>
      <c r="L1568" s="4">
        <v>14.028</v>
      </c>
      <c r="M1568" s="4">
        <f t="shared" si="97"/>
        <v>14.317033333333333</v>
      </c>
      <c r="Q1568" s="43" t="s">
        <v>2418</v>
      </c>
      <c r="R1568" s="4">
        <v>13.8943724928076</v>
      </c>
      <c r="S1568" s="4">
        <v>14.3173750287137</v>
      </c>
      <c r="T1568" s="4">
        <v>13.981492664743</v>
      </c>
      <c r="U1568" s="4">
        <f t="shared" si="98"/>
        <v>14.064413395421433</v>
      </c>
      <c r="X1568" s="43" t="s">
        <v>2691</v>
      </c>
      <c r="Y1568" s="4">
        <v>14.1864722879967</v>
      </c>
      <c r="Z1568" s="4">
        <v>14.3304065440946</v>
      </c>
      <c r="AA1568" s="4">
        <v>14.0540975410198</v>
      </c>
      <c r="AB1568" s="4">
        <f t="shared" si="99"/>
        <v>14.1903254577037</v>
      </c>
    </row>
    <row r="1569" spans="2:28" x14ac:dyDescent="0.2">
      <c r="B1569" s="4" t="s">
        <v>1299</v>
      </c>
      <c r="C1569" s="4">
        <v>14.701499999999999</v>
      </c>
      <c r="D1569" s="4">
        <v>14.1136</v>
      </c>
      <c r="E1569" s="4">
        <v>14.084199999999999</v>
      </c>
      <c r="F1569" s="4">
        <f t="shared" si="96"/>
        <v>14.299766666666665</v>
      </c>
      <c r="I1569" s="4" t="s">
        <v>445</v>
      </c>
      <c r="J1569" s="4">
        <v>14.491</v>
      </c>
      <c r="K1569" s="4">
        <v>14.0997</v>
      </c>
      <c r="L1569" s="4">
        <v>14.3589</v>
      </c>
      <c r="M1569" s="4">
        <f t="shared" si="97"/>
        <v>14.316533333333332</v>
      </c>
      <c r="Q1569" s="43" t="s">
        <v>2323</v>
      </c>
      <c r="R1569" s="4">
        <v>14.0977292654237</v>
      </c>
      <c r="S1569" s="4">
        <v>14.0043395873065</v>
      </c>
      <c r="T1569" s="4">
        <v>14.0869311824019</v>
      </c>
      <c r="U1569" s="4">
        <f t="shared" si="98"/>
        <v>14.063000011710699</v>
      </c>
      <c r="X1569" s="43" t="s">
        <v>3022</v>
      </c>
      <c r="Y1569" s="4">
        <v>14.245535370032201</v>
      </c>
      <c r="Z1569" s="4">
        <v>13.891588712297001</v>
      </c>
      <c r="AA1569" s="4">
        <v>14.432910234936999</v>
      </c>
      <c r="AB1569" s="4">
        <f t="shared" si="99"/>
        <v>14.190011439088734</v>
      </c>
    </row>
    <row r="1570" spans="2:28" x14ac:dyDescent="0.2">
      <c r="B1570" s="4" t="s">
        <v>1388</v>
      </c>
      <c r="C1570" s="4">
        <v>14.957800000000001</v>
      </c>
      <c r="D1570" s="4">
        <v>14.046099999999999</v>
      </c>
      <c r="E1570" s="4">
        <v>13.8912</v>
      </c>
      <c r="F1570" s="4">
        <f t="shared" si="96"/>
        <v>14.298366666666666</v>
      </c>
      <c r="I1570" s="4" t="s">
        <v>2183</v>
      </c>
      <c r="J1570" s="4">
        <v>13.9095</v>
      </c>
      <c r="K1570" s="4">
        <v>15.0411</v>
      </c>
      <c r="L1570" s="4">
        <v>13.996499999999999</v>
      </c>
      <c r="M1570" s="4">
        <f t="shared" si="97"/>
        <v>14.3157</v>
      </c>
      <c r="Q1570" s="43" t="s">
        <v>720</v>
      </c>
      <c r="R1570" s="4">
        <v>13.872805414422601</v>
      </c>
      <c r="S1570" s="4">
        <v>13.9257628342886</v>
      </c>
      <c r="T1570" s="4">
        <v>14.3837625282699</v>
      </c>
      <c r="U1570" s="4">
        <f t="shared" si="98"/>
        <v>14.060776925660365</v>
      </c>
      <c r="X1570" s="43" t="s">
        <v>3683</v>
      </c>
      <c r="Y1570" s="4">
        <v>14.1732026119802</v>
      </c>
      <c r="Z1570" s="4">
        <v>14.3755355650311</v>
      </c>
      <c r="AA1570" s="4">
        <v>14.020404143298601</v>
      </c>
      <c r="AB1570" s="4">
        <f t="shared" si="99"/>
        <v>14.189714106769967</v>
      </c>
    </row>
    <row r="1571" spans="2:28" x14ac:dyDescent="0.2">
      <c r="B1571" s="4" t="s">
        <v>2871</v>
      </c>
      <c r="C1571" s="4">
        <v>14.7178</v>
      </c>
      <c r="D1571" s="4">
        <v>14.417299999999999</v>
      </c>
      <c r="E1571" s="4">
        <v>13.7577</v>
      </c>
      <c r="F1571" s="4">
        <f t="shared" si="96"/>
        <v>14.297600000000001</v>
      </c>
      <c r="I1571" s="4" t="s">
        <v>3616</v>
      </c>
      <c r="J1571" s="4">
        <v>14.1829</v>
      </c>
      <c r="K1571" s="4">
        <v>14.349399999999999</v>
      </c>
      <c r="L1571" s="4">
        <v>14.414199999999999</v>
      </c>
      <c r="M1571" s="4">
        <f t="shared" si="97"/>
        <v>14.3155</v>
      </c>
      <c r="Q1571" s="43" t="s">
        <v>3265</v>
      </c>
      <c r="R1571" s="4">
        <v>13.7938611862445</v>
      </c>
      <c r="S1571" s="4">
        <v>14.358359879510701</v>
      </c>
      <c r="T1571" s="4">
        <v>14.026054286492</v>
      </c>
      <c r="U1571" s="4">
        <f t="shared" si="98"/>
        <v>14.059425117415733</v>
      </c>
      <c r="X1571" s="43" t="s">
        <v>771</v>
      </c>
      <c r="Y1571" s="4">
        <v>14.0585550684482</v>
      </c>
      <c r="Z1571" s="4">
        <v>14.1987844994824</v>
      </c>
      <c r="AA1571" s="4">
        <v>14.3107297643551</v>
      </c>
      <c r="AB1571" s="4">
        <f t="shared" si="99"/>
        <v>14.189356444095234</v>
      </c>
    </row>
    <row r="1572" spans="2:28" x14ac:dyDescent="0.2">
      <c r="B1572" s="4" t="s">
        <v>3309</v>
      </c>
      <c r="C1572" s="4">
        <v>14.5306</v>
      </c>
      <c r="D1572" s="4">
        <v>14.276999999999999</v>
      </c>
      <c r="E1572" s="4">
        <v>14.0771</v>
      </c>
      <c r="F1572" s="4">
        <f t="shared" si="96"/>
        <v>14.2949</v>
      </c>
      <c r="I1572" s="4" t="s">
        <v>2869</v>
      </c>
      <c r="J1572" s="4">
        <v>14.543900000000001</v>
      </c>
      <c r="K1572" s="4">
        <v>13.6069</v>
      </c>
      <c r="L1572" s="4">
        <v>14.787000000000001</v>
      </c>
      <c r="M1572" s="4">
        <f t="shared" si="97"/>
        <v>14.312600000000002</v>
      </c>
      <c r="Q1572" s="43" t="s">
        <v>1809</v>
      </c>
      <c r="R1572" s="4">
        <v>13.950735641673701</v>
      </c>
      <c r="S1572" s="4">
        <v>14.1823607018156</v>
      </c>
      <c r="T1572" s="4">
        <v>14.043296364410301</v>
      </c>
      <c r="U1572" s="4">
        <f t="shared" si="98"/>
        <v>14.058797569299868</v>
      </c>
      <c r="X1572" s="43" t="s">
        <v>2752</v>
      </c>
      <c r="Y1572" s="4">
        <v>14.2702855154775</v>
      </c>
      <c r="Z1572" s="4">
        <v>14.3105683947614</v>
      </c>
      <c r="AA1572" s="4">
        <v>13.9869666873392</v>
      </c>
      <c r="AB1572" s="4">
        <f t="shared" si="99"/>
        <v>14.189273532526032</v>
      </c>
    </row>
    <row r="1573" spans="2:28" x14ac:dyDescent="0.2">
      <c r="B1573" s="4" t="s">
        <v>1755</v>
      </c>
      <c r="C1573" s="4">
        <v>14.3065</v>
      </c>
      <c r="D1573" s="4">
        <v>14.286799999999999</v>
      </c>
      <c r="E1573" s="4">
        <v>14.288600000000001</v>
      </c>
      <c r="F1573" s="4">
        <f t="shared" si="96"/>
        <v>14.293966666666668</v>
      </c>
      <c r="I1573" s="4" t="s">
        <v>1682</v>
      </c>
      <c r="J1573" s="4">
        <v>14.207599999999999</v>
      </c>
      <c r="K1573" s="4">
        <v>14.3424</v>
      </c>
      <c r="L1573" s="4">
        <v>14.382899999999999</v>
      </c>
      <c r="M1573" s="4">
        <f t="shared" si="97"/>
        <v>14.310966666666666</v>
      </c>
      <c r="Q1573" s="43" t="s">
        <v>131</v>
      </c>
      <c r="R1573" s="4">
        <v>14.1651019783423</v>
      </c>
      <c r="S1573" s="4">
        <v>14.0765112085632</v>
      </c>
      <c r="T1573" s="4">
        <v>13.928731400139901</v>
      </c>
      <c r="U1573" s="4">
        <f t="shared" si="98"/>
        <v>14.056781529015133</v>
      </c>
      <c r="X1573" s="43" t="s">
        <v>3469</v>
      </c>
      <c r="Y1573" s="4">
        <v>14.207396521212999</v>
      </c>
      <c r="Z1573" s="4">
        <v>14.241511041862999</v>
      </c>
      <c r="AA1573" s="4">
        <v>14.110947079563701</v>
      </c>
      <c r="AB1573" s="4">
        <f t="shared" si="99"/>
        <v>14.186618214213233</v>
      </c>
    </row>
    <row r="1574" spans="2:28" x14ac:dyDescent="0.2">
      <c r="B1574" s="4" t="s">
        <v>1881</v>
      </c>
      <c r="C1574" s="4">
        <v>13.6073</v>
      </c>
      <c r="D1574" s="4">
        <v>14.4551</v>
      </c>
      <c r="E1574" s="4">
        <v>14.811999999999999</v>
      </c>
      <c r="F1574" s="4">
        <f t="shared" si="96"/>
        <v>14.291466666666667</v>
      </c>
      <c r="I1574" s="4" t="s">
        <v>861</v>
      </c>
      <c r="J1574" s="4">
        <v>14.3011</v>
      </c>
      <c r="K1574" s="4">
        <v>14.129799999999999</v>
      </c>
      <c r="L1574" s="4">
        <v>14.489599999999999</v>
      </c>
      <c r="M1574" s="4">
        <f t="shared" si="97"/>
        <v>14.306833333333335</v>
      </c>
      <c r="Q1574" s="43" t="s">
        <v>741</v>
      </c>
      <c r="R1574" s="4">
        <v>14.1035657956803</v>
      </c>
      <c r="S1574" s="4">
        <v>13.7448428210758</v>
      </c>
      <c r="T1574" s="4">
        <v>14.3071544845864</v>
      </c>
      <c r="U1574" s="4">
        <f t="shared" si="98"/>
        <v>14.051854367114167</v>
      </c>
      <c r="X1574" s="43" t="s">
        <v>845</v>
      </c>
      <c r="Y1574" s="4">
        <v>14.167154339352299</v>
      </c>
      <c r="Z1574" s="4">
        <v>14.207106042151199</v>
      </c>
      <c r="AA1574" s="4">
        <v>14.183559583446</v>
      </c>
      <c r="AB1574" s="4">
        <f t="shared" si="99"/>
        <v>14.185939988316498</v>
      </c>
    </row>
    <row r="1575" spans="2:28" x14ac:dyDescent="0.2">
      <c r="B1575" s="4" t="s">
        <v>1310</v>
      </c>
      <c r="C1575" s="4">
        <v>13.683400000000001</v>
      </c>
      <c r="D1575" s="4">
        <v>14.5168</v>
      </c>
      <c r="E1575" s="4">
        <v>14.670500000000001</v>
      </c>
      <c r="F1575" s="4">
        <f t="shared" si="96"/>
        <v>14.290233333333333</v>
      </c>
      <c r="I1575" s="4" t="s">
        <v>1432</v>
      </c>
      <c r="J1575" s="4">
        <v>13.9861</v>
      </c>
      <c r="K1575" s="4">
        <v>14.7044</v>
      </c>
      <c r="L1575" s="4">
        <v>14.2281</v>
      </c>
      <c r="M1575" s="4">
        <f t="shared" si="97"/>
        <v>14.306199999999999</v>
      </c>
      <c r="Q1575" s="43" t="s">
        <v>3156</v>
      </c>
      <c r="R1575" s="4">
        <v>14.241046441745199</v>
      </c>
      <c r="S1575" s="4">
        <v>13.8727491020723</v>
      </c>
      <c r="T1575" s="4">
        <v>14.0379515315284</v>
      </c>
      <c r="U1575" s="4">
        <f t="shared" si="98"/>
        <v>14.050582358448631</v>
      </c>
      <c r="X1575" s="43" t="s">
        <v>3263</v>
      </c>
      <c r="Y1575" s="4">
        <v>14.1351231595433</v>
      </c>
      <c r="Z1575" s="4">
        <v>14.3794829032514</v>
      </c>
      <c r="AA1575" s="4">
        <v>14.038736057541801</v>
      </c>
      <c r="AB1575" s="4">
        <f t="shared" si="99"/>
        <v>14.184447373445499</v>
      </c>
    </row>
    <row r="1576" spans="2:28" x14ac:dyDescent="0.2">
      <c r="B1576" s="4" t="s">
        <v>2016</v>
      </c>
      <c r="C1576" s="4">
        <v>13.8375</v>
      </c>
      <c r="D1576" s="4">
        <v>14.089700000000001</v>
      </c>
      <c r="E1576" s="4">
        <v>14.9414</v>
      </c>
      <c r="F1576" s="4">
        <f t="shared" si="96"/>
        <v>14.289533333333333</v>
      </c>
      <c r="I1576" s="4" t="s">
        <v>1969</v>
      </c>
      <c r="J1576" s="4">
        <v>14.385999999999999</v>
      </c>
      <c r="K1576" s="4">
        <v>14.256600000000001</v>
      </c>
      <c r="L1576" s="4">
        <v>14.2706</v>
      </c>
      <c r="M1576" s="4">
        <f t="shared" si="97"/>
        <v>14.304400000000001</v>
      </c>
      <c r="Q1576" s="43" t="s">
        <v>3366</v>
      </c>
      <c r="R1576" s="4">
        <v>13.904794430258599</v>
      </c>
      <c r="S1576" s="4">
        <v>14.088296823650801</v>
      </c>
      <c r="T1576" s="4">
        <v>14.150485970756201</v>
      </c>
      <c r="U1576" s="4">
        <f t="shared" si="98"/>
        <v>14.047859074888533</v>
      </c>
      <c r="X1576" s="43" t="s">
        <v>1486</v>
      </c>
      <c r="Y1576" s="4">
        <v>14.069021758812401</v>
      </c>
      <c r="Z1576" s="4">
        <v>14.1163996204452</v>
      </c>
      <c r="AA1576" s="4">
        <v>14.3658462295503</v>
      </c>
      <c r="AB1576" s="4">
        <f t="shared" si="99"/>
        <v>14.183755869602635</v>
      </c>
    </row>
    <row r="1577" spans="2:28" x14ac:dyDescent="0.2">
      <c r="B1577" s="4" t="s">
        <v>504</v>
      </c>
      <c r="C1577" s="4">
        <v>14.4772</v>
      </c>
      <c r="D1577" s="4">
        <v>14.0185</v>
      </c>
      <c r="E1577" s="4">
        <v>14.370100000000001</v>
      </c>
      <c r="F1577" s="4">
        <f t="shared" si="96"/>
        <v>14.288600000000001</v>
      </c>
      <c r="I1577" s="4" t="s">
        <v>2351</v>
      </c>
      <c r="J1577" s="4">
        <v>14.3774</v>
      </c>
      <c r="K1577" s="4">
        <v>14.084300000000001</v>
      </c>
      <c r="L1577" s="4">
        <v>14.428699999999999</v>
      </c>
      <c r="M1577" s="4">
        <f t="shared" si="97"/>
        <v>14.296799999999999</v>
      </c>
      <c r="Q1577" s="43" t="s">
        <v>3407</v>
      </c>
      <c r="R1577" s="4">
        <v>14.0822618508357</v>
      </c>
      <c r="S1577" s="4">
        <v>14.0171897527238</v>
      </c>
      <c r="T1577" s="4">
        <v>14.042051303576701</v>
      </c>
      <c r="U1577" s="4">
        <f t="shared" si="98"/>
        <v>14.047167635712066</v>
      </c>
      <c r="X1577" s="43" t="s">
        <v>3219</v>
      </c>
      <c r="Y1577" s="4">
        <v>14.177141927623101</v>
      </c>
      <c r="Z1577" s="4">
        <v>14.2037181393416</v>
      </c>
      <c r="AA1577" s="4">
        <v>14.168803318334501</v>
      </c>
      <c r="AB1577" s="4">
        <f t="shared" si="99"/>
        <v>14.183221128433066</v>
      </c>
    </row>
    <row r="1578" spans="2:28" x14ac:dyDescent="0.2">
      <c r="B1578" s="4" t="s">
        <v>1805</v>
      </c>
      <c r="C1578" s="4">
        <v>13.8034</v>
      </c>
      <c r="D1578" s="4">
        <v>14.394600000000001</v>
      </c>
      <c r="E1578" s="4">
        <v>14.667400000000001</v>
      </c>
      <c r="F1578" s="4">
        <f t="shared" si="96"/>
        <v>14.288466666666666</v>
      </c>
      <c r="I1578" s="4" t="s">
        <v>2196</v>
      </c>
      <c r="J1578" s="4">
        <v>14.4595</v>
      </c>
      <c r="K1578" s="4">
        <v>13.908799999999999</v>
      </c>
      <c r="L1578" s="4">
        <v>14.521800000000001</v>
      </c>
      <c r="M1578" s="4">
        <f t="shared" si="97"/>
        <v>14.2967</v>
      </c>
      <c r="Q1578" s="43" t="s">
        <v>3254</v>
      </c>
      <c r="R1578" s="4">
        <v>13.868311821540701</v>
      </c>
      <c r="S1578" s="4">
        <v>14.105778322083999</v>
      </c>
      <c r="T1578" s="4">
        <v>14.1582168318764</v>
      </c>
      <c r="U1578" s="4">
        <f t="shared" si="98"/>
        <v>14.044102325167033</v>
      </c>
      <c r="X1578" s="43" t="s">
        <v>1009</v>
      </c>
      <c r="Y1578" s="4">
        <v>14.051286411721</v>
      </c>
      <c r="Z1578" s="4">
        <v>14.311637552238601</v>
      </c>
      <c r="AA1578" s="4">
        <v>14.1866503457444</v>
      </c>
      <c r="AB1578" s="4">
        <f t="shared" si="99"/>
        <v>14.183191436568</v>
      </c>
    </row>
    <row r="1579" spans="2:28" x14ac:dyDescent="0.2">
      <c r="B1579" s="4" t="s">
        <v>1837</v>
      </c>
      <c r="C1579" s="4">
        <v>14.3362</v>
      </c>
      <c r="D1579" s="4">
        <v>14.3018</v>
      </c>
      <c r="E1579" s="4">
        <v>14.2234</v>
      </c>
      <c r="F1579" s="4">
        <f t="shared" si="96"/>
        <v>14.287133333333331</v>
      </c>
      <c r="I1579" s="4" t="s">
        <v>1327</v>
      </c>
      <c r="J1579" s="4">
        <v>14.392200000000001</v>
      </c>
      <c r="K1579" s="4">
        <v>14.137</v>
      </c>
      <c r="L1579" s="4">
        <v>14.3596</v>
      </c>
      <c r="M1579" s="4">
        <f t="shared" si="97"/>
        <v>14.296266666666668</v>
      </c>
      <c r="Q1579" s="43" t="s">
        <v>4269</v>
      </c>
      <c r="R1579" s="4">
        <v>14.1641087933739</v>
      </c>
      <c r="S1579" s="4">
        <v>14.0093824534577</v>
      </c>
      <c r="T1579" s="4">
        <v>13.9574537954212</v>
      </c>
      <c r="U1579" s="4">
        <f t="shared" si="98"/>
        <v>14.043648347417601</v>
      </c>
      <c r="X1579" s="43" t="s">
        <v>3940</v>
      </c>
      <c r="Y1579" s="4">
        <v>13.986126364047699</v>
      </c>
      <c r="Z1579" s="4">
        <v>14.235504022829801</v>
      </c>
      <c r="AA1579" s="4">
        <v>14.3211453411182</v>
      </c>
      <c r="AB1579" s="4">
        <f t="shared" si="99"/>
        <v>14.180925242665234</v>
      </c>
    </row>
    <row r="1580" spans="2:28" x14ac:dyDescent="0.2">
      <c r="B1580" s="4" t="s">
        <v>3113</v>
      </c>
      <c r="C1580" s="4">
        <v>14.689</v>
      </c>
      <c r="D1580" s="4">
        <v>14.379300000000001</v>
      </c>
      <c r="E1580" s="4">
        <v>13.791399999999999</v>
      </c>
      <c r="F1580" s="4">
        <f t="shared" si="96"/>
        <v>14.286566666666667</v>
      </c>
      <c r="I1580" s="4" t="s">
        <v>2889</v>
      </c>
      <c r="J1580" s="4">
        <v>14.051299999999999</v>
      </c>
      <c r="K1580" s="4">
        <v>14.657500000000001</v>
      </c>
      <c r="L1580" s="4">
        <v>14.179500000000001</v>
      </c>
      <c r="M1580" s="4">
        <f t="shared" si="97"/>
        <v>14.296100000000001</v>
      </c>
      <c r="Q1580" s="43" t="s">
        <v>3595</v>
      </c>
      <c r="R1580" s="4">
        <v>14.145448828497001</v>
      </c>
      <c r="S1580" s="4">
        <v>13.967564096012699</v>
      </c>
      <c r="T1580" s="4">
        <v>14.0171505716061</v>
      </c>
      <c r="U1580" s="4">
        <f t="shared" si="98"/>
        <v>14.043387832038599</v>
      </c>
      <c r="X1580" s="43" t="s">
        <v>2558</v>
      </c>
      <c r="Y1580" s="4">
        <v>14.2106329172949</v>
      </c>
      <c r="Z1580" s="4">
        <v>13.9870889040122</v>
      </c>
      <c r="AA1580" s="4">
        <v>14.3436855987848</v>
      </c>
      <c r="AB1580" s="4">
        <f t="shared" si="99"/>
        <v>14.180469140030633</v>
      </c>
    </row>
    <row r="1581" spans="2:28" x14ac:dyDescent="0.2">
      <c r="B1581" s="4" t="s">
        <v>2834</v>
      </c>
      <c r="C1581" s="4">
        <v>14.2079</v>
      </c>
      <c r="D1581" s="4">
        <v>14.2843</v>
      </c>
      <c r="E1581" s="4">
        <v>14.352499999999999</v>
      </c>
      <c r="F1581" s="4">
        <f t="shared" si="96"/>
        <v>14.281566666666668</v>
      </c>
      <c r="I1581" s="4" t="s">
        <v>2256</v>
      </c>
      <c r="J1581" s="4">
        <v>14.095599999999999</v>
      </c>
      <c r="K1581" s="4">
        <v>14.545</v>
      </c>
      <c r="L1581" s="4">
        <v>14.2415</v>
      </c>
      <c r="M1581" s="4">
        <f t="shared" si="97"/>
        <v>14.294033333333333</v>
      </c>
      <c r="Q1581" s="43" t="s">
        <v>1033</v>
      </c>
      <c r="R1581" s="4">
        <v>14.446068313426901</v>
      </c>
      <c r="S1581" s="4">
        <v>13.608565679306199</v>
      </c>
      <c r="T1581" s="4">
        <v>14.074766582659301</v>
      </c>
      <c r="U1581" s="4">
        <f t="shared" si="98"/>
        <v>14.0431335251308</v>
      </c>
      <c r="X1581" s="43" t="s">
        <v>1768</v>
      </c>
      <c r="Y1581" s="4">
        <v>14.409112005068</v>
      </c>
      <c r="Z1581" s="4">
        <v>14.0751276458156</v>
      </c>
      <c r="AA1581" s="4">
        <v>14.0554419276232</v>
      </c>
      <c r="AB1581" s="4">
        <f t="shared" si="99"/>
        <v>14.179893859502267</v>
      </c>
    </row>
    <row r="1582" spans="2:28" x14ac:dyDescent="0.2">
      <c r="B1582" s="4" t="s">
        <v>3132</v>
      </c>
      <c r="C1582" s="4">
        <v>14.1791</v>
      </c>
      <c r="D1582" s="4">
        <v>14.2522</v>
      </c>
      <c r="E1582" s="4">
        <v>14.411300000000001</v>
      </c>
      <c r="F1582" s="4">
        <f t="shared" si="96"/>
        <v>14.280866666666668</v>
      </c>
      <c r="I1582" s="4" t="s">
        <v>2016</v>
      </c>
      <c r="J1582" s="4">
        <v>14.3659</v>
      </c>
      <c r="K1582" s="4">
        <v>14.1716</v>
      </c>
      <c r="L1582" s="4">
        <v>14.3436</v>
      </c>
      <c r="M1582" s="4">
        <f t="shared" si="97"/>
        <v>14.293700000000001</v>
      </c>
      <c r="Q1582" s="43" t="s">
        <v>3112</v>
      </c>
      <c r="R1582" s="4">
        <v>13.7465876150409</v>
      </c>
      <c r="S1582" s="4">
        <v>14.1341727396037</v>
      </c>
      <c r="T1582" s="4">
        <v>14.245269032337299</v>
      </c>
      <c r="U1582" s="4">
        <f t="shared" si="98"/>
        <v>14.042009795660633</v>
      </c>
      <c r="X1582" s="43" t="s">
        <v>3965</v>
      </c>
      <c r="Y1582" s="4">
        <v>14.2791646118696</v>
      </c>
      <c r="Z1582" s="4">
        <v>14.2846202904114</v>
      </c>
      <c r="AA1582" s="4">
        <v>13.97395754942</v>
      </c>
      <c r="AB1582" s="4">
        <f t="shared" si="99"/>
        <v>14.179247483900333</v>
      </c>
    </row>
    <row r="1583" spans="2:28" x14ac:dyDescent="0.2">
      <c r="B1583" s="4" t="s">
        <v>720</v>
      </c>
      <c r="C1583" s="4">
        <v>13.844099999999999</v>
      </c>
      <c r="D1583" s="4">
        <v>14.1037</v>
      </c>
      <c r="E1583" s="4">
        <v>14.892899999999999</v>
      </c>
      <c r="F1583" s="4">
        <f t="shared" si="96"/>
        <v>14.280233333333333</v>
      </c>
      <c r="I1583" s="4" t="s">
        <v>1268</v>
      </c>
      <c r="J1583" s="4">
        <v>14.3979</v>
      </c>
      <c r="K1583" s="4">
        <v>14.323700000000001</v>
      </c>
      <c r="L1583" s="4">
        <v>14.153600000000001</v>
      </c>
      <c r="M1583" s="4">
        <f t="shared" si="97"/>
        <v>14.291733333333335</v>
      </c>
      <c r="Q1583" s="43" t="s">
        <v>2445</v>
      </c>
      <c r="R1583" s="4">
        <v>13.873444407563699</v>
      </c>
      <c r="S1583" s="4">
        <v>14.1399988905002</v>
      </c>
      <c r="T1583" s="4">
        <v>14.1123816274684</v>
      </c>
      <c r="U1583" s="4">
        <f t="shared" si="98"/>
        <v>14.041941641844099</v>
      </c>
      <c r="X1583" s="43" t="s">
        <v>3581</v>
      </c>
      <c r="Y1583" s="4">
        <v>14.161477946928899</v>
      </c>
      <c r="Z1583" s="4">
        <v>14.120608391083101</v>
      </c>
      <c r="AA1583" s="4">
        <v>14.2541813208306</v>
      </c>
      <c r="AB1583" s="4">
        <f t="shared" si="99"/>
        <v>14.178755886280868</v>
      </c>
    </row>
    <row r="1584" spans="2:28" x14ac:dyDescent="0.2">
      <c r="B1584" s="4" t="s">
        <v>3637</v>
      </c>
      <c r="C1584" s="4">
        <v>14.0832</v>
      </c>
      <c r="D1584" s="4">
        <v>14.319100000000001</v>
      </c>
      <c r="E1584" s="4">
        <v>14.4259</v>
      </c>
      <c r="F1584" s="4">
        <f t="shared" si="96"/>
        <v>14.276066666666667</v>
      </c>
      <c r="I1584" s="4" t="s">
        <v>581</v>
      </c>
      <c r="J1584" s="4">
        <v>14.5489</v>
      </c>
      <c r="K1584" s="4">
        <v>13.7712</v>
      </c>
      <c r="L1584" s="4">
        <v>14.5528</v>
      </c>
      <c r="M1584" s="4">
        <f t="shared" si="97"/>
        <v>14.290966666666668</v>
      </c>
      <c r="Q1584" s="43" t="s">
        <v>1018</v>
      </c>
      <c r="R1584" s="4">
        <v>14.180017247061899</v>
      </c>
      <c r="S1584" s="4">
        <v>14.0300370843471</v>
      </c>
      <c r="T1584" s="4">
        <v>13.9153292827991</v>
      </c>
      <c r="U1584" s="4">
        <f t="shared" si="98"/>
        <v>14.041794538069366</v>
      </c>
      <c r="X1584" s="43" t="s">
        <v>2363</v>
      </c>
      <c r="Y1584" s="4">
        <v>14.187223466491201</v>
      </c>
      <c r="Z1584" s="4">
        <v>14.316756273919401</v>
      </c>
      <c r="AA1584" s="4">
        <v>14.023355437628901</v>
      </c>
      <c r="AB1584" s="4">
        <f t="shared" si="99"/>
        <v>14.175778392679833</v>
      </c>
    </row>
    <row r="1585" spans="2:28" x14ac:dyDescent="0.2">
      <c r="B1585" s="4" t="s">
        <v>2539</v>
      </c>
      <c r="C1585" s="4">
        <v>14.415800000000001</v>
      </c>
      <c r="D1585" s="4">
        <v>14.158799999999999</v>
      </c>
      <c r="E1585" s="4">
        <v>14.2483</v>
      </c>
      <c r="F1585" s="4">
        <f t="shared" si="96"/>
        <v>14.274300000000002</v>
      </c>
      <c r="I1585" s="4" t="s">
        <v>786</v>
      </c>
      <c r="J1585" s="4">
        <v>14.493600000000001</v>
      </c>
      <c r="K1585" s="4">
        <v>13.8239</v>
      </c>
      <c r="L1585" s="4">
        <v>14.550700000000001</v>
      </c>
      <c r="M1585" s="4">
        <f t="shared" si="97"/>
        <v>14.289400000000001</v>
      </c>
      <c r="Q1585" s="43" t="s">
        <v>2198</v>
      </c>
      <c r="R1585" s="4">
        <v>14.0351623526679</v>
      </c>
      <c r="S1585" s="4">
        <v>14.061415639367601</v>
      </c>
      <c r="T1585" s="4">
        <v>14.0275489553533</v>
      </c>
      <c r="U1585" s="4">
        <f t="shared" si="98"/>
        <v>14.0413756491296</v>
      </c>
      <c r="X1585" s="43" t="s">
        <v>590</v>
      </c>
      <c r="Y1585" s="4">
        <v>14.236400896027201</v>
      </c>
      <c r="Z1585" s="4">
        <v>14.2149859835335</v>
      </c>
      <c r="AA1585" s="4">
        <v>14.0756199176155</v>
      </c>
      <c r="AB1585" s="4">
        <f t="shared" si="99"/>
        <v>14.175668932392066</v>
      </c>
    </row>
    <row r="1586" spans="2:28" x14ac:dyDescent="0.2">
      <c r="B1586" s="4" t="s">
        <v>2883</v>
      </c>
      <c r="C1586" s="4">
        <v>14.3871</v>
      </c>
      <c r="D1586" s="4">
        <v>14.0768</v>
      </c>
      <c r="E1586" s="4">
        <v>14.359</v>
      </c>
      <c r="F1586" s="4">
        <f t="shared" si="96"/>
        <v>14.274300000000002</v>
      </c>
      <c r="I1586" s="4" t="s">
        <v>3147</v>
      </c>
      <c r="J1586" s="4">
        <v>14.4693</v>
      </c>
      <c r="K1586" s="4">
        <v>13.9032</v>
      </c>
      <c r="L1586" s="4">
        <v>14.494300000000001</v>
      </c>
      <c r="M1586" s="4">
        <f t="shared" si="97"/>
        <v>14.288933333333334</v>
      </c>
      <c r="Q1586" s="43" t="s">
        <v>2452</v>
      </c>
      <c r="R1586" s="4">
        <v>14.0425710252745</v>
      </c>
      <c r="S1586" s="4">
        <v>14.032233142123699</v>
      </c>
      <c r="T1586" s="4">
        <v>14.0481639004005</v>
      </c>
      <c r="U1586" s="4">
        <f t="shared" si="98"/>
        <v>14.040989355932899</v>
      </c>
      <c r="X1586" s="43" t="s">
        <v>1327</v>
      </c>
      <c r="Y1586" s="4">
        <v>14.185013407653599</v>
      </c>
      <c r="Z1586" s="4">
        <v>14.196499567638201</v>
      </c>
      <c r="AA1586" s="4">
        <v>14.1431944730745</v>
      </c>
      <c r="AB1586" s="4">
        <f t="shared" si="99"/>
        <v>14.174902482788767</v>
      </c>
    </row>
    <row r="1587" spans="2:28" x14ac:dyDescent="0.2">
      <c r="B1587" s="4" t="s">
        <v>1402</v>
      </c>
      <c r="C1587" s="4">
        <v>14.0479</v>
      </c>
      <c r="D1587" s="4">
        <v>14.1159</v>
      </c>
      <c r="E1587" s="4">
        <v>14.6571</v>
      </c>
      <c r="F1587" s="4">
        <f t="shared" si="96"/>
        <v>14.273633333333335</v>
      </c>
      <c r="I1587" s="4" t="s">
        <v>3863</v>
      </c>
      <c r="J1587" s="4">
        <v>14.473100000000001</v>
      </c>
      <c r="K1587" s="4">
        <v>13.8742</v>
      </c>
      <c r="L1587" s="4">
        <v>14.510899999999999</v>
      </c>
      <c r="M1587" s="4">
        <f t="shared" si="97"/>
        <v>14.286066666666665</v>
      </c>
      <c r="Q1587" s="43" t="s">
        <v>3397</v>
      </c>
      <c r="R1587" s="4">
        <v>14.148904906253399</v>
      </c>
      <c r="S1587" s="4">
        <v>14.0878347962354</v>
      </c>
      <c r="T1587" s="4">
        <v>13.881020107795401</v>
      </c>
      <c r="U1587" s="4">
        <f t="shared" si="98"/>
        <v>14.039253270094733</v>
      </c>
      <c r="X1587" s="43" t="s">
        <v>2959</v>
      </c>
      <c r="Y1587" s="4">
        <v>14.385503552489499</v>
      </c>
      <c r="Z1587" s="4">
        <v>13.9724580600625</v>
      </c>
      <c r="AA1587" s="4">
        <v>14.162045165801601</v>
      </c>
      <c r="AB1587" s="4">
        <f t="shared" si="99"/>
        <v>14.173335592784534</v>
      </c>
    </row>
    <row r="1588" spans="2:28" x14ac:dyDescent="0.2">
      <c r="B1588" s="4" t="s">
        <v>3094</v>
      </c>
      <c r="C1588" s="4">
        <v>14.3544</v>
      </c>
      <c r="D1588" s="4">
        <v>14.2188</v>
      </c>
      <c r="E1588" s="4">
        <v>14.2461</v>
      </c>
      <c r="F1588" s="4">
        <f t="shared" si="96"/>
        <v>14.273099999999999</v>
      </c>
      <c r="I1588" s="4" t="s">
        <v>229</v>
      </c>
      <c r="J1588" s="4">
        <v>14.513500000000001</v>
      </c>
      <c r="K1588" s="4">
        <v>14.102600000000001</v>
      </c>
      <c r="L1588" s="4">
        <v>14.241</v>
      </c>
      <c r="M1588" s="4">
        <f t="shared" si="97"/>
        <v>14.2857</v>
      </c>
      <c r="Q1588" s="43" t="s">
        <v>3698</v>
      </c>
      <c r="R1588" s="4">
        <v>14.434695193181099</v>
      </c>
      <c r="S1588" s="4">
        <v>13.7211941176782</v>
      </c>
      <c r="T1588" s="4">
        <v>13.9609409180693</v>
      </c>
      <c r="U1588" s="4">
        <f t="shared" si="98"/>
        <v>14.038943409642867</v>
      </c>
      <c r="X1588" s="43" t="s">
        <v>2346</v>
      </c>
      <c r="Y1588" s="4">
        <v>14.234959022154801</v>
      </c>
      <c r="Z1588" s="4">
        <v>14.163524405865401</v>
      </c>
      <c r="AA1588" s="4">
        <v>14.119352053478099</v>
      </c>
      <c r="AB1588" s="4">
        <f t="shared" si="99"/>
        <v>14.172611827166099</v>
      </c>
    </row>
    <row r="1589" spans="2:28" x14ac:dyDescent="0.2">
      <c r="B1589" s="4" t="s">
        <v>3451</v>
      </c>
      <c r="C1589" s="4">
        <v>14.0214</v>
      </c>
      <c r="D1589" s="4">
        <v>14.3131</v>
      </c>
      <c r="E1589" s="4">
        <v>14.478400000000001</v>
      </c>
      <c r="F1589" s="4">
        <f t="shared" si="96"/>
        <v>14.270966666666666</v>
      </c>
      <c r="I1589" s="4" t="s">
        <v>3934</v>
      </c>
      <c r="J1589" s="4">
        <v>14.233000000000001</v>
      </c>
      <c r="K1589" s="4">
        <v>14.0898</v>
      </c>
      <c r="L1589" s="4">
        <v>14.5334</v>
      </c>
      <c r="M1589" s="4">
        <f t="shared" si="97"/>
        <v>14.285400000000001</v>
      </c>
      <c r="Q1589" s="43" t="s">
        <v>3736</v>
      </c>
      <c r="R1589" s="4">
        <v>14.1729615112872</v>
      </c>
      <c r="S1589" s="4">
        <v>13.814457420955501</v>
      </c>
      <c r="T1589" s="4">
        <v>14.1243539104989</v>
      </c>
      <c r="U1589" s="4">
        <f t="shared" si="98"/>
        <v>14.037257614247201</v>
      </c>
      <c r="X1589" s="43" t="s">
        <v>4090</v>
      </c>
      <c r="Y1589" s="4">
        <v>13.918886480880699</v>
      </c>
      <c r="Z1589" s="4">
        <v>14.623241078066799</v>
      </c>
      <c r="AA1589" s="4">
        <v>13.9723154993601</v>
      </c>
      <c r="AB1589" s="4">
        <f t="shared" si="99"/>
        <v>14.171481019435866</v>
      </c>
    </row>
    <row r="1590" spans="2:28" x14ac:dyDescent="0.2">
      <c r="B1590" s="4" t="s">
        <v>1937</v>
      </c>
      <c r="C1590" s="4">
        <v>14.2568</v>
      </c>
      <c r="D1590" s="4">
        <v>14.789300000000001</v>
      </c>
      <c r="E1590" s="4">
        <v>13.7623</v>
      </c>
      <c r="F1590" s="4">
        <f t="shared" si="96"/>
        <v>14.269466666666668</v>
      </c>
      <c r="I1590" s="4" t="s">
        <v>2726</v>
      </c>
      <c r="J1590" s="4">
        <v>14.335100000000001</v>
      </c>
      <c r="K1590" s="4">
        <v>14.0898</v>
      </c>
      <c r="L1590" s="4">
        <v>14.4259</v>
      </c>
      <c r="M1590" s="4">
        <f t="shared" si="97"/>
        <v>14.2836</v>
      </c>
      <c r="Q1590" s="43" t="s">
        <v>1243</v>
      </c>
      <c r="R1590" s="4">
        <v>14.4233976000389</v>
      </c>
      <c r="S1590" s="4">
        <v>13.723080654755799</v>
      </c>
      <c r="T1590" s="4">
        <v>13.962991520014899</v>
      </c>
      <c r="U1590" s="4">
        <f t="shared" si="98"/>
        <v>14.036489924936532</v>
      </c>
      <c r="X1590" s="43" t="s">
        <v>685</v>
      </c>
      <c r="Y1590" s="4">
        <v>14.1913967491972</v>
      </c>
      <c r="Z1590" s="4">
        <v>14.1233272281697</v>
      </c>
      <c r="AA1590" s="4">
        <v>14.199341225736999</v>
      </c>
      <c r="AB1590" s="4">
        <f t="shared" si="99"/>
        <v>14.171355067701299</v>
      </c>
    </row>
    <row r="1591" spans="2:28" x14ac:dyDescent="0.2">
      <c r="B1591" s="4" t="s">
        <v>1435</v>
      </c>
      <c r="C1591" s="4">
        <v>14.3749</v>
      </c>
      <c r="D1591" s="4">
        <v>13.8912</v>
      </c>
      <c r="E1591" s="4">
        <v>14.539300000000001</v>
      </c>
      <c r="F1591" s="4">
        <f t="shared" si="96"/>
        <v>14.268466666666669</v>
      </c>
      <c r="I1591" s="4" t="s">
        <v>959</v>
      </c>
      <c r="J1591" s="4">
        <v>13.645200000000001</v>
      </c>
      <c r="K1591" s="4">
        <v>14.888400000000001</v>
      </c>
      <c r="L1591" s="4">
        <v>14.3133</v>
      </c>
      <c r="M1591" s="4">
        <f t="shared" si="97"/>
        <v>14.282299999999999</v>
      </c>
      <c r="Q1591" s="43" t="s">
        <v>4170</v>
      </c>
      <c r="R1591" s="4">
        <v>14.1753377598376</v>
      </c>
      <c r="S1591" s="4">
        <v>13.9190924956747</v>
      </c>
      <c r="T1591" s="4">
        <v>14.014119107928099</v>
      </c>
      <c r="U1591" s="4">
        <f t="shared" si="98"/>
        <v>14.0361831211468</v>
      </c>
      <c r="X1591" s="43" t="s">
        <v>3385</v>
      </c>
      <c r="Y1591" s="4">
        <v>14.219708116834701</v>
      </c>
      <c r="Z1591" s="4">
        <v>14.3058274477061</v>
      </c>
      <c r="AA1591" s="4">
        <v>13.987432989528401</v>
      </c>
      <c r="AB1591" s="4">
        <f t="shared" si="99"/>
        <v>14.170989518023068</v>
      </c>
    </row>
    <row r="1592" spans="2:28" x14ac:dyDescent="0.2">
      <c r="B1592" s="4" t="s">
        <v>3263</v>
      </c>
      <c r="C1592" s="4">
        <v>14.5008</v>
      </c>
      <c r="D1592" s="4">
        <v>14.3469</v>
      </c>
      <c r="E1592" s="4">
        <v>13.932600000000001</v>
      </c>
      <c r="F1592" s="4">
        <f t="shared" si="96"/>
        <v>14.2601</v>
      </c>
      <c r="I1592" s="4" t="s">
        <v>1300</v>
      </c>
      <c r="J1592" s="4">
        <v>14.4526</v>
      </c>
      <c r="K1592" s="4">
        <v>13.928599999999999</v>
      </c>
      <c r="L1592" s="4">
        <v>14.461399999999999</v>
      </c>
      <c r="M1592" s="4">
        <f t="shared" si="97"/>
        <v>14.280866666666666</v>
      </c>
      <c r="Q1592" s="43" t="s">
        <v>3114</v>
      </c>
      <c r="R1592" s="4">
        <v>14.1933297947909</v>
      </c>
      <c r="S1592" s="4">
        <v>13.871597799649299</v>
      </c>
      <c r="T1592" s="4">
        <v>14.038535567380899</v>
      </c>
      <c r="U1592" s="4">
        <f t="shared" si="98"/>
        <v>14.034487720607032</v>
      </c>
      <c r="X1592" s="43" t="s">
        <v>4240</v>
      </c>
      <c r="Y1592" s="4">
        <v>14.0219593821608</v>
      </c>
      <c r="Z1592" s="4">
        <v>14.2968960662187</v>
      </c>
      <c r="AA1592" s="4">
        <v>14.193485515345101</v>
      </c>
      <c r="AB1592" s="4">
        <f t="shared" si="99"/>
        <v>14.170780321241535</v>
      </c>
    </row>
    <row r="1593" spans="2:28" x14ac:dyDescent="0.2">
      <c r="B1593" s="4" t="s">
        <v>2407</v>
      </c>
      <c r="C1593" s="4">
        <v>14.3414</v>
      </c>
      <c r="D1593" s="4">
        <v>14.214</v>
      </c>
      <c r="E1593" s="4">
        <v>14.221500000000001</v>
      </c>
      <c r="F1593" s="4">
        <f t="shared" si="96"/>
        <v>14.258966666666666</v>
      </c>
      <c r="I1593" s="4" t="s">
        <v>1707</v>
      </c>
      <c r="J1593" s="4">
        <v>13.9931</v>
      </c>
      <c r="K1593" s="4">
        <v>14.666600000000001</v>
      </c>
      <c r="L1593" s="4">
        <v>14.1751</v>
      </c>
      <c r="M1593" s="4">
        <f t="shared" si="97"/>
        <v>14.278266666666667</v>
      </c>
      <c r="Q1593" s="43" t="s">
        <v>4304</v>
      </c>
      <c r="R1593" s="4">
        <v>13.9773203174261</v>
      </c>
      <c r="S1593" s="4">
        <v>13.975878090206599</v>
      </c>
      <c r="T1593" s="4">
        <v>14.150261508374401</v>
      </c>
      <c r="U1593" s="4">
        <f t="shared" si="98"/>
        <v>14.034486638669032</v>
      </c>
      <c r="X1593" s="43" t="s">
        <v>2391</v>
      </c>
      <c r="Y1593" s="4">
        <v>14.176012706767199</v>
      </c>
      <c r="Z1593" s="4">
        <v>14.2089786172095</v>
      </c>
      <c r="AA1593" s="4">
        <v>14.1242729021332</v>
      </c>
      <c r="AB1593" s="4">
        <f t="shared" si="99"/>
        <v>14.169754742036632</v>
      </c>
    </row>
    <row r="1594" spans="2:28" x14ac:dyDescent="0.2">
      <c r="B1594" s="4" t="s">
        <v>638</v>
      </c>
      <c r="C1594" s="4">
        <v>14.075200000000001</v>
      </c>
      <c r="D1594" s="4">
        <v>13.962999999999999</v>
      </c>
      <c r="E1594" s="4">
        <v>14.735200000000001</v>
      </c>
      <c r="F1594" s="4">
        <f t="shared" si="96"/>
        <v>14.257800000000001</v>
      </c>
      <c r="I1594" s="4" t="s">
        <v>1353</v>
      </c>
      <c r="J1594" s="4">
        <v>14.2698</v>
      </c>
      <c r="K1594" s="4">
        <v>14.4169</v>
      </c>
      <c r="L1594" s="4">
        <v>14.1477</v>
      </c>
      <c r="M1594" s="4">
        <f t="shared" si="97"/>
        <v>14.278133333333335</v>
      </c>
      <c r="Q1594" s="43" t="s">
        <v>3461</v>
      </c>
      <c r="R1594" s="4">
        <v>14.244647473452099</v>
      </c>
      <c r="S1594" s="4">
        <v>13.789620111914401</v>
      </c>
      <c r="T1594" s="4">
        <v>14.062506150373901</v>
      </c>
      <c r="U1594" s="4">
        <f t="shared" si="98"/>
        <v>14.032257911913467</v>
      </c>
      <c r="X1594" s="43" t="s">
        <v>445</v>
      </c>
      <c r="Y1594" s="4">
        <v>14.205940867532</v>
      </c>
      <c r="Z1594" s="4">
        <v>14.139550752745301</v>
      </c>
      <c r="AA1594" s="4">
        <v>14.156193140202999</v>
      </c>
      <c r="AB1594" s="4">
        <f t="shared" si="99"/>
        <v>14.167228253493434</v>
      </c>
    </row>
    <row r="1595" spans="2:28" x14ac:dyDescent="0.2">
      <c r="B1595" s="4" t="s">
        <v>1640</v>
      </c>
      <c r="C1595" s="4">
        <v>14.5402</v>
      </c>
      <c r="D1595" s="4">
        <v>14.033899999999999</v>
      </c>
      <c r="E1595" s="4">
        <v>14.191800000000001</v>
      </c>
      <c r="F1595" s="4">
        <f t="shared" si="96"/>
        <v>14.2553</v>
      </c>
      <c r="I1595" s="4" t="s">
        <v>3278</v>
      </c>
      <c r="J1595" s="4">
        <v>14.5403</v>
      </c>
      <c r="K1595" s="4">
        <v>13.553599999999999</v>
      </c>
      <c r="L1595" s="4">
        <v>14.729699999999999</v>
      </c>
      <c r="M1595" s="4">
        <f t="shared" si="97"/>
        <v>14.274533333333332</v>
      </c>
      <c r="Q1595" s="43" t="s">
        <v>754</v>
      </c>
      <c r="R1595" s="4">
        <v>13.9111890602129</v>
      </c>
      <c r="S1595" s="4">
        <v>14.310430426852299</v>
      </c>
      <c r="T1595" s="4">
        <v>13.874449702477699</v>
      </c>
      <c r="U1595" s="4">
        <f t="shared" si="98"/>
        <v>14.032023063180965</v>
      </c>
      <c r="X1595" s="43" t="s">
        <v>509</v>
      </c>
      <c r="Y1595" s="4">
        <v>14.2287705613636</v>
      </c>
      <c r="Z1595" s="4">
        <v>13.9869174478315</v>
      </c>
      <c r="AA1595" s="4">
        <v>14.285744633434501</v>
      </c>
      <c r="AB1595" s="4">
        <f t="shared" si="99"/>
        <v>14.167144214209864</v>
      </c>
    </row>
    <row r="1596" spans="2:28" x14ac:dyDescent="0.2">
      <c r="B1596" s="4" t="s">
        <v>2233</v>
      </c>
      <c r="C1596" s="4">
        <v>14.8309</v>
      </c>
      <c r="D1596" s="4">
        <v>14.1252</v>
      </c>
      <c r="E1596" s="4">
        <v>13.8096</v>
      </c>
      <c r="F1596" s="4">
        <f t="shared" si="96"/>
        <v>14.255233333333331</v>
      </c>
      <c r="I1596" s="4" t="s">
        <v>311</v>
      </c>
      <c r="J1596" s="4">
        <v>14.2125</v>
      </c>
      <c r="K1596" s="4">
        <v>14.789899999999999</v>
      </c>
      <c r="L1596" s="4">
        <v>13.817500000000001</v>
      </c>
      <c r="M1596" s="4">
        <f t="shared" si="97"/>
        <v>14.273300000000001</v>
      </c>
      <c r="Q1596" s="43" t="s">
        <v>3549</v>
      </c>
      <c r="R1596" s="4">
        <v>13.841566708832</v>
      </c>
      <c r="S1596" s="4">
        <v>14.078601646752199</v>
      </c>
      <c r="T1596" s="4">
        <v>14.1694240729783</v>
      </c>
      <c r="U1596" s="4">
        <f t="shared" si="98"/>
        <v>14.029864142854166</v>
      </c>
      <c r="X1596" s="43" t="s">
        <v>697</v>
      </c>
      <c r="Y1596" s="4">
        <v>14.276767661792</v>
      </c>
      <c r="Z1596" s="4">
        <v>14.6947324649755</v>
      </c>
      <c r="AA1596" s="4">
        <v>13.5286796095752</v>
      </c>
      <c r="AB1596" s="4">
        <f t="shared" si="99"/>
        <v>14.166726578780901</v>
      </c>
    </row>
    <row r="1597" spans="2:28" x14ac:dyDescent="0.2">
      <c r="B1597" s="4" t="s">
        <v>1040</v>
      </c>
      <c r="C1597" s="4">
        <v>13.9537</v>
      </c>
      <c r="D1597" s="4">
        <v>14.1059</v>
      </c>
      <c r="E1597" s="4">
        <v>14.694900000000001</v>
      </c>
      <c r="F1597" s="4">
        <f t="shared" si="96"/>
        <v>14.2515</v>
      </c>
      <c r="I1597" s="4" t="s">
        <v>2370</v>
      </c>
      <c r="J1597" s="4">
        <v>14.4312</v>
      </c>
      <c r="K1597" s="4">
        <v>13.9716</v>
      </c>
      <c r="L1597" s="4">
        <v>14.4162</v>
      </c>
      <c r="M1597" s="4">
        <f t="shared" si="97"/>
        <v>14.273000000000001</v>
      </c>
      <c r="Q1597" s="43" t="s">
        <v>2824</v>
      </c>
      <c r="R1597" s="4">
        <v>13.712584177863301</v>
      </c>
      <c r="S1597" s="4">
        <v>14.327203452288501</v>
      </c>
      <c r="T1597" s="4">
        <v>14.047038278897601</v>
      </c>
      <c r="U1597" s="4">
        <f t="shared" si="98"/>
        <v>14.028941969683133</v>
      </c>
      <c r="X1597" s="43" t="s">
        <v>3099</v>
      </c>
      <c r="Y1597" s="4">
        <v>14.2652693911825</v>
      </c>
      <c r="Z1597" s="4">
        <v>13.9333250353396</v>
      </c>
      <c r="AA1597" s="4">
        <v>14.3011603915508</v>
      </c>
      <c r="AB1597" s="4">
        <f t="shared" si="99"/>
        <v>14.166584939357634</v>
      </c>
    </row>
    <row r="1598" spans="2:28" x14ac:dyDescent="0.2">
      <c r="B1598" s="4" t="s">
        <v>3192</v>
      </c>
      <c r="C1598" s="4">
        <v>13.967599999999999</v>
      </c>
      <c r="D1598" s="4">
        <v>14.341200000000001</v>
      </c>
      <c r="E1598" s="4">
        <v>14.426399999999999</v>
      </c>
      <c r="F1598" s="4">
        <f t="shared" si="96"/>
        <v>14.245066666666666</v>
      </c>
      <c r="I1598" s="4" t="s">
        <v>152</v>
      </c>
      <c r="J1598" s="4">
        <v>14.068300000000001</v>
      </c>
      <c r="K1598" s="4">
        <v>14.794600000000001</v>
      </c>
      <c r="L1598" s="4">
        <v>13.950900000000001</v>
      </c>
      <c r="M1598" s="4">
        <f t="shared" si="97"/>
        <v>14.271266666666667</v>
      </c>
      <c r="Q1598" s="43" t="s">
        <v>4379</v>
      </c>
      <c r="R1598" s="4">
        <v>13.8799368552656</v>
      </c>
      <c r="S1598" s="4">
        <v>14.0815459219892</v>
      </c>
      <c r="T1598" s="4">
        <v>14.1250182275919</v>
      </c>
      <c r="U1598" s="4">
        <f t="shared" si="98"/>
        <v>14.028833668282234</v>
      </c>
      <c r="X1598" s="43" t="s">
        <v>4072</v>
      </c>
      <c r="Y1598" s="4">
        <v>14.242967641656</v>
      </c>
      <c r="Z1598" s="4">
        <v>14.1081949967916</v>
      </c>
      <c r="AA1598" s="4">
        <v>14.146029232689401</v>
      </c>
      <c r="AB1598" s="4">
        <f t="shared" si="99"/>
        <v>14.165730623712333</v>
      </c>
    </row>
    <row r="1599" spans="2:28" x14ac:dyDescent="0.2">
      <c r="B1599" s="4" t="s">
        <v>1713</v>
      </c>
      <c r="C1599" s="4">
        <v>14.199299999999999</v>
      </c>
      <c r="D1599" s="4">
        <v>14.2904</v>
      </c>
      <c r="E1599" s="4">
        <v>14.2448</v>
      </c>
      <c r="F1599" s="4">
        <f t="shared" si="96"/>
        <v>14.244833333333332</v>
      </c>
      <c r="I1599" s="4" t="s">
        <v>3000</v>
      </c>
      <c r="J1599" s="4">
        <v>14.3954</v>
      </c>
      <c r="K1599" s="4">
        <v>14.34</v>
      </c>
      <c r="L1599" s="4">
        <v>14.077500000000001</v>
      </c>
      <c r="M1599" s="4">
        <f t="shared" si="97"/>
        <v>14.270966666666666</v>
      </c>
      <c r="Q1599" s="43" t="s">
        <v>2433</v>
      </c>
      <c r="R1599" s="4">
        <v>13.867742184660599</v>
      </c>
      <c r="S1599" s="4">
        <v>14.1097522087163</v>
      </c>
      <c r="T1599" s="4">
        <v>14.104460794936401</v>
      </c>
      <c r="U1599" s="4">
        <f t="shared" si="98"/>
        <v>14.027318396104434</v>
      </c>
      <c r="X1599" s="43" t="s">
        <v>1913</v>
      </c>
      <c r="Y1599" s="4">
        <v>14.1571928728179</v>
      </c>
      <c r="Z1599" s="4">
        <v>14.291267457474699</v>
      </c>
      <c r="AA1599" s="4">
        <v>14.0486263668306</v>
      </c>
      <c r="AB1599" s="4">
        <f t="shared" si="99"/>
        <v>14.165695565707731</v>
      </c>
    </row>
    <row r="1600" spans="2:28" x14ac:dyDescent="0.2">
      <c r="B1600" s="4" t="s">
        <v>2196</v>
      </c>
      <c r="C1600" s="4">
        <v>14.3843</v>
      </c>
      <c r="D1600" s="4">
        <v>14.2315</v>
      </c>
      <c r="E1600" s="4">
        <v>14.1152</v>
      </c>
      <c r="F1600" s="4">
        <f t="shared" si="96"/>
        <v>14.243666666666668</v>
      </c>
      <c r="I1600" s="4" t="s">
        <v>1049</v>
      </c>
      <c r="J1600" s="4">
        <v>14.4115</v>
      </c>
      <c r="K1600" s="4">
        <v>14.008699999999999</v>
      </c>
      <c r="L1600" s="4">
        <v>14.386799999999999</v>
      </c>
      <c r="M1600" s="4">
        <f t="shared" si="97"/>
        <v>14.269</v>
      </c>
      <c r="Q1600" s="43" t="s">
        <v>3679</v>
      </c>
      <c r="R1600" s="4">
        <v>14.0284597700183</v>
      </c>
      <c r="S1600" s="4">
        <v>13.9618761736113</v>
      </c>
      <c r="T1600" s="4">
        <v>14.0909374845183</v>
      </c>
      <c r="U1600" s="4">
        <f t="shared" si="98"/>
        <v>14.027091142715966</v>
      </c>
      <c r="X1600" s="43" t="s">
        <v>3302</v>
      </c>
      <c r="Y1600" s="4">
        <v>14.2373349074758</v>
      </c>
      <c r="Z1600" s="4">
        <v>13.8277644464369</v>
      </c>
      <c r="AA1600" s="4">
        <v>14.4304260809183</v>
      </c>
      <c r="AB1600" s="4">
        <f t="shared" si="99"/>
        <v>14.165175144943667</v>
      </c>
    </row>
    <row r="1601" spans="2:28" x14ac:dyDescent="0.2">
      <c r="B1601" s="4" t="s">
        <v>2292</v>
      </c>
      <c r="C1601" s="4">
        <v>14.497400000000001</v>
      </c>
      <c r="D1601" s="4">
        <v>14.342499999999999</v>
      </c>
      <c r="E1601" s="4">
        <v>13.8855</v>
      </c>
      <c r="F1601" s="4">
        <f t="shared" si="96"/>
        <v>14.2418</v>
      </c>
      <c r="I1601" s="4" t="s">
        <v>3403</v>
      </c>
      <c r="J1601" s="4">
        <v>13.944699999999999</v>
      </c>
      <c r="K1601" s="4">
        <v>14.8276</v>
      </c>
      <c r="L1601" s="4">
        <v>14.0343</v>
      </c>
      <c r="M1601" s="4">
        <f t="shared" si="97"/>
        <v>14.268866666666668</v>
      </c>
      <c r="Q1601" s="43" t="s">
        <v>2095</v>
      </c>
      <c r="R1601" s="4">
        <v>13.975567009301599</v>
      </c>
      <c r="S1601" s="4">
        <v>13.9993011852224</v>
      </c>
      <c r="T1601" s="4">
        <v>14.1021323278413</v>
      </c>
      <c r="U1601" s="4">
        <f t="shared" si="98"/>
        <v>14.025666840788432</v>
      </c>
      <c r="X1601" s="43" t="s">
        <v>2925</v>
      </c>
      <c r="Y1601" s="4">
        <v>14.1378724684427</v>
      </c>
      <c r="Z1601" s="4">
        <v>14.1966229983346</v>
      </c>
      <c r="AA1601" s="4">
        <v>14.151823247073899</v>
      </c>
      <c r="AB1601" s="4">
        <f t="shared" si="99"/>
        <v>14.162106237950399</v>
      </c>
    </row>
    <row r="1602" spans="2:28" x14ac:dyDescent="0.2">
      <c r="B1602" s="4" t="s">
        <v>1433</v>
      </c>
      <c r="C1602" s="4">
        <v>13.9841</v>
      </c>
      <c r="D1602" s="4">
        <v>14.354699999999999</v>
      </c>
      <c r="E1602" s="4">
        <v>14.3797</v>
      </c>
      <c r="F1602" s="4">
        <f t="shared" ref="F1602:F1665" si="100">(C1602+D1602+E1602)/3</f>
        <v>14.2395</v>
      </c>
      <c r="I1602" s="4" t="s">
        <v>697</v>
      </c>
      <c r="J1602" s="4">
        <v>13.9474</v>
      </c>
      <c r="K1602" s="4">
        <v>14.6568</v>
      </c>
      <c r="L1602" s="4">
        <v>14.198399999999999</v>
      </c>
      <c r="M1602" s="4">
        <f t="shared" ref="M1602:M1665" si="101">(J1602+K1602+L1602)/3</f>
        <v>14.267533333333333</v>
      </c>
      <c r="Q1602" s="43" t="s">
        <v>3276</v>
      </c>
      <c r="R1602" s="4">
        <v>14.110246790636699</v>
      </c>
      <c r="S1602" s="4">
        <v>13.885165164042</v>
      </c>
      <c r="T1602" s="4">
        <v>14.0812579527502</v>
      </c>
      <c r="U1602" s="4">
        <f t="shared" ref="U1602:U1665" si="102">(R1602+S1602+T1602)/3</f>
        <v>14.025556635809634</v>
      </c>
      <c r="X1602" s="43" t="s">
        <v>2455</v>
      </c>
      <c r="Y1602" s="4">
        <v>14.0259867747678</v>
      </c>
      <c r="Z1602" s="4">
        <v>14.214228276487701</v>
      </c>
      <c r="AA1602" s="4">
        <v>14.2405493572633</v>
      </c>
      <c r="AB1602" s="4">
        <f t="shared" ref="AB1602:AB1665" si="103">(Y1602+Z1602+AA1602)/3</f>
        <v>14.160254802839601</v>
      </c>
    </row>
    <row r="1603" spans="2:28" x14ac:dyDescent="0.2">
      <c r="B1603" s="4" t="s">
        <v>519</v>
      </c>
      <c r="C1603" s="4">
        <v>14.2409</v>
      </c>
      <c r="D1603" s="4">
        <v>14.182399999999999</v>
      </c>
      <c r="E1603" s="4">
        <v>14.286099999999999</v>
      </c>
      <c r="F1603" s="4">
        <f t="shared" si="100"/>
        <v>14.236466666666665</v>
      </c>
      <c r="I1603" s="4" t="s">
        <v>1320</v>
      </c>
      <c r="J1603" s="4">
        <v>13.7232</v>
      </c>
      <c r="K1603" s="4">
        <v>15.1318</v>
      </c>
      <c r="L1603" s="4">
        <v>13.942</v>
      </c>
      <c r="M1603" s="4">
        <f t="shared" si="101"/>
        <v>14.265666666666666</v>
      </c>
      <c r="Q1603" s="43" t="s">
        <v>527</v>
      </c>
      <c r="R1603" s="4">
        <v>13.8550915453513</v>
      </c>
      <c r="S1603" s="4">
        <v>14.2718945204728</v>
      </c>
      <c r="T1603" s="4">
        <v>13.949358067477799</v>
      </c>
      <c r="U1603" s="4">
        <f t="shared" si="102"/>
        <v>14.025448044433967</v>
      </c>
      <c r="X1603" s="43" t="s">
        <v>3125</v>
      </c>
      <c r="Y1603" s="4">
        <v>14.2128774559673</v>
      </c>
      <c r="Z1603" s="4">
        <v>13.9679421372697</v>
      </c>
      <c r="AA1603" s="4">
        <v>14.293132497850699</v>
      </c>
      <c r="AB1603" s="4">
        <f t="shared" si="103"/>
        <v>14.157984030362565</v>
      </c>
    </row>
    <row r="1604" spans="2:28" x14ac:dyDescent="0.2">
      <c r="B1604" s="4" t="s">
        <v>2197</v>
      </c>
      <c r="C1604" s="4">
        <v>14.223699999999999</v>
      </c>
      <c r="D1604" s="4">
        <v>14.2927</v>
      </c>
      <c r="E1604" s="4">
        <v>14.178599999999999</v>
      </c>
      <c r="F1604" s="4">
        <f t="shared" si="100"/>
        <v>14.231666666666664</v>
      </c>
      <c r="I1604" s="4" t="s">
        <v>2479</v>
      </c>
      <c r="J1604" s="4">
        <v>14.506</v>
      </c>
      <c r="K1604" s="4">
        <v>13.684100000000001</v>
      </c>
      <c r="L1604" s="4">
        <v>14.603300000000001</v>
      </c>
      <c r="M1604" s="4">
        <f t="shared" si="101"/>
        <v>14.264466666666669</v>
      </c>
      <c r="Q1604" s="43" t="s">
        <v>2043</v>
      </c>
      <c r="R1604" s="4">
        <v>14.020337356378301</v>
      </c>
      <c r="S1604" s="4">
        <v>14.0258836042812</v>
      </c>
      <c r="T1604" s="4">
        <v>14.028415672787901</v>
      </c>
      <c r="U1604" s="4">
        <f t="shared" si="102"/>
        <v>14.0248788778158</v>
      </c>
      <c r="X1604" s="43" t="s">
        <v>3550</v>
      </c>
      <c r="Y1604" s="4">
        <v>14.366610716466599</v>
      </c>
      <c r="Z1604" s="4">
        <v>14.018601658465601</v>
      </c>
      <c r="AA1604" s="4">
        <v>14.0839456475478</v>
      </c>
      <c r="AB1604" s="4">
        <f t="shared" si="103"/>
        <v>14.156386007493333</v>
      </c>
    </row>
    <row r="1605" spans="2:28" x14ac:dyDescent="0.2">
      <c r="B1605" s="4" t="s">
        <v>4050</v>
      </c>
      <c r="C1605" s="4">
        <v>14.4223</v>
      </c>
      <c r="D1605" s="4">
        <v>14.207700000000001</v>
      </c>
      <c r="E1605" s="4">
        <v>14.0631</v>
      </c>
      <c r="F1605" s="4">
        <f t="shared" si="100"/>
        <v>14.231033333333334</v>
      </c>
      <c r="I1605" s="4" t="s">
        <v>346</v>
      </c>
      <c r="J1605" s="4">
        <v>14.313499999999999</v>
      </c>
      <c r="K1605" s="4">
        <v>14.2774</v>
      </c>
      <c r="L1605" s="4">
        <v>14.201700000000001</v>
      </c>
      <c r="M1605" s="4">
        <f t="shared" si="101"/>
        <v>14.264200000000001</v>
      </c>
      <c r="Q1605" s="43" t="s">
        <v>4090</v>
      </c>
      <c r="R1605" s="4">
        <v>13.8072722217065</v>
      </c>
      <c r="S1605" s="4">
        <v>13.9470318123696</v>
      </c>
      <c r="T1605" s="4">
        <v>14.320076241087101</v>
      </c>
      <c r="U1605" s="4">
        <f t="shared" si="102"/>
        <v>14.0247934250544</v>
      </c>
      <c r="X1605" s="43" t="s">
        <v>603</v>
      </c>
      <c r="Y1605" s="4">
        <v>14.162922774741601</v>
      </c>
      <c r="Z1605" s="4">
        <v>14.2528538752576</v>
      </c>
      <c r="AA1605" s="4">
        <v>14.039641522327999</v>
      </c>
      <c r="AB1605" s="4">
        <f t="shared" si="103"/>
        <v>14.1518060574424</v>
      </c>
    </row>
    <row r="1606" spans="2:28" x14ac:dyDescent="0.2">
      <c r="B1606" s="4" t="s">
        <v>2662</v>
      </c>
      <c r="C1606" s="4">
        <v>14.582700000000001</v>
      </c>
      <c r="D1606" s="4">
        <v>14.017899999999999</v>
      </c>
      <c r="E1606" s="4">
        <v>14.0763</v>
      </c>
      <c r="F1606" s="4">
        <f t="shared" si="100"/>
        <v>14.225633333333334</v>
      </c>
      <c r="I1606" s="4" t="s">
        <v>4075</v>
      </c>
      <c r="J1606" s="4">
        <v>14.193899999999999</v>
      </c>
      <c r="K1606" s="4">
        <v>14.434200000000001</v>
      </c>
      <c r="L1606" s="4">
        <v>14.1601</v>
      </c>
      <c r="M1606" s="4">
        <f t="shared" si="101"/>
        <v>14.262733333333335</v>
      </c>
      <c r="Q1606" s="43" t="s">
        <v>549</v>
      </c>
      <c r="R1606" s="4">
        <v>13.907375833809001</v>
      </c>
      <c r="S1606" s="4">
        <v>14.162068189440401</v>
      </c>
      <c r="T1606" s="4">
        <v>13.9969899663503</v>
      </c>
      <c r="U1606" s="4">
        <f t="shared" si="102"/>
        <v>14.022144663199901</v>
      </c>
      <c r="X1606" s="43" t="s">
        <v>2541</v>
      </c>
      <c r="Y1606" s="4">
        <v>14.333611530196301</v>
      </c>
      <c r="Z1606" s="4">
        <v>14.183600993028699</v>
      </c>
      <c r="AA1606" s="4">
        <v>13.935968301087099</v>
      </c>
      <c r="AB1606" s="4">
        <f t="shared" si="103"/>
        <v>14.1510602747707</v>
      </c>
    </row>
    <row r="1607" spans="2:28" x14ac:dyDescent="0.2">
      <c r="B1607" s="4" t="s">
        <v>629</v>
      </c>
      <c r="C1607" s="4">
        <v>14.3826</v>
      </c>
      <c r="D1607" s="4">
        <v>13.9086</v>
      </c>
      <c r="E1607" s="4">
        <v>14.380599999999999</v>
      </c>
      <c r="F1607" s="4">
        <f t="shared" si="100"/>
        <v>14.223933333333333</v>
      </c>
      <c r="I1607" s="4" t="s">
        <v>1333</v>
      </c>
      <c r="J1607" s="4">
        <v>14.3111</v>
      </c>
      <c r="K1607" s="4">
        <v>14.260899999999999</v>
      </c>
      <c r="L1607" s="4">
        <v>14.2126</v>
      </c>
      <c r="M1607" s="4">
        <f t="shared" si="101"/>
        <v>14.261533333333333</v>
      </c>
      <c r="Q1607" s="43" t="s">
        <v>2635</v>
      </c>
      <c r="R1607" s="4">
        <v>14.0290579568694</v>
      </c>
      <c r="S1607" s="4">
        <v>14.022377397073001</v>
      </c>
      <c r="T1607" s="4">
        <v>14.014131215606</v>
      </c>
      <c r="U1607" s="4">
        <f t="shared" si="102"/>
        <v>14.021855523182801</v>
      </c>
      <c r="X1607" s="43" t="s">
        <v>2183</v>
      </c>
      <c r="Y1607" s="4">
        <v>14.396595451205499</v>
      </c>
      <c r="Z1607" s="4">
        <v>14.064516949380801</v>
      </c>
      <c r="AA1607" s="4">
        <v>13.988450109398901</v>
      </c>
      <c r="AB1607" s="4">
        <f t="shared" si="103"/>
        <v>14.149854169995066</v>
      </c>
    </row>
    <row r="1608" spans="2:28" x14ac:dyDescent="0.2">
      <c r="B1608" s="4" t="s">
        <v>135</v>
      </c>
      <c r="C1608" s="4">
        <v>14.6358</v>
      </c>
      <c r="D1608" s="4">
        <v>13.6706</v>
      </c>
      <c r="E1608" s="4">
        <v>14.3612</v>
      </c>
      <c r="F1608" s="4">
        <f t="shared" si="100"/>
        <v>14.222533333333333</v>
      </c>
      <c r="I1608" s="4" t="s">
        <v>1809</v>
      </c>
      <c r="J1608" s="4">
        <v>14.6751</v>
      </c>
      <c r="K1608" s="4">
        <v>13.87</v>
      </c>
      <c r="L1608" s="4">
        <v>14.234</v>
      </c>
      <c r="M1608" s="4">
        <f t="shared" si="101"/>
        <v>14.2597</v>
      </c>
      <c r="Q1608" s="43" t="s">
        <v>3161</v>
      </c>
      <c r="R1608" s="4">
        <v>13.881426750550499</v>
      </c>
      <c r="S1608" s="4">
        <v>14.006815068011701</v>
      </c>
      <c r="T1608" s="4">
        <v>14.1765616877507</v>
      </c>
      <c r="U1608" s="4">
        <f t="shared" si="102"/>
        <v>14.021601168770966</v>
      </c>
      <c r="X1608" s="43" t="s">
        <v>2472</v>
      </c>
      <c r="Y1608" s="4">
        <v>14.2537623373332</v>
      </c>
      <c r="Z1608" s="4">
        <v>14.0653757500351</v>
      </c>
      <c r="AA1608" s="4">
        <v>14.125815185603299</v>
      </c>
      <c r="AB1608" s="4">
        <f t="shared" si="103"/>
        <v>14.148317757657201</v>
      </c>
    </row>
    <row r="1609" spans="2:28" x14ac:dyDescent="0.2">
      <c r="B1609" s="4" t="s">
        <v>3604</v>
      </c>
      <c r="C1609" s="4">
        <v>14.328799999999999</v>
      </c>
      <c r="D1609" s="4">
        <v>14.372299999999999</v>
      </c>
      <c r="E1609" s="4">
        <v>13.9549</v>
      </c>
      <c r="F1609" s="4">
        <f t="shared" si="100"/>
        <v>14.218666666666666</v>
      </c>
      <c r="I1609" s="4" t="s">
        <v>3949</v>
      </c>
      <c r="J1609" s="4">
        <v>14.176399999999999</v>
      </c>
      <c r="K1609" s="4">
        <v>14.1729</v>
      </c>
      <c r="L1609" s="4">
        <v>14.428800000000001</v>
      </c>
      <c r="M1609" s="4">
        <f t="shared" si="101"/>
        <v>14.259366666666667</v>
      </c>
      <c r="Q1609" s="43" t="s">
        <v>1289</v>
      </c>
      <c r="R1609" s="4">
        <v>14.042792588079701</v>
      </c>
      <c r="S1609" s="4">
        <v>14.137001928080799</v>
      </c>
      <c r="T1609" s="4">
        <v>13.883861600343799</v>
      </c>
      <c r="U1609" s="4">
        <f t="shared" si="102"/>
        <v>14.021218705501433</v>
      </c>
      <c r="X1609" s="43" t="s">
        <v>3407</v>
      </c>
      <c r="Y1609" s="4">
        <v>14.163494432618</v>
      </c>
      <c r="Z1609" s="4">
        <v>14.0501571655919</v>
      </c>
      <c r="AA1609" s="4">
        <v>14.2303588697882</v>
      </c>
      <c r="AB1609" s="4">
        <f t="shared" si="103"/>
        <v>14.1480034893327</v>
      </c>
    </row>
    <row r="1610" spans="2:28" x14ac:dyDescent="0.2">
      <c r="B1610" s="4" t="s">
        <v>1353</v>
      </c>
      <c r="C1610" s="4">
        <v>13.9245</v>
      </c>
      <c r="D1610" s="4">
        <v>14.100199999999999</v>
      </c>
      <c r="E1610" s="4">
        <v>14.63</v>
      </c>
      <c r="F1610" s="4">
        <f t="shared" si="100"/>
        <v>14.218233333333332</v>
      </c>
      <c r="I1610" s="4" t="s">
        <v>4065</v>
      </c>
      <c r="J1610" s="4">
        <v>14.1944</v>
      </c>
      <c r="K1610" s="4">
        <v>14.4085</v>
      </c>
      <c r="L1610" s="4">
        <v>14.1721</v>
      </c>
      <c r="M1610" s="4">
        <f t="shared" si="101"/>
        <v>14.258333333333333</v>
      </c>
      <c r="Q1610" s="43" t="s">
        <v>1014</v>
      </c>
      <c r="R1610" s="4">
        <v>13.7513675853879</v>
      </c>
      <c r="S1610" s="4">
        <v>14.372376623496001</v>
      </c>
      <c r="T1610" s="4">
        <v>13.939628645668799</v>
      </c>
      <c r="U1610" s="4">
        <f t="shared" si="102"/>
        <v>14.021124284850899</v>
      </c>
      <c r="X1610" s="43" t="s">
        <v>3722</v>
      </c>
      <c r="Y1610" s="4">
        <v>14.2074567852668</v>
      </c>
      <c r="Z1610" s="4">
        <v>14.082433852735999</v>
      </c>
      <c r="AA1610" s="4">
        <v>14.1452339118352</v>
      </c>
      <c r="AB1610" s="4">
        <f t="shared" si="103"/>
        <v>14.145041516612666</v>
      </c>
    </row>
    <row r="1611" spans="2:28" x14ac:dyDescent="0.2">
      <c r="B1611" s="4" t="s">
        <v>4036</v>
      </c>
      <c r="C1611" s="4">
        <v>14.3567</v>
      </c>
      <c r="D1611" s="4">
        <v>14.270799999999999</v>
      </c>
      <c r="E1611" s="4">
        <v>14.0245</v>
      </c>
      <c r="F1611" s="4">
        <f t="shared" si="100"/>
        <v>14.217333333333334</v>
      </c>
      <c r="I1611" s="4" t="s">
        <v>64</v>
      </c>
      <c r="J1611" s="4">
        <v>13.9901</v>
      </c>
      <c r="K1611" s="4">
        <v>14.853300000000001</v>
      </c>
      <c r="L1611" s="4">
        <v>13.9292</v>
      </c>
      <c r="M1611" s="4">
        <f t="shared" si="101"/>
        <v>14.257533333333335</v>
      </c>
      <c r="Q1611" s="43" t="s">
        <v>2630</v>
      </c>
      <c r="R1611" s="4">
        <v>13.6886286804269</v>
      </c>
      <c r="S1611" s="4">
        <v>14.2667074623476</v>
      </c>
      <c r="T1611" s="4">
        <v>14.106318765318999</v>
      </c>
      <c r="U1611" s="4">
        <f t="shared" si="102"/>
        <v>14.020551636031167</v>
      </c>
      <c r="X1611" s="43" t="s">
        <v>2122</v>
      </c>
      <c r="Y1611" s="4">
        <v>14.1677258341536</v>
      </c>
      <c r="Z1611" s="4">
        <v>14.136951851966501</v>
      </c>
      <c r="AA1611" s="4">
        <v>14.128195782223401</v>
      </c>
      <c r="AB1611" s="4">
        <f t="shared" si="103"/>
        <v>14.1442911561145</v>
      </c>
    </row>
    <row r="1612" spans="2:28" x14ac:dyDescent="0.2">
      <c r="B1612" s="4" t="s">
        <v>4006</v>
      </c>
      <c r="C1612" s="4">
        <v>14.180199999999999</v>
      </c>
      <c r="D1612" s="4">
        <v>14.2829</v>
      </c>
      <c r="E1612" s="4">
        <v>14.187200000000001</v>
      </c>
      <c r="F1612" s="4">
        <f t="shared" si="100"/>
        <v>14.216766666666667</v>
      </c>
      <c r="I1612" s="4" t="s">
        <v>1280</v>
      </c>
      <c r="J1612" s="4">
        <v>13.772500000000001</v>
      </c>
      <c r="K1612" s="4">
        <v>15.0868</v>
      </c>
      <c r="L1612" s="4">
        <v>13.900499999999999</v>
      </c>
      <c r="M1612" s="4">
        <f t="shared" si="101"/>
        <v>14.253266666666667</v>
      </c>
      <c r="Q1612" s="43" t="s">
        <v>1633</v>
      </c>
      <c r="R1612" s="4">
        <v>13.9844435713311</v>
      </c>
      <c r="S1612" s="4">
        <v>14.100840831303</v>
      </c>
      <c r="T1612" s="4">
        <v>13.9722453410504</v>
      </c>
      <c r="U1612" s="4">
        <f t="shared" si="102"/>
        <v>14.019176581228166</v>
      </c>
      <c r="X1612" s="43" t="s">
        <v>1560</v>
      </c>
      <c r="Y1612" s="4">
        <v>14.1948743626723</v>
      </c>
      <c r="Z1612" s="4">
        <v>14.0096001595887</v>
      </c>
      <c r="AA1612" s="4">
        <v>14.226621798633801</v>
      </c>
      <c r="AB1612" s="4">
        <f t="shared" si="103"/>
        <v>14.1436987736316</v>
      </c>
    </row>
    <row r="1613" spans="2:28" x14ac:dyDescent="0.2">
      <c r="B1613" s="4" t="s">
        <v>4016</v>
      </c>
      <c r="C1613" s="4">
        <v>14.2798</v>
      </c>
      <c r="D1613" s="4">
        <v>14.103300000000001</v>
      </c>
      <c r="E1613" s="4">
        <v>14.267099999999999</v>
      </c>
      <c r="F1613" s="4">
        <f t="shared" si="100"/>
        <v>14.216733333333332</v>
      </c>
      <c r="I1613" s="4" t="s">
        <v>3721</v>
      </c>
      <c r="J1613" s="4">
        <v>14.045199999999999</v>
      </c>
      <c r="K1613" s="4">
        <v>14.566599999999999</v>
      </c>
      <c r="L1613" s="4">
        <v>14.140499999999999</v>
      </c>
      <c r="M1613" s="4">
        <f t="shared" si="101"/>
        <v>14.250766666666665</v>
      </c>
      <c r="Q1613" s="43" t="s">
        <v>993</v>
      </c>
      <c r="R1613" s="4">
        <v>14.0044100241563</v>
      </c>
      <c r="S1613" s="4">
        <v>14.090666575261199</v>
      </c>
      <c r="T1613" s="4">
        <v>13.9617743462824</v>
      </c>
      <c r="U1613" s="4">
        <f t="shared" si="102"/>
        <v>14.018950315233299</v>
      </c>
      <c r="X1613" s="43" t="s">
        <v>764</v>
      </c>
      <c r="Y1613" s="4">
        <v>14.040992588041499</v>
      </c>
      <c r="Z1613" s="4">
        <v>14.1797945062489</v>
      </c>
      <c r="AA1613" s="4">
        <v>14.209992376499899</v>
      </c>
      <c r="AB1613" s="4">
        <f t="shared" si="103"/>
        <v>14.1435931569301</v>
      </c>
    </row>
    <row r="1614" spans="2:28" x14ac:dyDescent="0.2">
      <c r="B1614" s="4" t="s">
        <v>3304</v>
      </c>
      <c r="C1614" s="4">
        <v>14.0639</v>
      </c>
      <c r="D1614" s="4">
        <v>14.241400000000001</v>
      </c>
      <c r="E1614" s="4">
        <v>14.343500000000001</v>
      </c>
      <c r="F1614" s="4">
        <f t="shared" si="100"/>
        <v>14.216266666666668</v>
      </c>
      <c r="I1614" s="4" t="s">
        <v>2738</v>
      </c>
      <c r="J1614" s="4">
        <v>14.5306</v>
      </c>
      <c r="K1614" s="4">
        <v>14.035600000000001</v>
      </c>
      <c r="L1614" s="4">
        <v>14.1854</v>
      </c>
      <c r="M1614" s="4">
        <f t="shared" si="101"/>
        <v>14.250533333333335</v>
      </c>
      <c r="Q1614" s="43" t="s">
        <v>3749</v>
      </c>
      <c r="R1614" s="4">
        <v>13.7378442209643</v>
      </c>
      <c r="S1614" s="4">
        <v>14.148142161906501</v>
      </c>
      <c r="T1614" s="4">
        <v>14.1699679803724</v>
      </c>
      <c r="U1614" s="4">
        <f t="shared" si="102"/>
        <v>14.018651454414401</v>
      </c>
      <c r="X1614" s="43" t="s">
        <v>3741</v>
      </c>
      <c r="Y1614" s="4">
        <v>14.1488181654098</v>
      </c>
      <c r="Z1614" s="4">
        <v>14.226761996923599</v>
      </c>
      <c r="AA1614" s="4">
        <v>14.047610536562001</v>
      </c>
      <c r="AB1614" s="4">
        <f t="shared" si="103"/>
        <v>14.141063566298465</v>
      </c>
    </row>
    <row r="1615" spans="2:28" x14ac:dyDescent="0.2">
      <c r="B1615" s="4" t="s">
        <v>845</v>
      </c>
      <c r="C1615" s="4">
        <v>13.506500000000001</v>
      </c>
      <c r="D1615" s="4">
        <v>14.2927</v>
      </c>
      <c r="E1615" s="4">
        <v>14.8461</v>
      </c>
      <c r="F1615" s="4">
        <f t="shared" si="100"/>
        <v>14.2151</v>
      </c>
      <c r="I1615" s="4" t="s">
        <v>2218</v>
      </c>
      <c r="J1615" s="4">
        <v>14.196999999999999</v>
      </c>
      <c r="K1615" s="4">
        <v>14.6015</v>
      </c>
      <c r="L1615" s="4">
        <v>13.9481</v>
      </c>
      <c r="M1615" s="4">
        <f t="shared" si="101"/>
        <v>14.248866666666666</v>
      </c>
      <c r="Q1615" s="43" t="s">
        <v>3923</v>
      </c>
      <c r="R1615" s="4">
        <v>14.4490799472223</v>
      </c>
      <c r="S1615" s="4">
        <v>13.730582884781199</v>
      </c>
      <c r="T1615" s="4">
        <v>13.8738814533694</v>
      </c>
      <c r="U1615" s="4">
        <f t="shared" si="102"/>
        <v>14.0178480951243</v>
      </c>
      <c r="X1615" s="43" t="s">
        <v>2294</v>
      </c>
      <c r="Y1615" s="4">
        <v>14.0349653085421</v>
      </c>
      <c r="Z1615" s="4">
        <v>14.461760424366901</v>
      </c>
      <c r="AA1615" s="4">
        <v>13.921825792981</v>
      </c>
      <c r="AB1615" s="4">
        <f t="shared" si="103"/>
        <v>14.139517175296666</v>
      </c>
    </row>
    <row r="1616" spans="2:28" x14ac:dyDescent="0.2">
      <c r="B1616" s="4" t="s">
        <v>848</v>
      </c>
      <c r="C1616" s="4">
        <v>14.954499999999999</v>
      </c>
      <c r="D1616" s="4">
        <v>13.3241</v>
      </c>
      <c r="E1616" s="4">
        <v>14.3667</v>
      </c>
      <c r="F1616" s="4">
        <f t="shared" si="100"/>
        <v>14.2151</v>
      </c>
      <c r="I1616" s="4" t="s">
        <v>507</v>
      </c>
      <c r="J1616" s="4">
        <v>14.454700000000001</v>
      </c>
      <c r="K1616" s="4">
        <v>13.7643</v>
      </c>
      <c r="L1616" s="4">
        <v>14.5223</v>
      </c>
      <c r="M1616" s="4">
        <f t="shared" si="101"/>
        <v>14.247100000000001</v>
      </c>
      <c r="Q1616" s="43" t="s">
        <v>1200</v>
      </c>
      <c r="R1616" s="4">
        <v>14.068535354438801</v>
      </c>
      <c r="S1616" s="4">
        <v>13.9294260694962</v>
      </c>
      <c r="T1616" s="4">
        <v>14.0547457854935</v>
      </c>
      <c r="U1616" s="4">
        <f t="shared" si="102"/>
        <v>14.017569069809502</v>
      </c>
      <c r="X1616" s="43" t="s">
        <v>2878</v>
      </c>
      <c r="Y1616" s="4">
        <v>14.092609549288399</v>
      </c>
      <c r="Z1616" s="4">
        <v>14.140863719385299</v>
      </c>
      <c r="AA1616" s="4">
        <v>14.183366708937401</v>
      </c>
      <c r="AB1616" s="4">
        <f t="shared" si="103"/>
        <v>14.138946659203699</v>
      </c>
    </row>
    <row r="1617" spans="2:28" x14ac:dyDescent="0.2">
      <c r="B1617" s="4" t="s">
        <v>65</v>
      </c>
      <c r="C1617" s="4">
        <v>13.9101</v>
      </c>
      <c r="D1617" s="4">
        <v>14.390599999999999</v>
      </c>
      <c r="E1617" s="4">
        <v>14.337999999999999</v>
      </c>
      <c r="F1617" s="4">
        <f t="shared" si="100"/>
        <v>14.212899999999999</v>
      </c>
      <c r="I1617" s="4" t="s">
        <v>4059</v>
      </c>
      <c r="J1617" s="4">
        <v>14.334099999999999</v>
      </c>
      <c r="K1617" s="4">
        <v>14.2432</v>
      </c>
      <c r="L1617" s="4">
        <v>14.1638</v>
      </c>
      <c r="M1617" s="4">
        <f t="shared" si="101"/>
        <v>14.247033333333334</v>
      </c>
      <c r="Q1617" s="43" t="s">
        <v>528</v>
      </c>
      <c r="R1617" s="4">
        <v>14.117811986803501</v>
      </c>
      <c r="S1617" s="4">
        <v>13.819271603746801</v>
      </c>
      <c r="T1617" s="4">
        <v>14.1118725640983</v>
      </c>
      <c r="U1617" s="4">
        <f t="shared" si="102"/>
        <v>14.016318718216199</v>
      </c>
      <c r="X1617" s="43" t="s">
        <v>2301</v>
      </c>
      <c r="Y1617" s="4">
        <v>14.0806000213608</v>
      </c>
      <c r="Z1617" s="4">
        <v>14.211416702693599</v>
      </c>
      <c r="AA1617" s="4">
        <v>14.122294278371101</v>
      </c>
      <c r="AB1617" s="4">
        <f t="shared" si="103"/>
        <v>14.138103667475166</v>
      </c>
    </row>
    <row r="1618" spans="2:28" x14ac:dyDescent="0.2">
      <c r="B1618" s="4" t="s">
        <v>2754</v>
      </c>
      <c r="C1618" s="4">
        <v>14.6181</v>
      </c>
      <c r="D1618" s="4">
        <v>14.366300000000001</v>
      </c>
      <c r="E1618" s="4">
        <v>13.651</v>
      </c>
      <c r="F1618" s="4">
        <f t="shared" si="100"/>
        <v>14.211800000000002</v>
      </c>
      <c r="I1618" s="4" t="s">
        <v>78</v>
      </c>
      <c r="J1618" s="4">
        <v>14.3508</v>
      </c>
      <c r="K1618" s="4">
        <v>14.1126</v>
      </c>
      <c r="L1618" s="4">
        <v>14.2714</v>
      </c>
      <c r="M1618" s="4">
        <f t="shared" si="101"/>
        <v>14.244933333333334</v>
      </c>
      <c r="Q1618" s="43" t="s">
        <v>3783</v>
      </c>
      <c r="R1618" s="4">
        <v>14.341907199643099</v>
      </c>
      <c r="S1618" s="4">
        <v>13.8421820325441</v>
      </c>
      <c r="T1618" s="4">
        <v>13.8621408348922</v>
      </c>
      <c r="U1618" s="4">
        <f t="shared" si="102"/>
        <v>14.0154100223598</v>
      </c>
      <c r="X1618" s="43" t="s">
        <v>3834</v>
      </c>
      <c r="Y1618" s="4">
        <v>14.0404875750261</v>
      </c>
      <c r="Z1618" s="4">
        <v>14.1248236385923</v>
      </c>
      <c r="AA1618" s="4">
        <v>14.2447819996872</v>
      </c>
      <c r="AB1618" s="4">
        <f t="shared" si="103"/>
        <v>14.136697737768534</v>
      </c>
    </row>
    <row r="1619" spans="2:28" x14ac:dyDescent="0.2">
      <c r="B1619" s="4" t="s">
        <v>245</v>
      </c>
      <c r="C1619" s="4">
        <v>14.064</v>
      </c>
      <c r="D1619" s="4">
        <v>14.287599999999999</v>
      </c>
      <c r="E1619" s="4">
        <v>14.274699999999999</v>
      </c>
      <c r="F1619" s="4">
        <f t="shared" si="100"/>
        <v>14.208766666666667</v>
      </c>
      <c r="I1619" s="4" t="s">
        <v>330</v>
      </c>
      <c r="J1619" s="4">
        <v>14.1347</v>
      </c>
      <c r="K1619" s="4">
        <v>14.2193</v>
      </c>
      <c r="L1619" s="4">
        <v>14.376200000000001</v>
      </c>
      <c r="M1619" s="4">
        <f t="shared" si="101"/>
        <v>14.243399999999999</v>
      </c>
      <c r="Q1619" s="43" t="s">
        <v>3754</v>
      </c>
      <c r="R1619" s="4">
        <v>13.9363884075822</v>
      </c>
      <c r="S1619" s="4">
        <v>13.9852342359098</v>
      </c>
      <c r="T1619" s="4">
        <v>14.120739740205799</v>
      </c>
      <c r="U1619" s="4">
        <f t="shared" si="102"/>
        <v>14.014120794565933</v>
      </c>
      <c r="X1619" s="43" t="s">
        <v>3679</v>
      </c>
      <c r="Y1619" s="4">
        <v>14.2264000362616</v>
      </c>
      <c r="Z1619" s="4">
        <v>14.071877942058199</v>
      </c>
      <c r="AA1619" s="4">
        <v>14.101873978927401</v>
      </c>
      <c r="AB1619" s="4">
        <f t="shared" si="103"/>
        <v>14.133383985749068</v>
      </c>
    </row>
    <row r="1620" spans="2:28" x14ac:dyDescent="0.2">
      <c r="B1620" s="4" t="s">
        <v>2970</v>
      </c>
      <c r="C1620" s="4">
        <v>14.760400000000001</v>
      </c>
      <c r="D1620" s="4">
        <v>13.6333</v>
      </c>
      <c r="E1620" s="4">
        <v>14.228300000000001</v>
      </c>
      <c r="F1620" s="4">
        <f t="shared" si="100"/>
        <v>14.207333333333333</v>
      </c>
      <c r="I1620" s="4" t="s">
        <v>2222</v>
      </c>
      <c r="J1620" s="4">
        <v>13.1995</v>
      </c>
      <c r="K1620" s="4">
        <v>16.290199999999999</v>
      </c>
      <c r="L1620" s="4">
        <v>13.2393</v>
      </c>
      <c r="M1620" s="4">
        <f t="shared" si="101"/>
        <v>14.243</v>
      </c>
      <c r="Q1620" s="43" t="s">
        <v>2532</v>
      </c>
      <c r="R1620" s="4">
        <v>13.9606799773488</v>
      </c>
      <c r="S1620" s="4">
        <v>14.0275628905784</v>
      </c>
      <c r="T1620" s="4">
        <v>14.0499000000001</v>
      </c>
      <c r="U1620" s="4">
        <f t="shared" si="102"/>
        <v>14.0127142893091</v>
      </c>
      <c r="X1620" s="43" t="s">
        <v>1821</v>
      </c>
      <c r="Y1620" s="4">
        <v>14.0923953889023</v>
      </c>
      <c r="Z1620" s="4">
        <v>14.190592401618799</v>
      </c>
      <c r="AA1620" s="4">
        <v>14.1149948752449</v>
      </c>
      <c r="AB1620" s="4">
        <f t="shared" si="103"/>
        <v>14.132660888588665</v>
      </c>
    </row>
    <row r="1621" spans="2:28" x14ac:dyDescent="0.2">
      <c r="B1621" s="4" t="s">
        <v>3106</v>
      </c>
      <c r="C1621" s="4">
        <v>14.2524</v>
      </c>
      <c r="D1621" s="4">
        <v>14.3032</v>
      </c>
      <c r="E1621" s="4">
        <v>14.063000000000001</v>
      </c>
      <c r="F1621" s="4">
        <f t="shared" si="100"/>
        <v>14.206200000000001</v>
      </c>
      <c r="I1621" s="4" t="s">
        <v>3798</v>
      </c>
      <c r="J1621" s="4">
        <v>14.4793</v>
      </c>
      <c r="K1621" s="4">
        <v>13.755800000000001</v>
      </c>
      <c r="L1621" s="4">
        <v>14.4938</v>
      </c>
      <c r="M1621" s="4">
        <f t="shared" si="101"/>
        <v>14.242966666666668</v>
      </c>
      <c r="Q1621" s="43" t="s">
        <v>1417</v>
      </c>
      <c r="R1621" s="4">
        <v>14.3245246750676</v>
      </c>
      <c r="S1621" s="4">
        <v>13.7735989673776</v>
      </c>
      <c r="T1621" s="4">
        <v>13.9268161600175</v>
      </c>
      <c r="U1621" s="4">
        <f t="shared" si="102"/>
        <v>14.008313267487567</v>
      </c>
      <c r="X1621" s="43" t="s">
        <v>3198</v>
      </c>
      <c r="Y1621" s="4">
        <v>14.0331828718064</v>
      </c>
      <c r="Z1621" s="4">
        <v>14.2177370682509</v>
      </c>
      <c r="AA1621" s="4">
        <v>14.1423281506294</v>
      </c>
      <c r="AB1621" s="4">
        <f t="shared" si="103"/>
        <v>14.131082696895566</v>
      </c>
    </row>
    <row r="1622" spans="2:28" x14ac:dyDescent="0.2">
      <c r="B1622" s="4" t="s">
        <v>3683</v>
      </c>
      <c r="C1622" s="4">
        <v>13.7437</v>
      </c>
      <c r="D1622" s="4">
        <v>14.5282</v>
      </c>
      <c r="E1622" s="4">
        <v>14.345700000000001</v>
      </c>
      <c r="F1622" s="4">
        <f t="shared" si="100"/>
        <v>14.205866666666667</v>
      </c>
      <c r="I1622" s="4" t="s">
        <v>355</v>
      </c>
      <c r="J1622" s="4">
        <v>14.442600000000001</v>
      </c>
      <c r="K1622" s="4">
        <v>13.694900000000001</v>
      </c>
      <c r="L1622" s="4">
        <v>14.5907</v>
      </c>
      <c r="M1622" s="4">
        <f t="shared" si="101"/>
        <v>14.242733333333334</v>
      </c>
      <c r="Q1622" s="43" t="s">
        <v>2990</v>
      </c>
      <c r="R1622" s="4">
        <v>13.8587991257398</v>
      </c>
      <c r="S1622" s="4">
        <v>14.2052484674791</v>
      </c>
      <c r="T1622" s="4">
        <v>13.9605977680626</v>
      </c>
      <c r="U1622" s="4">
        <f t="shared" si="102"/>
        <v>14.008215120427167</v>
      </c>
      <c r="X1622" s="43" t="s">
        <v>835</v>
      </c>
      <c r="Y1622" s="4">
        <v>13.9842879741594</v>
      </c>
      <c r="Z1622" s="4">
        <v>14.2270661488892</v>
      </c>
      <c r="AA1622" s="4">
        <v>14.1807878234869</v>
      </c>
      <c r="AB1622" s="4">
        <f t="shared" si="103"/>
        <v>14.1307139821785</v>
      </c>
    </row>
    <row r="1623" spans="2:28" x14ac:dyDescent="0.2">
      <c r="B1623" s="4" t="s">
        <v>3816</v>
      </c>
      <c r="C1623" s="4">
        <v>14.34</v>
      </c>
      <c r="D1623" s="4">
        <v>14.0809</v>
      </c>
      <c r="E1623" s="4">
        <v>14.196199999999999</v>
      </c>
      <c r="F1623" s="4">
        <f t="shared" si="100"/>
        <v>14.2057</v>
      </c>
      <c r="I1623" s="4" t="s">
        <v>3595</v>
      </c>
      <c r="J1623" s="4">
        <v>14.1601</v>
      </c>
      <c r="K1623" s="4">
        <v>14.112</v>
      </c>
      <c r="L1623" s="4">
        <v>14.4558</v>
      </c>
      <c r="M1623" s="4">
        <f t="shared" si="101"/>
        <v>14.242633333333336</v>
      </c>
      <c r="Q1623" s="43" t="s">
        <v>2261</v>
      </c>
      <c r="R1623" s="4">
        <v>14.0793906586359</v>
      </c>
      <c r="S1623" s="4">
        <v>13.983643322145401</v>
      </c>
      <c r="T1623" s="4">
        <v>13.958507581190499</v>
      </c>
      <c r="U1623" s="4">
        <f t="shared" si="102"/>
        <v>14.007180520657267</v>
      </c>
      <c r="X1623" s="43" t="s">
        <v>1795</v>
      </c>
      <c r="Y1623" s="4">
        <v>14.3042226851318</v>
      </c>
      <c r="Z1623" s="4">
        <v>14.2458576479691</v>
      </c>
      <c r="AA1623" s="4">
        <v>13.8391996117061</v>
      </c>
      <c r="AB1623" s="4">
        <f t="shared" si="103"/>
        <v>14.129759981602334</v>
      </c>
    </row>
    <row r="1624" spans="2:28" x14ac:dyDescent="0.2">
      <c r="B1624" s="4" t="s">
        <v>1369</v>
      </c>
      <c r="C1624" s="4">
        <v>14.055899999999999</v>
      </c>
      <c r="D1624" s="4">
        <v>14.057600000000001</v>
      </c>
      <c r="E1624" s="4">
        <v>14.5016</v>
      </c>
      <c r="F1624" s="4">
        <f t="shared" si="100"/>
        <v>14.205033333333333</v>
      </c>
      <c r="I1624" s="4" t="s">
        <v>182</v>
      </c>
      <c r="J1624" s="4">
        <v>14.3797</v>
      </c>
      <c r="K1624" s="4">
        <v>14.0366</v>
      </c>
      <c r="L1624" s="4">
        <v>14.305099999999999</v>
      </c>
      <c r="M1624" s="4">
        <f t="shared" si="101"/>
        <v>14.240466666666668</v>
      </c>
      <c r="Q1624" s="43" t="s">
        <v>1863</v>
      </c>
      <c r="R1624" s="4">
        <v>13.715531309043101</v>
      </c>
      <c r="S1624" s="4">
        <v>14.2288765506591</v>
      </c>
      <c r="T1624" s="4">
        <v>14.076660411933201</v>
      </c>
      <c r="U1624" s="4">
        <f t="shared" si="102"/>
        <v>14.0070227572118</v>
      </c>
      <c r="X1624" s="43" t="s">
        <v>599</v>
      </c>
      <c r="Y1624" s="4">
        <v>14.173543964752</v>
      </c>
      <c r="Z1624" s="4">
        <v>14.2131880360634</v>
      </c>
      <c r="AA1624" s="4">
        <v>13.999663745845201</v>
      </c>
      <c r="AB1624" s="4">
        <f t="shared" si="103"/>
        <v>14.128798582220199</v>
      </c>
    </row>
    <row r="1625" spans="2:28" x14ac:dyDescent="0.2">
      <c r="B1625" s="4" t="s">
        <v>111</v>
      </c>
      <c r="C1625" s="4">
        <v>14.1668</v>
      </c>
      <c r="D1625" s="4">
        <v>13.9259</v>
      </c>
      <c r="E1625" s="4">
        <v>14.5177</v>
      </c>
      <c r="F1625" s="4">
        <f t="shared" si="100"/>
        <v>14.203466666666666</v>
      </c>
      <c r="I1625" s="4" t="s">
        <v>2134</v>
      </c>
      <c r="J1625" s="4">
        <v>14.601900000000001</v>
      </c>
      <c r="K1625" s="4">
        <v>13.894500000000001</v>
      </c>
      <c r="L1625" s="4">
        <v>14.209300000000001</v>
      </c>
      <c r="M1625" s="4">
        <f t="shared" si="101"/>
        <v>14.235233333333333</v>
      </c>
      <c r="Q1625" s="43" t="s">
        <v>95</v>
      </c>
      <c r="R1625" s="4">
        <v>14.059217839168101</v>
      </c>
      <c r="S1625" s="4">
        <v>14.038473526688501</v>
      </c>
      <c r="T1625" s="4">
        <v>13.921549274131801</v>
      </c>
      <c r="U1625" s="4">
        <f t="shared" si="102"/>
        <v>14.006413546662801</v>
      </c>
      <c r="X1625" s="43" t="s">
        <v>3651</v>
      </c>
      <c r="Y1625" s="4">
        <v>14.086257487823399</v>
      </c>
      <c r="Z1625" s="4">
        <v>14.296220105968001</v>
      </c>
      <c r="AA1625" s="4">
        <v>14.0038163230456</v>
      </c>
      <c r="AB1625" s="4">
        <f t="shared" si="103"/>
        <v>14.128764638945666</v>
      </c>
    </row>
    <row r="1626" spans="2:28" x14ac:dyDescent="0.2">
      <c r="B1626" s="4" t="s">
        <v>2401</v>
      </c>
      <c r="C1626" s="4">
        <v>14.1821</v>
      </c>
      <c r="D1626" s="4">
        <v>14.2667</v>
      </c>
      <c r="E1626" s="4">
        <v>14.158899999999999</v>
      </c>
      <c r="F1626" s="4">
        <f t="shared" si="100"/>
        <v>14.202566666666664</v>
      </c>
      <c r="I1626" s="4" t="s">
        <v>16</v>
      </c>
      <c r="J1626" s="4">
        <v>14.145</v>
      </c>
      <c r="K1626" s="4">
        <v>14.2576</v>
      </c>
      <c r="L1626" s="4">
        <v>14.3009</v>
      </c>
      <c r="M1626" s="4">
        <f t="shared" si="101"/>
        <v>14.234499999999999</v>
      </c>
      <c r="Q1626" s="43" t="s">
        <v>2883</v>
      </c>
      <c r="R1626" s="4">
        <v>13.888572312810799</v>
      </c>
      <c r="S1626" s="4">
        <v>13.860448277076101</v>
      </c>
      <c r="T1626" s="4">
        <v>14.269121532430599</v>
      </c>
      <c r="U1626" s="4">
        <f t="shared" si="102"/>
        <v>14.006047374105833</v>
      </c>
      <c r="X1626" s="43" t="s">
        <v>1511</v>
      </c>
      <c r="Y1626" s="4">
        <v>14.464612452250099</v>
      </c>
      <c r="Z1626" s="4">
        <v>14.379569446712001</v>
      </c>
      <c r="AA1626" s="4">
        <v>13.537687134688801</v>
      </c>
      <c r="AB1626" s="4">
        <f t="shared" si="103"/>
        <v>14.127289677883633</v>
      </c>
    </row>
    <row r="1627" spans="2:28" x14ac:dyDescent="0.2">
      <c r="B1627" s="4" t="s">
        <v>1013</v>
      </c>
      <c r="C1627" s="4">
        <v>13.8268</v>
      </c>
      <c r="D1627" s="4">
        <v>14.432</v>
      </c>
      <c r="E1627" s="4">
        <v>14.341100000000001</v>
      </c>
      <c r="F1627" s="4">
        <f t="shared" si="100"/>
        <v>14.199966666666668</v>
      </c>
      <c r="I1627" s="4" t="s">
        <v>2809</v>
      </c>
      <c r="J1627" s="4">
        <v>13.7197</v>
      </c>
      <c r="K1627" s="4">
        <v>15.5794</v>
      </c>
      <c r="L1627" s="4">
        <v>13.399800000000001</v>
      </c>
      <c r="M1627" s="4">
        <f t="shared" si="101"/>
        <v>14.232966666666668</v>
      </c>
      <c r="Q1627" s="43" t="s">
        <v>557</v>
      </c>
      <c r="R1627" s="4">
        <v>13.9202282253757</v>
      </c>
      <c r="S1627" s="4">
        <v>14.107327929560901</v>
      </c>
      <c r="T1627" s="4">
        <v>13.9897318311292</v>
      </c>
      <c r="U1627" s="4">
        <f t="shared" si="102"/>
        <v>14.005762662021935</v>
      </c>
      <c r="X1627" s="43" t="s">
        <v>2966</v>
      </c>
      <c r="Y1627" s="4">
        <v>14.1779247101618</v>
      </c>
      <c r="Z1627" s="4">
        <v>14.0336463886998</v>
      </c>
      <c r="AA1627" s="4">
        <v>14.1589973599476</v>
      </c>
      <c r="AB1627" s="4">
        <f t="shared" si="103"/>
        <v>14.123522819603068</v>
      </c>
    </row>
    <row r="1628" spans="2:28" x14ac:dyDescent="0.2">
      <c r="B1628" s="4" t="s">
        <v>2134</v>
      </c>
      <c r="C1628" s="4">
        <v>14.274900000000001</v>
      </c>
      <c r="D1628" s="4">
        <v>14.208399999999999</v>
      </c>
      <c r="E1628" s="4">
        <v>14.1075</v>
      </c>
      <c r="F1628" s="4">
        <f t="shared" si="100"/>
        <v>14.196933333333334</v>
      </c>
      <c r="I1628" s="4" t="s">
        <v>3606</v>
      </c>
      <c r="J1628" s="4">
        <v>14.2806</v>
      </c>
      <c r="K1628" s="4">
        <v>14.092700000000001</v>
      </c>
      <c r="L1628" s="4">
        <v>14.3171</v>
      </c>
      <c r="M1628" s="4">
        <f t="shared" si="101"/>
        <v>14.230133333333333</v>
      </c>
      <c r="Q1628" s="43" t="s">
        <v>1582</v>
      </c>
      <c r="R1628" s="4">
        <v>14.1790120833326</v>
      </c>
      <c r="S1628" s="4">
        <v>13.9405546620234</v>
      </c>
      <c r="T1628" s="4">
        <v>13.8903666211862</v>
      </c>
      <c r="U1628" s="4">
        <f t="shared" si="102"/>
        <v>14.003311122180733</v>
      </c>
      <c r="X1628" s="43" t="s">
        <v>2420</v>
      </c>
      <c r="Y1628" s="4">
        <v>14.1750680529106</v>
      </c>
      <c r="Z1628" s="4">
        <v>14.1412518360842</v>
      </c>
      <c r="AA1628" s="4">
        <v>14.0535895118079</v>
      </c>
      <c r="AB1628" s="4">
        <f t="shared" si="103"/>
        <v>14.123303133600899</v>
      </c>
    </row>
    <row r="1629" spans="2:28" x14ac:dyDescent="0.2">
      <c r="B1629" s="4" t="s">
        <v>3891</v>
      </c>
      <c r="C1629" s="4">
        <v>14.226000000000001</v>
      </c>
      <c r="D1629" s="4">
        <v>14.2463</v>
      </c>
      <c r="E1629" s="4">
        <v>14.1159</v>
      </c>
      <c r="F1629" s="4">
        <f t="shared" si="100"/>
        <v>14.196066666666667</v>
      </c>
      <c r="I1629" s="4" t="s">
        <v>3811</v>
      </c>
      <c r="J1629" s="4">
        <v>13.874700000000001</v>
      </c>
      <c r="K1629" s="4">
        <v>14.3933</v>
      </c>
      <c r="L1629" s="4">
        <v>14.421099999999999</v>
      </c>
      <c r="M1629" s="4">
        <f t="shared" si="101"/>
        <v>14.229699999999999</v>
      </c>
      <c r="Q1629" s="43" t="s">
        <v>3133</v>
      </c>
      <c r="R1629" s="4">
        <v>14.0275250900263</v>
      </c>
      <c r="S1629" s="4">
        <v>14.0861774668541</v>
      </c>
      <c r="T1629" s="4">
        <v>13.8925373237189</v>
      </c>
      <c r="U1629" s="4">
        <f t="shared" si="102"/>
        <v>14.002079960199765</v>
      </c>
      <c r="X1629" s="43" t="s">
        <v>3256</v>
      </c>
      <c r="Y1629" s="4">
        <v>14.0413831881684</v>
      </c>
      <c r="Z1629" s="4">
        <v>14.269892429787101</v>
      </c>
      <c r="AA1629" s="4">
        <v>14.058558947131599</v>
      </c>
      <c r="AB1629" s="4">
        <f t="shared" si="103"/>
        <v>14.123278188362368</v>
      </c>
    </row>
    <row r="1630" spans="2:28" x14ac:dyDescent="0.2">
      <c r="B1630" s="4" t="s">
        <v>3738</v>
      </c>
      <c r="C1630" s="4">
        <v>14.236000000000001</v>
      </c>
      <c r="D1630" s="4">
        <v>14.109</v>
      </c>
      <c r="E1630" s="4">
        <v>14.2379</v>
      </c>
      <c r="F1630" s="4">
        <f t="shared" si="100"/>
        <v>14.194299999999998</v>
      </c>
      <c r="I1630" s="4" t="s">
        <v>2558</v>
      </c>
      <c r="J1630" s="4">
        <v>14.504799999999999</v>
      </c>
      <c r="K1630" s="4">
        <v>13.856</v>
      </c>
      <c r="L1630" s="4">
        <v>14.324299999999999</v>
      </c>
      <c r="M1630" s="4">
        <f t="shared" si="101"/>
        <v>14.228366666666666</v>
      </c>
      <c r="Q1630" s="43" t="s">
        <v>31</v>
      </c>
      <c r="R1630" s="4">
        <v>14.0829098780472</v>
      </c>
      <c r="S1630" s="4">
        <v>13.7387124441076</v>
      </c>
      <c r="T1630" s="4">
        <v>14.184203940352401</v>
      </c>
      <c r="U1630" s="4">
        <f t="shared" si="102"/>
        <v>14.0019420875024</v>
      </c>
      <c r="X1630" s="43" t="s">
        <v>535</v>
      </c>
      <c r="Y1630" s="4">
        <v>14.279828390824701</v>
      </c>
      <c r="Z1630" s="4">
        <v>14.1122656162525</v>
      </c>
      <c r="AA1630" s="4">
        <v>13.9742539293461</v>
      </c>
      <c r="AB1630" s="4">
        <f t="shared" si="103"/>
        <v>14.122115978807768</v>
      </c>
    </row>
    <row r="1631" spans="2:28" x14ac:dyDescent="0.2">
      <c r="B1631" s="4" t="s">
        <v>2956</v>
      </c>
      <c r="C1631" s="4">
        <v>15.1441</v>
      </c>
      <c r="D1631" s="4">
        <v>14.264099999999999</v>
      </c>
      <c r="E1631" s="4">
        <v>13.1746</v>
      </c>
      <c r="F1631" s="4">
        <f t="shared" si="100"/>
        <v>14.194266666666666</v>
      </c>
      <c r="I1631" s="4" t="s">
        <v>1336</v>
      </c>
      <c r="J1631" s="4">
        <v>14.247</v>
      </c>
      <c r="K1631" s="4">
        <v>14.0863</v>
      </c>
      <c r="L1631" s="4">
        <v>14.3497</v>
      </c>
      <c r="M1631" s="4">
        <f t="shared" si="101"/>
        <v>14.227666666666666</v>
      </c>
      <c r="Q1631" s="43" t="s">
        <v>4001</v>
      </c>
      <c r="R1631" s="4">
        <v>14.0179379224592</v>
      </c>
      <c r="S1631" s="4">
        <v>13.9231979169284</v>
      </c>
      <c r="T1631" s="4">
        <v>14.0637411481939</v>
      </c>
      <c r="U1631" s="4">
        <f t="shared" si="102"/>
        <v>14.001625662527166</v>
      </c>
      <c r="X1631" s="43" t="s">
        <v>1716</v>
      </c>
      <c r="Y1631" s="4">
        <v>14.149506024748501</v>
      </c>
      <c r="Z1631" s="4">
        <v>14.1885212594145</v>
      </c>
      <c r="AA1631" s="4">
        <v>14.0242623594084</v>
      </c>
      <c r="AB1631" s="4">
        <f t="shared" si="103"/>
        <v>14.1207632145238</v>
      </c>
    </row>
    <row r="1632" spans="2:28" x14ac:dyDescent="0.2">
      <c r="B1632" s="4" t="s">
        <v>479</v>
      </c>
      <c r="C1632" s="4">
        <v>14.310600000000001</v>
      </c>
      <c r="D1632" s="4">
        <v>14.0868</v>
      </c>
      <c r="E1632" s="4">
        <v>14.182600000000001</v>
      </c>
      <c r="F1632" s="4">
        <f t="shared" si="100"/>
        <v>14.193333333333333</v>
      </c>
      <c r="I1632" s="4" t="s">
        <v>99</v>
      </c>
      <c r="J1632" s="4">
        <v>14.196999999999999</v>
      </c>
      <c r="K1632" s="4">
        <v>14.108499999999999</v>
      </c>
      <c r="L1632" s="4">
        <v>14.3773</v>
      </c>
      <c r="M1632" s="4">
        <f t="shared" si="101"/>
        <v>14.227600000000001</v>
      </c>
      <c r="Q1632" s="43" t="s">
        <v>3968</v>
      </c>
      <c r="R1632" s="4">
        <v>13.977588140677801</v>
      </c>
      <c r="S1632" s="4">
        <v>13.833026750147599</v>
      </c>
      <c r="T1632" s="4">
        <v>14.1941932314932</v>
      </c>
      <c r="U1632" s="4">
        <f t="shared" si="102"/>
        <v>14.001602707439533</v>
      </c>
      <c r="X1632" s="43" t="s">
        <v>2161</v>
      </c>
      <c r="Y1632" s="4">
        <v>14.255038818394601</v>
      </c>
      <c r="Z1632" s="4">
        <v>14.1895217479228</v>
      </c>
      <c r="AA1632" s="4">
        <v>13.9168730534288</v>
      </c>
      <c r="AB1632" s="4">
        <f t="shared" si="103"/>
        <v>14.120477873248733</v>
      </c>
    </row>
    <row r="1633" spans="2:28" x14ac:dyDescent="0.2">
      <c r="B1633" s="4" t="s">
        <v>603</v>
      </c>
      <c r="C1633" s="4">
        <v>14.2834</v>
      </c>
      <c r="D1633" s="4">
        <v>14.0609</v>
      </c>
      <c r="E1633" s="4">
        <v>14.2302</v>
      </c>
      <c r="F1633" s="4">
        <f t="shared" si="100"/>
        <v>14.1915</v>
      </c>
      <c r="I1633" s="4" t="s">
        <v>0</v>
      </c>
      <c r="J1633" s="4">
        <v>14.4771</v>
      </c>
      <c r="K1633" s="4">
        <v>13.812799999999999</v>
      </c>
      <c r="L1633" s="4">
        <v>14.3912</v>
      </c>
      <c r="M1633" s="4">
        <f t="shared" si="101"/>
        <v>14.227033333333333</v>
      </c>
      <c r="Q1633" s="43" t="s">
        <v>2653</v>
      </c>
      <c r="R1633" s="4">
        <v>13.905352122579799</v>
      </c>
      <c r="S1633" s="4">
        <v>13.986324858274999</v>
      </c>
      <c r="T1633" s="4">
        <v>14.1055878248418</v>
      </c>
      <c r="U1633" s="4">
        <f t="shared" si="102"/>
        <v>13.999088268565531</v>
      </c>
      <c r="X1633" s="43" t="s">
        <v>3595</v>
      </c>
      <c r="Y1633" s="4">
        <v>14.3177483651993</v>
      </c>
      <c r="Z1633" s="4">
        <v>14.3088224870493</v>
      </c>
      <c r="AA1633" s="4">
        <v>13.734001190687801</v>
      </c>
      <c r="AB1633" s="4">
        <f t="shared" si="103"/>
        <v>14.1201906809788</v>
      </c>
    </row>
    <row r="1634" spans="2:28" x14ac:dyDescent="0.2">
      <c r="B1634" s="4" t="s">
        <v>1026</v>
      </c>
      <c r="C1634" s="4">
        <v>14.052099999999999</v>
      </c>
      <c r="D1634" s="4">
        <v>14.489699999999999</v>
      </c>
      <c r="E1634" s="4">
        <v>14.026999999999999</v>
      </c>
      <c r="F1634" s="4">
        <f t="shared" si="100"/>
        <v>14.189599999999999</v>
      </c>
      <c r="I1634" s="4" t="s">
        <v>3214</v>
      </c>
      <c r="J1634" s="4">
        <v>13.635300000000001</v>
      </c>
      <c r="K1634" s="4">
        <v>15.672599999999999</v>
      </c>
      <c r="L1634" s="4">
        <v>13.3726</v>
      </c>
      <c r="M1634" s="4">
        <f t="shared" si="101"/>
        <v>14.226833333333333</v>
      </c>
      <c r="Q1634" s="43" t="s">
        <v>3252</v>
      </c>
      <c r="R1634" s="4">
        <v>14.012600721369299</v>
      </c>
      <c r="S1634" s="4">
        <v>14.044960170533701</v>
      </c>
      <c r="T1634" s="4">
        <v>13.933417138295701</v>
      </c>
      <c r="U1634" s="4">
        <f t="shared" si="102"/>
        <v>13.996992676732901</v>
      </c>
      <c r="X1634" s="43" t="s">
        <v>3996</v>
      </c>
      <c r="Y1634" s="4">
        <v>14.185962288453901</v>
      </c>
      <c r="Z1634" s="4">
        <v>13.7832316971797</v>
      </c>
      <c r="AA1634" s="4">
        <v>14.3894002902673</v>
      </c>
      <c r="AB1634" s="4">
        <f t="shared" si="103"/>
        <v>14.1195314253003</v>
      </c>
    </row>
    <row r="1635" spans="2:28" x14ac:dyDescent="0.2">
      <c r="B1635" s="4" t="s">
        <v>2383</v>
      </c>
      <c r="C1635" s="4">
        <v>14.5945</v>
      </c>
      <c r="D1635" s="4">
        <v>14.1846</v>
      </c>
      <c r="E1635" s="4">
        <v>13.789300000000001</v>
      </c>
      <c r="F1635" s="4">
        <f t="shared" si="100"/>
        <v>14.189466666666666</v>
      </c>
      <c r="I1635" s="4" t="s">
        <v>2951</v>
      </c>
      <c r="J1635" s="4">
        <v>14.3085</v>
      </c>
      <c r="K1635" s="4">
        <v>14.038</v>
      </c>
      <c r="L1635" s="4">
        <v>14.319900000000001</v>
      </c>
      <c r="M1635" s="4">
        <f t="shared" si="101"/>
        <v>14.222133333333332</v>
      </c>
      <c r="Q1635" s="43" t="s">
        <v>4208</v>
      </c>
      <c r="R1635" s="4">
        <v>13.874808021697</v>
      </c>
      <c r="S1635" s="4">
        <v>14.171568081045701</v>
      </c>
      <c r="T1635" s="4">
        <v>13.941816201529599</v>
      </c>
      <c r="U1635" s="4">
        <f t="shared" si="102"/>
        <v>13.996064101424098</v>
      </c>
      <c r="X1635" s="43" t="s">
        <v>4028</v>
      </c>
      <c r="Y1635" s="4">
        <v>14.190120958981799</v>
      </c>
      <c r="Z1635" s="4">
        <v>14.141624881451101</v>
      </c>
      <c r="AA1635" s="4">
        <v>14.026460305445701</v>
      </c>
      <c r="AB1635" s="4">
        <f t="shared" si="103"/>
        <v>14.119402048626201</v>
      </c>
    </row>
    <row r="1636" spans="2:28" x14ac:dyDescent="0.2">
      <c r="B1636" s="4" t="s">
        <v>3879</v>
      </c>
      <c r="C1636" s="4">
        <v>14.392799999999999</v>
      </c>
      <c r="D1636" s="4">
        <v>14.3066</v>
      </c>
      <c r="E1636" s="4">
        <v>13.865600000000001</v>
      </c>
      <c r="F1636" s="4">
        <f t="shared" si="100"/>
        <v>14.188333333333333</v>
      </c>
      <c r="I1636" s="4" t="s">
        <v>3597</v>
      </c>
      <c r="J1636" s="4">
        <v>14.142799999999999</v>
      </c>
      <c r="K1636" s="4">
        <v>14.4781</v>
      </c>
      <c r="L1636" s="4">
        <v>14.038600000000001</v>
      </c>
      <c r="M1636" s="4">
        <f t="shared" si="101"/>
        <v>14.219833333333334</v>
      </c>
      <c r="Q1636" s="43" t="s">
        <v>518</v>
      </c>
      <c r="R1636" s="4">
        <v>13.9109370095338</v>
      </c>
      <c r="S1636" s="4">
        <v>14.0405977891149</v>
      </c>
      <c r="T1636" s="4">
        <v>14.036264626981</v>
      </c>
      <c r="U1636" s="4">
        <f t="shared" si="102"/>
        <v>13.995933141876568</v>
      </c>
      <c r="X1636" s="43" t="s">
        <v>3566</v>
      </c>
      <c r="Y1636" s="4">
        <v>14.1868212239455</v>
      </c>
      <c r="Z1636" s="4">
        <v>14.2098765636616</v>
      </c>
      <c r="AA1636" s="4">
        <v>13.961011703858899</v>
      </c>
      <c r="AB1636" s="4">
        <f t="shared" si="103"/>
        <v>14.119236497155335</v>
      </c>
    </row>
    <row r="1637" spans="2:28" x14ac:dyDescent="0.2">
      <c r="B1637" s="4" t="s">
        <v>1490</v>
      </c>
      <c r="C1637" s="4">
        <v>13.9521</v>
      </c>
      <c r="D1637" s="4">
        <v>14.117599999999999</v>
      </c>
      <c r="E1637" s="4">
        <v>14.494300000000001</v>
      </c>
      <c r="F1637" s="4">
        <f t="shared" si="100"/>
        <v>14.188000000000001</v>
      </c>
      <c r="I1637" s="4" t="s">
        <v>2295</v>
      </c>
      <c r="J1637" s="4">
        <v>14.388500000000001</v>
      </c>
      <c r="K1637" s="4">
        <v>13.831300000000001</v>
      </c>
      <c r="L1637" s="4">
        <v>14.4353</v>
      </c>
      <c r="M1637" s="4">
        <f t="shared" si="101"/>
        <v>14.218366666666666</v>
      </c>
      <c r="Q1637" s="43" t="s">
        <v>4277</v>
      </c>
      <c r="R1637" s="4">
        <v>14.0086263119913</v>
      </c>
      <c r="S1637" s="4">
        <v>14.044520288455599</v>
      </c>
      <c r="T1637" s="4">
        <v>13.9342407808636</v>
      </c>
      <c r="U1637" s="4">
        <f t="shared" si="102"/>
        <v>13.995795793770165</v>
      </c>
      <c r="X1637" s="43" t="s">
        <v>3451</v>
      </c>
      <c r="Y1637" s="4">
        <v>13.962201155533201</v>
      </c>
      <c r="Z1637" s="4">
        <v>14.196709212042199</v>
      </c>
      <c r="AA1637" s="4">
        <v>14.197314430924999</v>
      </c>
      <c r="AB1637" s="4">
        <f t="shared" si="103"/>
        <v>14.118741599500133</v>
      </c>
    </row>
    <row r="1638" spans="2:28" x14ac:dyDescent="0.2">
      <c r="B1638" s="4" t="s">
        <v>3601</v>
      </c>
      <c r="C1638" s="4">
        <v>14.3688</v>
      </c>
      <c r="D1638" s="4">
        <v>14.264200000000001</v>
      </c>
      <c r="E1638" s="4">
        <v>13.927899999999999</v>
      </c>
      <c r="F1638" s="4">
        <f t="shared" si="100"/>
        <v>14.186966666666669</v>
      </c>
      <c r="I1638" s="4" t="s">
        <v>3834</v>
      </c>
      <c r="J1638" s="4">
        <v>14.3918</v>
      </c>
      <c r="K1638" s="4">
        <v>13.905200000000001</v>
      </c>
      <c r="L1638" s="4">
        <v>14.3575</v>
      </c>
      <c r="M1638" s="4">
        <f t="shared" si="101"/>
        <v>14.218166666666667</v>
      </c>
      <c r="Q1638" s="43" t="s">
        <v>665</v>
      </c>
      <c r="R1638" s="4">
        <v>14.033202925274001</v>
      </c>
      <c r="S1638" s="4">
        <v>13.8773556050989</v>
      </c>
      <c r="T1638" s="4">
        <v>14.073567569616401</v>
      </c>
      <c r="U1638" s="4">
        <f t="shared" si="102"/>
        <v>13.994708699996435</v>
      </c>
      <c r="X1638" s="43" t="s">
        <v>204</v>
      </c>
      <c r="Y1638" s="4">
        <v>14.177371977155699</v>
      </c>
      <c r="Z1638" s="4">
        <v>13.9660875347521</v>
      </c>
      <c r="AA1638" s="4">
        <v>14.203131652198801</v>
      </c>
      <c r="AB1638" s="4">
        <f t="shared" si="103"/>
        <v>14.115530388035532</v>
      </c>
    </row>
    <row r="1639" spans="2:28" x14ac:dyDescent="0.2">
      <c r="B1639" s="4" t="s">
        <v>2960</v>
      </c>
      <c r="C1639" s="4">
        <v>14.0784</v>
      </c>
      <c r="D1639" s="4">
        <v>14.1938</v>
      </c>
      <c r="E1639" s="4">
        <v>14.2857</v>
      </c>
      <c r="F1639" s="4">
        <f t="shared" si="100"/>
        <v>14.185966666666666</v>
      </c>
      <c r="I1639" s="4" t="s">
        <v>3917</v>
      </c>
      <c r="J1639" s="4">
        <v>13.745200000000001</v>
      </c>
      <c r="K1639" s="4">
        <v>15.6151</v>
      </c>
      <c r="L1639" s="4">
        <v>13.293200000000001</v>
      </c>
      <c r="M1639" s="4">
        <f t="shared" si="101"/>
        <v>14.217833333333333</v>
      </c>
      <c r="Q1639" s="43" t="s">
        <v>349</v>
      </c>
      <c r="R1639" s="4">
        <v>14.2942793229915</v>
      </c>
      <c r="S1639" s="4">
        <v>13.7696067875405</v>
      </c>
      <c r="T1639" s="4">
        <v>13.9164270734927</v>
      </c>
      <c r="U1639" s="4">
        <f t="shared" si="102"/>
        <v>13.993437728008233</v>
      </c>
      <c r="X1639" s="43" t="s">
        <v>2100</v>
      </c>
      <c r="Y1639" s="4">
        <v>14.062922824329</v>
      </c>
      <c r="Z1639" s="4">
        <v>14.150920037331501</v>
      </c>
      <c r="AA1639" s="4">
        <v>14.132053661480001</v>
      </c>
      <c r="AB1639" s="4">
        <f t="shared" si="103"/>
        <v>14.115298841046835</v>
      </c>
    </row>
    <row r="1640" spans="2:28" x14ac:dyDescent="0.2">
      <c r="B1640" s="4" t="s">
        <v>2514</v>
      </c>
      <c r="C1640" s="4">
        <v>13.9788</v>
      </c>
      <c r="D1640" s="4">
        <v>14.256600000000001</v>
      </c>
      <c r="E1640" s="4">
        <v>14.3186</v>
      </c>
      <c r="F1640" s="4">
        <f t="shared" si="100"/>
        <v>14.184666666666667</v>
      </c>
      <c r="I1640" s="4" t="s">
        <v>1328</v>
      </c>
      <c r="J1640" s="4">
        <v>14.4436</v>
      </c>
      <c r="K1640" s="4">
        <v>14.0137</v>
      </c>
      <c r="L1640" s="4">
        <v>14.1883</v>
      </c>
      <c r="M1640" s="4">
        <f t="shared" si="101"/>
        <v>14.215200000000001</v>
      </c>
      <c r="Q1640" s="43" t="s">
        <v>945</v>
      </c>
      <c r="R1640" s="4">
        <v>14.1509646903672</v>
      </c>
      <c r="S1640" s="4">
        <v>13.936285368795399</v>
      </c>
      <c r="T1640" s="4">
        <v>13.8736671032048</v>
      </c>
      <c r="U1640" s="4">
        <f t="shared" si="102"/>
        <v>13.986972387455801</v>
      </c>
      <c r="X1640" s="43" t="s">
        <v>2612</v>
      </c>
      <c r="Y1640" s="4">
        <v>13.8676692350304</v>
      </c>
      <c r="Z1640" s="4">
        <v>14.588671758056099</v>
      </c>
      <c r="AA1640" s="4">
        <v>13.884496988908101</v>
      </c>
      <c r="AB1640" s="4">
        <f t="shared" si="103"/>
        <v>14.113612660664865</v>
      </c>
    </row>
    <row r="1641" spans="2:28" x14ac:dyDescent="0.2">
      <c r="B1641" s="4" t="s">
        <v>211</v>
      </c>
      <c r="C1641" s="4">
        <v>13.9185</v>
      </c>
      <c r="D1641" s="4">
        <v>14.2994</v>
      </c>
      <c r="E1641" s="4">
        <v>14.3325</v>
      </c>
      <c r="F1641" s="4">
        <f t="shared" si="100"/>
        <v>14.183466666666666</v>
      </c>
      <c r="I1641" s="4" t="s">
        <v>2651</v>
      </c>
      <c r="J1641" s="4">
        <v>13.382300000000001</v>
      </c>
      <c r="K1641" s="4">
        <v>15.8689</v>
      </c>
      <c r="L1641" s="4">
        <v>13.3902</v>
      </c>
      <c r="M1641" s="4">
        <f t="shared" si="101"/>
        <v>14.213800000000001</v>
      </c>
      <c r="Q1641" s="43" t="s">
        <v>2139</v>
      </c>
      <c r="R1641" s="4">
        <v>13.7950699406579</v>
      </c>
      <c r="S1641" s="4">
        <v>14.0966161634559</v>
      </c>
      <c r="T1641" s="4">
        <v>14.0627171784498</v>
      </c>
      <c r="U1641" s="4">
        <f t="shared" si="102"/>
        <v>13.984801094187867</v>
      </c>
      <c r="X1641" s="43" t="s">
        <v>4029</v>
      </c>
      <c r="Y1641" s="4">
        <v>14.272949930469601</v>
      </c>
      <c r="Z1641" s="4">
        <v>13.945458726013801</v>
      </c>
      <c r="AA1641" s="4">
        <v>14.1217427892289</v>
      </c>
      <c r="AB1641" s="4">
        <f t="shared" si="103"/>
        <v>14.113383815237434</v>
      </c>
    </row>
    <row r="1642" spans="2:28" x14ac:dyDescent="0.2">
      <c r="B1642" s="4" t="s">
        <v>2862</v>
      </c>
      <c r="C1642" s="4">
        <v>14.196099999999999</v>
      </c>
      <c r="D1642" s="4">
        <v>14.3421</v>
      </c>
      <c r="E1642" s="4">
        <v>14.009499999999999</v>
      </c>
      <c r="F1642" s="4">
        <f t="shared" si="100"/>
        <v>14.182566666666666</v>
      </c>
      <c r="I1642" s="4" t="s">
        <v>3217</v>
      </c>
      <c r="J1642" s="4">
        <v>14.402699999999999</v>
      </c>
      <c r="K1642" s="4">
        <v>14.087899999999999</v>
      </c>
      <c r="L1642" s="4">
        <v>14.150399999999999</v>
      </c>
      <c r="M1642" s="4">
        <f t="shared" si="101"/>
        <v>14.213666666666667</v>
      </c>
      <c r="Q1642" s="43" t="s">
        <v>1019</v>
      </c>
      <c r="R1642" s="4">
        <v>14.108519881321399</v>
      </c>
      <c r="S1642" s="4">
        <v>13.8141998591726</v>
      </c>
      <c r="T1642" s="4">
        <v>14.0299706211044</v>
      </c>
      <c r="U1642" s="4">
        <f t="shared" si="102"/>
        <v>13.9842301205328</v>
      </c>
      <c r="X1642" s="43" t="s">
        <v>3750</v>
      </c>
      <c r="Y1642" s="4">
        <v>13.7536354248754</v>
      </c>
      <c r="Z1642" s="4">
        <v>14.034666296231601</v>
      </c>
      <c r="AA1642" s="4">
        <v>14.551469266115699</v>
      </c>
      <c r="AB1642" s="4">
        <f t="shared" si="103"/>
        <v>14.113256995740899</v>
      </c>
    </row>
    <row r="1643" spans="2:28" x14ac:dyDescent="0.2">
      <c r="B1643" s="4" t="s">
        <v>1477</v>
      </c>
      <c r="C1643" s="4">
        <v>14.0794</v>
      </c>
      <c r="D1643" s="4">
        <v>14.583500000000001</v>
      </c>
      <c r="E1643" s="4">
        <v>13.8832</v>
      </c>
      <c r="F1643" s="4">
        <f t="shared" si="100"/>
        <v>14.182033333333335</v>
      </c>
      <c r="I1643" s="4" t="s">
        <v>557</v>
      </c>
      <c r="J1643" s="4">
        <v>14.458600000000001</v>
      </c>
      <c r="K1643" s="4">
        <v>13.818300000000001</v>
      </c>
      <c r="L1643" s="4">
        <v>14.356999999999999</v>
      </c>
      <c r="M1643" s="4">
        <f t="shared" si="101"/>
        <v>14.2113</v>
      </c>
      <c r="Q1643" s="43" t="s">
        <v>3292</v>
      </c>
      <c r="R1643" s="4">
        <v>14.3332380963612</v>
      </c>
      <c r="S1643" s="4">
        <v>13.906103261709401</v>
      </c>
      <c r="T1643" s="4">
        <v>13.708463289132499</v>
      </c>
      <c r="U1643" s="4">
        <f t="shared" si="102"/>
        <v>13.9826015490677</v>
      </c>
      <c r="X1643" s="43" t="s">
        <v>1519</v>
      </c>
      <c r="Y1643" s="4">
        <v>14.4833765527799</v>
      </c>
      <c r="Z1643" s="4">
        <v>13.8380227437348</v>
      </c>
      <c r="AA1643" s="4">
        <v>14.017972217694</v>
      </c>
      <c r="AB1643" s="4">
        <f t="shared" si="103"/>
        <v>14.113123838069567</v>
      </c>
    </row>
    <row r="1644" spans="2:28" x14ac:dyDescent="0.2">
      <c r="B1644" s="4" t="s">
        <v>2990</v>
      </c>
      <c r="C1644" s="4">
        <v>14.4156</v>
      </c>
      <c r="D1644" s="4">
        <v>14.651899999999999</v>
      </c>
      <c r="E1644" s="4">
        <v>13.477399999999999</v>
      </c>
      <c r="F1644" s="4">
        <f t="shared" si="100"/>
        <v>14.181633333333332</v>
      </c>
      <c r="I1644" s="4" t="s">
        <v>237</v>
      </c>
      <c r="J1644" s="4">
        <v>14.3253</v>
      </c>
      <c r="K1644" s="4">
        <v>14.0153</v>
      </c>
      <c r="L1644" s="4">
        <v>14.2857</v>
      </c>
      <c r="M1644" s="4">
        <f t="shared" si="101"/>
        <v>14.208766666666667</v>
      </c>
      <c r="Q1644" s="43" t="s">
        <v>2072</v>
      </c>
      <c r="R1644" s="4">
        <v>13.953144748745199</v>
      </c>
      <c r="S1644" s="4">
        <v>14.0006172126769</v>
      </c>
      <c r="T1644" s="4">
        <v>13.9932218965657</v>
      </c>
      <c r="U1644" s="4">
        <f t="shared" si="102"/>
        <v>13.982327952662601</v>
      </c>
      <c r="X1644" s="43" t="s">
        <v>4366</v>
      </c>
      <c r="Y1644" s="4">
        <v>14.1532236046636</v>
      </c>
      <c r="Z1644" s="4">
        <v>14.099572326240899</v>
      </c>
      <c r="AA1644" s="4">
        <v>14.0783501618417</v>
      </c>
      <c r="AB1644" s="4">
        <f t="shared" si="103"/>
        <v>14.110382030915398</v>
      </c>
    </row>
    <row r="1645" spans="2:28" x14ac:dyDescent="0.2">
      <c r="B1645" s="4" t="s">
        <v>122</v>
      </c>
      <c r="C1645" s="4">
        <v>14.1122</v>
      </c>
      <c r="D1645" s="4">
        <v>14.4079</v>
      </c>
      <c r="E1645" s="4">
        <v>14.023199999999999</v>
      </c>
      <c r="F1645" s="4">
        <f t="shared" si="100"/>
        <v>14.181100000000001</v>
      </c>
      <c r="I1645" s="4" t="s">
        <v>973</v>
      </c>
      <c r="J1645" s="4">
        <v>14.3291</v>
      </c>
      <c r="K1645" s="4">
        <v>14.008599999999999</v>
      </c>
      <c r="L1645" s="4">
        <v>14.288399999999999</v>
      </c>
      <c r="M1645" s="4">
        <f t="shared" si="101"/>
        <v>14.208699999999999</v>
      </c>
      <c r="Q1645" s="43" t="s">
        <v>682</v>
      </c>
      <c r="R1645" s="4">
        <v>13.684225941598701</v>
      </c>
      <c r="S1645" s="4">
        <v>14.1476482540932</v>
      </c>
      <c r="T1645" s="4">
        <v>14.114407756807299</v>
      </c>
      <c r="U1645" s="4">
        <f t="shared" si="102"/>
        <v>13.982093984166402</v>
      </c>
      <c r="X1645" s="43" t="s">
        <v>954</v>
      </c>
      <c r="Y1645" s="4">
        <v>14.357232527613199</v>
      </c>
      <c r="Z1645" s="4">
        <v>14.152199421526801</v>
      </c>
      <c r="AA1645" s="4">
        <v>13.819914156103801</v>
      </c>
      <c r="AB1645" s="4">
        <f t="shared" si="103"/>
        <v>14.109782035081267</v>
      </c>
    </row>
    <row r="1646" spans="2:28" x14ac:dyDescent="0.2">
      <c r="B1646" s="4" t="s">
        <v>3154</v>
      </c>
      <c r="C1646" s="4">
        <v>14.9048</v>
      </c>
      <c r="D1646" s="4">
        <v>12.9999</v>
      </c>
      <c r="E1646" s="4">
        <v>14.638500000000001</v>
      </c>
      <c r="F1646" s="4">
        <f t="shared" si="100"/>
        <v>14.181066666666666</v>
      </c>
      <c r="I1646" s="4" t="s">
        <v>2971</v>
      </c>
      <c r="J1646" s="4">
        <v>14.1495</v>
      </c>
      <c r="K1646" s="4">
        <v>14.487299999999999</v>
      </c>
      <c r="L1646" s="4">
        <v>13.9855</v>
      </c>
      <c r="M1646" s="4">
        <f t="shared" si="101"/>
        <v>14.207433333333334</v>
      </c>
      <c r="Q1646" s="43" t="s">
        <v>927</v>
      </c>
      <c r="R1646" s="4">
        <v>14.1565372335389</v>
      </c>
      <c r="S1646" s="4">
        <v>13.6559552199534</v>
      </c>
      <c r="T1646" s="4">
        <v>14.131826254018</v>
      </c>
      <c r="U1646" s="4">
        <f t="shared" si="102"/>
        <v>13.981439569170099</v>
      </c>
      <c r="X1646" s="43" t="s">
        <v>4325</v>
      </c>
      <c r="Y1646" s="4">
        <v>14.3097448537369</v>
      </c>
      <c r="Z1646" s="4">
        <v>13.9395057784219</v>
      </c>
      <c r="AA1646" s="4">
        <v>14.0787453665823</v>
      </c>
      <c r="AB1646" s="4">
        <f t="shared" si="103"/>
        <v>14.109331999580368</v>
      </c>
    </row>
    <row r="1647" spans="2:28" x14ac:dyDescent="0.2">
      <c r="B1647" s="4" t="s">
        <v>3812</v>
      </c>
      <c r="C1647" s="4">
        <v>14.3155</v>
      </c>
      <c r="D1647" s="4">
        <v>14.3873</v>
      </c>
      <c r="E1647" s="4">
        <v>13.8346</v>
      </c>
      <c r="F1647" s="4">
        <f t="shared" si="100"/>
        <v>14.179133333333333</v>
      </c>
      <c r="I1647" s="4" t="s">
        <v>2848</v>
      </c>
      <c r="J1647" s="4">
        <v>14.295500000000001</v>
      </c>
      <c r="K1647" s="4">
        <v>14.1251</v>
      </c>
      <c r="L1647" s="4">
        <v>14.1912</v>
      </c>
      <c r="M1647" s="4">
        <f t="shared" si="101"/>
        <v>14.203933333333334</v>
      </c>
      <c r="Q1647" s="43" t="s">
        <v>3585</v>
      </c>
      <c r="R1647" s="4">
        <v>14.0640408460535</v>
      </c>
      <c r="S1647" s="4">
        <v>13.9382905842489</v>
      </c>
      <c r="T1647" s="4">
        <v>13.937762135636399</v>
      </c>
      <c r="U1647" s="4">
        <f t="shared" si="102"/>
        <v>13.980031188646265</v>
      </c>
      <c r="X1647" s="43" t="s">
        <v>2932</v>
      </c>
      <c r="Y1647" s="4">
        <v>14.134025791560401</v>
      </c>
      <c r="Z1647" s="4">
        <v>14.1523492778625</v>
      </c>
      <c r="AA1647" s="4">
        <v>14.0410214595112</v>
      </c>
      <c r="AB1647" s="4">
        <f t="shared" si="103"/>
        <v>14.109132176311368</v>
      </c>
    </row>
    <row r="1648" spans="2:28" x14ac:dyDescent="0.2">
      <c r="B1648" s="4" t="s">
        <v>946</v>
      </c>
      <c r="C1648" s="4">
        <v>14.0082</v>
      </c>
      <c r="D1648" s="4">
        <v>14.209199999999999</v>
      </c>
      <c r="E1648" s="4">
        <v>14.313700000000001</v>
      </c>
      <c r="F1648" s="4">
        <f t="shared" si="100"/>
        <v>14.177033333333332</v>
      </c>
      <c r="I1648" s="4" t="s">
        <v>2429</v>
      </c>
      <c r="J1648" s="4">
        <v>14.0047</v>
      </c>
      <c r="K1648" s="4">
        <v>14.4314</v>
      </c>
      <c r="L1648" s="4">
        <v>14.1691</v>
      </c>
      <c r="M1648" s="4">
        <f t="shared" si="101"/>
        <v>14.201733333333332</v>
      </c>
      <c r="Q1648" s="43" t="s">
        <v>3142</v>
      </c>
      <c r="R1648" s="4">
        <v>14.003458558398201</v>
      </c>
      <c r="S1648" s="4">
        <v>13.993893274655701</v>
      </c>
      <c r="T1648" s="4">
        <v>13.9400067723983</v>
      </c>
      <c r="U1648" s="4">
        <f t="shared" si="102"/>
        <v>13.979119535150735</v>
      </c>
      <c r="X1648" s="43" t="s">
        <v>554</v>
      </c>
      <c r="Y1648" s="4">
        <v>13.807044832196</v>
      </c>
      <c r="Z1648" s="4">
        <v>14.1318956375908</v>
      </c>
      <c r="AA1648" s="4">
        <v>14.382077738977699</v>
      </c>
      <c r="AB1648" s="4">
        <f t="shared" si="103"/>
        <v>14.107006069588166</v>
      </c>
    </row>
    <row r="1649" spans="2:28" x14ac:dyDescent="0.2">
      <c r="B1649" s="4" t="s">
        <v>3301</v>
      </c>
      <c r="C1649" s="4">
        <v>15.1533</v>
      </c>
      <c r="D1649" s="4">
        <v>14.329700000000001</v>
      </c>
      <c r="E1649" s="4">
        <v>13.0326</v>
      </c>
      <c r="F1649" s="4">
        <f t="shared" si="100"/>
        <v>14.171866666666666</v>
      </c>
      <c r="I1649" s="4" t="s">
        <v>1618</v>
      </c>
      <c r="J1649" s="4">
        <v>14.3057</v>
      </c>
      <c r="K1649" s="4">
        <v>13.997999999999999</v>
      </c>
      <c r="L1649" s="4">
        <v>14.2972</v>
      </c>
      <c r="M1649" s="4">
        <f t="shared" si="101"/>
        <v>14.200299999999999</v>
      </c>
      <c r="Q1649" s="43" t="s">
        <v>2180</v>
      </c>
      <c r="R1649" s="4">
        <v>13.9584252927293</v>
      </c>
      <c r="S1649" s="4">
        <v>14.0283233428563</v>
      </c>
      <c r="T1649" s="4">
        <v>13.945881915509499</v>
      </c>
      <c r="U1649" s="4">
        <f t="shared" si="102"/>
        <v>13.9775435170317</v>
      </c>
      <c r="X1649" s="43" t="s">
        <v>4353</v>
      </c>
      <c r="Y1649" s="4">
        <v>14.0178155690766</v>
      </c>
      <c r="Z1649" s="4">
        <v>14.2026806832724</v>
      </c>
      <c r="AA1649" s="4">
        <v>14.099331979460199</v>
      </c>
      <c r="AB1649" s="4">
        <f t="shared" si="103"/>
        <v>14.106609410603065</v>
      </c>
    </row>
    <row r="1650" spans="2:28" x14ac:dyDescent="0.2">
      <c r="B1650" s="4" t="s">
        <v>3935</v>
      </c>
      <c r="C1650" s="4">
        <v>13.8993</v>
      </c>
      <c r="D1650" s="4">
        <v>14.3187</v>
      </c>
      <c r="E1650" s="4">
        <v>14.2934</v>
      </c>
      <c r="F1650" s="4">
        <f t="shared" si="100"/>
        <v>14.170466666666668</v>
      </c>
      <c r="I1650" s="4" t="s">
        <v>3303</v>
      </c>
      <c r="J1650" s="4">
        <v>14.2218</v>
      </c>
      <c r="K1650" s="4">
        <v>14.0969</v>
      </c>
      <c r="L1650" s="4">
        <v>14.2774</v>
      </c>
      <c r="M1650" s="4">
        <f t="shared" si="101"/>
        <v>14.198700000000001</v>
      </c>
      <c r="Q1650" s="43" t="s">
        <v>4038</v>
      </c>
      <c r="R1650" s="4">
        <v>13.6813265880283</v>
      </c>
      <c r="S1650" s="4">
        <v>14.1941841435179</v>
      </c>
      <c r="T1650" s="4">
        <v>14.0403402080203</v>
      </c>
      <c r="U1650" s="4">
        <f t="shared" si="102"/>
        <v>13.971950313188833</v>
      </c>
      <c r="X1650" s="43" t="s">
        <v>993</v>
      </c>
      <c r="Y1650" s="4">
        <v>13.9170267533474</v>
      </c>
      <c r="Z1650" s="4">
        <v>14.3428670872401</v>
      </c>
      <c r="AA1650" s="4">
        <v>14.057739056328399</v>
      </c>
      <c r="AB1650" s="4">
        <f t="shared" si="103"/>
        <v>14.105877632305301</v>
      </c>
    </row>
    <row r="1651" spans="2:28" x14ac:dyDescent="0.2">
      <c r="B1651" s="4" t="s">
        <v>398</v>
      </c>
      <c r="C1651" s="4">
        <v>14.275700000000001</v>
      </c>
      <c r="D1651" s="4">
        <v>14.198399999999999</v>
      </c>
      <c r="E1651" s="4">
        <v>14.032500000000001</v>
      </c>
      <c r="F1651" s="4">
        <f t="shared" si="100"/>
        <v>14.168866666666666</v>
      </c>
      <c r="I1651" s="4" t="s">
        <v>300</v>
      </c>
      <c r="J1651" s="4">
        <v>14.1638</v>
      </c>
      <c r="K1651" s="4">
        <v>14.4497</v>
      </c>
      <c r="L1651" s="4">
        <v>13.980700000000001</v>
      </c>
      <c r="M1651" s="4">
        <f t="shared" si="101"/>
        <v>14.198066666666668</v>
      </c>
      <c r="Q1651" s="43" t="s">
        <v>2594</v>
      </c>
      <c r="R1651" s="4">
        <v>14.0312882046052</v>
      </c>
      <c r="S1651" s="4">
        <v>14.102200834172001</v>
      </c>
      <c r="T1651" s="4">
        <v>13.7804279447386</v>
      </c>
      <c r="U1651" s="4">
        <f t="shared" si="102"/>
        <v>13.971305661171932</v>
      </c>
      <c r="X1651" s="43" t="s">
        <v>1616</v>
      </c>
      <c r="Y1651" s="4">
        <v>14.0990106913671</v>
      </c>
      <c r="Z1651" s="4">
        <v>14.090949565805699</v>
      </c>
      <c r="AA1651" s="4">
        <v>14.126287091039099</v>
      </c>
      <c r="AB1651" s="4">
        <f t="shared" si="103"/>
        <v>14.105415782737301</v>
      </c>
    </row>
    <row r="1652" spans="2:28" x14ac:dyDescent="0.2">
      <c r="B1652" s="4" t="s">
        <v>62</v>
      </c>
      <c r="C1652" s="4">
        <v>13.998100000000001</v>
      </c>
      <c r="D1652" s="4">
        <v>13.943199999999999</v>
      </c>
      <c r="E1652" s="4">
        <v>14.5649</v>
      </c>
      <c r="F1652" s="4">
        <f t="shared" si="100"/>
        <v>14.168733333333334</v>
      </c>
      <c r="I1652" s="4" t="s">
        <v>2533</v>
      </c>
      <c r="J1652" s="4">
        <v>14.411</v>
      </c>
      <c r="K1652" s="4">
        <v>13.5722</v>
      </c>
      <c r="L1652" s="4">
        <v>14.609400000000001</v>
      </c>
      <c r="M1652" s="4">
        <f t="shared" si="101"/>
        <v>14.197533333333334</v>
      </c>
      <c r="Q1652" s="43" t="s">
        <v>1542</v>
      </c>
      <c r="R1652" s="4">
        <v>13.9563188877396</v>
      </c>
      <c r="S1652" s="4">
        <v>13.9195636551341</v>
      </c>
      <c r="T1652" s="4">
        <v>14.030522881820801</v>
      </c>
      <c r="U1652" s="4">
        <f t="shared" si="102"/>
        <v>13.968801808231499</v>
      </c>
      <c r="X1652" s="43" t="s">
        <v>436</v>
      </c>
      <c r="Y1652" s="4">
        <v>13.974144479562799</v>
      </c>
      <c r="Z1652" s="4">
        <v>14.034667057750401</v>
      </c>
      <c r="AA1652" s="4">
        <v>14.305548868695601</v>
      </c>
      <c r="AB1652" s="4">
        <f t="shared" si="103"/>
        <v>14.104786802002934</v>
      </c>
    </row>
    <row r="1653" spans="2:28" x14ac:dyDescent="0.2">
      <c r="B1653" s="4" t="s">
        <v>2269</v>
      </c>
      <c r="C1653" s="4">
        <v>14.076499999999999</v>
      </c>
      <c r="D1653" s="4">
        <v>14.500999999999999</v>
      </c>
      <c r="E1653" s="4">
        <v>13.928599999999999</v>
      </c>
      <c r="F1653" s="4">
        <f t="shared" si="100"/>
        <v>14.168700000000001</v>
      </c>
      <c r="I1653" s="4" t="s">
        <v>1047</v>
      </c>
      <c r="J1653" s="4">
        <v>14.284000000000001</v>
      </c>
      <c r="K1653" s="4">
        <v>14.4003</v>
      </c>
      <c r="L1653" s="4">
        <v>13.901400000000001</v>
      </c>
      <c r="M1653" s="4">
        <f t="shared" si="101"/>
        <v>14.195233333333334</v>
      </c>
      <c r="Q1653" s="43" t="s">
        <v>323</v>
      </c>
      <c r="R1653" s="4">
        <v>13.722261787269</v>
      </c>
      <c r="S1653" s="4">
        <v>14.423962215342099</v>
      </c>
      <c r="T1653" s="4">
        <v>13.755840881659999</v>
      </c>
      <c r="U1653" s="4">
        <f t="shared" si="102"/>
        <v>13.9673549614237</v>
      </c>
      <c r="X1653" s="43" t="s">
        <v>3620</v>
      </c>
      <c r="Y1653" s="4">
        <v>14.2175711857409</v>
      </c>
      <c r="Z1653" s="4">
        <v>14.1178149314016</v>
      </c>
      <c r="AA1653" s="4">
        <v>13.973917558178901</v>
      </c>
      <c r="AB1653" s="4">
        <f t="shared" si="103"/>
        <v>14.103101225107133</v>
      </c>
    </row>
    <row r="1654" spans="2:28" x14ac:dyDescent="0.2">
      <c r="B1654" s="4" t="s">
        <v>2465</v>
      </c>
      <c r="C1654" s="4">
        <v>14.1045</v>
      </c>
      <c r="D1654" s="4">
        <v>14.2051</v>
      </c>
      <c r="E1654" s="4">
        <v>14.187900000000001</v>
      </c>
      <c r="F1654" s="4">
        <f t="shared" si="100"/>
        <v>14.165833333333333</v>
      </c>
      <c r="I1654" s="4" t="s">
        <v>2549</v>
      </c>
      <c r="J1654" s="4">
        <v>14.1774</v>
      </c>
      <c r="K1654" s="4">
        <v>14.299300000000001</v>
      </c>
      <c r="L1654" s="4">
        <v>14.1022</v>
      </c>
      <c r="M1654" s="4">
        <f t="shared" si="101"/>
        <v>14.192966666666669</v>
      </c>
      <c r="Q1654" s="43" t="s">
        <v>3386</v>
      </c>
      <c r="R1654" s="4">
        <v>14.126384182555499</v>
      </c>
      <c r="S1654" s="4">
        <v>13.8126505873156</v>
      </c>
      <c r="T1654" s="4">
        <v>13.958940076124501</v>
      </c>
      <c r="U1654" s="4">
        <f t="shared" si="102"/>
        <v>13.965991615331866</v>
      </c>
      <c r="X1654" s="43" t="s">
        <v>2990</v>
      </c>
      <c r="Y1654" s="4">
        <v>14.1311260079551</v>
      </c>
      <c r="Z1654" s="4">
        <v>14.112630119061601</v>
      </c>
      <c r="AA1654" s="4">
        <v>14.0633072026038</v>
      </c>
      <c r="AB1654" s="4">
        <f t="shared" si="103"/>
        <v>14.102354443206835</v>
      </c>
    </row>
    <row r="1655" spans="2:28" x14ac:dyDescent="0.2">
      <c r="B1655" s="4" t="s">
        <v>3706</v>
      </c>
      <c r="C1655" s="4">
        <v>14.1449</v>
      </c>
      <c r="D1655" s="4">
        <v>14.4396</v>
      </c>
      <c r="E1655" s="4">
        <v>13.910500000000001</v>
      </c>
      <c r="F1655" s="4">
        <f t="shared" si="100"/>
        <v>14.164999999999999</v>
      </c>
      <c r="I1655" s="4" t="s">
        <v>239</v>
      </c>
      <c r="J1655" s="4">
        <v>14.3123</v>
      </c>
      <c r="K1655" s="4">
        <v>13.791499999999999</v>
      </c>
      <c r="L1655" s="4">
        <v>14.474299999999999</v>
      </c>
      <c r="M1655" s="4">
        <f t="shared" si="101"/>
        <v>14.1927</v>
      </c>
      <c r="Q1655" s="43" t="s">
        <v>1631</v>
      </c>
      <c r="R1655" s="4">
        <v>13.6954391081075</v>
      </c>
      <c r="S1655" s="4">
        <v>14.012414020325499</v>
      </c>
      <c r="T1655" s="4">
        <v>14.1851062565619</v>
      </c>
      <c r="U1655" s="4">
        <f t="shared" si="102"/>
        <v>13.964319794998302</v>
      </c>
      <c r="X1655" s="43" t="s">
        <v>2436</v>
      </c>
      <c r="Y1655" s="4">
        <v>13.9079219087344</v>
      </c>
      <c r="Z1655" s="4">
        <v>14.193348966354</v>
      </c>
      <c r="AA1655" s="4">
        <v>14.2055660861609</v>
      </c>
      <c r="AB1655" s="4">
        <f t="shared" si="103"/>
        <v>14.102278987083102</v>
      </c>
    </row>
    <row r="1656" spans="2:28" x14ac:dyDescent="0.2">
      <c r="B1656" s="4" t="s">
        <v>1359</v>
      </c>
      <c r="C1656" s="4">
        <v>14.333600000000001</v>
      </c>
      <c r="D1656" s="4">
        <v>14.068099999999999</v>
      </c>
      <c r="E1656" s="4">
        <v>14.091699999999999</v>
      </c>
      <c r="F1656" s="4">
        <f t="shared" si="100"/>
        <v>14.164466666666664</v>
      </c>
      <c r="I1656" s="4" t="s">
        <v>3542</v>
      </c>
      <c r="J1656" s="4">
        <v>14.0494</v>
      </c>
      <c r="K1656" s="4">
        <v>14.233000000000001</v>
      </c>
      <c r="L1656" s="4">
        <v>14.294499999999999</v>
      </c>
      <c r="M1656" s="4">
        <f t="shared" si="101"/>
        <v>14.192300000000001</v>
      </c>
      <c r="Q1656" s="43" t="s">
        <v>3121</v>
      </c>
      <c r="R1656" s="4">
        <v>14.134248535565201</v>
      </c>
      <c r="S1656" s="4">
        <v>13.8530109480548</v>
      </c>
      <c r="T1656" s="4">
        <v>13.905662360377701</v>
      </c>
      <c r="U1656" s="4">
        <f t="shared" si="102"/>
        <v>13.964307281332566</v>
      </c>
      <c r="X1656" s="43" t="s">
        <v>803</v>
      </c>
      <c r="Y1656" s="4">
        <v>14.199281888767199</v>
      </c>
      <c r="Z1656" s="4">
        <v>14.116811159147099</v>
      </c>
      <c r="AA1656" s="4">
        <v>13.9884757617485</v>
      </c>
      <c r="AB1656" s="4">
        <f t="shared" si="103"/>
        <v>14.101522936554266</v>
      </c>
    </row>
    <row r="1657" spans="2:28" x14ac:dyDescent="0.2">
      <c r="B1657" s="4" t="s">
        <v>3090</v>
      </c>
      <c r="C1657" s="4">
        <v>14.1442</v>
      </c>
      <c r="D1657" s="4">
        <v>13.9322</v>
      </c>
      <c r="E1657" s="4">
        <v>14.4163</v>
      </c>
      <c r="F1657" s="4">
        <f t="shared" si="100"/>
        <v>14.164233333333334</v>
      </c>
      <c r="I1657" s="4" t="s">
        <v>526</v>
      </c>
      <c r="J1657" s="4">
        <v>14.1995</v>
      </c>
      <c r="K1657" s="4">
        <v>14.274800000000001</v>
      </c>
      <c r="L1657" s="4">
        <v>14.0825</v>
      </c>
      <c r="M1657" s="4">
        <f t="shared" si="101"/>
        <v>14.185599999999999</v>
      </c>
      <c r="Q1657" s="43" t="s">
        <v>3274</v>
      </c>
      <c r="R1657" s="4">
        <v>13.9192219388048</v>
      </c>
      <c r="S1657" s="4">
        <v>13.9192015338985</v>
      </c>
      <c r="T1657" s="4">
        <v>14.053309091127399</v>
      </c>
      <c r="U1657" s="4">
        <f t="shared" si="102"/>
        <v>13.963910854610234</v>
      </c>
      <c r="X1657" s="43" t="s">
        <v>3626</v>
      </c>
      <c r="Y1657" s="4">
        <v>14.071775652619101</v>
      </c>
      <c r="Z1657" s="4">
        <v>14.209610476271999</v>
      </c>
      <c r="AA1657" s="4">
        <v>14.0196560159774</v>
      </c>
      <c r="AB1657" s="4">
        <f t="shared" si="103"/>
        <v>14.100347381622834</v>
      </c>
    </row>
    <row r="1658" spans="2:28" x14ac:dyDescent="0.2">
      <c r="B1658" s="4" t="s">
        <v>3589</v>
      </c>
      <c r="C1658" s="4">
        <v>14.277200000000001</v>
      </c>
      <c r="D1658" s="4">
        <v>14.104699999999999</v>
      </c>
      <c r="E1658" s="4">
        <v>14.1058</v>
      </c>
      <c r="F1658" s="4">
        <f t="shared" si="100"/>
        <v>14.162566666666669</v>
      </c>
      <c r="I1658" s="4" t="s">
        <v>513</v>
      </c>
      <c r="J1658" s="4">
        <v>14.0389</v>
      </c>
      <c r="K1658" s="4">
        <v>14.6327</v>
      </c>
      <c r="L1658" s="4">
        <v>13.8826</v>
      </c>
      <c r="M1658" s="4">
        <f t="shared" si="101"/>
        <v>14.184733333333332</v>
      </c>
      <c r="Q1658" s="43" t="s">
        <v>3236</v>
      </c>
      <c r="R1658" s="4">
        <v>14.0210301166547</v>
      </c>
      <c r="S1658" s="4">
        <v>14.092852405534</v>
      </c>
      <c r="T1658" s="4">
        <v>13.7770748567479</v>
      </c>
      <c r="U1658" s="4">
        <f t="shared" si="102"/>
        <v>13.963652459645532</v>
      </c>
      <c r="X1658" s="43" t="s">
        <v>695</v>
      </c>
      <c r="Y1658" s="4">
        <v>14.387848076432199</v>
      </c>
      <c r="Z1658" s="4">
        <v>14.263384444622</v>
      </c>
      <c r="AA1658" s="4">
        <v>13.648842957369499</v>
      </c>
      <c r="AB1658" s="4">
        <f t="shared" si="103"/>
        <v>14.100025159474564</v>
      </c>
    </row>
    <row r="1659" spans="2:28" x14ac:dyDescent="0.2">
      <c r="B1659" s="4" t="s">
        <v>2940</v>
      </c>
      <c r="C1659" s="4">
        <v>13.8864</v>
      </c>
      <c r="D1659" s="4">
        <v>13.966799999999999</v>
      </c>
      <c r="E1659" s="4">
        <v>14.633599999999999</v>
      </c>
      <c r="F1659" s="4">
        <f t="shared" si="100"/>
        <v>14.162266666666667</v>
      </c>
      <c r="I1659" s="4" t="s">
        <v>1545</v>
      </c>
      <c r="J1659" s="4">
        <v>13.225899999999999</v>
      </c>
      <c r="K1659" s="4">
        <v>15.3416</v>
      </c>
      <c r="L1659" s="4">
        <v>13.9811</v>
      </c>
      <c r="M1659" s="4">
        <f t="shared" si="101"/>
        <v>14.182866666666667</v>
      </c>
      <c r="Q1659" s="43" t="s">
        <v>2969</v>
      </c>
      <c r="R1659" s="4">
        <v>14.1218757645432</v>
      </c>
      <c r="S1659" s="4">
        <v>13.964624010108199</v>
      </c>
      <c r="T1659" s="4">
        <v>13.8026082557653</v>
      </c>
      <c r="U1659" s="4">
        <f t="shared" si="102"/>
        <v>13.9630360101389</v>
      </c>
      <c r="X1659" s="43" t="s">
        <v>3270</v>
      </c>
      <c r="Y1659" s="4">
        <v>13.979281410432399</v>
      </c>
      <c r="Z1659" s="4">
        <v>14.0852588545198</v>
      </c>
      <c r="AA1659" s="4">
        <v>14.233726549515</v>
      </c>
      <c r="AB1659" s="4">
        <f t="shared" si="103"/>
        <v>14.099422271489066</v>
      </c>
    </row>
    <row r="1660" spans="2:28" x14ac:dyDescent="0.2">
      <c r="B1660" s="4" t="s">
        <v>3905</v>
      </c>
      <c r="C1660" s="4">
        <v>14.0143</v>
      </c>
      <c r="D1660" s="4">
        <v>14.1821</v>
      </c>
      <c r="E1660" s="4">
        <v>14.287800000000001</v>
      </c>
      <c r="F1660" s="4">
        <f t="shared" si="100"/>
        <v>14.1614</v>
      </c>
      <c r="I1660" s="4" t="s">
        <v>2821</v>
      </c>
      <c r="J1660" s="4">
        <v>14.039300000000001</v>
      </c>
      <c r="K1660" s="4">
        <v>14.365</v>
      </c>
      <c r="L1660" s="4">
        <v>14.142899999999999</v>
      </c>
      <c r="M1660" s="4">
        <f t="shared" si="101"/>
        <v>14.182399999999999</v>
      </c>
      <c r="Q1660" s="43" t="s">
        <v>326</v>
      </c>
      <c r="R1660" s="4">
        <v>13.552605530767</v>
      </c>
      <c r="S1660" s="4">
        <v>13.8665634819125</v>
      </c>
      <c r="T1660" s="4">
        <v>14.468780704875099</v>
      </c>
      <c r="U1660" s="4">
        <f t="shared" si="102"/>
        <v>13.962649905851533</v>
      </c>
      <c r="X1660" s="43" t="s">
        <v>246</v>
      </c>
      <c r="Y1660" s="4">
        <v>13.9749973011085</v>
      </c>
      <c r="Z1660" s="4">
        <v>14.2314758059425</v>
      </c>
      <c r="AA1660" s="4">
        <v>14.0903770911442</v>
      </c>
      <c r="AB1660" s="4">
        <f t="shared" si="103"/>
        <v>14.098950066065067</v>
      </c>
    </row>
    <row r="1661" spans="2:28" x14ac:dyDescent="0.2">
      <c r="B1661" s="4" t="s">
        <v>2081</v>
      </c>
      <c r="C1661" s="4">
        <v>14.346500000000001</v>
      </c>
      <c r="D1661" s="4">
        <v>14.355</v>
      </c>
      <c r="E1661" s="4">
        <v>13.7803</v>
      </c>
      <c r="F1661" s="4">
        <f t="shared" si="100"/>
        <v>14.160600000000002</v>
      </c>
      <c r="I1661" s="4" t="s">
        <v>1217</v>
      </c>
      <c r="J1661" s="4">
        <v>14.1686</v>
      </c>
      <c r="K1661" s="4">
        <v>14.041399999999999</v>
      </c>
      <c r="L1661" s="4">
        <v>14.335000000000001</v>
      </c>
      <c r="M1661" s="4">
        <f t="shared" si="101"/>
        <v>14.181666666666667</v>
      </c>
      <c r="Q1661" s="43" t="s">
        <v>1262</v>
      </c>
      <c r="R1661" s="4">
        <v>14.0924867183694</v>
      </c>
      <c r="S1661" s="4">
        <v>13.830267532551799</v>
      </c>
      <c r="T1661" s="4">
        <v>13.9644819781811</v>
      </c>
      <c r="U1661" s="4">
        <f t="shared" si="102"/>
        <v>13.962412076367434</v>
      </c>
      <c r="X1661" s="43" t="s">
        <v>245</v>
      </c>
      <c r="Y1661" s="4">
        <v>13.9932735362469</v>
      </c>
      <c r="Z1661" s="4">
        <v>14.107172074708499</v>
      </c>
      <c r="AA1661" s="4">
        <v>14.194570924852099</v>
      </c>
      <c r="AB1661" s="4">
        <f t="shared" si="103"/>
        <v>14.098338845269167</v>
      </c>
    </row>
    <row r="1662" spans="2:28" x14ac:dyDescent="0.2">
      <c r="B1662" s="4" t="s">
        <v>302</v>
      </c>
      <c r="C1662" s="4">
        <v>14.313800000000001</v>
      </c>
      <c r="D1662" s="4">
        <v>14.259600000000001</v>
      </c>
      <c r="E1662" s="4">
        <v>13.9038</v>
      </c>
      <c r="F1662" s="4">
        <f t="shared" si="100"/>
        <v>14.159066666666666</v>
      </c>
      <c r="I1662" s="4" t="s">
        <v>3178</v>
      </c>
      <c r="J1662" s="4">
        <v>13.7921</v>
      </c>
      <c r="K1662" s="4">
        <v>14.4686</v>
      </c>
      <c r="L1662" s="4">
        <v>14.2821</v>
      </c>
      <c r="M1662" s="4">
        <f t="shared" si="101"/>
        <v>14.180933333333334</v>
      </c>
      <c r="Q1662" s="43" t="s">
        <v>3092</v>
      </c>
      <c r="R1662" s="4">
        <v>13.8890373293723</v>
      </c>
      <c r="S1662" s="4">
        <v>13.9544655283274</v>
      </c>
      <c r="T1662" s="4">
        <v>14.0421344301311</v>
      </c>
      <c r="U1662" s="4">
        <f t="shared" si="102"/>
        <v>13.961879095943601</v>
      </c>
      <c r="X1662" s="43" t="s">
        <v>2929</v>
      </c>
      <c r="Y1662" s="4">
        <v>14.1940194006018</v>
      </c>
      <c r="Z1662" s="4">
        <v>13.831823145772301</v>
      </c>
      <c r="AA1662" s="4">
        <v>14.268290016094999</v>
      </c>
      <c r="AB1662" s="4">
        <f t="shared" si="103"/>
        <v>14.0980441874897</v>
      </c>
    </row>
    <row r="1663" spans="2:28" x14ac:dyDescent="0.2">
      <c r="B1663" s="4" t="s">
        <v>2756</v>
      </c>
      <c r="C1663" s="4">
        <v>14.2302</v>
      </c>
      <c r="D1663" s="4">
        <v>14.2239</v>
      </c>
      <c r="E1663" s="4">
        <v>14.0213</v>
      </c>
      <c r="F1663" s="4">
        <f t="shared" si="100"/>
        <v>14.158466666666667</v>
      </c>
      <c r="I1663" s="4" t="s">
        <v>304</v>
      </c>
      <c r="J1663" s="4">
        <v>14.1577</v>
      </c>
      <c r="K1663" s="4">
        <v>14.3903</v>
      </c>
      <c r="L1663" s="4">
        <v>13.993499999999999</v>
      </c>
      <c r="M1663" s="4">
        <f t="shared" si="101"/>
        <v>14.1805</v>
      </c>
      <c r="Q1663" s="43" t="s">
        <v>1491</v>
      </c>
      <c r="R1663" s="4">
        <v>14.017663727575</v>
      </c>
      <c r="S1663" s="4">
        <v>13.8403936461829</v>
      </c>
      <c r="T1663" s="4">
        <v>14.020903587549199</v>
      </c>
      <c r="U1663" s="4">
        <f t="shared" si="102"/>
        <v>13.959653653769033</v>
      </c>
      <c r="X1663" s="43" t="s">
        <v>3490</v>
      </c>
      <c r="Y1663" s="4">
        <v>14.029388413960399</v>
      </c>
      <c r="Z1663" s="4">
        <v>14.2275605644622</v>
      </c>
      <c r="AA1663" s="4">
        <v>14.0300551854129</v>
      </c>
      <c r="AB1663" s="4">
        <f t="shared" si="103"/>
        <v>14.095668054611833</v>
      </c>
    </row>
    <row r="1664" spans="2:28" x14ac:dyDescent="0.2">
      <c r="B1664" s="4" t="s">
        <v>4031</v>
      </c>
      <c r="C1664" s="4">
        <v>14.2791</v>
      </c>
      <c r="D1664" s="4">
        <v>14.132999999999999</v>
      </c>
      <c r="E1664" s="4">
        <v>14.061</v>
      </c>
      <c r="F1664" s="4">
        <f t="shared" si="100"/>
        <v>14.1577</v>
      </c>
      <c r="I1664" s="4" t="s">
        <v>1341</v>
      </c>
      <c r="J1664" s="4">
        <v>12.9986</v>
      </c>
      <c r="K1664" s="4">
        <v>16.767199999999999</v>
      </c>
      <c r="L1664" s="4">
        <v>12.7742</v>
      </c>
      <c r="M1664" s="4">
        <f t="shared" si="101"/>
        <v>14.18</v>
      </c>
      <c r="Q1664" s="43" t="s">
        <v>2547</v>
      </c>
      <c r="R1664" s="4">
        <v>13.9046405353902</v>
      </c>
      <c r="S1664" s="4">
        <v>14.1530824983389</v>
      </c>
      <c r="T1664" s="4">
        <v>13.8207316134694</v>
      </c>
      <c r="U1664" s="4">
        <f t="shared" si="102"/>
        <v>13.959484882399501</v>
      </c>
      <c r="X1664" s="43" t="s">
        <v>1475</v>
      </c>
      <c r="Y1664" s="4">
        <v>13.9275796979266</v>
      </c>
      <c r="Z1664" s="4">
        <v>14.0418922468796</v>
      </c>
      <c r="AA1664" s="4">
        <v>14.3159174099483</v>
      </c>
      <c r="AB1664" s="4">
        <f t="shared" si="103"/>
        <v>14.095129784918166</v>
      </c>
    </row>
    <row r="1665" spans="2:28" x14ac:dyDescent="0.2">
      <c r="B1665" s="4" t="s">
        <v>2339</v>
      </c>
      <c r="C1665" s="4">
        <v>14.2043</v>
      </c>
      <c r="D1665" s="4">
        <v>13.726000000000001</v>
      </c>
      <c r="E1665" s="4">
        <v>14.5398</v>
      </c>
      <c r="F1665" s="4">
        <f t="shared" si="100"/>
        <v>14.156700000000001</v>
      </c>
      <c r="I1665" s="4" t="s">
        <v>3109</v>
      </c>
      <c r="J1665" s="4">
        <v>13.9232</v>
      </c>
      <c r="K1665" s="4">
        <v>14.8894</v>
      </c>
      <c r="L1665" s="4">
        <v>13.723699999999999</v>
      </c>
      <c r="M1665" s="4">
        <f t="shared" si="101"/>
        <v>14.178766666666666</v>
      </c>
      <c r="Q1665" s="43" t="s">
        <v>2078</v>
      </c>
      <c r="R1665" s="4">
        <v>13.9490265980037</v>
      </c>
      <c r="S1665" s="4">
        <v>13.787828297869799</v>
      </c>
      <c r="T1665" s="4">
        <v>14.1383391877938</v>
      </c>
      <c r="U1665" s="4">
        <f t="shared" si="102"/>
        <v>13.958398027889098</v>
      </c>
      <c r="X1665" s="43" t="s">
        <v>176</v>
      </c>
      <c r="Y1665" s="4">
        <v>14.122907064427199</v>
      </c>
      <c r="Z1665" s="4">
        <v>14.0235409962159</v>
      </c>
      <c r="AA1665" s="4">
        <v>14.1373122677812</v>
      </c>
      <c r="AB1665" s="4">
        <f t="shared" si="103"/>
        <v>14.094586776141433</v>
      </c>
    </row>
    <row r="1666" spans="2:28" x14ac:dyDescent="0.2">
      <c r="B1666" s="4" t="s">
        <v>258</v>
      </c>
      <c r="C1666" s="4">
        <v>14.568099999999999</v>
      </c>
      <c r="D1666" s="4">
        <v>14.1996</v>
      </c>
      <c r="E1666" s="4">
        <v>13.701599999999999</v>
      </c>
      <c r="F1666" s="4">
        <f t="shared" ref="F1666:F1729" si="104">(C1666+D1666+E1666)/3</f>
        <v>14.156433333333332</v>
      </c>
      <c r="I1666" s="4" t="s">
        <v>157</v>
      </c>
      <c r="J1666" s="4">
        <v>14.286199999999999</v>
      </c>
      <c r="K1666" s="4">
        <v>14.0014</v>
      </c>
      <c r="L1666" s="4">
        <v>14.2485</v>
      </c>
      <c r="M1666" s="4">
        <f t="shared" ref="M1666:M1729" si="105">(J1666+K1666+L1666)/3</f>
        <v>14.178699999999999</v>
      </c>
      <c r="Q1666" s="43" t="s">
        <v>871</v>
      </c>
      <c r="R1666" s="4">
        <v>13.409193843884699</v>
      </c>
      <c r="S1666" s="4">
        <v>14.1634207692143</v>
      </c>
      <c r="T1666" s="4">
        <v>14.295764718816599</v>
      </c>
      <c r="U1666" s="4">
        <f t="shared" ref="U1666:U1729" si="106">(R1666+S1666+T1666)/3</f>
        <v>13.956126443971867</v>
      </c>
      <c r="X1666" s="43" t="s">
        <v>2234</v>
      </c>
      <c r="Y1666" s="4">
        <v>14.0125363801198</v>
      </c>
      <c r="Z1666" s="4">
        <v>14.206193634920499</v>
      </c>
      <c r="AA1666" s="4">
        <v>14.0566225606856</v>
      </c>
      <c r="AB1666" s="4">
        <f t="shared" ref="AB1666:AB1729" si="107">(Y1666+Z1666+AA1666)/3</f>
        <v>14.091784191908635</v>
      </c>
    </row>
    <row r="1667" spans="2:28" x14ac:dyDescent="0.2">
      <c r="B1667" s="4" t="s">
        <v>2199</v>
      </c>
      <c r="C1667" s="4">
        <v>13.607100000000001</v>
      </c>
      <c r="D1667" s="4">
        <v>13.9885</v>
      </c>
      <c r="E1667" s="4">
        <v>14.8681</v>
      </c>
      <c r="F1667" s="4">
        <f t="shared" si="104"/>
        <v>14.154566666666668</v>
      </c>
      <c r="I1667" s="4" t="s">
        <v>1239</v>
      </c>
      <c r="J1667" s="4">
        <v>14.169499999999999</v>
      </c>
      <c r="K1667" s="4">
        <v>14.3947</v>
      </c>
      <c r="L1667" s="4">
        <v>13.969099999999999</v>
      </c>
      <c r="M1667" s="4">
        <f t="shared" si="105"/>
        <v>14.177766666666665</v>
      </c>
      <c r="Q1667" s="43" t="s">
        <v>3270</v>
      </c>
      <c r="R1667" s="4">
        <v>14.1833283751649</v>
      </c>
      <c r="S1667" s="4">
        <v>13.8366292944308</v>
      </c>
      <c r="T1667" s="4">
        <v>13.847428840564</v>
      </c>
      <c r="U1667" s="4">
        <f t="shared" si="106"/>
        <v>13.955795503386566</v>
      </c>
      <c r="X1667" s="43" t="s">
        <v>3235</v>
      </c>
      <c r="Y1667" s="4">
        <v>14.1170474041609</v>
      </c>
      <c r="Z1667" s="4">
        <v>14.0914432290558</v>
      </c>
      <c r="AA1667" s="4">
        <v>14.0636425090978</v>
      </c>
      <c r="AB1667" s="4">
        <f t="shared" si="107"/>
        <v>14.090711047438168</v>
      </c>
    </row>
    <row r="1668" spans="2:28" x14ac:dyDescent="0.2">
      <c r="B1668" s="4" t="s">
        <v>1658</v>
      </c>
      <c r="C1668" s="4">
        <v>14.4801</v>
      </c>
      <c r="D1668" s="4">
        <v>14.0739</v>
      </c>
      <c r="E1668" s="4">
        <v>13.907999999999999</v>
      </c>
      <c r="F1668" s="4">
        <f t="shared" si="104"/>
        <v>14.154000000000002</v>
      </c>
      <c r="I1668" s="4" t="s">
        <v>2993</v>
      </c>
      <c r="J1668" s="4">
        <v>13.896100000000001</v>
      </c>
      <c r="K1668" s="4">
        <v>14.4718</v>
      </c>
      <c r="L1668" s="4">
        <v>14.165100000000001</v>
      </c>
      <c r="M1668" s="4">
        <f t="shared" si="105"/>
        <v>14.177666666666667</v>
      </c>
      <c r="Q1668" s="43" t="s">
        <v>3100</v>
      </c>
      <c r="R1668" s="4">
        <v>13.940254853866501</v>
      </c>
      <c r="S1668" s="4">
        <v>13.756195539580601</v>
      </c>
      <c r="T1668" s="4">
        <v>14.167089179684799</v>
      </c>
      <c r="U1668" s="4">
        <f t="shared" si="106"/>
        <v>13.954513191043967</v>
      </c>
      <c r="X1668" s="43" t="s">
        <v>4318</v>
      </c>
      <c r="Y1668" s="4">
        <v>14.0168471016048</v>
      </c>
      <c r="Z1668" s="4">
        <v>13.9913777237337</v>
      </c>
      <c r="AA1668" s="4">
        <v>14.2576472284925</v>
      </c>
      <c r="AB1668" s="4">
        <f t="shared" si="107"/>
        <v>14.088624017943667</v>
      </c>
    </row>
    <row r="1669" spans="2:28" x14ac:dyDescent="0.2">
      <c r="B1669" s="4" t="s">
        <v>3892</v>
      </c>
      <c r="C1669" s="4">
        <v>14.3817</v>
      </c>
      <c r="D1669" s="4">
        <v>14.2577</v>
      </c>
      <c r="E1669" s="4">
        <v>13.8225</v>
      </c>
      <c r="F1669" s="4">
        <f t="shared" si="104"/>
        <v>14.153966666666667</v>
      </c>
      <c r="I1669" s="4" t="s">
        <v>2197</v>
      </c>
      <c r="J1669" s="4">
        <v>13.926600000000001</v>
      </c>
      <c r="K1669" s="4">
        <v>14.599299999999999</v>
      </c>
      <c r="L1669" s="4">
        <v>14.0061</v>
      </c>
      <c r="M1669" s="4">
        <f t="shared" si="105"/>
        <v>14.177333333333332</v>
      </c>
      <c r="Q1669" s="43" t="s">
        <v>3099</v>
      </c>
      <c r="R1669" s="4">
        <v>13.910106578004299</v>
      </c>
      <c r="S1669" s="4">
        <v>14.111744975464999</v>
      </c>
      <c r="T1669" s="4">
        <v>13.8289910196034</v>
      </c>
      <c r="U1669" s="4">
        <f t="shared" si="106"/>
        <v>13.950280857690899</v>
      </c>
      <c r="X1669" s="43" t="s">
        <v>542</v>
      </c>
      <c r="Y1669" s="4">
        <v>14.1426531590658</v>
      </c>
      <c r="Z1669" s="4">
        <v>13.980085409835301</v>
      </c>
      <c r="AA1669" s="4">
        <v>14.1383994607984</v>
      </c>
      <c r="AB1669" s="4">
        <f t="shared" si="107"/>
        <v>14.087046009899831</v>
      </c>
    </row>
    <row r="1670" spans="2:28" x14ac:dyDescent="0.2">
      <c r="B1670" s="4" t="s">
        <v>1905</v>
      </c>
      <c r="C1670" s="4">
        <v>14.1839</v>
      </c>
      <c r="D1670" s="4">
        <v>14.234500000000001</v>
      </c>
      <c r="E1670" s="4">
        <v>14.039099999999999</v>
      </c>
      <c r="F1670" s="4">
        <f t="shared" si="104"/>
        <v>14.152499999999998</v>
      </c>
      <c r="I1670" s="4" t="s">
        <v>3472</v>
      </c>
      <c r="J1670" s="4">
        <v>14.3217</v>
      </c>
      <c r="K1670" s="4">
        <v>14.118</v>
      </c>
      <c r="L1670" s="4">
        <v>14.0893</v>
      </c>
      <c r="M1670" s="4">
        <f t="shared" si="105"/>
        <v>14.176333333333334</v>
      </c>
      <c r="Q1670" s="43" t="s">
        <v>892</v>
      </c>
      <c r="R1670" s="4">
        <v>13.8323519606635</v>
      </c>
      <c r="S1670" s="4">
        <v>14.1016670316641</v>
      </c>
      <c r="T1670" s="4">
        <v>13.9146310642989</v>
      </c>
      <c r="U1670" s="4">
        <f t="shared" si="106"/>
        <v>13.949550018875501</v>
      </c>
      <c r="X1670" s="43" t="s">
        <v>2908</v>
      </c>
      <c r="Y1670" s="4">
        <v>13.935628744233799</v>
      </c>
      <c r="Z1670" s="4">
        <v>14.046365795503901</v>
      </c>
      <c r="AA1670" s="4">
        <v>14.2772278091907</v>
      </c>
      <c r="AB1670" s="4">
        <f t="shared" si="107"/>
        <v>14.086407449642799</v>
      </c>
    </row>
    <row r="1671" spans="2:28" x14ac:dyDescent="0.2">
      <c r="B1671" s="4" t="s">
        <v>262</v>
      </c>
      <c r="C1671" s="4">
        <v>14.178599999999999</v>
      </c>
      <c r="D1671" s="4">
        <v>14.007199999999999</v>
      </c>
      <c r="E1671" s="4">
        <v>14.269399999999999</v>
      </c>
      <c r="F1671" s="4">
        <f t="shared" si="104"/>
        <v>14.151733333333333</v>
      </c>
      <c r="I1671" s="4" t="s">
        <v>2337</v>
      </c>
      <c r="J1671" s="4">
        <v>14.4087</v>
      </c>
      <c r="K1671" s="4">
        <v>13.363200000000001</v>
      </c>
      <c r="L1671" s="4">
        <v>14.756500000000001</v>
      </c>
      <c r="M1671" s="4">
        <f t="shared" si="105"/>
        <v>14.176133333333334</v>
      </c>
      <c r="Q1671" s="43" t="s">
        <v>2105</v>
      </c>
      <c r="R1671" s="4">
        <v>13.962238105193601</v>
      </c>
      <c r="S1671" s="4">
        <v>13.764034542985399</v>
      </c>
      <c r="T1671" s="4">
        <v>14.1209508531401</v>
      </c>
      <c r="U1671" s="4">
        <f t="shared" si="106"/>
        <v>13.9490745004397</v>
      </c>
      <c r="X1671" s="43" t="s">
        <v>1059</v>
      </c>
      <c r="Y1671" s="4">
        <v>13.762638240510199</v>
      </c>
      <c r="Z1671" s="4">
        <v>14.8297468993814</v>
      </c>
      <c r="AA1671" s="4">
        <v>13.6625934430214</v>
      </c>
      <c r="AB1671" s="4">
        <f t="shared" si="107"/>
        <v>14.084992860970999</v>
      </c>
    </row>
    <row r="1672" spans="2:28" x14ac:dyDescent="0.2">
      <c r="B1672" s="4" t="s">
        <v>210</v>
      </c>
      <c r="C1672" s="4">
        <v>14.3718</v>
      </c>
      <c r="D1672" s="4">
        <v>14.0646</v>
      </c>
      <c r="E1672" s="4">
        <v>14.0053</v>
      </c>
      <c r="F1672" s="4">
        <f t="shared" si="104"/>
        <v>14.147233333333332</v>
      </c>
      <c r="I1672" s="4" t="s">
        <v>2407</v>
      </c>
      <c r="J1672" s="4">
        <v>14.110200000000001</v>
      </c>
      <c r="K1672" s="4">
        <v>14.316000000000001</v>
      </c>
      <c r="L1672" s="4">
        <v>14.1007</v>
      </c>
      <c r="M1672" s="4">
        <f t="shared" si="105"/>
        <v>14.175633333333332</v>
      </c>
      <c r="Q1672" s="43" t="s">
        <v>953</v>
      </c>
      <c r="R1672" s="4">
        <v>13.754178529012799</v>
      </c>
      <c r="S1672" s="4">
        <v>13.845889314906801</v>
      </c>
      <c r="T1672" s="4">
        <v>14.2465007915215</v>
      </c>
      <c r="U1672" s="4">
        <f t="shared" si="106"/>
        <v>13.9488562118137</v>
      </c>
      <c r="X1672" s="43" t="s">
        <v>4540</v>
      </c>
      <c r="Y1672" s="4">
        <v>13.923072965584099</v>
      </c>
      <c r="Z1672" s="4">
        <v>13.9127840314134</v>
      </c>
      <c r="AA1672" s="4">
        <v>14.418669102735199</v>
      </c>
      <c r="AB1672" s="4">
        <f t="shared" si="107"/>
        <v>14.084842033244234</v>
      </c>
    </row>
    <row r="1673" spans="2:28" x14ac:dyDescent="0.2">
      <c r="B1673" s="4" t="s">
        <v>3366</v>
      </c>
      <c r="C1673" s="4">
        <v>14.127599999999999</v>
      </c>
      <c r="D1673" s="4">
        <v>14.1785</v>
      </c>
      <c r="E1673" s="4">
        <v>14.1295</v>
      </c>
      <c r="F1673" s="4">
        <f t="shared" si="104"/>
        <v>14.145200000000001</v>
      </c>
      <c r="I1673" s="4" t="s">
        <v>3317</v>
      </c>
      <c r="J1673" s="4">
        <v>14.5177</v>
      </c>
      <c r="K1673" s="4">
        <v>13.560700000000001</v>
      </c>
      <c r="L1673" s="4">
        <v>14.443300000000001</v>
      </c>
      <c r="M1673" s="4">
        <f t="shared" si="105"/>
        <v>14.173900000000001</v>
      </c>
      <c r="Q1673" s="43" t="s">
        <v>3946</v>
      </c>
      <c r="R1673" s="4">
        <v>13.827364073587001</v>
      </c>
      <c r="S1673" s="4">
        <v>14.162442672445</v>
      </c>
      <c r="T1673" s="4">
        <v>13.856292077498299</v>
      </c>
      <c r="U1673" s="4">
        <f t="shared" si="106"/>
        <v>13.948699607843432</v>
      </c>
      <c r="X1673" s="43" t="s">
        <v>1703</v>
      </c>
      <c r="Y1673" s="4">
        <v>14.0147661972339</v>
      </c>
      <c r="Z1673" s="4">
        <v>14.223492037382099</v>
      </c>
      <c r="AA1673" s="4">
        <v>14.014161504253</v>
      </c>
      <c r="AB1673" s="4">
        <f t="shared" si="107"/>
        <v>14.084139912956331</v>
      </c>
    </row>
    <row r="1674" spans="2:28" x14ac:dyDescent="0.2">
      <c r="B1674" s="4" t="s">
        <v>2759</v>
      </c>
      <c r="C1674" s="4">
        <v>14.0664</v>
      </c>
      <c r="D1674" s="4">
        <v>14.170400000000001</v>
      </c>
      <c r="E1674" s="4">
        <v>14.1914</v>
      </c>
      <c r="F1674" s="4">
        <f t="shared" si="104"/>
        <v>14.142733333333334</v>
      </c>
      <c r="I1674" s="4" t="s">
        <v>123</v>
      </c>
      <c r="J1674" s="4">
        <v>14.467700000000001</v>
      </c>
      <c r="K1674" s="4">
        <v>14.0284</v>
      </c>
      <c r="L1674" s="4">
        <v>14.0236</v>
      </c>
      <c r="M1674" s="4">
        <f t="shared" si="105"/>
        <v>14.173233333333334</v>
      </c>
      <c r="Q1674" s="43" t="s">
        <v>3457</v>
      </c>
      <c r="R1674" s="4">
        <v>14.037193639806601</v>
      </c>
      <c r="S1674" s="4">
        <v>13.797899063232499</v>
      </c>
      <c r="T1674" s="4">
        <v>14.0062016698125</v>
      </c>
      <c r="U1674" s="4">
        <f t="shared" si="106"/>
        <v>13.947098124283867</v>
      </c>
      <c r="X1674" s="43" t="s">
        <v>2936</v>
      </c>
      <c r="Y1674" s="4">
        <v>14.031752799585901</v>
      </c>
      <c r="Z1674" s="4">
        <v>14.1178985575574</v>
      </c>
      <c r="AA1674" s="4">
        <v>14.1002350674989</v>
      </c>
      <c r="AB1674" s="4">
        <f t="shared" si="107"/>
        <v>14.083295474880734</v>
      </c>
    </row>
    <row r="1675" spans="2:28" x14ac:dyDescent="0.2">
      <c r="B1675" s="4" t="s">
        <v>2742</v>
      </c>
      <c r="C1675" s="4">
        <v>14.024900000000001</v>
      </c>
      <c r="D1675" s="4">
        <v>14.040100000000001</v>
      </c>
      <c r="E1675" s="4">
        <v>14.361000000000001</v>
      </c>
      <c r="F1675" s="4">
        <f t="shared" si="104"/>
        <v>14.142000000000001</v>
      </c>
      <c r="I1675" s="4" t="s">
        <v>2713</v>
      </c>
      <c r="J1675" s="4">
        <v>14.3232</v>
      </c>
      <c r="K1675" s="4">
        <v>14.0138</v>
      </c>
      <c r="L1675" s="4">
        <v>14.1798</v>
      </c>
      <c r="M1675" s="4">
        <f t="shared" si="105"/>
        <v>14.172266666666667</v>
      </c>
      <c r="Q1675" s="43" t="s">
        <v>912</v>
      </c>
      <c r="R1675" s="4">
        <v>14.0233272381286</v>
      </c>
      <c r="S1675" s="4">
        <v>13.9556604758377</v>
      </c>
      <c r="T1675" s="4">
        <v>13.861269839521601</v>
      </c>
      <c r="U1675" s="4">
        <f t="shared" si="106"/>
        <v>13.946752517829301</v>
      </c>
      <c r="X1675" s="43" t="s">
        <v>2179</v>
      </c>
      <c r="Y1675" s="4">
        <v>14.009733143087299</v>
      </c>
      <c r="Z1675" s="4">
        <v>14.0826059889185</v>
      </c>
      <c r="AA1675" s="4">
        <v>14.156741383329599</v>
      </c>
      <c r="AB1675" s="4">
        <f t="shared" si="107"/>
        <v>14.08302683844513</v>
      </c>
    </row>
    <row r="1676" spans="2:28" x14ac:dyDescent="0.2">
      <c r="B1676" s="4" t="s">
        <v>3794</v>
      </c>
      <c r="C1676" s="4">
        <v>14.221399999999999</v>
      </c>
      <c r="D1676" s="4">
        <v>14.2788</v>
      </c>
      <c r="E1676" s="4">
        <v>13.9239</v>
      </c>
      <c r="F1676" s="4">
        <f t="shared" si="104"/>
        <v>14.141366666666665</v>
      </c>
      <c r="I1676" s="4" t="s">
        <v>1339</v>
      </c>
      <c r="J1676" s="4">
        <v>13.4176</v>
      </c>
      <c r="K1676" s="4">
        <v>16.237400000000001</v>
      </c>
      <c r="L1676" s="4">
        <v>12.8613</v>
      </c>
      <c r="M1676" s="4">
        <f t="shared" si="105"/>
        <v>14.1721</v>
      </c>
      <c r="Q1676" s="43" t="s">
        <v>1634</v>
      </c>
      <c r="R1676" s="4">
        <v>13.988381873250001</v>
      </c>
      <c r="S1676" s="4">
        <v>13.878626579619899</v>
      </c>
      <c r="T1676" s="4">
        <v>13.9673333766768</v>
      </c>
      <c r="U1676" s="4">
        <f t="shared" si="106"/>
        <v>13.9447806098489</v>
      </c>
      <c r="X1676" s="43" t="s">
        <v>604</v>
      </c>
      <c r="Y1676" s="4">
        <v>14.1198526408535</v>
      </c>
      <c r="Z1676" s="4">
        <v>14.0240599306763</v>
      </c>
      <c r="AA1676" s="4">
        <v>14.0960474656145</v>
      </c>
      <c r="AB1676" s="4">
        <f t="shared" si="107"/>
        <v>14.079986679048099</v>
      </c>
    </row>
    <row r="1677" spans="2:28" x14ac:dyDescent="0.2">
      <c r="B1677" s="4" t="s">
        <v>2295</v>
      </c>
      <c r="C1677" s="4">
        <v>14.307700000000001</v>
      </c>
      <c r="D1677" s="4">
        <v>13.987299999999999</v>
      </c>
      <c r="E1677" s="4">
        <v>14.126300000000001</v>
      </c>
      <c r="F1677" s="4">
        <f t="shared" si="104"/>
        <v>14.140433333333334</v>
      </c>
      <c r="I1677" s="4" t="s">
        <v>3447</v>
      </c>
      <c r="J1677" s="4">
        <v>14.250299999999999</v>
      </c>
      <c r="K1677" s="4">
        <v>14.110900000000001</v>
      </c>
      <c r="L1677" s="4">
        <v>14.153499999999999</v>
      </c>
      <c r="M1677" s="4">
        <f t="shared" si="105"/>
        <v>14.171566666666665</v>
      </c>
      <c r="Q1677" s="43" t="s">
        <v>2818</v>
      </c>
      <c r="R1677" s="4">
        <v>13.8791431400332</v>
      </c>
      <c r="S1677" s="4">
        <v>14.0137639829624</v>
      </c>
      <c r="T1677" s="4">
        <v>13.938668781791201</v>
      </c>
      <c r="U1677" s="4">
        <f t="shared" si="106"/>
        <v>13.943858634928935</v>
      </c>
      <c r="X1677" s="43" t="s">
        <v>2236</v>
      </c>
      <c r="Y1677" s="4">
        <v>13.982253101943099</v>
      </c>
      <c r="Z1677" s="4">
        <v>14.225878948682499</v>
      </c>
      <c r="AA1677" s="4">
        <v>14.0136698126543</v>
      </c>
      <c r="AB1677" s="4">
        <f t="shared" si="107"/>
        <v>14.073933954426634</v>
      </c>
    </row>
    <row r="1678" spans="2:28" x14ac:dyDescent="0.2">
      <c r="B1678" s="4" t="s">
        <v>2176</v>
      </c>
      <c r="C1678" s="4">
        <v>14.6107</v>
      </c>
      <c r="D1678" s="4">
        <v>13.8202</v>
      </c>
      <c r="E1678" s="4">
        <v>13.9902</v>
      </c>
      <c r="F1678" s="4">
        <f t="shared" si="104"/>
        <v>14.140366666666667</v>
      </c>
      <c r="I1678" s="4" t="s">
        <v>2992</v>
      </c>
      <c r="J1678" s="4">
        <v>14.894600000000001</v>
      </c>
      <c r="K1678" s="4">
        <v>13.164999999999999</v>
      </c>
      <c r="L1678" s="4">
        <v>14.453900000000001</v>
      </c>
      <c r="M1678" s="4">
        <f t="shared" si="105"/>
        <v>14.171166666666666</v>
      </c>
      <c r="Q1678" s="43" t="s">
        <v>3227</v>
      </c>
      <c r="R1678" s="4">
        <v>14.1366588783008</v>
      </c>
      <c r="S1678" s="4">
        <v>13.95500009569</v>
      </c>
      <c r="T1678" s="4">
        <v>13.7330113929064</v>
      </c>
      <c r="U1678" s="4">
        <f t="shared" si="106"/>
        <v>13.941556788965734</v>
      </c>
      <c r="X1678" s="43" t="s">
        <v>1867</v>
      </c>
      <c r="Y1678" s="4">
        <v>13.846449939363801</v>
      </c>
      <c r="Z1678" s="4">
        <v>14.4439874170523</v>
      </c>
      <c r="AA1678" s="4">
        <v>13.9313345705019</v>
      </c>
      <c r="AB1678" s="4">
        <f t="shared" si="107"/>
        <v>14.073923975639332</v>
      </c>
    </row>
    <row r="1679" spans="2:28" x14ac:dyDescent="0.2">
      <c r="B1679" s="4" t="s">
        <v>3219</v>
      </c>
      <c r="C1679" s="4">
        <v>14.3262</v>
      </c>
      <c r="D1679" s="4">
        <v>13.805099999999999</v>
      </c>
      <c r="E1679" s="4">
        <v>14.282500000000001</v>
      </c>
      <c r="F1679" s="4">
        <f t="shared" si="104"/>
        <v>14.137933333333335</v>
      </c>
      <c r="I1679" s="4" t="s">
        <v>2292</v>
      </c>
      <c r="J1679" s="4">
        <v>14.189399999999999</v>
      </c>
      <c r="K1679" s="4">
        <v>14.123100000000001</v>
      </c>
      <c r="L1679" s="4">
        <v>14.1951</v>
      </c>
      <c r="M1679" s="4">
        <f t="shared" si="105"/>
        <v>14.169199999999998</v>
      </c>
      <c r="Q1679" s="43" t="s">
        <v>2212</v>
      </c>
      <c r="R1679" s="4">
        <v>14.2990203439805</v>
      </c>
      <c r="S1679" s="4">
        <v>13.8230357674344</v>
      </c>
      <c r="T1679" s="4">
        <v>13.7023402326981</v>
      </c>
      <c r="U1679" s="4">
        <f t="shared" si="106"/>
        <v>13.941465448037667</v>
      </c>
      <c r="X1679" s="43" t="s">
        <v>220</v>
      </c>
      <c r="Y1679" s="4">
        <v>13.957369592476001</v>
      </c>
      <c r="Z1679" s="4">
        <v>14.160352766101701</v>
      </c>
      <c r="AA1679" s="4">
        <v>14.1021382247784</v>
      </c>
      <c r="AB1679" s="4">
        <f t="shared" si="107"/>
        <v>14.073286861118701</v>
      </c>
    </row>
    <row r="1680" spans="2:28" x14ac:dyDescent="0.2">
      <c r="B1680" s="4" t="s">
        <v>2918</v>
      </c>
      <c r="C1680" s="4">
        <v>14.3241</v>
      </c>
      <c r="D1680" s="4">
        <v>14.009</v>
      </c>
      <c r="E1680" s="4">
        <v>14.0717</v>
      </c>
      <c r="F1680" s="4">
        <f t="shared" si="104"/>
        <v>14.134933333333334</v>
      </c>
      <c r="I1680" s="4" t="s">
        <v>204</v>
      </c>
      <c r="J1680" s="4">
        <v>14.0724</v>
      </c>
      <c r="K1680" s="4">
        <v>15.0617</v>
      </c>
      <c r="L1680" s="4">
        <v>13.371600000000001</v>
      </c>
      <c r="M1680" s="4">
        <f t="shared" si="105"/>
        <v>14.168566666666669</v>
      </c>
      <c r="Q1680" s="43" t="s">
        <v>829</v>
      </c>
      <c r="R1680" s="4">
        <v>13.5939016795589</v>
      </c>
      <c r="S1680" s="4">
        <v>13.979332867624599</v>
      </c>
      <c r="T1680" s="4">
        <v>14.2489390381142</v>
      </c>
      <c r="U1680" s="4">
        <f t="shared" si="106"/>
        <v>13.940724528432566</v>
      </c>
      <c r="X1680" s="43" t="s">
        <v>3997</v>
      </c>
      <c r="Y1680" s="4">
        <v>14.095726612026899</v>
      </c>
      <c r="Z1680" s="4">
        <v>14.1794601323272</v>
      </c>
      <c r="AA1680" s="4">
        <v>13.9423801023603</v>
      </c>
      <c r="AB1680" s="4">
        <f t="shared" si="107"/>
        <v>14.072522282238134</v>
      </c>
    </row>
    <row r="1681" spans="2:28" x14ac:dyDescent="0.2">
      <c r="B1681" s="4" t="s">
        <v>1279</v>
      </c>
      <c r="C1681" s="4">
        <v>14.162699999999999</v>
      </c>
      <c r="D1681" s="4">
        <v>14.052</v>
      </c>
      <c r="E1681" s="4">
        <v>14.1875</v>
      </c>
      <c r="F1681" s="4">
        <f t="shared" si="104"/>
        <v>14.134066666666667</v>
      </c>
      <c r="I1681" s="4" t="s">
        <v>1798</v>
      </c>
      <c r="J1681" s="4">
        <v>14.363</v>
      </c>
      <c r="K1681" s="4">
        <v>13.911</v>
      </c>
      <c r="L1681" s="4">
        <v>14.2316</v>
      </c>
      <c r="M1681" s="4">
        <f t="shared" si="105"/>
        <v>14.168533333333334</v>
      </c>
      <c r="Q1681" s="43" t="s">
        <v>286</v>
      </c>
      <c r="R1681" s="4">
        <v>13.473139436885299</v>
      </c>
      <c r="S1681" s="4">
        <v>14.1181862511069</v>
      </c>
      <c r="T1681" s="4">
        <v>14.212103319589399</v>
      </c>
      <c r="U1681" s="4">
        <f t="shared" si="106"/>
        <v>13.934476335860532</v>
      </c>
      <c r="X1681" s="43" t="s">
        <v>3893</v>
      </c>
      <c r="Y1681" s="4">
        <v>14.231644223664199</v>
      </c>
      <c r="Z1681" s="4">
        <v>13.793751463141501</v>
      </c>
      <c r="AA1681" s="4">
        <v>14.188584910651</v>
      </c>
      <c r="AB1681" s="4">
        <f t="shared" si="107"/>
        <v>14.071326865818902</v>
      </c>
    </row>
    <row r="1682" spans="2:28" x14ac:dyDescent="0.2">
      <c r="B1682" s="4" t="s">
        <v>1716</v>
      </c>
      <c r="C1682" s="4">
        <v>14.103</v>
      </c>
      <c r="D1682" s="4">
        <v>14.1959</v>
      </c>
      <c r="E1682" s="4">
        <v>14.100099999999999</v>
      </c>
      <c r="F1682" s="4">
        <f t="shared" si="104"/>
        <v>14.133000000000001</v>
      </c>
      <c r="I1682" s="4" t="s">
        <v>2543</v>
      </c>
      <c r="J1682" s="4">
        <v>13.706099999999999</v>
      </c>
      <c r="K1682" s="4">
        <v>15.4245</v>
      </c>
      <c r="L1682" s="4">
        <v>13.3691</v>
      </c>
      <c r="M1682" s="4">
        <f t="shared" si="105"/>
        <v>14.166566666666668</v>
      </c>
      <c r="Q1682" s="43" t="s">
        <v>2657</v>
      </c>
      <c r="R1682" s="4">
        <v>14.002012917315399</v>
      </c>
      <c r="S1682" s="4">
        <v>13.763232153195901</v>
      </c>
      <c r="T1682" s="4">
        <v>14.0368888253553</v>
      </c>
      <c r="U1682" s="4">
        <f t="shared" si="106"/>
        <v>13.934044631955532</v>
      </c>
      <c r="X1682" s="43" t="s">
        <v>4277</v>
      </c>
      <c r="Y1682" s="4">
        <v>14.0990809868628</v>
      </c>
      <c r="Z1682" s="4">
        <v>14.0335225490236</v>
      </c>
      <c r="AA1682" s="4">
        <v>14.0766796896072</v>
      </c>
      <c r="AB1682" s="4">
        <f t="shared" si="107"/>
        <v>14.069761075164534</v>
      </c>
    </row>
    <row r="1683" spans="2:28" x14ac:dyDescent="0.2">
      <c r="B1683" s="4" t="s">
        <v>3356</v>
      </c>
      <c r="C1683" s="4">
        <v>14.004899999999999</v>
      </c>
      <c r="D1683" s="4">
        <v>14.215199999999999</v>
      </c>
      <c r="E1683" s="4">
        <v>14.1694</v>
      </c>
      <c r="F1683" s="4">
        <f t="shared" si="104"/>
        <v>14.129833333333332</v>
      </c>
      <c r="I1683" s="4" t="s">
        <v>3972</v>
      </c>
      <c r="J1683" s="4">
        <v>14.113300000000001</v>
      </c>
      <c r="K1683" s="4">
        <v>14.6195</v>
      </c>
      <c r="L1683" s="4">
        <v>13.7651</v>
      </c>
      <c r="M1683" s="4">
        <f t="shared" si="105"/>
        <v>14.165966666666668</v>
      </c>
      <c r="Q1683" s="43" t="s">
        <v>1043</v>
      </c>
      <c r="R1683" s="4">
        <v>14.1280559836273</v>
      </c>
      <c r="S1683" s="4">
        <v>13.6749047258358</v>
      </c>
      <c r="T1683" s="4">
        <v>13.9959836983282</v>
      </c>
      <c r="U1683" s="4">
        <f t="shared" si="106"/>
        <v>13.932981469263765</v>
      </c>
      <c r="X1683" s="43" t="s">
        <v>2103</v>
      </c>
      <c r="Y1683" s="4">
        <v>14.039205274856499</v>
      </c>
      <c r="Z1683" s="4">
        <v>14.033581866379601</v>
      </c>
      <c r="AA1683" s="4">
        <v>14.121112779369099</v>
      </c>
      <c r="AB1683" s="4">
        <f t="shared" si="107"/>
        <v>14.0646333068684</v>
      </c>
    </row>
    <row r="1684" spans="2:28" x14ac:dyDescent="0.2">
      <c r="B1684" s="4" t="s">
        <v>3807</v>
      </c>
      <c r="C1684" s="4">
        <v>13.989599999999999</v>
      </c>
      <c r="D1684" s="4">
        <v>14.189</v>
      </c>
      <c r="E1684" s="4">
        <v>14.209899999999999</v>
      </c>
      <c r="F1684" s="4">
        <f t="shared" si="104"/>
        <v>14.1295</v>
      </c>
      <c r="I1684" s="4" t="s">
        <v>3256</v>
      </c>
      <c r="J1684" s="4">
        <v>14.244899999999999</v>
      </c>
      <c r="K1684" s="4">
        <v>13.7986</v>
      </c>
      <c r="L1684" s="4">
        <v>14.4453</v>
      </c>
      <c r="M1684" s="4">
        <f t="shared" si="105"/>
        <v>14.162933333333333</v>
      </c>
      <c r="Q1684" s="43" t="s">
        <v>2689</v>
      </c>
      <c r="R1684" s="4">
        <v>13.639863779441599</v>
      </c>
      <c r="S1684" s="4">
        <v>13.9805471828517</v>
      </c>
      <c r="T1684" s="4">
        <v>14.1718850345421</v>
      </c>
      <c r="U1684" s="4">
        <f t="shared" si="106"/>
        <v>13.930765332278467</v>
      </c>
      <c r="X1684" s="43" t="s">
        <v>1796</v>
      </c>
      <c r="Y1684" s="4">
        <v>14.017212125389401</v>
      </c>
      <c r="Z1684" s="4">
        <v>14.107124156471</v>
      </c>
      <c r="AA1684" s="4">
        <v>14.0632073838976</v>
      </c>
      <c r="AB1684" s="4">
        <f t="shared" si="107"/>
        <v>14.062514555252667</v>
      </c>
    </row>
    <row r="1685" spans="2:28" x14ac:dyDescent="0.2">
      <c r="B1685" s="4" t="s">
        <v>484</v>
      </c>
      <c r="C1685" s="4">
        <v>14.0677</v>
      </c>
      <c r="D1685" s="4">
        <v>14.0824</v>
      </c>
      <c r="E1685" s="4">
        <v>14.233599999999999</v>
      </c>
      <c r="F1685" s="4">
        <f t="shared" si="104"/>
        <v>14.127900000000002</v>
      </c>
      <c r="I1685" s="4" t="s">
        <v>1639</v>
      </c>
      <c r="J1685" s="4">
        <v>14.4041</v>
      </c>
      <c r="K1685" s="4">
        <v>13.369</v>
      </c>
      <c r="L1685" s="4">
        <v>14.699</v>
      </c>
      <c r="M1685" s="4">
        <f t="shared" si="105"/>
        <v>14.157366666666666</v>
      </c>
      <c r="Q1685" s="43" t="s">
        <v>2938</v>
      </c>
      <c r="R1685" s="4">
        <v>14.1747070016938</v>
      </c>
      <c r="S1685" s="4">
        <v>14.0743766799455</v>
      </c>
      <c r="T1685" s="4">
        <v>13.5423242114744</v>
      </c>
      <c r="U1685" s="4">
        <f t="shared" si="106"/>
        <v>13.930469297704567</v>
      </c>
      <c r="X1685" s="43" t="s">
        <v>2073</v>
      </c>
      <c r="Y1685" s="4">
        <v>14.045540979566599</v>
      </c>
      <c r="Z1685" s="4">
        <v>14.052738592125801</v>
      </c>
      <c r="AA1685" s="4">
        <v>14.0832398995584</v>
      </c>
      <c r="AB1685" s="4">
        <f t="shared" si="107"/>
        <v>14.060506490416934</v>
      </c>
    </row>
    <row r="1686" spans="2:28" x14ac:dyDescent="0.2">
      <c r="B1686" s="4" t="s">
        <v>3864</v>
      </c>
      <c r="C1686" s="4">
        <v>13.739699999999999</v>
      </c>
      <c r="D1686" s="4">
        <v>14.326599999999999</v>
      </c>
      <c r="E1686" s="4">
        <v>14.303800000000001</v>
      </c>
      <c r="F1686" s="4">
        <f t="shared" si="104"/>
        <v>14.123366666666668</v>
      </c>
      <c r="I1686" s="4" t="s">
        <v>1640</v>
      </c>
      <c r="J1686" s="4">
        <v>14.0314</v>
      </c>
      <c r="K1686" s="4">
        <v>14.134399999999999</v>
      </c>
      <c r="L1686" s="4">
        <v>14.305</v>
      </c>
      <c r="M1686" s="4">
        <f t="shared" si="105"/>
        <v>14.156933333333333</v>
      </c>
      <c r="Q1686" s="43" t="s">
        <v>3008</v>
      </c>
      <c r="R1686" s="4">
        <v>14.049992935866999</v>
      </c>
      <c r="S1686" s="4">
        <v>13.960362599598801</v>
      </c>
      <c r="T1686" s="4">
        <v>13.7790032109894</v>
      </c>
      <c r="U1686" s="4">
        <f t="shared" si="106"/>
        <v>13.929786248818401</v>
      </c>
      <c r="X1686" s="43" t="s">
        <v>3226</v>
      </c>
      <c r="Y1686" s="4">
        <v>13.9610128116281</v>
      </c>
      <c r="Z1686" s="4">
        <v>14.2075262831081</v>
      </c>
      <c r="AA1686" s="4">
        <v>14.0082391465734</v>
      </c>
      <c r="AB1686" s="4">
        <f t="shared" si="107"/>
        <v>14.058926080436533</v>
      </c>
    </row>
    <row r="1687" spans="2:28" x14ac:dyDescent="0.2">
      <c r="B1687" s="4" t="s">
        <v>1351</v>
      </c>
      <c r="C1687" s="4">
        <v>14.3324</v>
      </c>
      <c r="D1687" s="4">
        <v>14.464399999999999</v>
      </c>
      <c r="E1687" s="4">
        <v>13.5715</v>
      </c>
      <c r="F1687" s="4">
        <f t="shared" si="104"/>
        <v>14.122766666666665</v>
      </c>
      <c r="I1687" s="4" t="s">
        <v>934</v>
      </c>
      <c r="J1687" s="4">
        <v>14.0853</v>
      </c>
      <c r="K1687" s="4">
        <v>14.3172</v>
      </c>
      <c r="L1687" s="4">
        <v>14.068199999999999</v>
      </c>
      <c r="M1687" s="4">
        <f t="shared" si="105"/>
        <v>14.1569</v>
      </c>
      <c r="Q1687" s="43" t="s">
        <v>695</v>
      </c>
      <c r="R1687" s="4">
        <v>13.977193264555501</v>
      </c>
      <c r="S1687" s="4">
        <v>13.5325190972023</v>
      </c>
      <c r="T1687" s="4">
        <v>14.2751193458539</v>
      </c>
      <c r="U1687" s="4">
        <f t="shared" si="106"/>
        <v>13.928277235870567</v>
      </c>
      <c r="X1687" s="43" t="s">
        <v>1317</v>
      </c>
      <c r="Y1687" s="4">
        <v>14.0415947128442</v>
      </c>
      <c r="Z1687" s="4">
        <v>14.2263199847094</v>
      </c>
      <c r="AA1687" s="4">
        <v>13.908734407583401</v>
      </c>
      <c r="AB1687" s="4">
        <f t="shared" si="107"/>
        <v>14.058883035045667</v>
      </c>
    </row>
    <row r="1688" spans="2:28" x14ac:dyDescent="0.2">
      <c r="B1688" s="4" t="s">
        <v>575</v>
      </c>
      <c r="C1688" s="4">
        <v>14.370200000000001</v>
      </c>
      <c r="D1688" s="4">
        <v>13.9541</v>
      </c>
      <c r="E1688" s="4">
        <v>14.0395</v>
      </c>
      <c r="F1688" s="4">
        <f t="shared" si="104"/>
        <v>14.121266666666665</v>
      </c>
      <c r="I1688" s="4" t="s">
        <v>378</v>
      </c>
      <c r="J1688" s="4">
        <v>14.128500000000001</v>
      </c>
      <c r="K1688" s="4">
        <v>14.5791</v>
      </c>
      <c r="L1688" s="4">
        <v>13.7562</v>
      </c>
      <c r="M1688" s="4">
        <f t="shared" si="105"/>
        <v>14.1546</v>
      </c>
      <c r="Q1688" s="43" t="s">
        <v>2755</v>
      </c>
      <c r="R1688" s="4">
        <v>13.9928637914762</v>
      </c>
      <c r="S1688" s="4">
        <v>13.8670645704858</v>
      </c>
      <c r="T1688" s="4">
        <v>13.9224501971308</v>
      </c>
      <c r="U1688" s="4">
        <f t="shared" si="106"/>
        <v>13.927459519697599</v>
      </c>
      <c r="X1688" s="43" t="s">
        <v>201</v>
      </c>
      <c r="Y1688" s="4">
        <v>13.789994173442301</v>
      </c>
      <c r="Z1688" s="4">
        <v>14.324183812562101</v>
      </c>
      <c r="AA1688" s="4">
        <v>14.0616049751946</v>
      </c>
      <c r="AB1688" s="4">
        <f t="shared" si="107"/>
        <v>14.058594320399665</v>
      </c>
    </row>
    <row r="1689" spans="2:28" x14ac:dyDescent="0.2">
      <c r="B1689" s="4" t="s">
        <v>2984</v>
      </c>
      <c r="C1689" s="4">
        <v>14.3629</v>
      </c>
      <c r="D1689" s="4">
        <v>14.2258</v>
      </c>
      <c r="E1689" s="4">
        <v>13.774900000000001</v>
      </c>
      <c r="F1689" s="4">
        <f t="shared" si="104"/>
        <v>14.1212</v>
      </c>
      <c r="I1689" s="4" t="s">
        <v>2539</v>
      </c>
      <c r="J1689" s="4">
        <v>14.1541</v>
      </c>
      <c r="K1689" s="4">
        <v>13.976699999999999</v>
      </c>
      <c r="L1689" s="4">
        <v>14.332800000000001</v>
      </c>
      <c r="M1689" s="4">
        <f t="shared" si="105"/>
        <v>14.154533333333333</v>
      </c>
      <c r="Q1689" s="43" t="s">
        <v>1755</v>
      </c>
      <c r="R1689" s="4">
        <v>14.006886137172</v>
      </c>
      <c r="S1689" s="4">
        <v>13.870775427040099</v>
      </c>
      <c r="T1689" s="4">
        <v>13.9021319307188</v>
      </c>
      <c r="U1689" s="4">
        <f t="shared" si="106"/>
        <v>13.926597831643633</v>
      </c>
      <c r="X1689" s="43" t="s">
        <v>2575</v>
      </c>
      <c r="Y1689" s="4">
        <v>14.0801771361959</v>
      </c>
      <c r="Z1689" s="4">
        <v>13.8277771911635</v>
      </c>
      <c r="AA1689" s="4">
        <v>14.2678088410378</v>
      </c>
      <c r="AB1689" s="4">
        <f t="shared" si="107"/>
        <v>14.058587722799066</v>
      </c>
    </row>
    <row r="1690" spans="2:28" x14ac:dyDescent="0.2">
      <c r="B1690" s="4" t="s">
        <v>474</v>
      </c>
      <c r="C1690" s="4">
        <v>13.852600000000001</v>
      </c>
      <c r="D1690" s="4">
        <v>14.1593</v>
      </c>
      <c r="E1690" s="4">
        <v>14.3483</v>
      </c>
      <c r="F1690" s="4">
        <f t="shared" si="104"/>
        <v>14.120066666666666</v>
      </c>
      <c r="I1690" s="4" t="s">
        <v>3382</v>
      </c>
      <c r="J1690" s="4">
        <v>13.5533</v>
      </c>
      <c r="K1690" s="4">
        <v>15.152799999999999</v>
      </c>
      <c r="L1690" s="4">
        <v>13.7475</v>
      </c>
      <c r="M1690" s="4">
        <f t="shared" si="105"/>
        <v>14.151200000000001</v>
      </c>
      <c r="Q1690" s="43" t="s">
        <v>579</v>
      </c>
      <c r="R1690" s="4">
        <v>13.7121568745738</v>
      </c>
      <c r="S1690" s="4">
        <v>14.0164166895725</v>
      </c>
      <c r="T1690" s="4">
        <v>14.049411822345499</v>
      </c>
      <c r="U1690" s="4">
        <f t="shared" si="106"/>
        <v>13.9259951288306</v>
      </c>
      <c r="X1690" s="43" t="s">
        <v>4082</v>
      </c>
      <c r="Y1690" s="4">
        <v>14.078268233363101</v>
      </c>
      <c r="Z1690" s="4">
        <v>13.974033697737999</v>
      </c>
      <c r="AA1690" s="4">
        <v>14.121275886227499</v>
      </c>
      <c r="AB1690" s="4">
        <f t="shared" si="107"/>
        <v>14.057859272442867</v>
      </c>
    </row>
    <row r="1691" spans="2:28" x14ac:dyDescent="0.2">
      <c r="B1691" s="4" t="s">
        <v>1238</v>
      </c>
      <c r="C1691" s="4">
        <v>14.309900000000001</v>
      </c>
      <c r="D1691" s="4">
        <v>14.089399999999999</v>
      </c>
      <c r="E1691" s="4">
        <v>13.959099999999999</v>
      </c>
      <c r="F1691" s="4">
        <f t="shared" si="104"/>
        <v>14.119466666666668</v>
      </c>
      <c r="I1691" s="4" t="s">
        <v>2789</v>
      </c>
      <c r="J1691" s="4">
        <v>14.3965</v>
      </c>
      <c r="K1691" s="4">
        <v>13.3004</v>
      </c>
      <c r="L1691" s="4">
        <v>14.756</v>
      </c>
      <c r="M1691" s="4">
        <f t="shared" si="105"/>
        <v>14.150966666666667</v>
      </c>
      <c r="Q1691" s="43" t="s">
        <v>2494</v>
      </c>
      <c r="R1691" s="4">
        <v>13.9648904021325</v>
      </c>
      <c r="S1691" s="4">
        <v>13.888279391690199</v>
      </c>
      <c r="T1691" s="4">
        <v>13.924071070397</v>
      </c>
      <c r="U1691" s="4">
        <f t="shared" si="106"/>
        <v>13.9257469547399</v>
      </c>
      <c r="X1691" s="43" t="s">
        <v>3449</v>
      </c>
      <c r="Y1691" s="4">
        <v>14.045232995805501</v>
      </c>
      <c r="Z1691" s="4">
        <v>14.087636617582699</v>
      </c>
      <c r="AA1691" s="4">
        <v>14.0401901077872</v>
      </c>
      <c r="AB1691" s="4">
        <f t="shared" si="107"/>
        <v>14.057686573725135</v>
      </c>
    </row>
    <row r="1692" spans="2:28" x14ac:dyDescent="0.2">
      <c r="B1692" s="4" t="s">
        <v>1778</v>
      </c>
      <c r="C1692" s="4">
        <v>14.4901</v>
      </c>
      <c r="D1692" s="4">
        <v>13.6624</v>
      </c>
      <c r="E1692" s="4">
        <v>14.1996</v>
      </c>
      <c r="F1692" s="4">
        <f t="shared" si="104"/>
        <v>14.117366666666667</v>
      </c>
      <c r="I1692" s="4" t="s">
        <v>3148</v>
      </c>
      <c r="J1692" s="4">
        <v>13.991899999999999</v>
      </c>
      <c r="K1692" s="4">
        <v>14.5723</v>
      </c>
      <c r="L1692" s="4">
        <v>13.8864</v>
      </c>
      <c r="M1692" s="4">
        <f t="shared" si="105"/>
        <v>14.1502</v>
      </c>
      <c r="Q1692" s="43" t="s">
        <v>4247</v>
      </c>
      <c r="R1692" s="4">
        <v>14.334737518684101</v>
      </c>
      <c r="S1692" s="4">
        <v>13.771538033916</v>
      </c>
      <c r="T1692" s="4">
        <v>13.6602157217586</v>
      </c>
      <c r="U1692" s="4">
        <f t="shared" si="106"/>
        <v>13.922163758119567</v>
      </c>
      <c r="X1692" s="43" t="s">
        <v>791</v>
      </c>
      <c r="Y1692" s="4">
        <v>14.215552801191199</v>
      </c>
      <c r="Z1692" s="4">
        <v>13.8454024909427</v>
      </c>
      <c r="AA1692" s="4">
        <v>14.1118257763682</v>
      </c>
      <c r="AB1692" s="4">
        <f t="shared" si="107"/>
        <v>14.057593689500699</v>
      </c>
    </row>
    <row r="1693" spans="2:28" x14ac:dyDescent="0.2">
      <c r="B1693" s="4" t="s">
        <v>2715</v>
      </c>
      <c r="C1693" s="4">
        <v>14.235900000000001</v>
      </c>
      <c r="D1693" s="4">
        <v>14.372999999999999</v>
      </c>
      <c r="E1693" s="4">
        <v>13.7431</v>
      </c>
      <c r="F1693" s="4">
        <f t="shared" si="104"/>
        <v>14.117333333333333</v>
      </c>
      <c r="I1693" s="4" t="s">
        <v>3788</v>
      </c>
      <c r="J1693" s="4">
        <v>14.1188</v>
      </c>
      <c r="K1693" s="4">
        <v>14.1051</v>
      </c>
      <c r="L1693" s="4">
        <v>14.2257</v>
      </c>
      <c r="M1693" s="4">
        <f t="shared" si="105"/>
        <v>14.149866666666668</v>
      </c>
      <c r="Q1693" s="43" t="s">
        <v>4545</v>
      </c>
      <c r="R1693" s="4">
        <v>14.213961228086699</v>
      </c>
      <c r="S1693" s="4">
        <v>13.817834910070699</v>
      </c>
      <c r="T1693" s="4">
        <v>13.733693980296501</v>
      </c>
      <c r="U1693" s="4">
        <f t="shared" si="106"/>
        <v>13.921830039484632</v>
      </c>
      <c r="X1693" s="43" t="s">
        <v>710</v>
      </c>
      <c r="Y1693" s="4">
        <v>14.110163883475501</v>
      </c>
      <c r="Z1693" s="4">
        <v>14.0744709565453</v>
      </c>
      <c r="AA1693" s="4">
        <v>13.987218705138</v>
      </c>
      <c r="AB1693" s="4">
        <f t="shared" si="107"/>
        <v>14.057284515052933</v>
      </c>
    </row>
    <row r="1694" spans="2:28" x14ac:dyDescent="0.2">
      <c r="B1694" s="4" t="s">
        <v>915</v>
      </c>
      <c r="C1694" s="4">
        <v>13.813000000000001</v>
      </c>
      <c r="D1694" s="4">
        <v>13.8446</v>
      </c>
      <c r="E1694" s="4">
        <v>14.6867</v>
      </c>
      <c r="F1694" s="4">
        <f t="shared" si="104"/>
        <v>14.114766666666668</v>
      </c>
      <c r="I1694" s="4" t="s">
        <v>3574</v>
      </c>
      <c r="J1694" s="4">
        <v>14.292299999999999</v>
      </c>
      <c r="K1694" s="4">
        <v>14.098699999999999</v>
      </c>
      <c r="L1694" s="4">
        <v>14.056900000000001</v>
      </c>
      <c r="M1694" s="4">
        <f t="shared" si="105"/>
        <v>14.149299999999998</v>
      </c>
      <c r="Q1694" s="43" t="s">
        <v>3741</v>
      </c>
      <c r="R1694" s="4">
        <v>13.999919177878001</v>
      </c>
      <c r="S1694" s="4">
        <v>13.791025177868001</v>
      </c>
      <c r="T1694" s="4">
        <v>13.971149780506099</v>
      </c>
      <c r="U1694" s="4">
        <f t="shared" si="106"/>
        <v>13.920698045417367</v>
      </c>
      <c r="X1694" s="43" t="s">
        <v>2969</v>
      </c>
      <c r="Y1694" s="4">
        <v>14.1751937692176</v>
      </c>
      <c r="Z1694" s="4">
        <v>13.908731772848601</v>
      </c>
      <c r="AA1694" s="4">
        <v>14.0860052506931</v>
      </c>
      <c r="AB1694" s="4">
        <f t="shared" si="107"/>
        <v>14.056643597586435</v>
      </c>
    </row>
    <row r="1695" spans="2:28" x14ac:dyDescent="0.2">
      <c r="B1695" s="4" t="s">
        <v>1358</v>
      </c>
      <c r="C1695" s="4">
        <v>14.464499999999999</v>
      </c>
      <c r="D1695" s="4">
        <v>14.1549</v>
      </c>
      <c r="E1695" s="4">
        <v>13.718299999999999</v>
      </c>
      <c r="F1695" s="4">
        <f t="shared" si="104"/>
        <v>14.112566666666666</v>
      </c>
      <c r="I1695" s="4" t="s">
        <v>3847</v>
      </c>
      <c r="J1695" s="4">
        <v>14.3087</v>
      </c>
      <c r="K1695" s="4">
        <v>13.900700000000001</v>
      </c>
      <c r="L1695" s="4">
        <v>14.2361</v>
      </c>
      <c r="M1695" s="4">
        <f t="shared" si="105"/>
        <v>14.1485</v>
      </c>
      <c r="Q1695" s="43" t="s">
        <v>4366</v>
      </c>
      <c r="R1695" s="4">
        <v>13.880647715180899</v>
      </c>
      <c r="S1695" s="4">
        <v>13.8752358447438</v>
      </c>
      <c r="T1695" s="4">
        <v>13.9912179974359</v>
      </c>
      <c r="U1695" s="4">
        <f t="shared" si="106"/>
        <v>13.915700519120199</v>
      </c>
      <c r="X1695" s="43" t="s">
        <v>795</v>
      </c>
      <c r="Y1695" s="4">
        <v>13.801881556547301</v>
      </c>
      <c r="Z1695" s="4">
        <v>14.369787621457199</v>
      </c>
      <c r="AA1695" s="4">
        <v>13.9915181848699</v>
      </c>
      <c r="AB1695" s="4">
        <f t="shared" si="107"/>
        <v>14.054395787624799</v>
      </c>
    </row>
    <row r="1696" spans="2:28" x14ac:dyDescent="0.2">
      <c r="B1696" s="4" t="s">
        <v>1680</v>
      </c>
      <c r="C1696" s="4">
        <v>14.205</v>
      </c>
      <c r="D1696" s="4">
        <v>13.9779</v>
      </c>
      <c r="E1696" s="4">
        <v>14.1532</v>
      </c>
      <c r="F1696" s="4">
        <f t="shared" si="104"/>
        <v>14.112033333333335</v>
      </c>
      <c r="I1696" s="4" t="s">
        <v>2653</v>
      </c>
      <c r="J1696" s="4">
        <v>14.283200000000001</v>
      </c>
      <c r="K1696" s="4">
        <v>13.7545</v>
      </c>
      <c r="L1696" s="4">
        <v>14.4057</v>
      </c>
      <c r="M1696" s="4">
        <f t="shared" si="105"/>
        <v>14.147799999999998</v>
      </c>
      <c r="Q1696" s="43" t="s">
        <v>465</v>
      </c>
      <c r="R1696" s="4">
        <v>13.9107328918417</v>
      </c>
      <c r="S1696" s="4">
        <v>13.937136102595099</v>
      </c>
      <c r="T1696" s="4">
        <v>13.8953066974924</v>
      </c>
      <c r="U1696" s="4">
        <f t="shared" si="106"/>
        <v>13.914391897309734</v>
      </c>
      <c r="X1696" s="43" t="s">
        <v>3447</v>
      </c>
      <c r="Y1696" s="4">
        <v>13.982429903305199</v>
      </c>
      <c r="Z1696" s="4">
        <v>14.267597815454399</v>
      </c>
      <c r="AA1696" s="4">
        <v>13.9076389400952</v>
      </c>
      <c r="AB1696" s="4">
        <f t="shared" si="107"/>
        <v>14.052555552951597</v>
      </c>
    </row>
    <row r="1697" spans="2:28" x14ac:dyDescent="0.2">
      <c r="B1697" s="4" t="s">
        <v>2816</v>
      </c>
      <c r="C1697" s="4">
        <v>14.094099999999999</v>
      </c>
      <c r="D1697" s="4">
        <v>14.213699999999999</v>
      </c>
      <c r="E1697" s="4">
        <v>14.0275</v>
      </c>
      <c r="F1697" s="4">
        <f t="shared" si="104"/>
        <v>14.111766666666668</v>
      </c>
      <c r="I1697" s="4" t="s">
        <v>93</v>
      </c>
      <c r="J1697" s="4">
        <v>14.5473</v>
      </c>
      <c r="K1697" s="4">
        <v>13.4377</v>
      </c>
      <c r="L1697" s="4">
        <v>14.4529</v>
      </c>
      <c r="M1697" s="4">
        <f t="shared" si="105"/>
        <v>14.145966666666666</v>
      </c>
      <c r="Q1697" s="43" t="s">
        <v>2074</v>
      </c>
      <c r="R1697" s="4">
        <v>14.1368552915501</v>
      </c>
      <c r="S1697" s="4">
        <v>13.763555288135599</v>
      </c>
      <c r="T1697" s="4">
        <v>13.836266120243399</v>
      </c>
      <c r="U1697" s="4">
        <f t="shared" si="106"/>
        <v>13.912225566643032</v>
      </c>
      <c r="X1697" s="43" t="s">
        <v>988</v>
      </c>
      <c r="Y1697" s="4">
        <v>13.9028112897914</v>
      </c>
      <c r="Z1697" s="4">
        <v>14.0822088906181</v>
      </c>
      <c r="AA1697" s="4">
        <v>14.172038109994601</v>
      </c>
      <c r="AB1697" s="4">
        <f t="shared" si="107"/>
        <v>14.052352763468035</v>
      </c>
    </row>
    <row r="1698" spans="2:28" x14ac:dyDescent="0.2">
      <c r="B1698" s="4" t="s">
        <v>902</v>
      </c>
      <c r="C1698" s="4">
        <v>14.0496</v>
      </c>
      <c r="D1698" s="4">
        <v>14.0525</v>
      </c>
      <c r="E1698" s="4">
        <v>14.232900000000001</v>
      </c>
      <c r="F1698" s="4">
        <f t="shared" si="104"/>
        <v>14.111666666666666</v>
      </c>
      <c r="I1698" s="4" t="s">
        <v>3718</v>
      </c>
      <c r="J1698" s="4">
        <v>14.272600000000001</v>
      </c>
      <c r="K1698" s="4">
        <v>13.941000000000001</v>
      </c>
      <c r="L1698" s="4">
        <v>14.212</v>
      </c>
      <c r="M1698" s="4">
        <f t="shared" si="105"/>
        <v>14.141866666666667</v>
      </c>
      <c r="Q1698" s="43" t="s">
        <v>2050</v>
      </c>
      <c r="R1698" s="4">
        <v>13.9133979280468</v>
      </c>
      <c r="S1698" s="4">
        <v>14.054224505370501</v>
      </c>
      <c r="T1698" s="4">
        <v>13.767491019794599</v>
      </c>
      <c r="U1698" s="4">
        <f t="shared" si="106"/>
        <v>13.911704484403968</v>
      </c>
      <c r="X1698" s="43" t="s">
        <v>874</v>
      </c>
      <c r="Y1698" s="4">
        <v>14.0643725140371</v>
      </c>
      <c r="Z1698" s="4">
        <v>14.1900704503621</v>
      </c>
      <c r="AA1698" s="4">
        <v>13.901934351714599</v>
      </c>
      <c r="AB1698" s="4">
        <f t="shared" si="107"/>
        <v>14.052125772037932</v>
      </c>
    </row>
    <row r="1699" spans="2:28" x14ac:dyDescent="0.2">
      <c r="B1699" s="4" t="s">
        <v>1917</v>
      </c>
      <c r="C1699" s="4">
        <v>13.802</v>
      </c>
      <c r="D1699" s="4">
        <v>14.220499999999999</v>
      </c>
      <c r="E1699" s="4">
        <v>14.307499999999999</v>
      </c>
      <c r="F1699" s="4">
        <f t="shared" si="104"/>
        <v>14.11</v>
      </c>
      <c r="I1699" s="4" t="s">
        <v>2787</v>
      </c>
      <c r="J1699" s="4">
        <v>14.1455</v>
      </c>
      <c r="K1699" s="4">
        <v>14.3688</v>
      </c>
      <c r="L1699" s="4">
        <v>13.9102</v>
      </c>
      <c r="M1699" s="4">
        <f t="shared" si="105"/>
        <v>14.141499999999999</v>
      </c>
      <c r="Q1699" s="43" t="s">
        <v>2975</v>
      </c>
      <c r="R1699" s="4">
        <v>13.9265985175374</v>
      </c>
      <c r="S1699" s="4">
        <v>13.8689142638418</v>
      </c>
      <c r="T1699" s="4">
        <v>13.9360033714011</v>
      </c>
      <c r="U1699" s="4">
        <f t="shared" si="106"/>
        <v>13.9105053842601</v>
      </c>
      <c r="X1699" s="43" t="s">
        <v>4038</v>
      </c>
      <c r="Y1699" s="4">
        <v>14.1690362574862</v>
      </c>
      <c r="Z1699" s="4">
        <v>14.073958481924199</v>
      </c>
      <c r="AA1699" s="4">
        <v>13.910221707482799</v>
      </c>
      <c r="AB1699" s="4">
        <f t="shared" si="107"/>
        <v>14.051072148964399</v>
      </c>
    </row>
    <row r="1700" spans="2:28" x14ac:dyDescent="0.2">
      <c r="B1700" s="4" t="s">
        <v>1814</v>
      </c>
      <c r="C1700" s="4">
        <v>14.204700000000001</v>
      </c>
      <c r="D1700" s="4">
        <v>14.163399999999999</v>
      </c>
      <c r="E1700" s="4">
        <v>13.9603</v>
      </c>
      <c r="F1700" s="4">
        <f t="shared" si="104"/>
        <v>14.109466666666668</v>
      </c>
      <c r="I1700" s="4" t="s">
        <v>720</v>
      </c>
      <c r="J1700" s="4">
        <v>14.0215</v>
      </c>
      <c r="K1700" s="4">
        <v>14.567600000000001</v>
      </c>
      <c r="L1700" s="4">
        <v>13.8345</v>
      </c>
      <c r="M1700" s="4">
        <f t="shared" si="105"/>
        <v>14.1412</v>
      </c>
      <c r="Q1700" s="43" t="s">
        <v>2014</v>
      </c>
      <c r="R1700" s="4">
        <v>13.953767141228701</v>
      </c>
      <c r="S1700" s="4">
        <v>13.8980995313853</v>
      </c>
      <c r="T1700" s="4">
        <v>13.8782371986821</v>
      </c>
      <c r="U1700" s="4">
        <f t="shared" si="106"/>
        <v>13.910034623765368</v>
      </c>
      <c r="X1700" s="43" t="s">
        <v>4232</v>
      </c>
      <c r="Y1700" s="4">
        <v>14.201967652867101</v>
      </c>
      <c r="Z1700" s="4">
        <v>14.2710394471976</v>
      </c>
      <c r="AA1700" s="4">
        <v>13.6786498504188</v>
      </c>
      <c r="AB1700" s="4">
        <f t="shared" si="107"/>
        <v>14.050552316827833</v>
      </c>
    </row>
    <row r="1701" spans="2:28" x14ac:dyDescent="0.2">
      <c r="B1701" s="4" t="s">
        <v>3357</v>
      </c>
      <c r="C1701" s="4">
        <v>13.9117</v>
      </c>
      <c r="D1701" s="4">
        <v>13.9598</v>
      </c>
      <c r="E1701" s="4">
        <v>14.4504</v>
      </c>
      <c r="F1701" s="4">
        <f t="shared" si="104"/>
        <v>14.1073</v>
      </c>
      <c r="I1701" s="4" t="s">
        <v>3783</v>
      </c>
      <c r="J1701" s="4">
        <v>14.416600000000001</v>
      </c>
      <c r="K1701" s="4">
        <v>14.035600000000001</v>
      </c>
      <c r="L1701" s="4">
        <v>13.960800000000001</v>
      </c>
      <c r="M1701" s="4">
        <f t="shared" si="105"/>
        <v>14.137666666666668</v>
      </c>
      <c r="Q1701" s="43" t="s">
        <v>46</v>
      </c>
      <c r="R1701" s="4">
        <v>13.796626059476701</v>
      </c>
      <c r="S1701" s="4">
        <v>13.676868049250301</v>
      </c>
      <c r="T1701" s="4">
        <v>14.2566086437095</v>
      </c>
      <c r="U1701" s="4">
        <f t="shared" si="106"/>
        <v>13.910034250812167</v>
      </c>
      <c r="X1701" s="43" t="s">
        <v>2247</v>
      </c>
      <c r="Y1701" s="4">
        <v>13.944556846079401</v>
      </c>
      <c r="Z1701" s="4">
        <v>14.088841084038</v>
      </c>
      <c r="AA1701" s="4">
        <v>14.1107122340574</v>
      </c>
      <c r="AB1701" s="4">
        <f t="shared" si="107"/>
        <v>14.048036721391602</v>
      </c>
    </row>
    <row r="1702" spans="2:28" x14ac:dyDescent="0.2">
      <c r="B1702" s="4" t="s">
        <v>861</v>
      </c>
      <c r="C1702" s="4">
        <v>14.527699999999999</v>
      </c>
      <c r="D1702" s="4">
        <v>14.0587</v>
      </c>
      <c r="E1702" s="4">
        <v>13.7194</v>
      </c>
      <c r="F1702" s="4">
        <f t="shared" si="104"/>
        <v>14.101933333333333</v>
      </c>
      <c r="I1702" s="4" t="s">
        <v>337</v>
      </c>
      <c r="J1702" s="4">
        <v>14.181900000000001</v>
      </c>
      <c r="K1702" s="4">
        <v>13.9473</v>
      </c>
      <c r="L1702" s="4">
        <v>14.2807</v>
      </c>
      <c r="M1702" s="4">
        <f t="shared" si="105"/>
        <v>14.136633333333334</v>
      </c>
      <c r="Q1702" s="43" t="s">
        <v>2120</v>
      </c>
      <c r="R1702" s="4">
        <v>14.109136446240299</v>
      </c>
      <c r="S1702" s="4">
        <v>13.712820005811899</v>
      </c>
      <c r="T1702" s="4">
        <v>13.904836193250199</v>
      </c>
      <c r="U1702" s="4">
        <f t="shared" si="106"/>
        <v>13.908930881767466</v>
      </c>
      <c r="X1702" s="43" t="s">
        <v>2057</v>
      </c>
      <c r="Y1702" s="4">
        <v>14.197563089786801</v>
      </c>
      <c r="Z1702" s="4">
        <v>14.101352444939099</v>
      </c>
      <c r="AA1702" s="4">
        <v>13.8443518363294</v>
      </c>
      <c r="AB1702" s="4">
        <f t="shared" si="107"/>
        <v>14.047755790351767</v>
      </c>
    </row>
    <row r="1703" spans="2:28" x14ac:dyDescent="0.2">
      <c r="B1703" s="4" t="s">
        <v>3576</v>
      </c>
      <c r="C1703" s="4">
        <v>14.2348</v>
      </c>
      <c r="D1703" s="4">
        <v>14.1411</v>
      </c>
      <c r="E1703" s="4">
        <v>13.9254</v>
      </c>
      <c r="F1703" s="4">
        <f t="shared" si="104"/>
        <v>14.100433333333333</v>
      </c>
      <c r="I1703" s="4" t="s">
        <v>1821</v>
      </c>
      <c r="J1703" s="4">
        <v>14.4068</v>
      </c>
      <c r="K1703" s="4">
        <v>13.8447</v>
      </c>
      <c r="L1703" s="4">
        <v>14.157400000000001</v>
      </c>
      <c r="M1703" s="4">
        <f t="shared" si="105"/>
        <v>14.1363</v>
      </c>
      <c r="Q1703" s="43" t="s">
        <v>191</v>
      </c>
      <c r="R1703" s="4">
        <v>13.9349408838965</v>
      </c>
      <c r="S1703" s="4">
        <v>13.864439633453699</v>
      </c>
      <c r="T1703" s="4">
        <v>13.9261279038419</v>
      </c>
      <c r="U1703" s="4">
        <f t="shared" si="106"/>
        <v>13.908502807064034</v>
      </c>
      <c r="X1703" s="43" t="s">
        <v>2674</v>
      </c>
      <c r="Y1703" s="4">
        <v>13.5221798500685</v>
      </c>
      <c r="Z1703" s="4">
        <v>14.2741896422529</v>
      </c>
      <c r="AA1703" s="4">
        <v>14.3442029609737</v>
      </c>
      <c r="AB1703" s="4">
        <f t="shared" si="107"/>
        <v>14.046857484431699</v>
      </c>
    </row>
    <row r="1704" spans="2:28" x14ac:dyDescent="0.2">
      <c r="B1704" s="4" t="s">
        <v>423</v>
      </c>
      <c r="C1704" s="4">
        <v>14.3332</v>
      </c>
      <c r="D1704" s="4">
        <v>13.592000000000001</v>
      </c>
      <c r="E1704" s="4">
        <v>14.374499999999999</v>
      </c>
      <c r="F1704" s="4">
        <f t="shared" si="104"/>
        <v>14.0999</v>
      </c>
      <c r="I1704" s="4" t="s">
        <v>3596</v>
      </c>
      <c r="J1704" s="4">
        <v>13.857900000000001</v>
      </c>
      <c r="K1704" s="4">
        <v>14.5854</v>
      </c>
      <c r="L1704" s="4">
        <v>13.9628</v>
      </c>
      <c r="M1704" s="4">
        <f t="shared" si="105"/>
        <v>14.135366666666668</v>
      </c>
      <c r="Q1704" s="43" t="s">
        <v>4155</v>
      </c>
      <c r="R1704" s="4">
        <v>13.800184075819301</v>
      </c>
      <c r="S1704" s="4">
        <v>14.0525932685534</v>
      </c>
      <c r="T1704" s="4">
        <v>13.870059159957499</v>
      </c>
      <c r="U1704" s="4">
        <f t="shared" si="106"/>
        <v>13.907612168110068</v>
      </c>
      <c r="X1704" s="43" t="s">
        <v>3264</v>
      </c>
      <c r="Y1704" s="4">
        <v>13.8473617667517</v>
      </c>
      <c r="Z1704" s="4">
        <v>14.1291831679531</v>
      </c>
      <c r="AA1704" s="4">
        <v>14.156694274805901</v>
      </c>
      <c r="AB1704" s="4">
        <f t="shared" si="107"/>
        <v>14.044413069836899</v>
      </c>
    </row>
    <row r="1705" spans="2:28" x14ac:dyDescent="0.2">
      <c r="B1705" s="4" t="s">
        <v>3754</v>
      </c>
      <c r="C1705" s="4">
        <v>13.9643</v>
      </c>
      <c r="D1705" s="4">
        <v>14.0181</v>
      </c>
      <c r="E1705" s="4">
        <v>14.3161</v>
      </c>
      <c r="F1705" s="4">
        <f t="shared" si="104"/>
        <v>14.099499999999999</v>
      </c>
      <c r="I1705" s="4" t="s">
        <v>81</v>
      </c>
      <c r="J1705" s="4">
        <v>14.503500000000001</v>
      </c>
      <c r="K1705" s="4">
        <v>13.9397</v>
      </c>
      <c r="L1705" s="4">
        <v>13.9619</v>
      </c>
      <c r="M1705" s="4">
        <f t="shared" si="105"/>
        <v>14.135033333333334</v>
      </c>
      <c r="Q1705" s="43" t="s">
        <v>325</v>
      </c>
      <c r="R1705" s="4">
        <v>13.8757542477125</v>
      </c>
      <c r="S1705" s="4">
        <v>13.8912859826853</v>
      </c>
      <c r="T1705" s="4">
        <v>13.953763653926901</v>
      </c>
      <c r="U1705" s="4">
        <f t="shared" si="106"/>
        <v>13.906934628108234</v>
      </c>
      <c r="X1705" s="43" t="s">
        <v>4412</v>
      </c>
      <c r="Y1705" s="4">
        <v>13.898150894869801</v>
      </c>
      <c r="Z1705" s="4">
        <v>14.232466320461</v>
      </c>
      <c r="AA1705" s="4">
        <v>14.000936470855001</v>
      </c>
      <c r="AB1705" s="4">
        <f t="shared" si="107"/>
        <v>14.043851228728601</v>
      </c>
    </row>
    <row r="1706" spans="2:28" x14ac:dyDescent="0.2">
      <c r="B1706" s="4" t="s">
        <v>1158</v>
      </c>
      <c r="C1706" s="4">
        <v>14.2149</v>
      </c>
      <c r="D1706" s="4">
        <v>14.2103</v>
      </c>
      <c r="E1706" s="4">
        <v>13.8689</v>
      </c>
      <c r="F1706" s="4">
        <f t="shared" si="104"/>
        <v>14.098033333333333</v>
      </c>
      <c r="I1706" s="4" t="s">
        <v>249</v>
      </c>
      <c r="J1706" s="4">
        <v>14.222200000000001</v>
      </c>
      <c r="K1706" s="4">
        <v>14.499599999999999</v>
      </c>
      <c r="L1706" s="4">
        <v>13.682</v>
      </c>
      <c r="M1706" s="4">
        <f t="shared" si="105"/>
        <v>14.134600000000001</v>
      </c>
      <c r="Q1706" s="43" t="s">
        <v>2927</v>
      </c>
      <c r="R1706" s="4">
        <v>14.1058736828675</v>
      </c>
      <c r="S1706" s="4">
        <v>13.834043372599799</v>
      </c>
      <c r="T1706" s="4">
        <v>13.7736410988731</v>
      </c>
      <c r="U1706" s="4">
        <f t="shared" si="106"/>
        <v>13.904519384780132</v>
      </c>
      <c r="X1706" s="43" t="s">
        <v>4525</v>
      </c>
      <c r="Y1706" s="4">
        <v>13.9816805354262</v>
      </c>
      <c r="Z1706" s="4">
        <v>13.938390388612399</v>
      </c>
      <c r="AA1706" s="4">
        <v>14.2050507650884</v>
      </c>
      <c r="AB1706" s="4">
        <f t="shared" si="107"/>
        <v>14.041707229708999</v>
      </c>
    </row>
    <row r="1707" spans="2:28" x14ac:dyDescent="0.2">
      <c r="B1707" s="4" t="s">
        <v>2429</v>
      </c>
      <c r="C1707" s="4">
        <v>14.3012</v>
      </c>
      <c r="D1707" s="4">
        <v>14.0252</v>
      </c>
      <c r="E1707" s="4">
        <v>13.9665</v>
      </c>
      <c r="F1707" s="4">
        <f t="shared" si="104"/>
        <v>14.097633333333334</v>
      </c>
      <c r="I1707" s="4" t="s">
        <v>494</v>
      </c>
      <c r="J1707" s="4">
        <v>14.3597</v>
      </c>
      <c r="K1707" s="4">
        <v>13.6836</v>
      </c>
      <c r="L1707" s="4">
        <v>14.3604</v>
      </c>
      <c r="M1707" s="4">
        <f t="shared" si="105"/>
        <v>14.134566666666666</v>
      </c>
      <c r="Q1707" s="43" t="s">
        <v>904</v>
      </c>
      <c r="R1707" s="4">
        <v>13.6957394586105</v>
      </c>
      <c r="S1707" s="4">
        <v>14.0048357940017</v>
      </c>
      <c r="T1707" s="4">
        <v>14.010188129002801</v>
      </c>
      <c r="U1707" s="4">
        <f t="shared" si="106"/>
        <v>13.903587793871667</v>
      </c>
      <c r="X1707" s="43" t="s">
        <v>867</v>
      </c>
      <c r="Y1707" s="4">
        <v>14.1977732257716</v>
      </c>
      <c r="Z1707" s="4">
        <v>14.0493072213949</v>
      </c>
      <c r="AA1707" s="4">
        <v>13.877843791140601</v>
      </c>
      <c r="AB1707" s="4">
        <f t="shared" si="107"/>
        <v>14.041641412769033</v>
      </c>
    </row>
    <row r="1708" spans="2:28" x14ac:dyDescent="0.2">
      <c r="B1708" s="4" t="s">
        <v>2502</v>
      </c>
      <c r="C1708" s="4">
        <v>13.940200000000001</v>
      </c>
      <c r="D1708" s="4">
        <v>14.419499999999999</v>
      </c>
      <c r="E1708" s="4">
        <v>13.932399999999999</v>
      </c>
      <c r="F1708" s="4">
        <f t="shared" si="104"/>
        <v>14.097366666666666</v>
      </c>
      <c r="I1708" s="4" t="s">
        <v>1272</v>
      </c>
      <c r="J1708" s="4">
        <v>13.395200000000001</v>
      </c>
      <c r="K1708" s="4">
        <v>15.0167</v>
      </c>
      <c r="L1708" s="4">
        <v>13.979900000000001</v>
      </c>
      <c r="M1708" s="4">
        <f t="shared" si="105"/>
        <v>14.130600000000001</v>
      </c>
      <c r="Q1708" s="43" t="s">
        <v>3502</v>
      </c>
      <c r="R1708" s="4">
        <v>13.8585708435337</v>
      </c>
      <c r="S1708" s="4">
        <v>13.868809441105199</v>
      </c>
      <c r="T1708" s="4">
        <v>13.983187902857599</v>
      </c>
      <c r="U1708" s="4">
        <f t="shared" si="106"/>
        <v>13.9035227291655</v>
      </c>
      <c r="X1708" s="43" t="s">
        <v>776</v>
      </c>
      <c r="Y1708" s="4">
        <v>13.868212132177399</v>
      </c>
      <c r="Z1708" s="4">
        <v>14.1678188256548</v>
      </c>
      <c r="AA1708" s="4">
        <v>14.0882123377528</v>
      </c>
      <c r="AB1708" s="4">
        <f t="shared" si="107"/>
        <v>14.041414431861668</v>
      </c>
    </row>
    <row r="1709" spans="2:28" x14ac:dyDescent="0.2">
      <c r="B1709" s="4" t="s">
        <v>1828</v>
      </c>
      <c r="C1709" s="4">
        <v>14.2072</v>
      </c>
      <c r="D1709" s="4">
        <v>14.1228</v>
      </c>
      <c r="E1709" s="4">
        <v>13.9617</v>
      </c>
      <c r="F1709" s="4">
        <f t="shared" si="104"/>
        <v>14.097233333333334</v>
      </c>
      <c r="I1709" s="4" t="s">
        <v>3349</v>
      </c>
      <c r="J1709" s="4">
        <v>14.255100000000001</v>
      </c>
      <c r="K1709" s="4">
        <v>14.482699999999999</v>
      </c>
      <c r="L1709" s="4">
        <v>13.6518</v>
      </c>
      <c r="M1709" s="4">
        <f t="shared" si="105"/>
        <v>14.129866666666667</v>
      </c>
      <c r="Q1709" s="43" t="s">
        <v>1523</v>
      </c>
      <c r="R1709" s="4">
        <v>14.408373345397001</v>
      </c>
      <c r="S1709" s="4">
        <v>13.373364591167499</v>
      </c>
      <c r="T1709" s="4">
        <v>13.9285297845942</v>
      </c>
      <c r="U1709" s="4">
        <f t="shared" si="106"/>
        <v>13.903422573719567</v>
      </c>
      <c r="X1709" s="43" t="s">
        <v>1555</v>
      </c>
      <c r="Y1709" s="4">
        <v>13.6998938177646</v>
      </c>
      <c r="Z1709" s="4">
        <v>14.2930109578199</v>
      </c>
      <c r="AA1709" s="4">
        <v>14.131102851723901</v>
      </c>
      <c r="AB1709" s="4">
        <f t="shared" si="107"/>
        <v>14.041335875769468</v>
      </c>
    </row>
    <row r="1710" spans="2:28" x14ac:dyDescent="0.2">
      <c r="B1710" s="4" t="s">
        <v>3448</v>
      </c>
      <c r="C1710" s="4">
        <v>13.864599999999999</v>
      </c>
      <c r="D1710" s="4">
        <v>14.3582</v>
      </c>
      <c r="E1710" s="4">
        <v>14.0679</v>
      </c>
      <c r="F1710" s="4">
        <f t="shared" si="104"/>
        <v>14.0969</v>
      </c>
      <c r="I1710" s="4" t="s">
        <v>2509</v>
      </c>
      <c r="J1710" s="4">
        <v>14.105399999999999</v>
      </c>
      <c r="K1710" s="4">
        <v>14.226000000000001</v>
      </c>
      <c r="L1710" s="4">
        <v>14.052199999999999</v>
      </c>
      <c r="M1710" s="4">
        <f t="shared" si="105"/>
        <v>14.127866666666668</v>
      </c>
      <c r="Q1710" s="43" t="s">
        <v>457</v>
      </c>
      <c r="R1710" s="4">
        <v>13.7568629645631</v>
      </c>
      <c r="S1710" s="4">
        <v>13.9453374684355</v>
      </c>
      <c r="T1710" s="4">
        <v>14.006311691377</v>
      </c>
      <c r="U1710" s="4">
        <f t="shared" si="106"/>
        <v>13.902837374791867</v>
      </c>
      <c r="X1710" s="43" t="s">
        <v>4067</v>
      </c>
      <c r="Y1710" s="4">
        <v>14.136178139235501</v>
      </c>
      <c r="Z1710" s="4">
        <v>14.0006533837575</v>
      </c>
      <c r="AA1710" s="4">
        <v>13.986615748242601</v>
      </c>
      <c r="AB1710" s="4">
        <f t="shared" si="107"/>
        <v>14.041149090411865</v>
      </c>
    </row>
    <row r="1711" spans="2:28" x14ac:dyDescent="0.2">
      <c r="B1711" s="4" t="s">
        <v>2778</v>
      </c>
      <c r="C1711" s="4">
        <v>13.414400000000001</v>
      </c>
      <c r="D1711" s="4">
        <v>14.0677</v>
      </c>
      <c r="E1711" s="4">
        <v>14.807600000000001</v>
      </c>
      <c r="F1711" s="4">
        <f t="shared" si="104"/>
        <v>14.096566666666668</v>
      </c>
      <c r="I1711" s="4" t="s">
        <v>1152</v>
      </c>
      <c r="J1711" s="4">
        <v>14.5215</v>
      </c>
      <c r="K1711" s="4">
        <v>13.491099999999999</v>
      </c>
      <c r="L1711" s="4">
        <v>14.370799999999999</v>
      </c>
      <c r="M1711" s="4">
        <f t="shared" si="105"/>
        <v>14.127799999999999</v>
      </c>
      <c r="Q1711" s="43" t="s">
        <v>4202</v>
      </c>
      <c r="R1711" s="4">
        <v>14.611516959720699</v>
      </c>
      <c r="S1711" s="4">
        <v>13.4273899735737</v>
      </c>
      <c r="T1711" s="4">
        <v>13.662867530895999</v>
      </c>
      <c r="U1711" s="4">
        <f t="shared" si="106"/>
        <v>13.900591488063467</v>
      </c>
      <c r="X1711" s="43" t="s">
        <v>3707</v>
      </c>
      <c r="Y1711" s="4">
        <v>13.8936395018557</v>
      </c>
      <c r="Z1711" s="4">
        <v>13.909182370913101</v>
      </c>
      <c r="AA1711" s="4">
        <v>14.317267934015399</v>
      </c>
      <c r="AB1711" s="4">
        <f t="shared" si="107"/>
        <v>14.040029935594733</v>
      </c>
    </row>
    <row r="1712" spans="2:28" x14ac:dyDescent="0.2">
      <c r="B1712" s="4" t="s">
        <v>2104</v>
      </c>
      <c r="C1712" s="4">
        <v>13.819000000000001</v>
      </c>
      <c r="D1712" s="4">
        <v>14.3687</v>
      </c>
      <c r="E1712" s="4">
        <v>14.0992</v>
      </c>
      <c r="F1712" s="4">
        <f t="shared" si="104"/>
        <v>14.095633333333334</v>
      </c>
      <c r="I1712" s="4" t="s">
        <v>3741</v>
      </c>
      <c r="J1712" s="4">
        <v>14.1136</v>
      </c>
      <c r="K1712" s="4">
        <v>14.374700000000001</v>
      </c>
      <c r="L1712" s="4">
        <v>13.8911</v>
      </c>
      <c r="M1712" s="4">
        <f t="shared" si="105"/>
        <v>14.126466666666667</v>
      </c>
      <c r="Q1712" s="43" t="s">
        <v>1830</v>
      </c>
      <c r="R1712" s="4">
        <v>13.748898147621899</v>
      </c>
      <c r="S1712" s="4">
        <v>13.967966268085799</v>
      </c>
      <c r="T1712" s="4">
        <v>13.972745384471899</v>
      </c>
      <c r="U1712" s="4">
        <f t="shared" si="106"/>
        <v>13.896536600059866</v>
      </c>
      <c r="X1712" s="43" t="s">
        <v>854</v>
      </c>
      <c r="Y1712" s="4">
        <v>14.1636474700751</v>
      </c>
      <c r="Z1712" s="4">
        <v>13.921697569588099</v>
      </c>
      <c r="AA1712" s="4">
        <v>14.0327922843636</v>
      </c>
      <c r="AB1712" s="4">
        <f t="shared" si="107"/>
        <v>14.039379108008932</v>
      </c>
    </row>
    <row r="1713" spans="2:28" x14ac:dyDescent="0.2">
      <c r="B1713" s="4" t="s">
        <v>2046</v>
      </c>
      <c r="C1713" s="4">
        <v>14.567</v>
      </c>
      <c r="D1713" s="4">
        <v>14.010300000000001</v>
      </c>
      <c r="E1713" s="4">
        <v>13.7066</v>
      </c>
      <c r="F1713" s="4">
        <f t="shared" si="104"/>
        <v>14.094633333333334</v>
      </c>
      <c r="I1713" s="4" t="s">
        <v>1822</v>
      </c>
      <c r="J1713" s="4">
        <v>13.772500000000001</v>
      </c>
      <c r="K1713" s="4">
        <v>14.3576</v>
      </c>
      <c r="L1713" s="4">
        <v>14.2492</v>
      </c>
      <c r="M1713" s="4">
        <f t="shared" si="105"/>
        <v>14.126433333333333</v>
      </c>
      <c r="Q1713" s="43" t="s">
        <v>1009</v>
      </c>
      <c r="R1713" s="4">
        <v>13.9782697921516</v>
      </c>
      <c r="S1713" s="4">
        <v>13.842368916823901</v>
      </c>
      <c r="T1713" s="4">
        <v>13.867555502838901</v>
      </c>
      <c r="U1713" s="4">
        <f t="shared" si="106"/>
        <v>13.896064737271468</v>
      </c>
      <c r="X1713" s="43" t="s">
        <v>2771</v>
      </c>
      <c r="Y1713" s="4">
        <v>13.8805348614531</v>
      </c>
      <c r="Z1713" s="4">
        <v>14.146034116458701</v>
      </c>
      <c r="AA1713" s="4">
        <v>14.090663619398301</v>
      </c>
      <c r="AB1713" s="4">
        <f t="shared" si="107"/>
        <v>14.0390775324367</v>
      </c>
    </row>
    <row r="1714" spans="2:28" x14ac:dyDescent="0.2">
      <c r="B1714" s="4" t="s">
        <v>1537</v>
      </c>
      <c r="C1714" s="4">
        <v>13.462899999999999</v>
      </c>
      <c r="D1714" s="4">
        <v>14.3497</v>
      </c>
      <c r="E1714" s="4">
        <v>14.4658</v>
      </c>
      <c r="F1714" s="4">
        <f t="shared" si="104"/>
        <v>14.092799999999999</v>
      </c>
      <c r="I1714" s="4" t="s">
        <v>3110</v>
      </c>
      <c r="J1714" s="4">
        <v>14.2729</v>
      </c>
      <c r="K1714" s="4">
        <v>14.5585</v>
      </c>
      <c r="L1714" s="4">
        <v>13.5458</v>
      </c>
      <c r="M1714" s="4">
        <f t="shared" si="105"/>
        <v>14.125733333333335</v>
      </c>
      <c r="Q1714" s="43" t="s">
        <v>3481</v>
      </c>
      <c r="R1714" s="4">
        <v>13.8840947056916</v>
      </c>
      <c r="S1714" s="4">
        <v>13.7404364071985</v>
      </c>
      <c r="T1714" s="4">
        <v>14.0634572888265</v>
      </c>
      <c r="U1714" s="4">
        <f t="shared" si="106"/>
        <v>13.895996133905534</v>
      </c>
      <c r="X1714" s="43" t="s">
        <v>2974</v>
      </c>
      <c r="Y1714" s="4">
        <v>13.889273978099199</v>
      </c>
      <c r="Z1714" s="4">
        <v>13.984263116818401</v>
      </c>
      <c r="AA1714" s="4">
        <v>14.2369455975418</v>
      </c>
      <c r="AB1714" s="4">
        <f t="shared" si="107"/>
        <v>14.036827564153134</v>
      </c>
    </row>
    <row r="1715" spans="2:28" x14ac:dyDescent="0.2">
      <c r="B1715" s="4" t="s">
        <v>3522</v>
      </c>
      <c r="C1715" s="4">
        <v>14.2392</v>
      </c>
      <c r="D1715" s="4">
        <v>14.097300000000001</v>
      </c>
      <c r="E1715" s="4">
        <v>13.936999999999999</v>
      </c>
      <c r="F1715" s="4">
        <f t="shared" si="104"/>
        <v>14.091166666666666</v>
      </c>
      <c r="I1715" s="4" t="s">
        <v>3115</v>
      </c>
      <c r="J1715" s="4">
        <v>13.97</v>
      </c>
      <c r="K1715" s="4">
        <v>14.446899999999999</v>
      </c>
      <c r="L1715" s="4">
        <v>13.959199999999999</v>
      </c>
      <c r="M1715" s="4">
        <f t="shared" si="105"/>
        <v>14.125366666666665</v>
      </c>
      <c r="Q1715" s="43" t="s">
        <v>4130</v>
      </c>
      <c r="R1715" s="4">
        <v>14.105357677240701</v>
      </c>
      <c r="S1715" s="4">
        <v>14.0648536671542</v>
      </c>
      <c r="T1715" s="4">
        <v>13.5144091404271</v>
      </c>
      <c r="U1715" s="4">
        <f t="shared" si="106"/>
        <v>13.894873494940667</v>
      </c>
      <c r="X1715" s="43" t="s">
        <v>2187</v>
      </c>
      <c r="Y1715" s="4">
        <v>13.993312597212199</v>
      </c>
      <c r="Z1715" s="4">
        <v>14.1905036570238</v>
      </c>
      <c r="AA1715" s="4">
        <v>13.924895694680799</v>
      </c>
      <c r="AB1715" s="4">
        <f t="shared" si="107"/>
        <v>14.0362373163056</v>
      </c>
    </row>
    <row r="1716" spans="2:28" x14ac:dyDescent="0.2">
      <c r="B1716" s="4" t="s">
        <v>717</v>
      </c>
      <c r="C1716" s="4">
        <v>13.2788</v>
      </c>
      <c r="D1716" s="4">
        <v>14.5053</v>
      </c>
      <c r="E1716" s="4">
        <v>14.4887</v>
      </c>
      <c r="F1716" s="4">
        <f t="shared" si="104"/>
        <v>14.090933333333334</v>
      </c>
      <c r="I1716" s="4" t="s">
        <v>2635</v>
      </c>
      <c r="J1716" s="4">
        <v>14.5372</v>
      </c>
      <c r="K1716" s="4">
        <v>13.4649</v>
      </c>
      <c r="L1716" s="4">
        <v>14.3735</v>
      </c>
      <c r="M1716" s="4">
        <f t="shared" si="105"/>
        <v>14.1252</v>
      </c>
      <c r="Q1716" s="43" t="s">
        <v>4184</v>
      </c>
      <c r="R1716" s="4">
        <v>13.958723909269899</v>
      </c>
      <c r="S1716" s="4">
        <v>13.9783078280262</v>
      </c>
      <c r="T1716" s="4">
        <v>13.746606344251999</v>
      </c>
      <c r="U1716" s="4">
        <f t="shared" si="106"/>
        <v>13.894546027182699</v>
      </c>
      <c r="X1716" s="43" t="s">
        <v>2765</v>
      </c>
      <c r="Y1716" s="4">
        <v>14.1266273113255</v>
      </c>
      <c r="Z1716" s="4">
        <v>13.9781774659678</v>
      </c>
      <c r="AA1716" s="4">
        <v>13.9940848823958</v>
      </c>
      <c r="AB1716" s="4">
        <f t="shared" si="107"/>
        <v>14.032963219896367</v>
      </c>
    </row>
    <row r="1717" spans="2:28" x14ac:dyDescent="0.2">
      <c r="B1717" s="4" t="s">
        <v>2733</v>
      </c>
      <c r="C1717" s="4">
        <v>13.7943</v>
      </c>
      <c r="D1717" s="4">
        <v>14.0557</v>
      </c>
      <c r="E1717" s="4">
        <v>14.4223</v>
      </c>
      <c r="F1717" s="4">
        <f t="shared" si="104"/>
        <v>14.090766666666667</v>
      </c>
      <c r="I1717" s="4" t="s">
        <v>416</v>
      </c>
      <c r="J1717" s="4">
        <v>14.3414</v>
      </c>
      <c r="K1717" s="4">
        <v>13.9849</v>
      </c>
      <c r="L1717" s="4">
        <v>14.0482</v>
      </c>
      <c r="M1717" s="4">
        <f t="shared" si="105"/>
        <v>14.124833333333333</v>
      </c>
      <c r="Q1717" s="43" t="s">
        <v>2450</v>
      </c>
      <c r="R1717" s="4">
        <v>14.0213810266539</v>
      </c>
      <c r="S1717" s="4">
        <v>13.891598346128999</v>
      </c>
      <c r="T1717" s="4">
        <v>13.7704415310005</v>
      </c>
      <c r="U1717" s="4">
        <f t="shared" si="106"/>
        <v>13.894473634594467</v>
      </c>
      <c r="X1717" s="43" t="s">
        <v>165</v>
      </c>
      <c r="Y1717" s="4">
        <v>13.9551903774001</v>
      </c>
      <c r="Z1717" s="4">
        <v>14.123499924245101</v>
      </c>
      <c r="AA1717" s="4">
        <v>14.019361707182201</v>
      </c>
      <c r="AB1717" s="4">
        <f t="shared" si="107"/>
        <v>14.032684002942467</v>
      </c>
    </row>
    <row r="1718" spans="2:28" x14ac:dyDescent="0.2">
      <c r="B1718" s="4" t="s">
        <v>2349</v>
      </c>
      <c r="C1718" s="4">
        <v>14.3866</v>
      </c>
      <c r="D1718" s="4">
        <v>13.77</v>
      </c>
      <c r="E1718" s="4">
        <v>14.113099999999999</v>
      </c>
      <c r="F1718" s="4">
        <f t="shared" si="104"/>
        <v>14.0899</v>
      </c>
      <c r="I1718" s="4" t="s">
        <v>2645</v>
      </c>
      <c r="J1718" s="4">
        <v>14.0421</v>
      </c>
      <c r="K1718" s="4">
        <v>14.4331</v>
      </c>
      <c r="L1718" s="4">
        <v>13.887700000000001</v>
      </c>
      <c r="M1718" s="4">
        <f t="shared" si="105"/>
        <v>14.120966666666668</v>
      </c>
      <c r="Q1718" s="43" t="s">
        <v>245</v>
      </c>
      <c r="R1718" s="4">
        <v>13.844448427095699</v>
      </c>
      <c r="S1718" s="4">
        <v>13.7792558376988</v>
      </c>
      <c r="T1718" s="4">
        <v>14.047763704459699</v>
      </c>
      <c r="U1718" s="4">
        <f t="shared" si="106"/>
        <v>13.890489323084731</v>
      </c>
      <c r="X1718" s="43" t="s">
        <v>3092</v>
      </c>
      <c r="Y1718" s="4">
        <v>14.0455943467677</v>
      </c>
      <c r="Z1718" s="4">
        <v>14.078625523712899</v>
      </c>
      <c r="AA1718" s="4">
        <v>13.970325361376499</v>
      </c>
      <c r="AB1718" s="4">
        <f t="shared" si="107"/>
        <v>14.031515077285698</v>
      </c>
    </row>
    <row r="1719" spans="2:28" x14ac:dyDescent="0.2">
      <c r="B1719" s="4" t="s">
        <v>932</v>
      </c>
      <c r="C1719" s="4">
        <v>13.3127</v>
      </c>
      <c r="D1719" s="4">
        <v>14.468999999999999</v>
      </c>
      <c r="E1719" s="4">
        <v>14.486700000000001</v>
      </c>
      <c r="F1719" s="4">
        <f t="shared" si="104"/>
        <v>14.089466666666667</v>
      </c>
      <c r="I1719" s="4" t="s">
        <v>3837</v>
      </c>
      <c r="J1719" s="4">
        <v>13.985900000000001</v>
      </c>
      <c r="K1719" s="4">
        <v>14.2004</v>
      </c>
      <c r="L1719" s="4">
        <v>14.1709</v>
      </c>
      <c r="M1719" s="4">
        <f t="shared" si="105"/>
        <v>14.119066666666669</v>
      </c>
      <c r="Q1719" s="43" t="s">
        <v>2734</v>
      </c>
      <c r="R1719" s="4">
        <v>14.047704745227101</v>
      </c>
      <c r="S1719" s="4">
        <v>13.8745554880116</v>
      </c>
      <c r="T1719" s="4">
        <v>13.7480234683003</v>
      </c>
      <c r="U1719" s="4">
        <f t="shared" si="106"/>
        <v>13.890094567179668</v>
      </c>
      <c r="X1719" s="43" t="s">
        <v>2037</v>
      </c>
      <c r="Y1719" s="4">
        <v>13.9496148629771</v>
      </c>
      <c r="Z1719" s="4">
        <v>14.236617239466</v>
      </c>
      <c r="AA1719" s="4">
        <v>13.906153683376299</v>
      </c>
      <c r="AB1719" s="4">
        <f t="shared" si="107"/>
        <v>14.030795261939801</v>
      </c>
    </row>
    <row r="1720" spans="2:28" x14ac:dyDescent="0.2">
      <c r="B1720" s="4" t="s">
        <v>3722</v>
      </c>
      <c r="C1720" s="4">
        <v>14.099600000000001</v>
      </c>
      <c r="D1720" s="4">
        <v>13.923</v>
      </c>
      <c r="E1720" s="4">
        <v>14.242800000000001</v>
      </c>
      <c r="F1720" s="4">
        <f t="shared" si="104"/>
        <v>14.088466666666667</v>
      </c>
      <c r="I1720" s="4" t="s">
        <v>3402</v>
      </c>
      <c r="J1720" s="4">
        <v>14.2784</v>
      </c>
      <c r="K1720" s="4">
        <v>13.8001</v>
      </c>
      <c r="L1720" s="4">
        <v>14.2775</v>
      </c>
      <c r="M1720" s="4">
        <f t="shared" si="105"/>
        <v>14.118666666666664</v>
      </c>
      <c r="Q1720" s="43" t="s">
        <v>2974</v>
      </c>
      <c r="R1720" s="4">
        <v>13.795475963584201</v>
      </c>
      <c r="S1720" s="4">
        <v>13.946198691413301</v>
      </c>
      <c r="T1720" s="4">
        <v>13.924741710665799</v>
      </c>
      <c r="U1720" s="4">
        <f t="shared" si="106"/>
        <v>13.888805455221101</v>
      </c>
      <c r="X1720" s="43" t="s">
        <v>3142</v>
      </c>
      <c r="Y1720" s="4">
        <v>14.2065980187303</v>
      </c>
      <c r="Z1720" s="4">
        <v>13.9136492965361</v>
      </c>
      <c r="AA1720" s="4">
        <v>13.947767148268699</v>
      </c>
      <c r="AB1720" s="4">
        <f t="shared" si="107"/>
        <v>14.022671487845033</v>
      </c>
    </row>
    <row r="1721" spans="2:28" x14ac:dyDescent="0.2">
      <c r="B1721" s="4" t="s">
        <v>3011</v>
      </c>
      <c r="C1721" s="4">
        <v>14.09</v>
      </c>
      <c r="D1721" s="4">
        <v>14.088699999999999</v>
      </c>
      <c r="E1721" s="4">
        <v>14.0854</v>
      </c>
      <c r="F1721" s="4">
        <f t="shared" si="104"/>
        <v>14.088033333333334</v>
      </c>
      <c r="I1721" s="4" t="s">
        <v>3242</v>
      </c>
      <c r="J1721" s="4">
        <v>14.0853</v>
      </c>
      <c r="K1721" s="4">
        <v>14.24</v>
      </c>
      <c r="L1721" s="4">
        <v>14.023199999999999</v>
      </c>
      <c r="M1721" s="4">
        <f t="shared" si="105"/>
        <v>14.116166666666667</v>
      </c>
      <c r="Q1721" s="43" t="s">
        <v>666</v>
      </c>
      <c r="R1721" s="4">
        <v>13.703404562501699</v>
      </c>
      <c r="S1721" s="4">
        <v>13.4413362336908</v>
      </c>
      <c r="T1721" s="4">
        <v>14.5174661132388</v>
      </c>
      <c r="U1721" s="4">
        <f t="shared" si="106"/>
        <v>13.887402303143768</v>
      </c>
      <c r="X1721" s="43" t="s">
        <v>496</v>
      </c>
      <c r="Y1721" s="4">
        <v>13.843444724172899</v>
      </c>
      <c r="Z1721" s="4">
        <v>14.195837195205799</v>
      </c>
      <c r="AA1721" s="4">
        <v>14.028321177703001</v>
      </c>
      <c r="AB1721" s="4">
        <f t="shared" si="107"/>
        <v>14.0225343656939</v>
      </c>
    </row>
    <row r="1722" spans="2:28" x14ac:dyDescent="0.2">
      <c r="B1722" s="4" t="s">
        <v>101</v>
      </c>
      <c r="C1722" s="4">
        <v>14.597</v>
      </c>
      <c r="D1722" s="4">
        <v>13.684100000000001</v>
      </c>
      <c r="E1722" s="4">
        <v>13.977499999999999</v>
      </c>
      <c r="F1722" s="4">
        <f t="shared" si="104"/>
        <v>14.0862</v>
      </c>
      <c r="I1722" s="4" t="s">
        <v>2585</v>
      </c>
      <c r="J1722" s="4">
        <v>13.916700000000001</v>
      </c>
      <c r="K1722" s="4">
        <v>14.224500000000001</v>
      </c>
      <c r="L1722" s="4">
        <v>14.2052</v>
      </c>
      <c r="M1722" s="4">
        <f t="shared" si="105"/>
        <v>14.115466666666668</v>
      </c>
      <c r="Q1722" s="43" t="s">
        <v>1303</v>
      </c>
      <c r="R1722" s="4">
        <v>13.9389614991507</v>
      </c>
      <c r="S1722" s="4">
        <v>13.906540058874601</v>
      </c>
      <c r="T1722" s="4">
        <v>13.8163186774902</v>
      </c>
      <c r="U1722" s="4">
        <f t="shared" si="106"/>
        <v>13.8872734118385</v>
      </c>
      <c r="X1722" s="43" t="s">
        <v>365</v>
      </c>
      <c r="Y1722" s="4">
        <v>13.9961961558207</v>
      </c>
      <c r="Z1722" s="4">
        <v>14.152897565556399</v>
      </c>
      <c r="AA1722" s="4">
        <v>13.916746519550101</v>
      </c>
      <c r="AB1722" s="4">
        <f t="shared" si="107"/>
        <v>14.021946746975734</v>
      </c>
    </row>
    <row r="1723" spans="2:28" x14ac:dyDescent="0.2">
      <c r="B1723" s="4" t="s">
        <v>2009</v>
      </c>
      <c r="C1723" s="4">
        <v>13.6845</v>
      </c>
      <c r="D1723" s="4">
        <v>14.004099999999999</v>
      </c>
      <c r="E1723" s="4">
        <v>14.5627</v>
      </c>
      <c r="F1723" s="4">
        <f t="shared" si="104"/>
        <v>14.083766666666667</v>
      </c>
      <c r="I1723" s="4" t="s">
        <v>2644</v>
      </c>
      <c r="J1723" s="4">
        <v>13.690200000000001</v>
      </c>
      <c r="K1723" s="4">
        <v>15.2033</v>
      </c>
      <c r="L1723" s="4">
        <v>13.4529</v>
      </c>
      <c r="M1723" s="4">
        <f t="shared" si="105"/>
        <v>14.115466666666668</v>
      </c>
      <c r="Q1723" s="43" t="s">
        <v>3537</v>
      </c>
      <c r="R1723" s="4">
        <v>14.1302020654536</v>
      </c>
      <c r="S1723" s="4">
        <v>13.4904701208691</v>
      </c>
      <c r="T1723" s="4">
        <v>14.035933866729801</v>
      </c>
      <c r="U1723" s="4">
        <f t="shared" si="106"/>
        <v>13.8855353510175</v>
      </c>
      <c r="X1723" s="43" t="s">
        <v>306</v>
      </c>
      <c r="Y1723" s="4">
        <v>13.9988465369533</v>
      </c>
      <c r="Z1723" s="4">
        <v>14.001317653150901</v>
      </c>
      <c r="AA1723" s="4">
        <v>14.0637925412579</v>
      </c>
      <c r="AB1723" s="4">
        <f t="shared" si="107"/>
        <v>14.021318910454033</v>
      </c>
    </row>
    <row r="1724" spans="2:28" x14ac:dyDescent="0.2">
      <c r="B1724" s="4" t="s">
        <v>4008</v>
      </c>
      <c r="C1724" s="4">
        <v>13.954800000000001</v>
      </c>
      <c r="D1724" s="4">
        <v>14.1884</v>
      </c>
      <c r="E1724" s="4">
        <v>14.107799999999999</v>
      </c>
      <c r="F1724" s="4">
        <f t="shared" si="104"/>
        <v>14.083666666666666</v>
      </c>
      <c r="I1724" s="4" t="s">
        <v>1630</v>
      </c>
      <c r="J1724" s="4">
        <v>13.8446</v>
      </c>
      <c r="K1724" s="4">
        <v>14.3171</v>
      </c>
      <c r="L1724" s="4">
        <v>14.1837</v>
      </c>
      <c r="M1724" s="4">
        <f t="shared" si="105"/>
        <v>14.115133333333333</v>
      </c>
      <c r="Q1724" s="43" t="s">
        <v>3517</v>
      </c>
      <c r="R1724" s="4">
        <v>13.933236887469</v>
      </c>
      <c r="S1724" s="4">
        <v>14.047293288522599</v>
      </c>
      <c r="T1724" s="4">
        <v>13.673458298697501</v>
      </c>
      <c r="U1724" s="4">
        <f t="shared" si="106"/>
        <v>13.884662824896367</v>
      </c>
      <c r="X1724" s="43" t="s">
        <v>862</v>
      </c>
      <c r="Y1724" s="4">
        <v>13.857352908267201</v>
      </c>
      <c r="Z1724" s="4">
        <v>14.179109834716501</v>
      </c>
      <c r="AA1724" s="4">
        <v>14.0232256033587</v>
      </c>
      <c r="AB1724" s="4">
        <f t="shared" si="107"/>
        <v>14.019896115447466</v>
      </c>
    </row>
    <row r="1725" spans="2:28" x14ac:dyDescent="0.2">
      <c r="B1725" s="4" t="s">
        <v>1685</v>
      </c>
      <c r="C1725" s="4">
        <v>14.2021</v>
      </c>
      <c r="D1725" s="4">
        <v>14.095000000000001</v>
      </c>
      <c r="E1725" s="4">
        <v>13.946</v>
      </c>
      <c r="F1725" s="4">
        <f t="shared" si="104"/>
        <v>14.081033333333332</v>
      </c>
      <c r="I1725" s="4" t="s">
        <v>288</v>
      </c>
      <c r="J1725" s="4">
        <v>14.218299999999999</v>
      </c>
      <c r="K1725" s="4">
        <v>14.012600000000001</v>
      </c>
      <c r="L1725" s="4">
        <v>14.1143</v>
      </c>
      <c r="M1725" s="4">
        <f t="shared" si="105"/>
        <v>14.115066666666666</v>
      </c>
      <c r="Q1725" s="43" t="s">
        <v>4312</v>
      </c>
      <c r="R1725" s="4">
        <v>13.7317007150242</v>
      </c>
      <c r="S1725" s="4">
        <v>14.0018279095137</v>
      </c>
      <c r="T1725" s="4">
        <v>13.9175783213815</v>
      </c>
      <c r="U1725" s="4">
        <f t="shared" si="106"/>
        <v>13.883702315306467</v>
      </c>
      <c r="X1725" s="43" t="s">
        <v>192</v>
      </c>
      <c r="Y1725" s="4">
        <v>14.0497960809235</v>
      </c>
      <c r="Z1725" s="4">
        <v>14.089080536710499</v>
      </c>
      <c r="AA1725" s="4">
        <v>13.9200820859639</v>
      </c>
      <c r="AB1725" s="4">
        <f t="shared" si="107"/>
        <v>14.019652901199299</v>
      </c>
    </row>
    <row r="1726" spans="2:28" x14ac:dyDescent="0.2">
      <c r="B1726" s="4" t="s">
        <v>452</v>
      </c>
      <c r="C1726" s="4">
        <v>14.063000000000001</v>
      </c>
      <c r="D1726" s="4">
        <v>13.782</v>
      </c>
      <c r="E1726" s="4">
        <v>14.3926</v>
      </c>
      <c r="F1726" s="4">
        <f t="shared" si="104"/>
        <v>14.0792</v>
      </c>
      <c r="I1726" s="4" t="s">
        <v>3897</v>
      </c>
      <c r="J1726" s="4">
        <v>14.2881</v>
      </c>
      <c r="K1726" s="4">
        <v>13.576499999999999</v>
      </c>
      <c r="L1726" s="4">
        <v>14.476000000000001</v>
      </c>
      <c r="M1726" s="4">
        <f t="shared" si="105"/>
        <v>14.113533333333335</v>
      </c>
      <c r="Q1726" s="43" t="s">
        <v>3177</v>
      </c>
      <c r="R1726" s="4">
        <v>14.0622374542282</v>
      </c>
      <c r="S1726" s="4">
        <v>13.7902680131349</v>
      </c>
      <c r="T1726" s="4">
        <v>13.788188218276099</v>
      </c>
      <c r="U1726" s="4">
        <f t="shared" si="106"/>
        <v>13.8802312285464</v>
      </c>
      <c r="X1726" s="43" t="s">
        <v>2452</v>
      </c>
      <c r="Y1726" s="4">
        <v>13.957307933333601</v>
      </c>
      <c r="Z1726" s="4">
        <v>14.1096962128422</v>
      </c>
      <c r="AA1726" s="4">
        <v>13.9868362085329</v>
      </c>
      <c r="AB1726" s="4">
        <f t="shared" si="107"/>
        <v>14.017946784902898</v>
      </c>
    </row>
    <row r="1727" spans="2:28" x14ac:dyDescent="0.2">
      <c r="B1727" s="4" t="s">
        <v>3867</v>
      </c>
      <c r="C1727" s="4">
        <v>14.285399999999999</v>
      </c>
      <c r="D1727" s="4">
        <v>14.0915</v>
      </c>
      <c r="E1727" s="4">
        <v>13.8606</v>
      </c>
      <c r="F1727" s="4">
        <f t="shared" si="104"/>
        <v>14.079166666666666</v>
      </c>
      <c r="I1727" s="4" t="s">
        <v>124</v>
      </c>
      <c r="J1727" s="4">
        <v>14.2834</v>
      </c>
      <c r="K1727" s="4">
        <v>13.9977</v>
      </c>
      <c r="L1727" s="4">
        <v>14.059100000000001</v>
      </c>
      <c r="M1727" s="4">
        <f t="shared" si="105"/>
        <v>14.1134</v>
      </c>
      <c r="Q1727" s="43" t="s">
        <v>555</v>
      </c>
      <c r="R1727" s="4">
        <v>13.7723762171914</v>
      </c>
      <c r="S1727" s="4">
        <v>13.963219199393601</v>
      </c>
      <c r="T1727" s="4">
        <v>13.8993155784968</v>
      </c>
      <c r="U1727" s="4">
        <f t="shared" si="106"/>
        <v>13.878303665027266</v>
      </c>
      <c r="X1727" s="43" t="s">
        <v>971</v>
      </c>
      <c r="Y1727" s="4">
        <v>13.6983661979041</v>
      </c>
      <c r="Z1727" s="4">
        <v>14.954645060742401</v>
      </c>
      <c r="AA1727" s="4">
        <v>13.398947987723799</v>
      </c>
      <c r="AB1727" s="4">
        <f t="shared" si="107"/>
        <v>14.017319748790101</v>
      </c>
    </row>
    <row r="1728" spans="2:28" x14ac:dyDescent="0.2">
      <c r="B1728" s="4" t="s">
        <v>1361</v>
      </c>
      <c r="C1728" s="4">
        <v>14.061400000000001</v>
      </c>
      <c r="D1728" s="4">
        <v>13.950699999999999</v>
      </c>
      <c r="E1728" s="4">
        <v>14.2204</v>
      </c>
      <c r="F1728" s="4">
        <f t="shared" si="104"/>
        <v>14.077500000000001</v>
      </c>
      <c r="I1728" s="4" t="s">
        <v>2575</v>
      </c>
      <c r="J1728" s="4">
        <v>14.564</v>
      </c>
      <c r="K1728" s="4">
        <v>13.348699999999999</v>
      </c>
      <c r="L1728" s="4">
        <v>14.427</v>
      </c>
      <c r="M1728" s="4">
        <f t="shared" si="105"/>
        <v>14.113233333333334</v>
      </c>
      <c r="Q1728" s="43" t="s">
        <v>3263</v>
      </c>
      <c r="R1728" s="4">
        <v>13.6725722581734</v>
      </c>
      <c r="S1728" s="4">
        <v>13.9239177193866</v>
      </c>
      <c r="T1728" s="4">
        <v>14.0370127686384</v>
      </c>
      <c r="U1728" s="4">
        <f t="shared" si="106"/>
        <v>13.877834248732798</v>
      </c>
      <c r="X1728" s="43" t="s">
        <v>1033</v>
      </c>
      <c r="Y1728" s="4">
        <v>13.788981413062499</v>
      </c>
      <c r="Z1728" s="4">
        <v>13.8972337793207</v>
      </c>
      <c r="AA1728" s="4">
        <v>14.3636640795338</v>
      </c>
      <c r="AB1728" s="4">
        <f t="shared" si="107"/>
        <v>14.016626423972333</v>
      </c>
    </row>
    <row r="1729" spans="2:28" x14ac:dyDescent="0.2">
      <c r="B1729" s="4" t="s">
        <v>2558</v>
      </c>
      <c r="C1729" s="4">
        <v>14.2157</v>
      </c>
      <c r="D1729" s="4">
        <v>14.116400000000001</v>
      </c>
      <c r="E1729" s="4">
        <v>13.896699999999999</v>
      </c>
      <c r="F1729" s="4">
        <f t="shared" si="104"/>
        <v>14.076266666666667</v>
      </c>
      <c r="I1729" s="4" t="s">
        <v>3235</v>
      </c>
      <c r="J1729" s="4">
        <v>14.066800000000001</v>
      </c>
      <c r="K1729" s="4">
        <v>14.010199999999999</v>
      </c>
      <c r="L1729" s="4">
        <v>14.2547</v>
      </c>
      <c r="M1729" s="4">
        <f t="shared" si="105"/>
        <v>14.110566666666665</v>
      </c>
      <c r="Q1729" s="43" t="s">
        <v>4098</v>
      </c>
      <c r="R1729" s="4">
        <v>14.1171298791542</v>
      </c>
      <c r="S1729" s="4">
        <v>13.8710142452044</v>
      </c>
      <c r="T1729" s="4">
        <v>13.6366727995707</v>
      </c>
      <c r="U1729" s="4">
        <f t="shared" si="106"/>
        <v>13.874938974643101</v>
      </c>
      <c r="X1729" s="43" t="s">
        <v>1549</v>
      </c>
      <c r="Y1729" s="4">
        <v>13.6855835087835</v>
      </c>
      <c r="Z1729" s="4">
        <v>14.281049069266601</v>
      </c>
      <c r="AA1729" s="4">
        <v>14.0822430185536</v>
      </c>
      <c r="AB1729" s="4">
        <f t="shared" si="107"/>
        <v>14.016291865534567</v>
      </c>
    </row>
    <row r="1730" spans="2:28" x14ac:dyDescent="0.2">
      <c r="B1730" s="4" t="s">
        <v>3279</v>
      </c>
      <c r="C1730" s="4">
        <v>14.2018</v>
      </c>
      <c r="D1730" s="4">
        <v>13.827500000000001</v>
      </c>
      <c r="E1730" s="4">
        <v>14.1877</v>
      </c>
      <c r="F1730" s="4">
        <f t="shared" ref="F1730:F1793" si="108">(C1730+D1730+E1730)/3</f>
        <v>14.072333333333333</v>
      </c>
      <c r="I1730" s="4" t="s">
        <v>3454</v>
      </c>
      <c r="J1730" s="4">
        <v>13.998200000000001</v>
      </c>
      <c r="K1730" s="4">
        <v>14.328900000000001</v>
      </c>
      <c r="L1730" s="4">
        <v>13.9963</v>
      </c>
      <c r="M1730" s="4">
        <f t="shared" ref="M1730:M1793" si="109">(J1730+K1730+L1730)/3</f>
        <v>14.107799999999999</v>
      </c>
      <c r="Q1730" s="43" t="s">
        <v>1016</v>
      </c>
      <c r="R1730" s="4">
        <v>14.341635890586</v>
      </c>
      <c r="S1730" s="4">
        <v>12.983547035228501</v>
      </c>
      <c r="T1730" s="4">
        <v>14.2991466817726</v>
      </c>
      <c r="U1730" s="4">
        <f t="shared" ref="U1730:U1793" si="110">(R1730+S1730+T1730)/3</f>
        <v>13.874776535862367</v>
      </c>
      <c r="X1730" s="43" t="s">
        <v>1527</v>
      </c>
      <c r="Y1730" s="4">
        <v>14.0600233593619</v>
      </c>
      <c r="Z1730" s="4">
        <v>14.829934285469999</v>
      </c>
      <c r="AA1730" s="4">
        <v>13.1588490311833</v>
      </c>
      <c r="AB1730" s="4">
        <f t="shared" ref="AB1730:AB1793" si="111">(Y1730+Z1730+AA1730)/3</f>
        <v>14.016268892005066</v>
      </c>
    </row>
    <row r="1731" spans="2:28" x14ac:dyDescent="0.2">
      <c r="B1731" s="4" t="s">
        <v>4077</v>
      </c>
      <c r="C1731" s="4">
        <v>14.356999999999999</v>
      </c>
      <c r="D1731" s="4">
        <v>13.9779</v>
      </c>
      <c r="E1731" s="4">
        <v>13.8729</v>
      </c>
      <c r="F1731" s="4">
        <f t="shared" si="108"/>
        <v>14.069266666666666</v>
      </c>
      <c r="I1731" s="4" t="s">
        <v>2999</v>
      </c>
      <c r="J1731" s="4">
        <v>13.9709</v>
      </c>
      <c r="K1731" s="4">
        <v>14.2607</v>
      </c>
      <c r="L1731" s="4">
        <v>14.088800000000001</v>
      </c>
      <c r="M1731" s="4">
        <f t="shared" si="109"/>
        <v>14.1068</v>
      </c>
      <c r="Q1731" s="43" t="s">
        <v>3641</v>
      </c>
      <c r="R1731" s="4">
        <v>13.9138581142932</v>
      </c>
      <c r="S1731" s="4">
        <v>13.920172230296901</v>
      </c>
      <c r="T1731" s="4">
        <v>13.7887196653288</v>
      </c>
      <c r="U1731" s="4">
        <f t="shared" si="110"/>
        <v>13.874250003306301</v>
      </c>
      <c r="X1731" s="43" t="s">
        <v>2860</v>
      </c>
      <c r="Y1731" s="4">
        <v>13.881260993382501</v>
      </c>
      <c r="Z1731" s="4">
        <v>14.1868895444118</v>
      </c>
      <c r="AA1731" s="4">
        <v>13.9806360889516</v>
      </c>
      <c r="AB1731" s="4">
        <f t="shared" si="111"/>
        <v>14.0162622089153</v>
      </c>
    </row>
    <row r="1732" spans="2:28" x14ac:dyDescent="0.2">
      <c r="B1732" s="4" t="s">
        <v>1265</v>
      </c>
      <c r="C1732" s="4">
        <v>13.9244</v>
      </c>
      <c r="D1732" s="4">
        <v>14.132</v>
      </c>
      <c r="E1732" s="4">
        <v>14.151300000000001</v>
      </c>
      <c r="F1732" s="4">
        <f t="shared" si="108"/>
        <v>14.069233333333335</v>
      </c>
      <c r="I1732" s="4" t="s">
        <v>3562</v>
      </c>
      <c r="J1732" s="4">
        <v>14.1754</v>
      </c>
      <c r="K1732" s="4">
        <v>13.960599999999999</v>
      </c>
      <c r="L1732" s="4">
        <v>14.1839</v>
      </c>
      <c r="M1732" s="4">
        <f t="shared" si="109"/>
        <v>14.106633333333333</v>
      </c>
      <c r="Q1732" s="43" t="s">
        <v>2369</v>
      </c>
      <c r="R1732" s="4">
        <v>13.6651437630156</v>
      </c>
      <c r="S1732" s="4">
        <v>13.905817159152701</v>
      </c>
      <c r="T1732" s="4">
        <v>14.0454087722031</v>
      </c>
      <c r="U1732" s="4">
        <f t="shared" si="110"/>
        <v>13.872123231457133</v>
      </c>
      <c r="X1732" s="43" t="s">
        <v>3540</v>
      </c>
      <c r="Y1732" s="4">
        <v>14.0292399536097</v>
      </c>
      <c r="Z1732" s="4">
        <v>14.0728821867181</v>
      </c>
      <c r="AA1732" s="4">
        <v>13.942965408585501</v>
      </c>
      <c r="AB1732" s="4">
        <f t="shared" si="111"/>
        <v>14.0150291829711</v>
      </c>
    </row>
    <row r="1733" spans="2:28" x14ac:dyDescent="0.2">
      <c r="B1733" s="4" t="s">
        <v>2162</v>
      </c>
      <c r="C1733" s="4">
        <v>14.170999999999999</v>
      </c>
      <c r="D1733" s="4">
        <v>14.083399999999999</v>
      </c>
      <c r="E1733" s="4">
        <v>13.9513</v>
      </c>
      <c r="F1733" s="4">
        <f t="shared" si="108"/>
        <v>14.068566666666664</v>
      </c>
      <c r="I1733" s="4" t="s">
        <v>174</v>
      </c>
      <c r="J1733" s="4">
        <v>13.6858</v>
      </c>
      <c r="K1733" s="4">
        <v>14.793799999999999</v>
      </c>
      <c r="L1733" s="4">
        <v>13.8391</v>
      </c>
      <c r="M1733" s="4">
        <f t="shared" si="109"/>
        <v>14.106233333333334</v>
      </c>
      <c r="Q1733" s="43" t="s">
        <v>2127</v>
      </c>
      <c r="R1733" s="4">
        <v>13.7552496019274</v>
      </c>
      <c r="S1733" s="4">
        <v>13.7900632801499</v>
      </c>
      <c r="T1733" s="4">
        <v>14.0682891668626</v>
      </c>
      <c r="U1733" s="4">
        <f t="shared" si="110"/>
        <v>13.871200682979966</v>
      </c>
      <c r="X1733" s="43" t="s">
        <v>3517</v>
      </c>
      <c r="Y1733" s="4">
        <v>13.927648075142301</v>
      </c>
      <c r="Z1733" s="4">
        <v>14.0420480750627</v>
      </c>
      <c r="AA1733" s="4">
        <v>14.075296179633099</v>
      </c>
      <c r="AB1733" s="4">
        <f t="shared" si="111"/>
        <v>14.014997443279368</v>
      </c>
    </row>
    <row r="1734" spans="2:28" x14ac:dyDescent="0.2">
      <c r="B1734" s="4" t="s">
        <v>443</v>
      </c>
      <c r="C1734" s="4">
        <v>14.098100000000001</v>
      </c>
      <c r="D1734" s="4">
        <v>13.898999999999999</v>
      </c>
      <c r="E1734" s="4">
        <v>14.2074</v>
      </c>
      <c r="F1734" s="4">
        <f t="shared" si="108"/>
        <v>14.068166666666665</v>
      </c>
      <c r="I1734" s="4" t="s">
        <v>318</v>
      </c>
      <c r="J1734" s="4">
        <v>14.216799999999999</v>
      </c>
      <c r="K1734" s="4">
        <v>14.174099999999999</v>
      </c>
      <c r="L1734" s="4">
        <v>13.927099999999999</v>
      </c>
      <c r="M1734" s="4">
        <f t="shared" si="109"/>
        <v>14.106</v>
      </c>
      <c r="Q1734" s="43" t="s">
        <v>3144</v>
      </c>
      <c r="R1734" s="4">
        <v>13.643237788176201</v>
      </c>
      <c r="S1734" s="4">
        <v>14.061517465895401</v>
      </c>
      <c r="T1734" s="4">
        <v>13.9081714175539</v>
      </c>
      <c r="U1734" s="4">
        <f t="shared" si="110"/>
        <v>13.870975557208501</v>
      </c>
      <c r="X1734" s="43" t="s">
        <v>251</v>
      </c>
      <c r="Y1734" s="4">
        <v>14.0868552544494</v>
      </c>
      <c r="Z1734" s="4">
        <v>13.8825722091229</v>
      </c>
      <c r="AA1734" s="4">
        <v>14.073868437082901</v>
      </c>
      <c r="AB1734" s="4">
        <f t="shared" si="111"/>
        <v>14.014431966885068</v>
      </c>
    </row>
    <row r="1735" spans="2:28" x14ac:dyDescent="0.2">
      <c r="B1735" s="4" t="s">
        <v>3959</v>
      </c>
      <c r="C1735" s="4">
        <v>14.2065</v>
      </c>
      <c r="D1735" s="4">
        <v>14.01</v>
      </c>
      <c r="E1735" s="4">
        <v>13.985900000000001</v>
      </c>
      <c r="F1735" s="4">
        <f t="shared" si="108"/>
        <v>14.067466666666666</v>
      </c>
      <c r="I1735" s="4" t="s">
        <v>1755</v>
      </c>
      <c r="J1735" s="4">
        <v>14.1701</v>
      </c>
      <c r="K1735" s="4">
        <v>14.240399999999999</v>
      </c>
      <c r="L1735" s="4">
        <v>13.906700000000001</v>
      </c>
      <c r="M1735" s="4">
        <f t="shared" si="109"/>
        <v>14.105733333333333</v>
      </c>
      <c r="Q1735" s="43" t="s">
        <v>4526</v>
      </c>
      <c r="R1735" s="4">
        <v>13.6038164039</v>
      </c>
      <c r="S1735" s="4">
        <v>14.0821169911744</v>
      </c>
      <c r="T1735" s="4">
        <v>13.9262370463947</v>
      </c>
      <c r="U1735" s="4">
        <f t="shared" si="110"/>
        <v>13.870723480489701</v>
      </c>
      <c r="X1735" s="43" t="s">
        <v>432</v>
      </c>
      <c r="Y1735" s="4">
        <v>13.982908345324899</v>
      </c>
      <c r="Z1735" s="4">
        <v>14.087357278418001</v>
      </c>
      <c r="AA1735" s="4">
        <v>13.9674242968384</v>
      </c>
      <c r="AB1735" s="4">
        <f t="shared" si="111"/>
        <v>14.012563306860434</v>
      </c>
    </row>
    <row r="1736" spans="2:28" x14ac:dyDescent="0.2">
      <c r="B1736" s="4" t="s">
        <v>2738</v>
      </c>
      <c r="C1736" s="4">
        <v>14.037800000000001</v>
      </c>
      <c r="D1736" s="4">
        <v>14.1839</v>
      </c>
      <c r="E1736" s="4">
        <v>13.9778</v>
      </c>
      <c r="F1736" s="4">
        <f t="shared" si="108"/>
        <v>14.0665</v>
      </c>
      <c r="I1736" s="4" t="s">
        <v>3954</v>
      </c>
      <c r="J1736" s="4">
        <v>14.010400000000001</v>
      </c>
      <c r="K1736" s="4">
        <v>14.0181</v>
      </c>
      <c r="L1736" s="4">
        <v>14.2742</v>
      </c>
      <c r="M1736" s="4">
        <f t="shared" si="109"/>
        <v>14.100900000000001</v>
      </c>
      <c r="Q1736" s="43" t="s">
        <v>2057</v>
      </c>
      <c r="R1736" s="4">
        <v>13.9978442465447</v>
      </c>
      <c r="S1736" s="4">
        <v>13.7946456726704</v>
      </c>
      <c r="T1736" s="4">
        <v>13.815597504737299</v>
      </c>
      <c r="U1736" s="4">
        <f t="shared" si="110"/>
        <v>13.869362474650799</v>
      </c>
      <c r="X1736" s="43" t="s">
        <v>2018</v>
      </c>
      <c r="Y1736" s="4">
        <v>14.0919325202313</v>
      </c>
      <c r="Z1736" s="4">
        <v>14.0022457927634</v>
      </c>
      <c r="AA1736" s="4">
        <v>13.939326969124201</v>
      </c>
      <c r="AB1736" s="4">
        <f t="shared" si="111"/>
        <v>14.011168427372967</v>
      </c>
    </row>
    <row r="1737" spans="2:28" x14ac:dyDescent="0.2">
      <c r="B1737" s="4" t="s">
        <v>257</v>
      </c>
      <c r="C1737" s="4">
        <v>13.9758</v>
      </c>
      <c r="D1737" s="4">
        <v>14.162000000000001</v>
      </c>
      <c r="E1737" s="4">
        <v>14.0586</v>
      </c>
      <c r="F1737" s="4">
        <f t="shared" si="108"/>
        <v>14.065466666666666</v>
      </c>
      <c r="I1737" s="4" t="s">
        <v>2995</v>
      </c>
      <c r="J1737" s="4">
        <v>14.1511</v>
      </c>
      <c r="K1737" s="4">
        <v>13.9185</v>
      </c>
      <c r="L1737" s="4">
        <v>14.2301</v>
      </c>
      <c r="M1737" s="4">
        <f t="shared" si="109"/>
        <v>14.0999</v>
      </c>
      <c r="Q1737" s="43" t="s">
        <v>2361</v>
      </c>
      <c r="R1737" s="4">
        <v>14.4653154190548</v>
      </c>
      <c r="S1737" s="4">
        <v>13.771417655524401</v>
      </c>
      <c r="T1737" s="4">
        <v>13.369763219734899</v>
      </c>
      <c r="U1737" s="4">
        <f t="shared" si="110"/>
        <v>13.868832098104699</v>
      </c>
      <c r="X1737" s="43" t="s">
        <v>1083</v>
      </c>
      <c r="Y1737" s="4">
        <v>13.9746555106949</v>
      </c>
      <c r="Z1737" s="4">
        <v>14.105424987784099</v>
      </c>
      <c r="AA1737" s="4">
        <v>13.9493534169145</v>
      </c>
      <c r="AB1737" s="4">
        <f t="shared" si="111"/>
        <v>14.009811305131166</v>
      </c>
    </row>
    <row r="1738" spans="2:28" x14ac:dyDescent="0.2">
      <c r="B1738" s="4" t="s">
        <v>3020</v>
      </c>
      <c r="C1738" s="4">
        <v>13.9964</v>
      </c>
      <c r="D1738" s="4">
        <v>13.9519</v>
      </c>
      <c r="E1738" s="4">
        <v>14.244199999999999</v>
      </c>
      <c r="F1738" s="4">
        <f t="shared" si="108"/>
        <v>14.064166666666665</v>
      </c>
      <c r="I1738" s="4" t="s">
        <v>3287</v>
      </c>
      <c r="J1738" s="4">
        <v>14.0082</v>
      </c>
      <c r="K1738" s="4">
        <v>14.7979</v>
      </c>
      <c r="L1738" s="4">
        <v>13.4899</v>
      </c>
      <c r="M1738" s="4">
        <f t="shared" si="109"/>
        <v>14.098666666666666</v>
      </c>
      <c r="Q1738" s="43" t="s">
        <v>3193</v>
      </c>
      <c r="R1738" s="4">
        <v>13.8706145452818</v>
      </c>
      <c r="S1738" s="4">
        <v>13.845616182018601</v>
      </c>
      <c r="T1738" s="4">
        <v>13.8809995269</v>
      </c>
      <c r="U1738" s="4">
        <f t="shared" si="110"/>
        <v>13.865743418066799</v>
      </c>
      <c r="X1738" s="43" t="s">
        <v>1538</v>
      </c>
      <c r="Y1738" s="4">
        <v>14.2395805264259</v>
      </c>
      <c r="Z1738" s="4">
        <v>14.2474897579764</v>
      </c>
      <c r="AA1738" s="4">
        <v>13.538267348320399</v>
      </c>
      <c r="AB1738" s="4">
        <f t="shared" si="111"/>
        <v>14.008445877574232</v>
      </c>
    </row>
    <row r="1739" spans="2:28" x14ac:dyDescent="0.2">
      <c r="B1739" s="4" t="s">
        <v>3964</v>
      </c>
      <c r="C1739" s="4">
        <v>14.2883</v>
      </c>
      <c r="D1739" s="4">
        <v>13.9536</v>
      </c>
      <c r="E1739" s="4">
        <v>13.949199999999999</v>
      </c>
      <c r="F1739" s="4">
        <f t="shared" si="108"/>
        <v>14.063699999999999</v>
      </c>
      <c r="I1739" s="4" t="s">
        <v>2832</v>
      </c>
      <c r="J1739" s="4">
        <v>14.136200000000001</v>
      </c>
      <c r="K1739" s="4">
        <v>13.5794</v>
      </c>
      <c r="L1739" s="4">
        <v>14.5785</v>
      </c>
      <c r="M1739" s="4">
        <f t="shared" si="109"/>
        <v>14.098033333333333</v>
      </c>
      <c r="Q1739" s="43" t="s">
        <v>1252</v>
      </c>
      <c r="R1739" s="4">
        <v>13.73759013111</v>
      </c>
      <c r="S1739" s="4">
        <v>13.81510332167</v>
      </c>
      <c r="T1739" s="4">
        <v>14.0320334094096</v>
      </c>
      <c r="U1739" s="4">
        <f t="shared" si="110"/>
        <v>13.861575620729866</v>
      </c>
      <c r="X1739" s="43" t="s">
        <v>3069</v>
      </c>
      <c r="Y1739" s="4">
        <v>13.839771427742299</v>
      </c>
      <c r="Z1739" s="4">
        <v>13.9897926445541</v>
      </c>
      <c r="AA1739" s="4">
        <v>14.1944738743203</v>
      </c>
      <c r="AB1739" s="4">
        <f t="shared" si="111"/>
        <v>14.008012648872233</v>
      </c>
    </row>
    <row r="1740" spans="2:28" x14ac:dyDescent="0.2">
      <c r="B1740" s="4" t="s">
        <v>3167</v>
      </c>
      <c r="C1740" s="4">
        <v>14.0959</v>
      </c>
      <c r="D1740" s="4">
        <v>13.9139</v>
      </c>
      <c r="E1740" s="4">
        <v>14.173299999999999</v>
      </c>
      <c r="F1740" s="4">
        <f t="shared" si="108"/>
        <v>14.061033333333333</v>
      </c>
      <c r="I1740" s="4" t="s">
        <v>2269</v>
      </c>
      <c r="J1740" s="4">
        <v>14.297800000000001</v>
      </c>
      <c r="K1740" s="4">
        <v>13.922599999999999</v>
      </c>
      <c r="L1740" s="4">
        <v>14.071899999999999</v>
      </c>
      <c r="M1740" s="4">
        <f t="shared" si="109"/>
        <v>14.097433333333333</v>
      </c>
      <c r="Q1740" s="43" t="s">
        <v>4412</v>
      </c>
      <c r="R1740" s="4">
        <v>13.078023440731499</v>
      </c>
      <c r="S1740" s="4">
        <v>13.5851522685549</v>
      </c>
      <c r="T1740" s="4">
        <v>14.920439881368599</v>
      </c>
      <c r="U1740" s="4">
        <f t="shared" si="110"/>
        <v>13.861205196885001</v>
      </c>
      <c r="X1740" s="43" t="s">
        <v>953</v>
      </c>
      <c r="Y1740" s="4">
        <v>14.309388812274699</v>
      </c>
      <c r="Z1740" s="4">
        <v>13.922002523814699</v>
      </c>
      <c r="AA1740" s="4">
        <v>13.7853131792911</v>
      </c>
      <c r="AB1740" s="4">
        <f t="shared" si="111"/>
        <v>14.005568171793499</v>
      </c>
    </row>
    <row r="1741" spans="2:28" x14ac:dyDescent="0.2">
      <c r="B1741" s="4" t="s">
        <v>3478</v>
      </c>
      <c r="C1741" s="4">
        <v>14.2418</v>
      </c>
      <c r="D1741" s="4">
        <v>13.582800000000001</v>
      </c>
      <c r="E1741" s="4">
        <v>14.357900000000001</v>
      </c>
      <c r="F1741" s="4">
        <f t="shared" si="108"/>
        <v>14.060833333333335</v>
      </c>
      <c r="I1741" s="4" t="s">
        <v>1531</v>
      </c>
      <c r="J1741" s="4">
        <v>14.1234</v>
      </c>
      <c r="K1741" s="4">
        <v>14.035299999999999</v>
      </c>
      <c r="L1741" s="4">
        <v>14.131399999999999</v>
      </c>
      <c r="M1741" s="4">
        <f t="shared" si="109"/>
        <v>14.096699999999998</v>
      </c>
      <c r="Q1741" s="43" t="s">
        <v>2266</v>
      </c>
      <c r="R1741" s="4">
        <v>13.658639206809299</v>
      </c>
      <c r="S1741" s="4">
        <v>13.8672060001481</v>
      </c>
      <c r="T1741" s="4">
        <v>14.056971828875501</v>
      </c>
      <c r="U1741" s="4">
        <f t="shared" si="110"/>
        <v>13.860939011944302</v>
      </c>
      <c r="X1741" s="43" t="s">
        <v>117</v>
      </c>
      <c r="Y1741" s="4">
        <v>13.874123755164501</v>
      </c>
      <c r="Z1741" s="4">
        <v>14.0720400879668</v>
      </c>
      <c r="AA1741" s="4">
        <v>14.066957171341199</v>
      </c>
      <c r="AB1741" s="4">
        <f t="shared" si="111"/>
        <v>14.004373671490834</v>
      </c>
    </row>
    <row r="1742" spans="2:28" x14ac:dyDescent="0.2">
      <c r="B1742" s="4" t="s">
        <v>1252</v>
      </c>
      <c r="C1742" s="4">
        <v>13.6267</v>
      </c>
      <c r="D1742" s="4">
        <v>14.0404</v>
      </c>
      <c r="E1742" s="4">
        <v>14.5105</v>
      </c>
      <c r="F1742" s="4">
        <f t="shared" si="108"/>
        <v>14.059199999999999</v>
      </c>
      <c r="I1742" s="4" t="s">
        <v>2437</v>
      </c>
      <c r="J1742" s="4">
        <v>14.5618</v>
      </c>
      <c r="K1742" s="4">
        <v>14.0357</v>
      </c>
      <c r="L1742" s="4">
        <v>13.688700000000001</v>
      </c>
      <c r="M1742" s="4">
        <f t="shared" si="109"/>
        <v>14.0954</v>
      </c>
      <c r="Q1742" s="43" t="s">
        <v>3441</v>
      </c>
      <c r="R1742" s="4">
        <v>13.9573766882718</v>
      </c>
      <c r="S1742" s="4">
        <v>13.9173966343544</v>
      </c>
      <c r="T1742" s="4">
        <v>13.7077679077554</v>
      </c>
      <c r="U1742" s="4">
        <f t="shared" si="110"/>
        <v>13.860847076793867</v>
      </c>
      <c r="X1742" s="43" t="s">
        <v>744</v>
      </c>
      <c r="Y1742" s="4">
        <v>13.941630592235899</v>
      </c>
      <c r="Z1742" s="4">
        <v>14.0611811757291</v>
      </c>
      <c r="AA1742" s="4">
        <v>14.000727270448101</v>
      </c>
      <c r="AB1742" s="4">
        <f t="shared" si="111"/>
        <v>14.001179679471035</v>
      </c>
    </row>
    <row r="1743" spans="2:28" x14ac:dyDescent="0.2">
      <c r="B1743" s="4" t="s">
        <v>143</v>
      </c>
      <c r="C1743" s="4">
        <v>14.533200000000001</v>
      </c>
      <c r="D1743" s="4">
        <v>14.097200000000001</v>
      </c>
      <c r="E1743" s="4">
        <v>13.539300000000001</v>
      </c>
      <c r="F1743" s="4">
        <f t="shared" si="108"/>
        <v>14.056566666666669</v>
      </c>
      <c r="I1743" s="4" t="s">
        <v>402</v>
      </c>
      <c r="J1743" s="4">
        <v>14.076499999999999</v>
      </c>
      <c r="K1743" s="4">
        <v>14.026199999999999</v>
      </c>
      <c r="L1743" s="4">
        <v>14.168799999999999</v>
      </c>
      <c r="M1743" s="4">
        <f t="shared" si="109"/>
        <v>14.090499999999999</v>
      </c>
      <c r="Q1743" s="43" t="s">
        <v>2423</v>
      </c>
      <c r="R1743" s="4">
        <v>14.2744693699181</v>
      </c>
      <c r="S1743" s="4">
        <v>13.786636501896201</v>
      </c>
      <c r="T1743" s="4">
        <v>13.521289394441499</v>
      </c>
      <c r="U1743" s="4">
        <f t="shared" si="110"/>
        <v>13.860798422085267</v>
      </c>
      <c r="X1743" s="43" t="s">
        <v>2814</v>
      </c>
      <c r="Y1743" s="4">
        <v>13.801935096792301</v>
      </c>
      <c r="Z1743" s="4">
        <v>13.9694851341887</v>
      </c>
      <c r="AA1743" s="4">
        <v>14.2306838442244</v>
      </c>
      <c r="AB1743" s="4">
        <f t="shared" si="111"/>
        <v>14.0007013584018</v>
      </c>
    </row>
    <row r="1744" spans="2:28" x14ac:dyDescent="0.2">
      <c r="B1744" s="4" t="s">
        <v>97</v>
      </c>
      <c r="C1744" s="4">
        <v>14.7201</v>
      </c>
      <c r="D1744" s="4">
        <v>13.7852</v>
      </c>
      <c r="E1744" s="4">
        <v>13.664099999999999</v>
      </c>
      <c r="F1744" s="4">
        <f t="shared" si="108"/>
        <v>14.056466666666665</v>
      </c>
      <c r="I1744" s="4" t="s">
        <v>1042</v>
      </c>
      <c r="J1744" s="4">
        <v>13.927</v>
      </c>
      <c r="K1744" s="4">
        <v>14.2746</v>
      </c>
      <c r="L1744" s="4">
        <v>14.0588</v>
      </c>
      <c r="M1744" s="4">
        <f t="shared" si="109"/>
        <v>14.086799999999998</v>
      </c>
      <c r="Q1744" s="43" t="s">
        <v>2674</v>
      </c>
      <c r="R1744" s="4">
        <v>13.773743596734001</v>
      </c>
      <c r="S1744" s="4">
        <v>14.141708239780099</v>
      </c>
      <c r="T1744" s="4">
        <v>13.6669154990685</v>
      </c>
      <c r="U1744" s="4">
        <f t="shared" si="110"/>
        <v>13.860789111860868</v>
      </c>
      <c r="X1744" s="43" t="s">
        <v>3706</v>
      </c>
      <c r="Y1744" s="4">
        <v>14.2365742850392</v>
      </c>
      <c r="Z1744" s="4">
        <v>13.5529773405905</v>
      </c>
      <c r="AA1744" s="4">
        <v>14.204422536380299</v>
      </c>
      <c r="AB1744" s="4">
        <f t="shared" si="111"/>
        <v>13.997991387336667</v>
      </c>
    </row>
    <row r="1745" spans="2:28" x14ac:dyDescent="0.2">
      <c r="B1745" s="4" t="s">
        <v>2301</v>
      </c>
      <c r="C1745" s="4">
        <v>13.9269</v>
      </c>
      <c r="D1745" s="4">
        <v>14.0549</v>
      </c>
      <c r="E1745" s="4">
        <v>14.1839</v>
      </c>
      <c r="F1745" s="4">
        <f t="shared" si="108"/>
        <v>14.055233333333334</v>
      </c>
      <c r="I1745" s="4" t="s">
        <v>3428</v>
      </c>
      <c r="J1745" s="4">
        <v>12.9833</v>
      </c>
      <c r="K1745" s="4">
        <v>16.041</v>
      </c>
      <c r="L1745" s="4">
        <v>13.2338</v>
      </c>
      <c r="M1745" s="4">
        <f t="shared" si="109"/>
        <v>14.086033333333333</v>
      </c>
      <c r="Q1745" s="43" t="s">
        <v>1858</v>
      </c>
      <c r="R1745" s="4">
        <v>13.520567157533</v>
      </c>
      <c r="S1745" s="4">
        <v>14.014191184723201</v>
      </c>
      <c r="T1745" s="4">
        <v>14.0472898898126</v>
      </c>
      <c r="U1745" s="4">
        <f t="shared" si="110"/>
        <v>13.860682744022933</v>
      </c>
      <c r="X1745" s="43" t="s">
        <v>673</v>
      </c>
      <c r="Y1745" s="4">
        <v>14.165237217463099</v>
      </c>
      <c r="Z1745" s="4">
        <v>14.592027326360901</v>
      </c>
      <c r="AA1745" s="4">
        <v>13.2358551643977</v>
      </c>
      <c r="AB1745" s="4">
        <f t="shared" si="111"/>
        <v>13.997706569407233</v>
      </c>
    </row>
    <row r="1746" spans="2:28" x14ac:dyDescent="0.2">
      <c r="B1746" s="4" t="s">
        <v>635</v>
      </c>
      <c r="C1746" s="4">
        <v>14.4686</v>
      </c>
      <c r="D1746" s="4">
        <v>13.837899999999999</v>
      </c>
      <c r="E1746" s="4">
        <v>13.8583</v>
      </c>
      <c r="F1746" s="4">
        <f t="shared" si="108"/>
        <v>14.054933333333333</v>
      </c>
      <c r="I1746" s="4" t="s">
        <v>3276</v>
      </c>
      <c r="J1746" s="4">
        <v>14.01</v>
      </c>
      <c r="K1746" s="4">
        <v>14.1355</v>
      </c>
      <c r="L1746" s="4">
        <v>14.112399999999999</v>
      </c>
      <c r="M1746" s="4">
        <f t="shared" si="109"/>
        <v>14.085966666666666</v>
      </c>
      <c r="Q1746" s="43" t="s">
        <v>1500</v>
      </c>
      <c r="R1746" s="4">
        <v>13.879490814790399</v>
      </c>
      <c r="S1746" s="4">
        <v>13.836041920203</v>
      </c>
      <c r="T1746" s="4">
        <v>13.8642924344459</v>
      </c>
      <c r="U1746" s="4">
        <f t="shared" si="110"/>
        <v>13.859941723146434</v>
      </c>
      <c r="X1746" s="43" t="s">
        <v>608</v>
      </c>
      <c r="Y1746" s="4">
        <v>14.045511679087401</v>
      </c>
      <c r="Z1746" s="4">
        <v>14.161048604512001</v>
      </c>
      <c r="AA1746" s="4">
        <v>13.7853197512518</v>
      </c>
      <c r="AB1746" s="4">
        <f t="shared" si="111"/>
        <v>13.9972933449504</v>
      </c>
    </row>
    <row r="1747" spans="2:28" x14ac:dyDescent="0.2">
      <c r="B1747" s="4" t="s">
        <v>3765</v>
      </c>
      <c r="C1747" s="4">
        <v>14.5122</v>
      </c>
      <c r="D1747" s="4">
        <v>13.667999999999999</v>
      </c>
      <c r="E1747" s="4">
        <v>13.984299999999999</v>
      </c>
      <c r="F1747" s="4">
        <f t="shared" si="108"/>
        <v>14.054833333333333</v>
      </c>
      <c r="I1747" s="4" t="s">
        <v>391</v>
      </c>
      <c r="J1747" s="4">
        <v>13.9499</v>
      </c>
      <c r="K1747" s="4">
        <v>14.1843</v>
      </c>
      <c r="L1747" s="4">
        <v>14.122199999999999</v>
      </c>
      <c r="M1747" s="4">
        <f t="shared" si="109"/>
        <v>14.085466666666667</v>
      </c>
      <c r="Q1747" s="43" t="s">
        <v>2556</v>
      </c>
      <c r="R1747" s="4">
        <v>13.9111817054736</v>
      </c>
      <c r="S1747" s="4">
        <v>13.871397885824599</v>
      </c>
      <c r="T1747" s="4">
        <v>13.7954006226151</v>
      </c>
      <c r="U1747" s="4">
        <f t="shared" si="110"/>
        <v>13.8593267379711</v>
      </c>
      <c r="X1747" s="43" t="s">
        <v>4526</v>
      </c>
      <c r="Y1747" s="4">
        <v>14.020436452350101</v>
      </c>
      <c r="Z1747" s="4">
        <v>13.961173156260701</v>
      </c>
      <c r="AA1747" s="4">
        <v>14.006159722150599</v>
      </c>
      <c r="AB1747" s="4">
        <f t="shared" si="111"/>
        <v>13.9959231102538</v>
      </c>
    </row>
    <row r="1748" spans="2:28" x14ac:dyDescent="0.2">
      <c r="B1748" s="4" t="s">
        <v>4081</v>
      </c>
      <c r="C1748" s="4">
        <v>13.797599999999999</v>
      </c>
      <c r="D1748" s="4">
        <v>13.918100000000001</v>
      </c>
      <c r="E1748" s="4">
        <v>14.4465</v>
      </c>
      <c r="F1748" s="4">
        <f t="shared" si="108"/>
        <v>14.054066666666666</v>
      </c>
      <c r="I1748" s="4" t="s">
        <v>2401</v>
      </c>
      <c r="J1748" s="4">
        <v>14.344900000000001</v>
      </c>
      <c r="K1748" s="4">
        <v>13.5783</v>
      </c>
      <c r="L1748" s="4">
        <v>14.3264</v>
      </c>
      <c r="M1748" s="4">
        <f t="shared" si="109"/>
        <v>14.0832</v>
      </c>
      <c r="Q1748" s="43" t="s">
        <v>204</v>
      </c>
      <c r="R1748" s="4">
        <v>13.630854157448301</v>
      </c>
      <c r="S1748" s="4">
        <v>13.7047580253801</v>
      </c>
      <c r="T1748" s="4">
        <v>14.241239820166401</v>
      </c>
      <c r="U1748" s="4">
        <f t="shared" si="110"/>
        <v>13.858950667664933</v>
      </c>
      <c r="X1748" s="43" t="s">
        <v>2072</v>
      </c>
      <c r="Y1748" s="4">
        <v>13.9604831287265</v>
      </c>
      <c r="Z1748" s="4">
        <v>14.042666297043001</v>
      </c>
      <c r="AA1748" s="4">
        <v>13.980898903810299</v>
      </c>
      <c r="AB1748" s="4">
        <f t="shared" si="111"/>
        <v>13.9946827765266</v>
      </c>
    </row>
    <row r="1749" spans="2:28" x14ac:dyDescent="0.2">
      <c r="B1749" s="4" t="s">
        <v>584</v>
      </c>
      <c r="C1749" s="4">
        <v>14.0113</v>
      </c>
      <c r="D1749" s="4">
        <v>13.768000000000001</v>
      </c>
      <c r="E1749" s="4">
        <v>14.382400000000001</v>
      </c>
      <c r="F1749" s="4">
        <f t="shared" si="108"/>
        <v>14.053899999999999</v>
      </c>
      <c r="I1749" s="4" t="s">
        <v>788</v>
      </c>
      <c r="J1749" s="4">
        <v>14.1843</v>
      </c>
      <c r="K1749" s="4">
        <v>13.994999999999999</v>
      </c>
      <c r="L1749" s="4">
        <v>14.069900000000001</v>
      </c>
      <c r="M1749" s="4">
        <f t="shared" si="109"/>
        <v>14.083066666666667</v>
      </c>
      <c r="Q1749" s="43" t="s">
        <v>2262</v>
      </c>
      <c r="R1749" s="4">
        <v>13.7359162256712</v>
      </c>
      <c r="S1749" s="4">
        <v>13.920691186415</v>
      </c>
      <c r="T1749" s="4">
        <v>13.916581241645</v>
      </c>
      <c r="U1749" s="4">
        <f t="shared" si="110"/>
        <v>13.857729551243734</v>
      </c>
      <c r="X1749" s="43" t="s">
        <v>3966</v>
      </c>
      <c r="Y1749" s="4">
        <v>13.8950022004926</v>
      </c>
      <c r="Z1749" s="4">
        <v>14.099755775113699</v>
      </c>
      <c r="AA1749" s="4">
        <v>13.986387235660199</v>
      </c>
      <c r="AB1749" s="4">
        <f t="shared" si="111"/>
        <v>13.993715070422164</v>
      </c>
    </row>
    <row r="1750" spans="2:28" x14ac:dyDescent="0.2">
      <c r="B1750" s="4" t="s">
        <v>2455</v>
      </c>
      <c r="C1750" s="4">
        <v>14.356999999999999</v>
      </c>
      <c r="D1750" s="4">
        <v>14.396100000000001</v>
      </c>
      <c r="E1750" s="4">
        <v>13.407999999999999</v>
      </c>
      <c r="F1750" s="4">
        <f t="shared" si="108"/>
        <v>14.053699999999999</v>
      </c>
      <c r="I1750" s="4" t="s">
        <v>44</v>
      </c>
      <c r="J1750" s="4">
        <v>14.0481</v>
      </c>
      <c r="K1750" s="4">
        <v>14.152900000000001</v>
      </c>
      <c r="L1750" s="4">
        <v>14.0428</v>
      </c>
      <c r="M1750" s="4">
        <f t="shared" si="109"/>
        <v>14.081266666666666</v>
      </c>
      <c r="Q1750" s="43" t="s">
        <v>2487</v>
      </c>
      <c r="R1750" s="4">
        <v>14.0695951454164</v>
      </c>
      <c r="S1750" s="4">
        <v>13.6119742861493</v>
      </c>
      <c r="T1750" s="4">
        <v>13.891306174081</v>
      </c>
      <c r="U1750" s="4">
        <f t="shared" si="110"/>
        <v>13.857625201882234</v>
      </c>
      <c r="X1750" s="43" t="s">
        <v>3276</v>
      </c>
      <c r="Y1750" s="4">
        <v>13.915686754262101</v>
      </c>
      <c r="Z1750" s="4">
        <v>14.248558312668299</v>
      </c>
      <c r="AA1750" s="4">
        <v>13.8159509861069</v>
      </c>
      <c r="AB1750" s="4">
        <f t="shared" si="111"/>
        <v>13.993398684345765</v>
      </c>
    </row>
    <row r="1751" spans="2:28" x14ac:dyDescent="0.2">
      <c r="B1751" s="4" t="s">
        <v>2996</v>
      </c>
      <c r="C1751" s="4">
        <v>13.783099999999999</v>
      </c>
      <c r="D1751" s="4">
        <v>14.043699999999999</v>
      </c>
      <c r="E1751" s="4">
        <v>14.3338</v>
      </c>
      <c r="F1751" s="4">
        <f t="shared" si="108"/>
        <v>14.053533333333334</v>
      </c>
      <c r="I1751" s="4" t="s">
        <v>2009</v>
      </c>
      <c r="J1751" s="4">
        <v>14.133800000000001</v>
      </c>
      <c r="K1751" s="4">
        <v>14.821199999999999</v>
      </c>
      <c r="L1751" s="4">
        <v>13.288500000000001</v>
      </c>
      <c r="M1751" s="4">
        <f t="shared" si="109"/>
        <v>14.081166666666666</v>
      </c>
      <c r="Q1751" s="43" t="s">
        <v>2236</v>
      </c>
      <c r="R1751" s="4">
        <v>13.730743373303101</v>
      </c>
      <c r="S1751" s="4">
        <v>13.8812186027641</v>
      </c>
      <c r="T1751" s="4">
        <v>13.960592270716299</v>
      </c>
      <c r="U1751" s="4">
        <f t="shared" si="110"/>
        <v>13.857518082261166</v>
      </c>
      <c r="X1751" s="43" t="s">
        <v>399</v>
      </c>
      <c r="Y1751" s="4">
        <v>13.8909778785588</v>
      </c>
      <c r="Z1751" s="4">
        <v>13.909366502323399</v>
      </c>
      <c r="AA1751" s="4">
        <v>14.1796552364027</v>
      </c>
      <c r="AB1751" s="4">
        <f t="shared" si="111"/>
        <v>13.993333205761635</v>
      </c>
    </row>
    <row r="1752" spans="2:28" x14ac:dyDescent="0.2">
      <c r="B1752" s="4" t="s">
        <v>2323</v>
      </c>
      <c r="C1752" s="4">
        <v>14.2247</v>
      </c>
      <c r="D1752" s="4">
        <v>14.1938</v>
      </c>
      <c r="E1752" s="4">
        <v>13.736499999999999</v>
      </c>
      <c r="F1752" s="4">
        <f t="shared" si="108"/>
        <v>14.051666666666668</v>
      </c>
      <c r="I1752" s="4" t="s">
        <v>2541</v>
      </c>
      <c r="J1752" s="4">
        <v>14.1084</v>
      </c>
      <c r="K1752" s="4">
        <v>13.2</v>
      </c>
      <c r="L1752" s="4">
        <v>14.9338</v>
      </c>
      <c r="M1752" s="4">
        <f t="shared" si="109"/>
        <v>14.080733333333333</v>
      </c>
      <c r="Q1752" s="43" t="s">
        <v>3819</v>
      </c>
      <c r="R1752" s="4">
        <v>14.0211997274127</v>
      </c>
      <c r="S1752" s="4">
        <v>13.736153366070999</v>
      </c>
      <c r="T1752" s="4">
        <v>13.8136891340143</v>
      </c>
      <c r="U1752" s="4">
        <f t="shared" si="110"/>
        <v>13.857014075832666</v>
      </c>
      <c r="X1752" s="43" t="s">
        <v>3078</v>
      </c>
      <c r="Y1752" s="4">
        <v>13.999724389880001</v>
      </c>
      <c r="Z1752" s="4">
        <v>14.139869371965</v>
      </c>
      <c r="AA1752" s="4">
        <v>13.8401174837459</v>
      </c>
      <c r="AB1752" s="4">
        <f t="shared" si="111"/>
        <v>13.993237081863633</v>
      </c>
    </row>
    <row r="1753" spans="2:28" x14ac:dyDescent="0.2">
      <c r="B1753" s="4" t="s">
        <v>875</v>
      </c>
      <c r="C1753" s="4">
        <v>14.2463</v>
      </c>
      <c r="D1753" s="4">
        <v>14.1571</v>
      </c>
      <c r="E1753" s="4">
        <v>13.751099999999999</v>
      </c>
      <c r="F1753" s="4">
        <f t="shared" si="108"/>
        <v>14.051499999999999</v>
      </c>
      <c r="I1753" s="4" t="s">
        <v>2182</v>
      </c>
      <c r="J1753" s="4">
        <v>14.297499999999999</v>
      </c>
      <c r="K1753" s="4">
        <v>13.524100000000001</v>
      </c>
      <c r="L1753" s="4">
        <v>14.42</v>
      </c>
      <c r="M1753" s="4">
        <f t="shared" si="109"/>
        <v>14.080533333333333</v>
      </c>
      <c r="Q1753" s="43" t="s">
        <v>373</v>
      </c>
      <c r="R1753" s="4">
        <v>13.796428103222</v>
      </c>
      <c r="S1753" s="4">
        <v>13.8730505367226</v>
      </c>
      <c r="T1753" s="4">
        <v>13.900111499021101</v>
      </c>
      <c r="U1753" s="4">
        <f t="shared" si="110"/>
        <v>13.8565300463219</v>
      </c>
      <c r="X1753" s="43" t="s">
        <v>1517</v>
      </c>
      <c r="Y1753" s="4">
        <v>14.220252020253699</v>
      </c>
      <c r="Z1753" s="4">
        <v>14.4310690009293</v>
      </c>
      <c r="AA1753" s="4">
        <v>13.324647596431699</v>
      </c>
      <c r="AB1753" s="4">
        <f t="shared" si="111"/>
        <v>13.9919895392049</v>
      </c>
    </row>
    <row r="1754" spans="2:28" x14ac:dyDescent="0.2">
      <c r="B1754" s="4" t="s">
        <v>3880</v>
      </c>
      <c r="C1754" s="4">
        <v>14.27</v>
      </c>
      <c r="D1754" s="4">
        <v>14.2324</v>
      </c>
      <c r="E1754" s="4">
        <v>13.6517</v>
      </c>
      <c r="F1754" s="4">
        <f t="shared" si="108"/>
        <v>14.051366666666667</v>
      </c>
      <c r="I1754" s="4" t="s">
        <v>2046</v>
      </c>
      <c r="J1754" s="4">
        <v>14.203799999999999</v>
      </c>
      <c r="K1754" s="4">
        <v>13.916</v>
      </c>
      <c r="L1754" s="4">
        <v>14.113799999999999</v>
      </c>
      <c r="M1754" s="4">
        <f t="shared" si="109"/>
        <v>14.077866666666665</v>
      </c>
      <c r="Q1754" s="43" t="s">
        <v>4094</v>
      </c>
      <c r="R1754" s="4">
        <v>13.7804084711111</v>
      </c>
      <c r="S1754" s="4">
        <v>13.769958315453801</v>
      </c>
      <c r="T1754" s="4">
        <v>14.0184394806383</v>
      </c>
      <c r="U1754" s="4">
        <f t="shared" si="110"/>
        <v>13.8562687557344</v>
      </c>
      <c r="X1754" s="43" t="s">
        <v>465</v>
      </c>
      <c r="Y1754" s="4">
        <v>14.0579497557592</v>
      </c>
      <c r="Z1754" s="4">
        <v>13.9853151123028</v>
      </c>
      <c r="AA1754" s="4">
        <v>13.9307746199945</v>
      </c>
      <c r="AB1754" s="4">
        <f t="shared" si="111"/>
        <v>13.991346496018833</v>
      </c>
    </row>
    <row r="1755" spans="2:28" x14ac:dyDescent="0.2">
      <c r="B1755" s="4" t="s">
        <v>1863</v>
      </c>
      <c r="C1755" s="4">
        <v>14.380599999999999</v>
      </c>
      <c r="D1755" s="4">
        <v>14.028499999999999</v>
      </c>
      <c r="E1755" s="4">
        <v>13.744300000000001</v>
      </c>
      <c r="F1755" s="4">
        <f t="shared" si="108"/>
        <v>14.051133333333333</v>
      </c>
      <c r="I1755" s="4" t="s">
        <v>2868</v>
      </c>
      <c r="J1755" s="4">
        <v>14.226599999999999</v>
      </c>
      <c r="K1755" s="4">
        <v>14.036300000000001</v>
      </c>
      <c r="L1755" s="4">
        <v>13.964</v>
      </c>
      <c r="M1755" s="4">
        <f t="shared" si="109"/>
        <v>14.075633333333334</v>
      </c>
      <c r="Q1755" s="43" t="s">
        <v>2301</v>
      </c>
      <c r="R1755" s="4">
        <v>13.8649644261489</v>
      </c>
      <c r="S1755" s="4">
        <v>14.024397274703301</v>
      </c>
      <c r="T1755" s="4">
        <v>13.6793673845364</v>
      </c>
      <c r="U1755" s="4">
        <f t="shared" si="110"/>
        <v>13.856243028462865</v>
      </c>
      <c r="X1755" s="43" t="s">
        <v>159</v>
      </c>
      <c r="Y1755" s="4">
        <v>13.897431974040099</v>
      </c>
      <c r="Z1755" s="4">
        <v>13.8006657432138</v>
      </c>
      <c r="AA1755" s="4">
        <v>14.270168226110201</v>
      </c>
      <c r="AB1755" s="4">
        <f t="shared" si="111"/>
        <v>13.989421981121367</v>
      </c>
    </row>
    <row r="1756" spans="2:28" x14ac:dyDescent="0.2">
      <c r="B1756" s="4" t="s">
        <v>3967</v>
      </c>
      <c r="C1756" s="4">
        <v>13.827500000000001</v>
      </c>
      <c r="D1756" s="4">
        <v>14.2506</v>
      </c>
      <c r="E1756" s="4">
        <v>14.0749</v>
      </c>
      <c r="F1756" s="4">
        <f t="shared" si="108"/>
        <v>14.051</v>
      </c>
      <c r="I1756" s="4" t="s">
        <v>1008</v>
      </c>
      <c r="J1756" s="4">
        <v>14.2121</v>
      </c>
      <c r="K1756" s="4">
        <v>13.5528</v>
      </c>
      <c r="L1756" s="4">
        <v>14.458299999999999</v>
      </c>
      <c r="M1756" s="4">
        <f t="shared" si="109"/>
        <v>14.074399999999999</v>
      </c>
      <c r="Q1756" s="43" t="s">
        <v>176</v>
      </c>
      <c r="R1756" s="4">
        <v>13.957637707180499</v>
      </c>
      <c r="S1756" s="4">
        <v>13.877100484833701</v>
      </c>
      <c r="T1756" s="4">
        <v>13.7326368208853</v>
      </c>
      <c r="U1756" s="4">
        <f t="shared" si="110"/>
        <v>13.855791670966502</v>
      </c>
      <c r="X1756" s="43" t="s">
        <v>2223</v>
      </c>
      <c r="Y1756" s="4">
        <v>14.151927200152199</v>
      </c>
      <c r="Z1756" s="4">
        <v>13.9587301434841</v>
      </c>
      <c r="AA1756" s="4">
        <v>13.8545037913147</v>
      </c>
      <c r="AB1756" s="4">
        <f t="shared" si="111"/>
        <v>13.988387044983666</v>
      </c>
    </row>
    <row r="1757" spans="2:28" x14ac:dyDescent="0.2">
      <c r="B1757" s="4" t="s">
        <v>2386</v>
      </c>
      <c r="C1757" s="4">
        <v>14.5097</v>
      </c>
      <c r="D1757" s="4">
        <v>13.989699999999999</v>
      </c>
      <c r="E1757" s="4">
        <v>13.651999999999999</v>
      </c>
      <c r="F1757" s="4">
        <f t="shared" si="108"/>
        <v>14.050466666666667</v>
      </c>
      <c r="I1757" s="4" t="s">
        <v>1905</v>
      </c>
      <c r="J1757" s="4">
        <v>14.209300000000001</v>
      </c>
      <c r="K1757" s="4">
        <v>13.927300000000001</v>
      </c>
      <c r="L1757" s="4">
        <v>14.08</v>
      </c>
      <c r="M1757" s="4">
        <f t="shared" si="109"/>
        <v>14.0722</v>
      </c>
      <c r="Q1757" s="43" t="s">
        <v>1572</v>
      </c>
      <c r="R1757" s="4">
        <v>13.8979881383412</v>
      </c>
      <c r="S1757" s="4">
        <v>13.987170948207501</v>
      </c>
      <c r="T1757" s="4">
        <v>13.677597103139099</v>
      </c>
      <c r="U1757" s="4">
        <f t="shared" si="110"/>
        <v>13.854252063229268</v>
      </c>
      <c r="X1757" s="43" t="s">
        <v>2634</v>
      </c>
      <c r="Y1757" s="4">
        <v>14.0195685285377</v>
      </c>
      <c r="Z1757" s="4">
        <v>13.912661524159599</v>
      </c>
      <c r="AA1757" s="4">
        <v>14.0285206463658</v>
      </c>
      <c r="AB1757" s="4">
        <f t="shared" si="111"/>
        <v>13.986916899687699</v>
      </c>
    </row>
    <row r="1758" spans="2:28" x14ac:dyDescent="0.2">
      <c r="B1758" s="4" t="s">
        <v>3082</v>
      </c>
      <c r="C1758" s="4">
        <v>13.8317</v>
      </c>
      <c r="D1758" s="4">
        <v>14.342000000000001</v>
      </c>
      <c r="E1758" s="4">
        <v>13.972200000000001</v>
      </c>
      <c r="F1758" s="4">
        <f t="shared" si="108"/>
        <v>14.048633333333333</v>
      </c>
      <c r="I1758" s="4" t="s">
        <v>3609</v>
      </c>
      <c r="J1758" s="4">
        <v>14.0314</v>
      </c>
      <c r="K1758" s="4">
        <v>13.773099999999999</v>
      </c>
      <c r="L1758" s="4">
        <v>14.4095</v>
      </c>
      <c r="M1758" s="4">
        <f t="shared" si="109"/>
        <v>14.071333333333333</v>
      </c>
      <c r="Q1758" s="43" t="s">
        <v>1393</v>
      </c>
      <c r="R1758" s="4">
        <v>13.916804685117</v>
      </c>
      <c r="S1758" s="4">
        <v>13.6822844993644</v>
      </c>
      <c r="T1758" s="4">
        <v>13.953736036469101</v>
      </c>
      <c r="U1758" s="4">
        <f t="shared" si="110"/>
        <v>13.850941740316834</v>
      </c>
      <c r="X1758" s="43" t="s">
        <v>2050</v>
      </c>
      <c r="Y1758" s="4">
        <v>14.030210716440999</v>
      </c>
      <c r="Z1758" s="4">
        <v>13.8601873506242</v>
      </c>
      <c r="AA1758" s="4">
        <v>14.0680908176946</v>
      </c>
      <c r="AB1758" s="4">
        <f t="shared" si="111"/>
        <v>13.986162961586601</v>
      </c>
    </row>
    <row r="1759" spans="2:28" x14ac:dyDescent="0.2">
      <c r="B1759" s="4" t="s">
        <v>1374</v>
      </c>
      <c r="C1759" s="4">
        <v>14.2843</v>
      </c>
      <c r="D1759" s="4">
        <v>13.8047</v>
      </c>
      <c r="E1759" s="4">
        <v>14.052</v>
      </c>
      <c r="F1759" s="4">
        <f t="shared" si="108"/>
        <v>14.046999999999999</v>
      </c>
      <c r="I1759" s="4" t="s">
        <v>1371</v>
      </c>
      <c r="J1759" s="4">
        <v>13.9838</v>
      </c>
      <c r="K1759" s="4">
        <v>14.102600000000001</v>
      </c>
      <c r="L1759" s="4">
        <v>14.1271</v>
      </c>
      <c r="M1759" s="4">
        <f t="shared" si="109"/>
        <v>14.071166666666668</v>
      </c>
      <c r="Q1759" s="43" t="s">
        <v>3462</v>
      </c>
      <c r="R1759" s="4">
        <v>13.814431615889299</v>
      </c>
      <c r="S1759" s="4">
        <v>13.9118129320435</v>
      </c>
      <c r="T1759" s="4">
        <v>13.8249699405541</v>
      </c>
      <c r="U1759" s="4">
        <f t="shared" si="110"/>
        <v>13.850404829495632</v>
      </c>
      <c r="X1759" s="43" t="s">
        <v>609</v>
      </c>
      <c r="Y1759" s="4">
        <v>13.8748173633</v>
      </c>
      <c r="Z1759" s="4">
        <v>14.173352600494599</v>
      </c>
      <c r="AA1759" s="4">
        <v>13.907021079546</v>
      </c>
      <c r="AB1759" s="4">
        <f t="shared" si="111"/>
        <v>13.985063681113532</v>
      </c>
    </row>
    <row r="1760" spans="2:28" x14ac:dyDescent="0.2">
      <c r="B1760" s="4" t="s">
        <v>3566</v>
      </c>
      <c r="C1760" s="4">
        <v>14.0114</v>
      </c>
      <c r="D1760" s="4">
        <v>13.978199999999999</v>
      </c>
      <c r="E1760" s="4">
        <v>14.149100000000001</v>
      </c>
      <c r="F1760" s="4">
        <f t="shared" si="108"/>
        <v>14.046233333333333</v>
      </c>
      <c r="I1760" s="4" t="s">
        <v>2199</v>
      </c>
      <c r="J1760" s="4">
        <v>14.329599999999999</v>
      </c>
      <c r="K1760" s="4">
        <v>13.685</v>
      </c>
      <c r="L1760" s="4">
        <v>14.1921</v>
      </c>
      <c r="M1760" s="4">
        <f t="shared" si="109"/>
        <v>14.068899999999999</v>
      </c>
      <c r="Q1760" s="43" t="s">
        <v>387</v>
      </c>
      <c r="R1760" s="4">
        <v>13.953314784015999</v>
      </c>
      <c r="S1760" s="4">
        <v>13.6074975816729</v>
      </c>
      <c r="T1760" s="4">
        <v>13.989087811966799</v>
      </c>
      <c r="U1760" s="4">
        <f t="shared" si="110"/>
        <v>13.849966725885233</v>
      </c>
      <c r="X1760" s="43" t="s">
        <v>483</v>
      </c>
      <c r="Y1760" s="4">
        <v>14.1209114645526</v>
      </c>
      <c r="Z1760" s="4">
        <v>14.4500188816953</v>
      </c>
      <c r="AA1760" s="4">
        <v>13.384151437302201</v>
      </c>
      <c r="AB1760" s="4">
        <f t="shared" si="111"/>
        <v>13.985027261183367</v>
      </c>
    </row>
    <row r="1761" spans="2:28" x14ac:dyDescent="0.2">
      <c r="B1761" s="4" t="s">
        <v>1471</v>
      </c>
      <c r="C1761" s="4">
        <v>14.106400000000001</v>
      </c>
      <c r="D1761" s="4">
        <v>13.8489</v>
      </c>
      <c r="E1761" s="4">
        <v>14.166499999999999</v>
      </c>
      <c r="F1761" s="4">
        <f t="shared" si="108"/>
        <v>14.0406</v>
      </c>
      <c r="I1761" s="4" t="s">
        <v>2465</v>
      </c>
      <c r="J1761" s="4">
        <v>14.110099999999999</v>
      </c>
      <c r="K1761" s="4">
        <v>13.925599999999999</v>
      </c>
      <c r="L1761" s="4">
        <v>14.169499999999999</v>
      </c>
      <c r="M1761" s="4">
        <f t="shared" si="109"/>
        <v>14.068399999999999</v>
      </c>
      <c r="Q1761" s="43" t="s">
        <v>4614</v>
      </c>
      <c r="R1761" s="4">
        <v>13.9818261237188</v>
      </c>
      <c r="S1761" s="4">
        <v>13.7921953600086</v>
      </c>
      <c r="T1761" s="4">
        <v>13.775465745039799</v>
      </c>
      <c r="U1761" s="4">
        <f t="shared" si="110"/>
        <v>13.849829076255736</v>
      </c>
      <c r="X1761" s="43" t="s">
        <v>787</v>
      </c>
      <c r="Y1761" s="4">
        <v>14.0669286540491</v>
      </c>
      <c r="Z1761" s="4">
        <v>14.1252938093374</v>
      </c>
      <c r="AA1761" s="4">
        <v>13.7620945263607</v>
      </c>
      <c r="AB1761" s="4">
        <f t="shared" si="111"/>
        <v>13.984772329915733</v>
      </c>
    </row>
    <row r="1762" spans="2:28" x14ac:dyDescent="0.2">
      <c r="B1762" s="4" t="s">
        <v>3097</v>
      </c>
      <c r="C1762" s="4">
        <v>13.997999999999999</v>
      </c>
      <c r="D1762" s="4">
        <v>14.279199999999999</v>
      </c>
      <c r="E1762" s="4">
        <v>13.8414</v>
      </c>
      <c r="F1762" s="4">
        <f t="shared" si="108"/>
        <v>14.039533333333333</v>
      </c>
      <c r="I1762" s="4" t="s">
        <v>1019</v>
      </c>
      <c r="J1762" s="4">
        <v>14.2263</v>
      </c>
      <c r="K1762" s="4">
        <v>13.9381</v>
      </c>
      <c r="L1762" s="4">
        <v>14.0349</v>
      </c>
      <c r="M1762" s="4">
        <f t="shared" si="109"/>
        <v>14.066433333333334</v>
      </c>
      <c r="Q1762" s="43" t="s">
        <v>2269</v>
      </c>
      <c r="R1762" s="4">
        <v>13.8325512841741</v>
      </c>
      <c r="S1762" s="4">
        <v>13.930718508221901</v>
      </c>
      <c r="T1762" s="4">
        <v>13.7841827119918</v>
      </c>
      <c r="U1762" s="4">
        <f t="shared" si="110"/>
        <v>13.849150834795935</v>
      </c>
      <c r="X1762" s="43" t="s">
        <v>3829</v>
      </c>
      <c r="Y1762" s="4">
        <v>14.0909512919063</v>
      </c>
      <c r="Z1762" s="4">
        <v>13.979864868932401</v>
      </c>
      <c r="AA1762" s="4">
        <v>13.8764926680921</v>
      </c>
      <c r="AB1762" s="4">
        <f t="shared" si="111"/>
        <v>13.982436276310267</v>
      </c>
    </row>
    <row r="1763" spans="2:28" x14ac:dyDescent="0.2">
      <c r="B1763" s="4" t="s">
        <v>3777</v>
      </c>
      <c r="C1763" s="4">
        <v>14.3451</v>
      </c>
      <c r="D1763" s="4">
        <v>13.824</v>
      </c>
      <c r="E1763" s="4">
        <v>13.942600000000001</v>
      </c>
      <c r="F1763" s="4">
        <f t="shared" si="108"/>
        <v>14.037233333333333</v>
      </c>
      <c r="I1763" s="4" t="s">
        <v>1541</v>
      </c>
      <c r="J1763" s="4">
        <v>14.037000000000001</v>
      </c>
      <c r="K1763" s="4">
        <v>14.093400000000001</v>
      </c>
      <c r="L1763" s="4">
        <v>14.060700000000001</v>
      </c>
      <c r="M1763" s="4">
        <f t="shared" si="109"/>
        <v>14.063700000000003</v>
      </c>
      <c r="Q1763" s="43" t="s">
        <v>1667</v>
      </c>
      <c r="R1763" s="4">
        <v>13.690762204988699</v>
      </c>
      <c r="S1763" s="4">
        <v>14.014116706177299</v>
      </c>
      <c r="T1763" s="4">
        <v>13.833448533918</v>
      </c>
      <c r="U1763" s="4">
        <f t="shared" si="110"/>
        <v>13.846109148361334</v>
      </c>
      <c r="X1763" s="43" t="s">
        <v>588</v>
      </c>
      <c r="Y1763" s="4">
        <v>14.0177547636318</v>
      </c>
      <c r="Z1763" s="4">
        <v>13.841101332234301</v>
      </c>
      <c r="AA1763" s="4">
        <v>14.08367846454</v>
      </c>
      <c r="AB1763" s="4">
        <f t="shared" si="111"/>
        <v>13.980844853468701</v>
      </c>
    </row>
    <row r="1764" spans="2:28" x14ac:dyDescent="0.2">
      <c r="B1764" s="4" t="s">
        <v>558</v>
      </c>
      <c r="C1764" s="4">
        <v>14.0779</v>
      </c>
      <c r="D1764" s="4">
        <v>13.4015</v>
      </c>
      <c r="E1764" s="4">
        <v>14.632</v>
      </c>
      <c r="F1764" s="4">
        <f t="shared" si="108"/>
        <v>14.037133333333331</v>
      </c>
      <c r="I1764" s="4" t="s">
        <v>845</v>
      </c>
      <c r="J1764" s="4">
        <v>14.1531</v>
      </c>
      <c r="K1764" s="4">
        <v>13.8361</v>
      </c>
      <c r="L1764" s="4">
        <v>14.1938</v>
      </c>
      <c r="M1764" s="4">
        <f t="shared" si="109"/>
        <v>14.061</v>
      </c>
      <c r="Q1764" s="43" t="s">
        <v>2073</v>
      </c>
      <c r="R1764" s="4">
        <v>13.788317522824199</v>
      </c>
      <c r="S1764" s="4">
        <v>13.8717426270183</v>
      </c>
      <c r="T1764" s="4">
        <v>13.878073306394199</v>
      </c>
      <c r="U1764" s="4">
        <f t="shared" si="110"/>
        <v>13.846044485412234</v>
      </c>
      <c r="X1764" s="43" t="s">
        <v>3167</v>
      </c>
      <c r="Y1764" s="4">
        <v>13.9824361503068</v>
      </c>
      <c r="Z1764" s="4">
        <v>13.892609920762</v>
      </c>
      <c r="AA1764" s="4">
        <v>14.0672975272643</v>
      </c>
      <c r="AB1764" s="4">
        <f t="shared" si="111"/>
        <v>13.980781199444367</v>
      </c>
    </row>
    <row r="1765" spans="2:28" x14ac:dyDescent="0.2">
      <c r="B1765" s="4" t="s">
        <v>3379</v>
      </c>
      <c r="C1765" s="4">
        <v>13.3674</v>
      </c>
      <c r="D1765" s="4">
        <v>13.5962</v>
      </c>
      <c r="E1765" s="4">
        <v>15.142899999999999</v>
      </c>
      <c r="F1765" s="4">
        <f t="shared" si="108"/>
        <v>14.035499999999999</v>
      </c>
      <c r="I1765" s="4" t="s">
        <v>1520</v>
      </c>
      <c r="J1765" s="4">
        <v>13.688800000000001</v>
      </c>
      <c r="K1765" s="4">
        <v>14.3803</v>
      </c>
      <c r="L1765" s="4">
        <v>14.1068</v>
      </c>
      <c r="M1765" s="4">
        <f t="shared" si="109"/>
        <v>14.058633333333333</v>
      </c>
      <c r="Q1765" s="43" t="s">
        <v>3955</v>
      </c>
      <c r="R1765" s="4">
        <v>13.950106898192599</v>
      </c>
      <c r="S1765" s="4">
        <v>13.879976520268601</v>
      </c>
      <c r="T1765" s="4">
        <v>13.7036800642817</v>
      </c>
      <c r="U1765" s="4">
        <f t="shared" si="110"/>
        <v>13.844587827580966</v>
      </c>
      <c r="X1765" s="43" t="s">
        <v>1779</v>
      </c>
      <c r="Y1765" s="4">
        <v>14.179018775169199</v>
      </c>
      <c r="Z1765" s="4">
        <v>13.9231468310442</v>
      </c>
      <c r="AA1765" s="4">
        <v>13.8346334747936</v>
      </c>
      <c r="AB1765" s="4">
        <f t="shared" si="111"/>
        <v>13.978933027002332</v>
      </c>
    </row>
    <row r="1766" spans="2:28" x14ac:dyDescent="0.2">
      <c r="B1766" s="4" t="s">
        <v>3519</v>
      </c>
      <c r="C1766" s="4">
        <v>14.1648</v>
      </c>
      <c r="D1766" s="4">
        <v>13.796200000000001</v>
      </c>
      <c r="E1766" s="4">
        <v>14.1447</v>
      </c>
      <c r="F1766" s="4">
        <f t="shared" si="108"/>
        <v>14.035233333333332</v>
      </c>
      <c r="I1766" s="4" t="s">
        <v>1062</v>
      </c>
      <c r="J1766" s="4">
        <v>13.969900000000001</v>
      </c>
      <c r="K1766" s="4">
        <v>13.940899999999999</v>
      </c>
      <c r="L1766" s="4">
        <v>14.260999999999999</v>
      </c>
      <c r="M1766" s="4">
        <f t="shared" si="109"/>
        <v>14.057266666666669</v>
      </c>
      <c r="Q1766" s="43" t="s">
        <v>599</v>
      </c>
      <c r="R1766" s="4">
        <v>13.789205071455299</v>
      </c>
      <c r="S1766" s="4">
        <v>13.9435134580777</v>
      </c>
      <c r="T1766" s="4">
        <v>13.7956962130442</v>
      </c>
      <c r="U1766" s="4">
        <f t="shared" si="110"/>
        <v>13.842804914192399</v>
      </c>
      <c r="X1766" s="43" t="s">
        <v>2366</v>
      </c>
      <c r="Y1766" s="4">
        <v>14.017944181674499</v>
      </c>
      <c r="Z1766" s="4">
        <v>13.881865894320599</v>
      </c>
      <c r="AA1766" s="4">
        <v>14.0368695088848</v>
      </c>
      <c r="AB1766" s="4">
        <f t="shared" si="111"/>
        <v>13.978893194959966</v>
      </c>
    </row>
    <row r="1767" spans="2:28" x14ac:dyDescent="0.2">
      <c r="B1767" s="4" t="s">
        <v>3504</v>
      </c>
      <c r="C1767" s="4">
        <v>14.165800000000001</v>
      </c>
      <c r="D1767" s="4">
        <v>14.1081</v>
      </c>
      <c r="E1767" s="4">
        <v>13.8314</v>
      </c>
      <c r="F1767" s="4">
        <f t="shared" si="108"/>
        <v>14.0351</v>
      </c>
      <c r="I1767" s="4" t="s">
        <v>3642</v>
      </c>
      <c r="J1767" s="4">
        <v>13.912699999999999</v>
      </c>
      <c r="K1767" s="4">
        <v>14.1096</v>
      </c>
      <c r="L1767" s="4">
        <v>14.147399999999999</v>
      </c>
      <c r="M1767" s="4">
        <f t="shared" si="109"/>
        <v>14.056566666666667</v>
      </c>
      <c r="Q1767" s="43" t="s">
        <v>3484</v>
      </c>
      <c r="R1767" s="4">
        <v>13.8934071518837</v>
      </c>
      <c r="S1767" s="4">
        <v>13.756275441982</v>
      </c>
      <c r="T1767" s="4">
        <v>13.870007900117001</v>
      </c>
      <c r="U1767" s="4">
        <f t="shared" si="110"/>
        <v>13.839896831327566</v>
      </c>
      <c r="X1767" s="43" t="s">
        <v>1336</v>
      </c>
      <c r="Y1767" s="4">
        <v>13.6769055864869</v>
      </c>
      <c r="Z1767" s="4">
        <v>14.207188816329101</v>
      </c>
      <c r="AA1767" s="4">
        <v>14.0470758713835</v>
      </c>
      <c r="AB1767" s="4">
        <f t="shared" si="111"/>
        <v>13.977056758066501</v>
      </c>
    </row>
    <row r="1768" spans="2:28" x14ac:dyDescent="0.2">
      <c r="B1768" s="4" t="s">
        <v>1211</v>
      </c>
      <c r="C1768" s="4">
        <v>13.555199999999999</v>
      </c>
      <c r="D1768" s="4">
        <v>13.5207</v>
      </c>
      <c r="E1768" s="4">
        <v>15.0235</v>
      </c>
      <c r="F1768" s="4">
        <f t="shared" si="108"/>
        <v>14.033133333333332</v>
      </c>
      <c r="I1768" s="4" t="s">
        <v>3412</v>
      </c>
      <c r="J1768" s="4">
        <v>14.0296</v>
      </c>
      <c r="K1768" s="4">
        <v>13.9091</v>
      </c>
      <c r="L1768" s="4">
        <v>14.224500000000001</v>
      </c>
      <c r="M1768" s="4">
        <f t="shared" si="109"/>
        <v>14.054400000000001</v>
      </c>
      <c r="Q1768" s="43" t="s">
        <v>1837</v>
      </c>
      <c r="R1768" s="4">
        <v>13.944349694721399</v>
      </c>
      <c r="S1768" s="4">
        <v>13.8022918223581</v>
      </c>
      <c r="T1768" s="4">
        <v>13.771694727429599</v>
      </c>
      <c r="U1768" s="4">
        <f t="shared" si="110"/>
        <v>13.839445414836367</v>
      </c>
      <c r="X1768" s="43" t="s">
        <v>2127</v>
      </c>
      <c r="Y1768" s="4">
        <v>13.9300574576689</v>
      </c>
      <c r="Z1768" s="4">
        <v>13.967466044616</v>
      </c>
      <c r="AA1768" s="4">
        <v>14.033187516120201</v>
      </c>
      <c r="AB1768" s="4">
        <f t="shared" si="111"/>
        <v>13.976903672801699</v>
      </c>
    </row>
    <row r="1769" spans="2:28" x14ac:dyDescent="0.2">
      <c r="B1769" s="4" t="s">
        <v>2337</v>
      </c>
      <c r="C1769" s="4">
        <v>14.087</v>
      </c>
      <c r="D1769" s="4">
        <v>14.105</v>
      </c>
      <c r="E1769" s="4">
        <v>13.904</v>
      </c>
      <c r="F1769" s="4">
        <f t="shared" si="108"/>
        <v>14.032000000000002</v>
      </c>
      <c r="I1769" s="4" t="s">
        <v>1503</v>
      </c>
      <c r="J1769" s="4">
        <v>14.1081</v>
      </c>
      <c r="K1769" s="4">
        <v>13.664899999999999</v>
      </c>
      <c r="L1769" s="4">
        <v>14.381500000000001</v>
      </c>
      <c r="M1769" s="4">
        <f t="shared" si="109"/>
        <v>14.051499999999999</v>
      </c>
      <c r="Q1769" s="43" t="s">
        <v>3630</v>
      </c>
      <c r="R1769" s="4">
        <v>13.6698226459353</v>
      </c>
      <c r="S1769" s="4">
        <v>13.9688580263874</v>
      </c>
      <c r="T1769" s="4">
        <v>13.8788600024762</v>
      </c>
      <c r="U1769" s="4">
        <f t="shared" si="110"/>
        <v>13.839180224932967</v>
      </c>
      <c r="X1769" s="43" t="s">
        <v>2791</v>
      </c>
      <c r="Y1769" s="4">
        <v>13.921970910647101</v>
      </c>
      <c r="Z1769" s="4">
        <v>14.0511814069291</v>
      </c>
      <c r="AA1769" s="4">
        <v>13.9574849071544</v>
      </c>
      <c r="AB1769" s="4">
        <f t="shared" si="111"/>
        <v>13.976879074910201</v>
      </c>
    </row>
    <row r="1770" spans="2:28" x14ac:dyDescent="0.2">
      <c r="B1770" s="4" t="s">
        <v>63</v>
      </c>
      <c r="C1770" s="4">
        <v>14.0481</v>
      </c>
      <c r="D1770" s="4">
        <v>13.767799999999999</v>
      </c>
      <c r="E1770" s="4">
        <v>14.275399999999999</v>
      </c>
      <c r="F1770" s="4">
        <f t="shared" si="108"/>
        <v>14.030433333333333</v>
      </c>
      <c r="I1770" s="4" t="s">
        <v>418</v>
      </c>
      <c r="J1770" s="4">
        <v>13.8459</v>
      </c>
      <c r="K1770" s="4">
        <v>14.288500000000001</v>
      </c>
      <c r="L1770" s="4">
        <v>14.0152</v>
      </c>
      <c r="M1770" s="4">
        <f t="shared" si="109"/>
        <v>14.049866666666667</v>
      </c>
      <c r="Q1770" s="43" t="s">
        <v>804</v>
      </c>
      <c r="R1770" s="4">
        <v>13.675964122023901</v>
      </c>
      <c r="S1770" s="4">
        <v>13.7901016274536</v>
      </c>
      <c r="T1770" s="4">
        <v>14.0439479199531</v>
      </c>
      <c r="U1770" s="4">
        <f t="shared" si="110"/>
        <v>13.836671223143533</v>
      </c>
      <c r="X1770" s="43" t="s">
        <v>718</v>
      </c>
      <c r="Y1770" s="4">
        <v>14.055660311824001</v>
      </c>
      <c r="Z1770" s="4">
        <v>14.0035575177145</v>
      </c>
      <c r="AA1770" s="4">
        <v>13.866235313573201</v>
      </c>
      <c r="AB1770" s="4">
        <f t="shared" si="111"/>
        <v>13.975151047703902</v>
      </c>
    </row>
    <row r="1771" spans="2:28" x14ac:dyDescent="0.2">
      <c r="B1771" s="4" t="s">
        <v>3554</v>
      </c>
      <c r="C1771" s="4">
        <v>14.1599</v>
      </c>
      <c r="D1771" s="4">
        <v>14.0444</v>
      </c>
      <c r="E1771" s="4">
        <v>13.885</v>
      </c>
      <c r="F1771" s="4">
        <f t="shared" si="108"/>
        <v>14.029766666666667</v>
      </c>
      <c r="I1771" s="4" t="s">
        <v>1476</v>
      </c>
      <c r="J1771" s="4">
        <v>13.934900000000001</v>
      </c>
      <c r="K1771" s="4">
        <v>14.167999999999999</v>
      </c>
      <c r="L1771" s="4">
        <v>14.0433</v>
      </c>
      <c r="M1771" s="4">
        <f t="shared" si="109"/>
        <v>14.048733333333333</v>
      </c>
      <c r="Q1771" s="43" t="s">
        <v>997</v>
      </c>
      <c r="R1771" s="4">
        <v>13.8083201817806</v>
      </c>
      <c r="S1771" s="4">
        <v>13.8009666838828</v>
      </c>
      <c r="T1771" s="4">
        <v>13.8987888466466</v>
      </c>
      <c r="U1771" s="4">
        <f t="shared" si="110"/>
        <v>13.836025237436667</v>
      </c>
      <c r="X1771" s="43" t="s">
        <v>3166</v>
      </c>
      <c r="Y1771" s="4">
        <v>13.8302042419002</v>
      </c>
      <c r="Z1771" s="4">
        <v>14.1392611022218</v>
      </c>
      <c r="AA1771" s="4">
        <v>13.9499750401092</v>
      </c>
      <c r="AB1771" s="4">
        <f t="shared" si="111"/>
        <v>13.973146794743734</v>
      </c>
    </row>
    <row r="1772" spans="2:28" x14ac:dyDescent="0.2">
      <c r="B1772" s="4" t="s">
        <v>2813</v>
      </c>
      <c r="C1772" s="4">
        <v>14.4857</v>
      </c>
      <c r="D1772" s="4">
        <v>13.737299999999999</v>
      </c>
      <c r="E1772" s="4">
        <v>13.864000000000001</v>
      </c>
      <c r="F1772" s="4">
        <f t="shared" si="108"/>
        <v>14.029000000000002</v>
      </c>
      <c r="I1772" s="4" t="s">
        <v>3295</v>
      </c>
      <c r="J1772" s="4">
        <v>13.850199999999999</v>
      </c>
      <c r="K1772" s="4">
        <v>14.2254</v>
      </c>
      <c r="L1772" s="4">
        <v>14.067600000000001</v>
      </c>
      <c r="M1772" s="4">
        <f t="shared" si="109"/>
        <v>14.047733333333333</v>
      </c>
      <c r="Q1772" s="43" t="s">
        <v>4271</v>
      </c>
      <c r="R1772" s="4">
        <v>13.8768623801161</v>
      </c>
      <c r="S1772" s="4">
        <v>13.885525402246699</v>
      </c>
      <c r="T1772" s="4">
        <v>13.7453302427911</v>
      </c>
      <c r="U1772" s="4">
        <f t="shared" si="110"/>
        <v>13.835906008384633</v>
      </c>
      <c r="X1772" s="43" t="s">
        <v>470</v>
      </c>
      <c r="Y1772" s="4">
        <v>13.872829733477801</v>
      </c>
      <c r="Z1772" s="4">
        <v>13.9536449401855</v>
      </c>
      <c r="AA1772" s="4">
        <v>14.0829952226025</v>
      </c>
      <c r="AB1772" s="4">
        <f t="shared" si="111"/>
        <v>13.969823298755266</v>
      </c>
    </row>
    <row r="1773" spans="2:28" x14ac:dyDescent="0.2">
      <c r="B1773" s="4" t="s">
        <v>2316</v>
      </c>
      <c r="C1773" s="4">
        <v>13.5802</v>
      </c>
      <c r="D1773" s="4">
        <v>13.584</v>
      </c>
      <c r="E1773" s="4">
        <v>14.922599999999999</v>
      </c>
      <c r="F1773" s="4">
        <f t="shared" si="108"/>
        <v>14.028933333333333</v>
      </c>
      <c r="I1773" s="4" t="s">
        <v>3928</v>
      </c>
      <c r="J1773" s="4">
        <v>14.024900000000001</v>
      </c>
      <c r="K1773" s="4">
        <v>13.924799999999999</v>
      </c>
      <c r="L1773" s="4">
        <v>14.190899999999999</v>
      </c>
      <c r="M1773" s="4">
        <f t="shared" si="109"/>
        <v>14.046866666666666</v>
      </c>
      <c r="Q1773" s="43" t="s">
        <v>2939</v>
      </c>
      <c r="R1773" s="4">
        <v>13.9282346155928</v>
      </c>
      <c r="S1773" s="4">
        <v>13.777255747325301</v>
      </c>
      <c r="T1773" s="4">
        <v>13.8014543367002</v>
      </c>
      <c r="U1773" s="4">
        <f t="shared" si="110"/>
        <v>13.835648233206101</v>
      </c>
      <c r="X1773" s="43" t="s">
        <v>1272</v>
      </c>
      <c r="Y1773" s="4">
        <v>13.9989015052645</v>
      </c>
      <c r="Z1773" s="4">
        <v>14.084182007398599</v>
      </c>
      <c r="AA1773" s="4">
        <v>13.8217346334201</v>
      </c>
      <c r="AB1773" s="4">
        <f t="shared" si="111"/>
        <v>13.968272715361067</v>
      </c>
    </row>
    <row r="1774" spans="2:28" x14ac:dyDescent="0.2">
      <c r="B1774" s="4" t="s">
        <v>3257</v>
      </c>
      <c r="C1774" s="4">
        <v>13.994999999999999</v>
      </c>
      <c r="D1774" s="4">
        <v>14.344200000000001</v>
      </c>
      <c r="E1774" s="4">
        <v>13.745900000000001</v>
      </c>
      <c r="F1774" s="4">
        <f t="shared" si="108"/>
        <v>14.028366666666665</v>
      </c>
      <c r="I1774" s="4" t="s">
        <v>2834</v>
      </c>
      <c r="J1774" s="4">
        <v>14.3569</v>
      </c>
      <c r="K1774" s="4">
        <v>13.6464</v>
      </c>
      <c r="L1774" s="4">
        <v>14.129099999999999</v>
      </c>
      <c r="M1774" s="4">
        <f t="shared" si="109"/>
        <v>14.044133333333333</v>
      </c>
      <c r="Q1774" s="43" t="s">
        <v>3242</v>
      </c>
      <c r="R1774" s="4">
        <v>13.840866234236399</v>
      </c>
      <c r="S1774" s="4">
        <v>13.8587486883143</v>
      </c>
      <c r="T1774" s="4">
        <v>13.806122788537101</v>
      </c>
      <c r="U1774" s="4">
        <f t="shared" si="110"/>
        <v>13.835245903695935</v>
      </c>
      <c r="X1774" s="43" t="s">
        <v>3289</v>
      </c>
      <c r="Y1774" s="4">
        <v>13.867450818121901</v>
      </c>
      <c r="Z1774" s="4">
        <v>14.0082932734053</v>
      </c>
      <c r="AA1774" s="4">
        <v>14.029009754287699</v>
      </c>
      <c r="AB1774" s="4">
        <f t="shared" si="111"/>
        <v>13.968251281938301</v>
      </c>
    </row>
    <row r="1775" spans="2:28" x14ac:dyDescent="0.2">
      <c r="B1775" s="4" t="s">
        <v>2962</v>
      </c>
      <c r="C1775" s="4">
        <v>14.119</v>
      </c>
      <c r="D1775" s="4">
        <v>14.196899999999999</v>
      </c>
      <c r="E1775" s="4">
        <v>13.7622</v>
      </c>
      <c r="F1775" s="4">
        <f t="shared" si="108"/>
        <v>14.026033333333332</v>
      </c>
      <c r="I1775" s="4" t="s">
        <v>757</v>
      </c>
      <c r="J1775" s="4">
        <v>13.9857</v>
      </c>
      <c r="K1775" s="4">
        <v>14.2897</v>
      </c>
      <c r="L1775" s="4">
        <v>13.854699999999999</v>
      </c>
      <c r="M1775" s="4">
        <f t="shared" si="109"/>
        <v>14.043366666666666</v>
      </c>
      <c r="Q1775" s="43" t="s">
        <v>4453</v>
      </c>
      <c r="R1775" s="4">
        <v>14.001171211908201</v>
      </c>
      <c r="S1775" s="4">
        <v>13.8570883592668</v>
      </c>
      <c r="T1775" s="4">
        <v>13.6474084013139</v>
      </c>
      <c r="U1775" s="4">
        <f t="shared" si="110"/>
        <v>13.835222657496301</v>
      </c>
      <c r="X1775" s="43" t="s">
        <v>1943</v>
      </c>
      <c r="Y1775" s="4">
        <v>13.7359563710041</v>
      </c>
      <c r="Z1775" s="4">
        <v>14.1621121245427</v>
      </c>
      <c r="AA1775" s="4">
        <v>14.0061926779112</v>
      </c>
      <c r="AB1775" s="4">
        <f t="shared" si="111"/>
        <v>13.968087057819334</v>
      </c>
    </row>
    <row r="1776" spans="2:28" x14ac:dyDescent="0.2">
      <c r="B1776" s="4" t="s">
        <v>3443</v>
      </c>
      <c r="C1776" s="4">
        <v>14.0093</v>
      </c>
      <c r="D1776" s="4">
        <v>14.1577</v>
      </c>
      <c r="E1776" s="4">
        <v>13.9084</v>
      </c>
      <c r="F1776" s="4">
        <f t="shared" si="108"/>
        <v>14.025133333333335</v>
      </c>
      <c r="I1776" s="4" t="s">
        <v>3004</v>
      </c>
      <c r="J1776" s="4">
        <v>13.421200000000001</v>
      </c>
      <c r="K1776" s="4">
        <v>14.9255</v>
      </c>
      <c r="L1776" s="4">
        <v>13.7685</v>
      </c>
      <c r="M1776" s="4">
        <f t="shared" si="109"/>
        <v>14.038400000000001</v>
      </c>
      <c r="Q1776" s="43" t="s">
        <v>4006</v>
      </c>
      <c r="R1776" s="4">
        <v>13.8794810729897</v>
      </c>
      <c r="S1776" s="4">
        <v>13.7755686806114</v>
      </c>
      <c r="T1776" s="4">
        <v>13.8446301834656</v>
      </c>
      <c r="U1776" s="4">
        <f t="shared" si="110"/>
        <v>13.833226645688901</v>
      </c>
      <c r="X1776" s="43" t="s">
        <v>3520</v>
      </c>
      <c r="Y1776" s="4">
        <v>13.768171482722</v>
      </c>
      <c r="Z1776" s="4">
        <v>14.1808658631989</v>
      </c>
      <c r="AA1776" s="4">
        <v>13.953378629156401</v>
      </c>
      <c r="AB1776" s="4">
        <f t="shared" si="111"/>
        <v>13.967471991692435</v>
      </c>
    </row>
    <row r="1777" spans="2:28" x14ac:dyDescent="0.2">
      <c r="B1777" s="4" t="s">
        <v>1239</v>
      </c>
      <c r="C1777" s="4">
        <v>13.3432</v>
      </c>
      <c r="D1777" s="4">
        <v>14.5061</v>
      </c>
      <c r="E1777" s="4">
        <v>14.2216</v>
      </c>
      <c r="F1777" s="4">
        <f t="shared" si="108"/>
        <v>14.023633333333335</v>
      </c>
      <c r="I1777" s="4" t="s">
        <v>2662</v>
      </c>
      <c r="J1777" s="4">
        <v>14.148899999999999</v>
      </c>
      <c r="K1777" s="4">
        <v>14.1837</v>
      </c>
      <c r="L1777" s="4">
        <v>13.778700000000001</v>
      </c>
      <c r="M1777" s="4">
        <f t="shared" si="109"/>
        <v>14.037100000000001</v>
      </c>
      <c r="Q1777" s="43" t="s">
        <v>35</v>
      </c>
      <c r="R1777" s="4">
        <v>13.985866096597499</v>
      </c>
      <c r="S1777" s="4">
        <v>13.6917033679727</v>
      </c>
      <c r="T1777" s="4">
        <v>13.8089240583753</v>
      </c>
      <c r="U1777" s="4">
        <f t="shared" si="110"/>
        <v>13.828831174315164</v>
      </c>
      <c r="X1777" s="43" t="s">
        <v>2755</v>
      </c>
      <c r="Y1777" s="4">
        <v>14.009446081911999</v>
      </c>
      <c r="Z1777" s="4">
        <v>14.0328862900581</v>
      </c>
      <c r="AA1777" s="4">
        <v>13.859799940002199</v>
      </c>
      <c r="AB1777" s="4">
        <f t="shared" si="111"/>
        <v>13.967377437324098</v>
      </c>
    </row>
    <row r="1778" spans="2:28" x14ac:dyDescent="0.2">
      <c r="B1778" s="4" t="s">
        <v>2222</v>
      </c>
      <c r="C1778" s="4">
        <v>14.255000000000001</v>
      </c>
      <c r="D1778" s="4">
        <v>13.863200000000001</v>
      </c>
      <c r="E1778" s="4">
        <v>13.950200000000001</v>
      </c>
      <c r="F1778" s="4">
        <f t="shared" si="108"/>
        <v>14.022800000000002</v>
      </c>
      <c r="I1778" s="4" t="s">
        <v>2049</v>
      </c>
      <c r="J1778" s="4">
        <v>13.992900000000001</v>
      </c>
      <c r="K1778" s="4">
        <v>14.2034</v>
      </c>
      <c r="L1778" s="4">
        <v>13.9117</v>
      </c>
      <c r="M1778" s="4">
        <f t="shared" si="109"/>
        <v>14.036000000000001</v>
      </c>
      <c r="Q1778" s="43" t="s">
        <v>4232</v>
      </c>
      <c r="R1778" s="4">
        <v>12.717548032340799</v>
      </c>
      <c r="S1778" s="4">
        <v>14.2429872878614</v>
      </c>
      <c r="T1778" s="4">
        <v>14.522736795047599</v>
      </c>
      <c r="U1778" s="4">
        <f t="shared" si="110"/>
        <v>13.827757371749932</v>
      </c>
      <c r="X1778" s="43" t="s">
        <v>1271</v>
      </c>
      <c r="Y1778" s="4">
        <v>13.862746626542201</v>
      </c>
      <c r="Z1778" s="4">
        <v>14.0084357123526</v>
      </c>
      <c r="AA1778" s="4">
        <v>14.030374255606599</v>
      </c>
      <c r="AB1778" s="4">
        <f t="shared" si="111"/>
        <v>13.967185531500467</v>
      </c>
    </row>
    <row r="1779" spans="2:28" x14ac:dyDescent="0.2">
      <c r="B1779" s="4" t="s">
        <v>2049</v>
      </c>
      <c r="C1779" s="4">
        <v>14.237399999999999</v>
      </c>
      <c r="D1779" s="4">
        <v>13.707800000000001</v>
      </c>
      <c r="E1779" s="4">
        <v>14.118499999999999</v>
      </c>
      <c r="F1779" s="4">
        <f t="shared" si="108"/>
        <v>14.021233333333333</v>
      </c>
      <c r="I1779" s="4" t="s">
        <v>3491</v>
      </c>
      <c r="J1779" s="4">
        <v>12.7194</v>
      </c>
      <c r="K1779" s="4">
        <v>16.533799999999999</v>
      </c>
      <c r="L1779" s="4">
        <v>12.853300000000001</v>
      </c>
      <c r="M1779" s="4">
        <f t="shared" si="109"/>
        <v>14.035499999999999</v>
      </c>
      <c r="Q1779" s="43" t="s">
        <v>1468</v>
      </c>
      <c r="R1779" s="4">
        <v>13.731584689656399</v>
      </c>
      <c r="S1779" s="4">
        <v>13.8448061269756</v>
      </c>
      <c r="T1779" s="4">
        <v>13.906773805748401</v>
      </c>
      <c r="U1779" s="4">
        <f t="shared" si="110"/>
        <v>13.827721540793467</v>
      </c>
      <c r="X1779" s="43" t="s">
        <v>2043</v>
      </c>
      <c r="Y1779" s="4">
        <v>13.9859194790318</v>
      </c>
      <c r="Z1779" s="4">
        <v>14.0183882115698</v>
      </c>
      <c r="AA1779" s="4">
        <v>13.897228527861699</v>
      </c>
      <c r="AB1779" s="4">
        <f t="shared" si="111"/>
        <v>13.967178739487766</v>
      </c>
    </row>
    <row r="1780" spans="2:28" x14ac:dyDescent="0.2">
      <c r="B1780" s="4" t="s">
        <v>2182</v>
      </c>
      <c r="C1780" s="4">
        <v>13.810600000000001</v>
      </c>
      <c r="D1780" s="4">
        <v>14.081200000000001</v>
      </c>
      <c r="E1780" s="4">
        <v>14.168799999999999</v>
      </c>
      <c r="F1780" s="4">
        <f t="shared" si="108"/>
        <v>14.020200000000001</v>
      </c>
      <c r="I1780" s="4" t="s">
        <v>1359</v>
      </c>
      <c r="J1780" s="4">
        <v>14.1998</v>
      </c>
      <c r="K1780" s="4">
        <v>13.9191</v>
      </c>
      <c r="L1780" s="4">
        <v>13.981</v>
      </c>
      <c r="M1780" s="4">
        <f t="shared" si="109"/>
        <v>14.033299999999999</v>
      </c>
      <c r="Q1780" s="43" t="s">
        <v>1074</v>
      </c>
      <c r="R1780" s="4">
        <v>13.6952606965298</v>
      </c>
      <c r="S1780" s="4">
        <v>14.220669020727399</v>
      </c>
      <c r="T1780" s="4">
        <v>13.558989813474099</v>
      </c>
      <c r="U1780" s="4">
        <f t="shared" si="110"/>
        <v>13.824973176910433</v>
      </c>
      <c r="X1780" s="43" t="s">
        <v>1294</v>
      </c>
      <c r="Y1780" s="4">
        <v>14.1480518679772</v>
      </c>
      <c r="Z1780" s="4">
        <v>13.939253995946601</v>
      </c>
      <c r="AA1780" s="4">
        <v>13.8141803319422</v>
      </c>
      <c r="AB1780" s="4">
        <f t="shared" si="111"/>
        <v>13.967162065288667</v>
      </c>
    </row>
    <row r="1781" spans="2:28" x14ac:dyDescent="0.2">
      <c r="B1781" s="4" t="s">
        <v>2713</v>
      </c>
      <c r="C1781" s="4">
        <v>14.0749</v>
      </c>
      <c r="D1781" s="4">
        <v>13.972099999999999</v>
      </c>
      <c r="E1781" s="4">
        <v>14.010899999999999</v>
      </c>
      <c r="F1781" s="4">
        <f t="shared" si="108"/>
        <v>14.019299999999999</v>
      </c>
      <c r="I1781" s="4" t="s">
        <v>2162</v>
      </c>
      <c r="J1781" s="4">
        <v>14.167199999999999</v>
      </c>
      <c r="K1781" s="4">
        <v>13.8705</v>
      </c>
      <c r="L1781" s="4">
        <v>14.061199999999999</v>
      </c>
      <c r="M1781" s="4">
        <f t="shared" si="109"/>
        <v>14.032966666666667</v>
      </c>
      <c r="Q1781" s="43" t="s">
        <v>4318</v>
      </c>
      <c r="R1781" s="4">
        <v>13.867250923068401</v>
      </c>
      <c r="S1781" s="4">
        <v>13.948791297338101</v>
      </c>
      <c r="T1781" s="4">
        <v>13.657647971446</v>
      </c>
      <c r="U1781" s="4">
        <f t="shared" si="110"/>
        <v>13.824563397284166</v>
      </c>
      <c r="X1781" s="43" t="s">
        <v>3327</v>
      </c>
      <c r="Y1781" s="4">
        <v>13.9030210360095</v>
      </c>
      <c r="Z1781" s="4">
        <v>14.0209387793972</v>
      </c>
      <c r="AA1781" s="4">
        <v>13.975705894942299</v>
      </c>
      <c r="AB1781" s="4">
        <f t="shared" si="111"/>
        <v>13.966555236783</v>
      </c>
    </row>
    <row r="1782" spans="2:28" x14ac:dyDescent="0.2">
      <c r="B1782" s="4" t="s">
        <v>369</v>
      </c>
      <c r="C1782" s="4">
        <v>13.920999999999999</v>
      </c>
      <c r="D1782" s="4">
        <v>13.914999999999999</v>
      </c>
      <c r="E1782" s="4">
        <v>14.2196</v>
      </c>
      <c r="F1782" s="4">
        <f t="shared" si="108"/>
        <v>14.018533333333332</v>
      </c>
      <c r="I1782" s="4" t="s">
        <v>2634</v>
      </c>
      <c r="J1782" s="4">
        <v>14.4261</v>
      </c>
      <c r="K1782" s="4">
        <v>13.635199999999999</v>
      </c>
      <c r="L1782" s="4">
        <v>14.0303</v>
      </c>
      <c r="M1782" s="4">
        <f t="shared" si="109"/>
        <v>14.030533333333333</v>
      </c>
      <c r="Q1782" s="43" t="s">
        <v>1697</v>
      </c>
      <c r="R1782" s="4">
        <v>13.7228931471255</v>
      </c>
      <c r="S1782" s="4">
        <v>13.852835426988101</v>
      </c>
      <c r="T1782" s="4">
        <v>13.8906790766229</v>
      </c>
      <c r="U1782" s="4">
        <f t="shared" si="110"/>
        <v>13.822135883578833</v>
      </c>
      <c r="X1782" s="43" t="s">
        <v>538</v>
      </c>
      <c r="Y1782" s="4">
        <v>13.985889253887599</v>
      </c>
      <c r="Z1782" s="4">
        <v>13.8977704605437</v>
      </c>
      <c r="AA1782" s="4">
        <v>14.0127735559737</v>
      </c>
      <c r="AB1782" s="4">
        <f t="shared" si="111"/>
        <v>13.965477756801667</v>
      </c>
    </row>
    <row r="1783" spans="2:28" x14ac:dyDescent="0.2">
      <c r="B1783" s="4" t="s">
        <v>320</v>
      </c>
      <c r="C1783" s="4">
        <v>13.7582</v>
      </c>
      <c r="D1783" s="4">
        <v>13.824</v>
      </c>
      <c r="E1783" s="4">
        <v>14.4717</v>
      </c>
      <c r="F1783" s="4">
        <f t="shared" si="108"/>
        <v>14.017966666666666</v>
      </c>
      <c r="I1783" s="4" t="s">
        <v>2690</v>
      </c>
      <c r="J1783" s="4">
        <v>13.5845</v>
      </c>
      <c r="K1783" s="4">
        <v>14.492100000000001</v>
      </c>
      <c r="L1783" s="4">
        <v>14.011200000000001</v>
      </c>
      <c r="M1783" s="4">
        <f t="shared" si="109"/>
        <v>14.029266666666667</v>
      </c>
      <c r="Q1783" s="43" t="s">
        <v>3564</v>
      </c>
      <c r="R1783" s="4">
        <v>13.8313830662638</v>
      </c>
      <c r="S1783" s="4">
        <v>13.689950495329199</v>
      </c>
      <c r="T1783" s="4">
        <v>13.943641243142199</v>
      </c>
      <c r="U1783" s="4">
        <f t="shared" si="110"/>
        <v>13.821658268245066</v>
      </c>
      <c r="X1783" s="43" t="s">
        <v>605</v>
      </c>
      <c r="Y1783" s="4">
        <v>14.1471089238071</v>
      </c>
      <c r="Z1783" s="4">
        <v>13.957988682446301</v>
      </c>
      <c r="AA1783" s="4">
        <v>13.789987406163799</v>
      </c>
      <c r="AB1783" s="4">
        <f t="shared" si="111"/>
        <v>13.965028337472399</v>
      </c>
    </row>
    <row r="1784" spans="2:28" x14ac:dyDescent="0.2">
      <c r="B1784" s="4" t="s">
        <v>2028</v>
      </c>
      <c r="C1784" s="4">
        <v>13.9594</v>
      </c>
      <c r="D1784" s="4">
        <v>14.091699999999999</v>
      </c>
      <c r="E1784" s="4">
        <v>13.9802</v>
      </c>
      <c r="F1784" s="4">
        <f t="shared" si="108"/>
        <v>14.010433333333333</v>
      </c>
      <c r="I1784" s="4" t="s">
        <v>11</v>
      </c>
      <c r="J1784" s="4">
        <v>14.021699999999999</v>
      </c>
      <c r="K1784" s="4">
        <v>13.885300000000001</v>
      </c>
      <c r="L1784" s="4">
        <v>14.1777</v>
      </c>
      <c r="M1784" s="4">
        <f t="shared" si="109"/>
        <v>14.028233333333333</v>
      </c>
      <c r="Q1784" s="43" t="s">
        <v>28</v>
      </c>
      <c r="R1784" s="4">
        <v>13.802244862416201</v>
      </c>
      <c r="S1784" s="4">
        <v>13.876511239736301</v>
      </c>
      <c r="T1784" s="4">
        <v>13.7844198281825</v>
      </c>
      <c r="U1784" s="4">
        <f t="shared" si="110"/>
        <v>13.821058643444999</v>
      </c>
      <c r="X1784" s="43" t="s">
        <v>1332</v>
      </c>
      <c r="Y1784" s="4">
        <v>13.981558025112101</v>
      </c>
      <c r="Z1784" s="4">
        <v>13.947017178164799</v>
      </c>
      <c r="AA1784" s="4">
        <v>13.965881732805199</v>
      </c>
      <c r="AB1784" s="4">
        <f t="shared" si="111"/>
        <v>13.964818978694034</v>
      </c>
    </row>
    <row r="1785" spans="2:28" x14ac:dyDescent="0.2">
      <c r="B1785" s="4" t="s">
        <v>1371</v>
      </c>
      <c r="C1785" s="4">
        <v>14.164099999999999</v>
      </c>
      <c r="D1785" s="4">
        <v>14.0831</v>
      </c>
      <c r="E1785" s="4">
        <v>13.7814</v>
      </c>
      <c r="F1785" s="4">
        <f t="shared" si="108"/>
        <v>14.009533333333332</v>
      </c>
      <c r="I1785" s="4" t="s">
        <v>1427</v>
      </c>
      <c r="J1785" s="4">
        <v>12.240399999999999</v>
      </c>
      <c r="K1785" s="4">
        <v>16.696100000000001</v>
      </c>
      <c r="L1785" s="4">
        <v>13.1447</v>
      </c>
      <c r="M1785" s="4">
        <f t="shared" si="109"/>
        <v>14.027066666666668</v>
      </c>
      <c r="Q1785" s="43" t="s">
        <v>3788</v>
      </c>
      <c r="R1785" s="4">
        <v>14.0894965910308</v>
      </c>
      <c r="S1785" s="4">
        <v>13.594039860129101</v>
      </c>
      <c r="T1785" s="4">
        <v>13.777594899875901</v>
      </c>
      <c r="U1785" s="4">
        <f t="shared" si="110"/>
        <v>13.820377117011935</v>
      </c>
      <c r="X1785" s="43" t="s">
        <v>2494</v>
      </c>
      <c r="Y1785" s="4">
        <v>13.9590456160418</v>
      </c>
      <c r="Z1785" s="4">
        <v>14.071053201888599</v>
      </c>
      <c r="AA1785" s="4">
        <v>13.864016358621701</v>
      </c>
      <c r="AB1785" s="4">
        <f t="shared" si="111"/>
        <v>13.964705058850702</v>
      </c>
    </row>
    <row r="1786" spans="2:28" x14ac:dyDescent="0.2">
      <c r="B1786" s="4" t="s">
        <v>3505</v>
      </c>
      <c r="C1786" s="4">
        <v>13.724299999999999</v>
      </c>
      <c r="D1786" s="4">
        <v>14.0541</v>
      </c>
      <c r="E1786" s="4">
        <v>14.233000000000001</v>
      </c>
      <c r="F1786" s="4">
        <f t="shared" si="108"/>
        <v>14.003799999999998</v>
      </c>
      <c r="I1786" s="4" t="s">
        <v>2104</v>
      </c>
      <c r="J1786" s="4">
        <v>13.681699999999999</v>
      </c>
      <c r="K1786" s="4">
        <v>15.2529</v>
      </c>
      <c r="L1786" s="4">
        <v>13.138500000000001</v>
      </c>
      <c r="M1786" s="4">
        <f t="shared" si="109"/>
        <v>14.024366666666666</v>
      </c>
      <c r="Q1786" s="43" t="s">
        <v>4431</v>
      </c>
      <c r="R1786" s="4">
        <v>13.935173901593901</v>
      </c>
      <c r="S1786" s="4">
        <v>13.665265405744501</v>
      </c>
      <c r="T1786" s="4">
        <v>13.857428787961201</v>
      </c>
      <c r="U1786" s="4">
        <f t="shared" si="110"/>
        <v>13.819289365099868</v>
      </c>
      <c r="X1786" s="43" t="s">
        <v>4000</v>
      </c>
      <c r="Y1786" s="4">
        <v>14.0675290341002</v>
      </c>
      <c r="Z1786" s="4">
        <v>13.8545825291772</v>
      </c>
      <c r="AA1786" s="4">
        <v>13.971567662722901</v>
      </c>
      <c r="AB1786" s="4">
        <f t="shared" si="111"/>
        <v>13.9645597420001</v>
      </c>
    </row>
    <row r="1787" spans="2:28" x14ac:dyDescent="0.2">
      <c r="B1787" s="4" t="s">
        <v>3756</v>
      </c>
      <c r="C1787" s="4">
        <v>13.9899</v>
      </c>
      <c r="D1787" s="4">
        <v>14.4803</v>
      </c>
      <c r="E1787" s="4">
        <v>13.5367</v>
      </c>
      <c r="F1787" s="4">
        <f t="shared" si="108"/>
        <v>14.0023</v>
      </c>
      <c r="I1787" s="4" t="s">
        <v>1393</v>
      </c>
      <c r="J1787" s="4">
        <v>13.9602</v>
      </c>
      <c r="K1787" s="4">
        <v>14.2256</v>
      </c>
      <c r="L1787" s="4">
        <v>13.882400000000001</v>
      </c>
      <c r="M1787" s="4">
        <f t="shared" si="109"/>
        <v>14.022733333333335</v>
      </c>
      <c r="Q1787" s="43" t="s">
        <v>1746</v>
      </c>
      <c r="R1787" s="4">
        <v>13.902350255651999</v>
      </c>
      <c r="S1787" s="4">
        <v>13.7312904461466</v>
      </c>
      <c r="T1787" s="4">
        <v>13.8213556070748</v>
      </c>
      <c r="U1787" s="4">
        <f t="shared" si="110"/>
        <v>13.818332102957799</v>
      </c>
      <c r="X1787" s="43" t="s">
        <v>631</v>
      </c>
      <c r="Y1787" s="4">
        <v>13.8715603538365</v>
      </c>
      <c r="Z1787" s="4">
        <v>14.0809452829366</v>
      </c>
      <c r="AA1787" s="4">
        <v>13.937871692298099</v>
      </c>
      <c r="AB1787" s="4">
        <f t="shared" si="111"/>
        <v>13.963459109690399</v>
      </c>
    </row>
    <row r="1788" spans="2:28" x14ac:dyDescent="0.2">
      <c r="B1788" s="4" t="s">
        <v>3658</v>
      </c>
      <c r="C1788" s="4">
        <v>13.978400000000001</v>
      </c>
      <c r="D1788" s="4">
        <v>14.1662</v>
      </c>
      <c r="E1788" s="4">
        <v>13.8611</v>
      </c>
      <c r="F1788" s="4">
        <f t="shared" si="108"/>
        <v>14.001900000000001</v>
      </c>
      <c r="I1788" s="4" t="s">
        <v>3755</v>
      </c>
      <c r="J1788" s="4">
        <v>14.0739</v>
      </c>
      <c r="K1788" s="4">
        <v>14.1099</v>
      </c>
      <c r="L1788" s="4">
        <v>13.8704</v>
      </c>
      <c r="M1788" s="4">
        <f t="shared" si="109"/>
        <v>14.018066666666664</v>
      </c>
      <c r="Q1788" s="43" t="s">
        <v>3058</v>
      </c>
      <c r="R1788" s="4">
        <v>13.862786353572501</v>
      </c>
      <c r="S1788" s="4">
        <v>13.7421789042403</v>
      </c>
      <c r="T1788" s="4">
        <v>13.8486708344689</v>
      </c>
      <c r="U1788" s="4">
        <f t="shared" si="110"/>
        <v>13.817878697427233</v>
      </c>
      <c r="X1788" s="43" t="s">
        <v>877</v>
      </c>
      <c r="Y1788" s="4">
        <v>13.649893537341301</v>
      </c>
      <c r="Z1788" s="4">
        <v>13.5480147608511</v>
      </c>
      <c r="AA1788" s="4">
        <v>14.6831873285239</v>
      </c>
      <c r="AB1788" s="4">
        <f t="shared" si="111"/>
        <v>13.960365208905435</v>
      </c>
    </row>
    <row r="1789" spans="2:28" x14ac:dyDescent="0.2">
      <c r="B1789" s="4" t="s">
        <v>476</v>
      </c>
      <c r="C1789" s="4">
        <v>13.5185</v>
      </c>
      <c r="D1789" s="4">
        <v>14.225899999999999</v>
      </c>
      <c r="E1789" s="4">
        <v>14.260300000000001</v>
      </c>
      <c r="F1789" s="4">
        <f t="shared" si="108"/>
        <v>14.001566666666667</v>
      </c>
      <c r="I1789" s="4" t="s">
        <v>2028</v>
      </c>
      <c r="J1789" s="4">
        <v>13.8649</v>
      </c>
      <c r="K1789" s="4">
        <v>14.226000000000001</v>
      </c>
      <c r="L1789" s="4">
        <v>13.9605</v>
      </c>
      <c r="M1789" s="4">
        <f t="shared" si="109"/>
        <v>14.017133333333334</v>
      </c>
      <c r="Q1789" s="43" t="s">
        <v>274</v>
      </c>
      <c r="R1789" s="4">
        <v>14.096466854184101</v>
      </c>
      <c r="S1789" s="4">
        <v>13.710791300890699</v>
      </c>
      <c r="T1789" s="4">
        <v>13.6447267266831</v>
      </c>
      <c r="U1789" s="4">
        <f t="shared" si="110"/>
        <v>13.817328293919298</v>
      </c>
      <c r="X1789" s="43" t="s">
        <v>3094</v>
      </c>
      <c r="Y1789" s="4">
        <v>14.020632971280801</v>
      </c>
      <c r="Z1789" s="4">
        <v>13.774303306523199</v>
      </c>
      <c r="AA1789" s="4">
        <v>14.0845238425812</v>
      </c>
      <c r="AB1789" s="4">
        <f t="shared" si="111"/>
        <v>13.959820040128399</v>
      </c>
    </row>
    <row r="1790" spans="2:28" x14ac:dyDescent="0.2">
      <c r="B1790" s="4" t="s">
        <v>1400</v>
      </c>
      <c r="C1790" s="4">
        <v>13.632</v>
      </c>
      <c r="D1790" s="4">
        <v>13.724399999999999</v>
      </c>
      <c r="E1790" s="4">
        <v>14.646100000000001</v>
      </c>
      <c r="F1790" s="4">
        <f t="shared" si="108"/>
        <v>14.000833333333333</v>
      </c>
      <c r="I1790" s="4" t="s">
        <v>805</v>
      </c>
      <c r="J1790" s="4">
        <v>13.923400000000001</v>
      </c>
      <c r="K1790" s="4">
        <v>14.475</v>
      </c>
      <c r="L1790" s="4">
        <v>13.6496</v>
      </c>
      <c r="M1790" s="4">
        <f t="shared" si="109"/>
        <v>14.016</v>
      </c>
      <c r="Q1790" s="43" t="s">
        <v>177</v>
      </c>
      <c r="R1790" s="4">
        <v>13.775720840340099</v>
      </c>
      <c r="S1790" s="4">
        <v>13.907632098058301</v>
      </c>
      <c r="T1790" s="4">
        <v>13.76636247841</v>
      </c>
      <c r="U1790" s="4">
        <f t="shared" si="110"/>
        <v>13.8165718056028</v>
      </c>
      <c r="X1790" s="43" t="s">
        <v>3243</v>
      </c>
      <c r="Y1790" s="4">
        <v>13.980432287256299</v>
      </c>
      <c r="Z1790" s="4">
        <v>14.008492968329699</v>
      </c>
      <c r="AA1790" s="4">
        <v>13.8879467388817</v>
      </c>
      <c r="AB1790" s="4">
        <f t="shared" si="111"/>
        <v>13.958957331489232</v>
      </c>
    </row>
    <row r="1791" spans="2:28" x14ac:dyDescent="0.2">
      <c r="B1791" s="4" t="s">
        <v>1583</v>
      </c>
      <c r="C1791" s="4">
        <v>13.9625</v>
      </c>
      <c r="D1791" s="4">
        <v>14.1629</v>
      </c>
      <c r="E1791" s="4">
        <v>13.8758</v>
      </c>
      <c r="F1791" s="4">
        <f t="shared" si="108"/>
        <v>14.000399999999999</v>
      </c>
      <c r="I1791" s="4" t="s">
        <v>568</v>
      </c>
      <c r="J1791" s="4">
        <v>13.9269</v>
      </c>
      <c r="K1791" s="4">
        <v>13.9125</v>
      </c>
      <c r="L1791" s="4">
        <v>14.207000000000001</v>
      </c>
      <c r="M1791" s="4">
        <f t="shared" si="109"/>
        <v>14.015466666666667</v>
      </c>
      <c r="Q1791" s="43" t="s">
        <v>4468</v>
      </c>
      <c r="R1791" s="4">
        <v>13.7021853286984</v>
      </c>
      <c r="S1791" s="4">
        <v>13.968245218839201</v>
      </c>
      <c r="T1791" s="4">
        <v>13.778113062286</v>
      </c>
      <c r="U1791" s="4">
        <f t="shared" si="110"/>
        <v>13.816181203274533</v>
      </c>
      <c r="X1791" s="43" t="s">
        <v>3404</v>
      </c>
      <c r="Y1791" s="4">
        <v>13.9201901672019</v>
      </c>
      <c r="Z1791" s="4">
        <v>13.7825345776343</v>
      </c>
      <c r="AA1791" s="4">
        <v>14.1640697016428</v>
      </c>
      <c r="AB1791" s="4">
        <f t="shared" si="111"/>
        <v>13.955598148826333</v>
      </c>
    </row>
    <row r="1792" spans="2:28" x14ac:dyDescent="0.2">
      <c r="B1792" s="4" t="s">
        <v>3767</v>
      </c>
      <c r="C1792" s="4">
        <v>14.1623</v>
      </c>
      <c r="D1792" s="4">
        <v>14.1225</v>
      </c>
      <c r="E1792" s="4">
        <v>13.7155</v>
      </c>
      <c r="F1792" s="4">
        <f t="shared" si="108"/>
        <v>14.000100000000002</v>
      </c>
      <c r="I1792" s="4" t="s">
        <v>1942</v>
      </c>
      <c r="J1792" s="4">
        <v>13.7194</v>
      </c>
      <c r="K1792" s="4">
        <v>14.085900000000001</v>
      </c>
      <c r="L1792" s="4">
        <v>14.2279</v>
      </c>
      <c r="M1792" s="4">
        <f t="shared" si="109"/>
        <v>14.011066666666666</v>
      </c>
      <c r="Q1792" s="43" t="s">
        <v>4106</v>
      </c>
      <c r="R1792" s="4">
        <v>13.550707928541</v>
      </c>
      <c r="S1792" s="4">
        <v>14.022526537963801</v>
      </c>
      <c r="T1792" s="4">
        <v>13.8747352017323</v>
      </c>
      <c r="U1792" s="4">
        <f t="shared" si="110"/>
        <v>13.815989889412366</v>
      </c>
      <c r="X1792" s="43" t="s">
        <v>3405</v>
      </c>
      <c r="Y1792" s="4">
        <v>13.9909908190296</v>
      </c>
      <c r="Z1792" s="4">
        <v>13.9915561045754</v>
      </c>
      <c r="AA1792" s="4">
        <v>13.883356241247499</v>
      </c>
      <c r="AB1792" s="4">
        <f t="shared" si="111"/>
        <v>13.955301054950832</v>
      </c>
    </row>
    <row r="1793" spans="2:28" x14ac:dyDescent="0.2">
      <c r="B1793" s="4" t="s">
        <v>2145</v>
      </c>
      <c r="C1793" s="4">
        <v>13.92</v>
      </c>
      <c r="D1793" s="4">
        <v>14.1335</v>
      </c>
      <c r="E1793" s="4">
        <v>13.942600000000001</v>
      </c>
      <c r="F1793" s="4">
        <f t="shared" si="108"/>
        <v>13.998699999999999</v>
      </c>
      <c r="I1793" s="4" t="s">
        <v>2497</v>
      </c>
      <c r="J1793" s="4">
        <v>14.0281</v>
      </c>
      <c r="K1793" s="4">
        <v>14.067</v>
      </c>
      <c r="L1793" s="4">
        <v>13.935600000000001</v>
      </c>
      <c r="M1793" s="4">
        <f t="shared" si="109"/>
        <v>14.010233333333334</v>
      </c>
      <c r="Q1793" s="43" t="s">
        <v>3304</v>
      </c>
      <c r="R1793" s="4">
        <v>13.4823226065427</v>
      </c>
      <c r="S1793" s="4">
        <v>13.819336403247201</v>
      </c>
      <c r="T1793" s="4">
        <v>14.1460978085744</v>
      </c>
      <c r="U1793" s="4">
        <f t="shared" si="110"/>
        <v>13.815918939454766</v>
      </c>
      <c r="X1793" s="43" t="s">
        <v>1233</v>
      </c>
      <c r="Y1793" s="4">
        <v>13.986273097332701</v>
      </c>
      <c r="Z1793" s="4">
        <v>13.924221724138301</v>
      </c>
      <c r="AA1793" s="4">
        <v>13.9480209220917</v>
      </c>
      <c r="AB1793" s="4">
        <f t="shared" si="111"/>
        <v>13.952838581187569</v>
      </c>
    </row>
    <row r="1794" spans="2:28" x14ac:dyDescent="0.2">
      <c r="B1794" s="4" t="s">
        <v>4054</v>
      </c>
      <c r="C1794" s="4">
        <v>14.037699999999999</v>
      </c>
      <c r="D1794" s="4">
        <v>13.826000000000001</v>
      </c>
      <c r="E1794" s="4">
        <v>14.131399999999999</v>
      </c>
      <c r="F1794" s="4">
        <f t="shared" ref="F1794:F1857" si="112">(C1794+D1794+E1794)/3</f>
        <v>13.998366666666668</v>
      </c>
      <c r="I1794" s="4" t="s">
        <v>1362</v>
      </c>
      <c r="J1794" s="4">
        <v>13.8269</v>
      </c>
      <c r="K1794" s="4">
        <v>14.3949</v>
      </c>
      <c r="L1794" s="4">
        <v>13.8087</v>
      </c>
      <c r="M1794" s="4">
        <f t="shared" ref="M1794:M1857" si="113">(J1794+K1794+L1794)/3</f>
        <v>14.010166666666668</v>
      </c>
      <c r="Q1794" s="43" t="s">
        <v>156</v>
      </c>
      <c r="R1794" s="4">
        <v>13.642077961361901</v>
      </c>
      <c r="S1794" s="4">
        <v>14.0343727835339</v>
      </c>
      <c r="T1794" s="4">
        <v>13.7656870870389</v>
      </c>
      <c r="U1794" s="4">
        <f t="shared" ref="U1794:U1857" si="114">(R1794+S1794+T1794)/3</f>
        <v>13.814045943978234</v>
      </c>
      <c r="X1794" s="43" t="s">
        <v>107</v>
      </c>
      <c r="Y1794" s="4">
        <v>13.867774076929599</v>
      </c>
      <c r="Z1794" s="4">
        <v>14.001754269969799</v>
      </c>
      <c r="AA1794" s="4">
        <v>13.986588875021599</v>
      </c>
      <c r="AB1794" s="4">
        <f t="shared" ref="AB1794:AB1857" si="115">(Y1794+Z1794+AA1794)/3</f>
        <v>13.952039073973665</v>
      </c>
    </row>
    <row r="1795" spans="2:28" x14ac:dyDescent="0.2">
      <c r="B1795" s="4" t="s">
        <v>3580</v>
      </c>
      <c r="C1795" s="4">
        <v>13.8048</v>
      </c>
      <c r="D1795" s="4">
        <v>14.1707</v>
      </c>
      <c r="E1795" s="4">
        <v>14.018000000000001</v>
      </c>
      <c r="F1795" s="4">
        <f t="shared" si="112"/>
        <v>13.997833333333332</v>
      </c>
      <c r="I1795" s="4" t="s">
        <v>783</v>
      </c>
      <c r="J1795" s="4">
        <v>14.4436</v>
      </c>
      <c r="K1795" s="4">
        <v>13.061500000000001</v>
      </c>
      <c r="L1795" s="4">
        <v>14.5175</v>
      </c>
      <c r="M1795" s="4">
        <f t="shared" si="113"/>
        <v>14.007533333333333</v>
      </c>
      <c r="Q1795" s="43" t="s">
        <v>4508</v>
      </c>
      <c r="R1795" s="4">
        <v>13.652054364562099</v>
      </c>
      <c r="S1795" s="4">
        <v>13.8124494066062</v>
      </c>
      <c r="T1795" s="4">
        <v>13.9509292411124</v>
      </c>
      <c r="U1795" s="4">
        <f t="shared" si="114"/>
        <v>13.805144337426901</v>
      </c>
      <c r="X1795" s="43" t="s">
        <v>2708</v>
      </c>
      <c r="Y1795" s="4">
        <v>14.0806523991284</v>
      </c>
      <c r="Z1795" s="4">
        <v>13.7922990130971</v>
      </c>
      <c r="AA1795" s="4">
        <v>13.9826841212323</v>
      </c>
      <c r="AB1795" s="4">
        <f t="shared" si="115"/>
        <v>13.9518785111526</v>
      </c>
    </row>
    <row r="1796" spans="2:28" x14ac:dyDescent="0.2">
      <c r="B1796" s="4" t="s">
        <v>3607</v>
      </c>
      <c r="C1796" s="4">
        <v>13.492100000000001</v>
      </c>
      <c r="D1796" s="4">
        <v>13.9923</v>
      </c>
      <c r="E1796" s="4">
        <v>14.508599999999999</v>
      </c>
      <c r="F1796" s="4">
        <f t="shared" si="112"/>
        <v>13.997666666666667</v>
      </c>
      <c r="I1796" s="4" t="s">
        <v>1844</v>
      </c>
      <c r="J1796" s="4">
        <v>14.3315</v>
      </c>
      <c r="K1796" s="4">
        <v>13.2103</v>
      </c>
      <c r="L1796" s="4">
        <v>14.471299999999999</v>
      </c>
      <c r="M1796" s="4">
        <f t="shared" si="113"/>
        <v>14.004366666666668</v>
      </c>
      <c r="Q1796" s="43" t="s">
        <v>712</v>
      </c>
      <c r="R1796" s="4">
        <v>13.3698532663709</v>
      </c>
      <c r="S1796" s="4">
        <v>13.929277936920201</v>
      </c>
      <c r="T1796" s="4">
        <v>14.114844793571599</v>
      </c>
      <c r="U1796" s="4">
        <f t="shared" si="114"/>
        <v>13.8046586656209</v>
      </c>
      <c r="X1796" s="43" t="s">
        <v>4001</v>
      </c>
      <c r="Y1796" s="4">
        <v>14.1362985870429</v>
      </c>
      <c r="Z1796" s="4">
        <v>13.855975505926001</v>
      </c>
      <c r="AA1796" s="4">
        <v>13.860093493141999</v>
      </c>
      <c r="AB1796" s="4">
        <f t="shared" si="115"/>
        <v>13.9507891953703</v>
      </c>
    </row>
    <row r="1797" spans="2:28" x14ac:dyDescent="0.2">
      <c r="B1797" s="4" t="s">
        <v>3549</v>
      </c>
      <c r="C1797" s="4">
        <v>14.2355</v>
      </c>
      <c r="D1797" s="4">
        <v>14.0799</v>
      </c>
      <c r="E1797" s="4">
        <v>13.6775</v>
      </c>
      <c r="F1797" s="4">
        <f t="shared" si="112"/>
        <v>13.997633333333333</v>
      </c>
      <c r="I1797" s="4" t="s">
        <v>595</v>
      </c>
      <c r="J1797" s="4">
        <v>13.0258</v>
      </c>
      <c r="K1797" s="4">
        <v>15.3314</v>
      </c>
      <c r="L1797" s="4">
        <v>13.652799999999999</v>
      </c>
      <c r="M1797" s="4">
        <f t="shared" si="113"/>
        <v>14.003333333333332</v>
      </c>
      <c r="Q1797" s="43" t="s">
        <v>458</v>
      </c>
      <c r="R1797" s="4">
        <v>13.7670847633532</v>
      </c>
      <c r="S1797" s="4">
        <v>14.053392691029201</v>
      </c>
      <c r="T1797" s="4">
        <v>13.5856031278465</v>
      </c>
      <c r="U1797" s="4">
        <f t="shared" si="114"/>
        <v>13.802026860742965</v>
      </c>
      <c r="X1797" s="43" t="s">
        <v>3044</v>
      </c>
      <c r="Y1797" s="4">
        <v>13.799959961127101</v>
      </c>
      <c r="Z1797" s="4">
        <v>13.9705252671903</v>
      </c>
      <c r="AA1797" s="4">
        <v>14.075790342964799</v>
      </c>
      <c r="AB1797" s="4">
        <f t="shared" si="115"/>
        <v>13.948758523760732</v>
      </c>
    </row>
    <row r="1798" spans="2:28" x14ac:dyDescent="0.2">
      <c r="B1798" s="4" t="s">
        <v>1001</v>
      </c>
      <c r="C1798" s="4">
        <v>13.798500000000001</v>
      </c>
      <c r="D1798" s="4">
        <v>13.7376</v>
      </c>
      <c r="E1798" s="4">
        <v>14.4558</v>
      </c>
      <c r="F1798" s="4">
        <f t="shared" si="112"/>
        <v>13.997300000000001</v>
      </c>
      <c r="I1798" s="4" t="s">
        <v>2208</v>
      </c>
      <c r="J1798" s="4">
        <v>14.2621</v>
      </c>
      <c r="K1798" s="4">
        <v>13.4557</v>
      </c>
      <c r="L1798" s="4">
        <v>14.2912</v>
      </c>
      <c r="M1798" s="4">
        <f t="shared" si="113"/>
        <v>14.003</v>
      </c>
      <c r="Q1798" s="43" t="s">
        <v>1913</v>
      </c>
      <c r="R1798" s="4">
        <v>14.2696807771681</v>
      </c>
      <c r="S1798" s="4">
        <v>13.6599055748949</v>
      </c>
      <c r="T1798" s="4">
        <v>13.4686465207109</v>
      </c>
      <c r="U1798" s="4">
        <f t="shared" si="114"/>
        <v>13.799410957591299</v>
      </c>
      <c r="X1798" s="43" t="s">
        <v>4480</v>
      </c>
      <c r="Y1798" s="4">
        <v>13.9181332432599</v>
      </c>
      <c r="Z1798" s="4">
        <v>14.2539849697887</v>
      </c>
      <c r="AA1798" s="4">
        <v>13.6735372443791</v>
      </c>
      <c r="AB1798" s="4">
        <f t="shared" si="115"/>
        <v>13.948551819142565</v>
      </c>
    </row>
    <row r="1799" spans="2:28" x14ac:dyDescent="0.2">
      <c r="B1799" s="4" t="s">
        <v>323</v>
      </c>
      <c r="C1799" s="4">
        <v>13.5442</v>
      </c>
      <c r="D1799" s="4">
        <v>14.4138</v>
      </c>
      <c r="E1799" s="4">
        <v>14.017099999999999</v>
      </c>
      <c r="F1799" s="4">
        <f t="shared" si="112"/>
        <v>13.9917</v>
      </c>
      <c r="I1799" s="4" t="s">
        <v>3968</v>
      </c>
      <c r="J1799" s="4">
        <v>14.040800000000001</v>
      </c>
      <c r="K1799" s="4">
        <v>13.9511</v>
      </c>
      <c r="L1799" s="4">
        <v>14.015700000000001</v>
      </c>
      <c r="M1799" s="4">
        <f t="shared" si="113"/>
        <v>14.002533333333334</v>
      </c>
      <c r="Q1799" s="43" t="s">
        <v>3380</v>
      </c>
      <c r="R1799" s="4">
        <v>14.011917038515501</v>
      </c>
      <c r="S1799" s="4">
        <v>13.769574351407501</v>
      </c>
      <c r="T1799" s="4">
        <v>13.6132720242807</v>
      </c>
      <c r="U1799" s="4">
        <f t="shared" si="114"/>
        <v>13.798254471401235</v>
      </c>
      <c r="X1799" s="43" t="s">
        <v>1303</v>
      </c>
      <c r="Y1799" s="4">
        <v>14.038015607043199</v>
      </c>
      <c r="Z1799" s="4">
        <v>13.907531892124601</v>
      </c>
      <c r="AA1799" s="4">
        <v>13.8991499290255</v>
      </c>
      <c r="AB1799" s="4">
        <f t="shared" si="115"/>
        <v>13.948232476064433</v>
      </c>
    </row>
    <row r="1800" spans="2:28" x14ac:dyDescent="0.2">
      <c r="B1800" s="4" t="s">
        <v>2951</v>
      </c>
      <c r="C1800" s="4">
        <v>13.914999999999999</v>
      </c>
      <c r="D1800" s="4">
        <v>14.165900000000001</v>
      </c>
      <c r="E1800" s="4">
        <v>13.8893</v>
      </c>
      <c r="F1800" s="4">
        <f t="shared" si="112"/>
        <v>13.990066666666666</v>
      </c>
      <c r="I1800" s="4" t="s">
        <v>2349</v>
      </c>
      <c r="J1800" s="4">
        <v>14.0289</v>
      </c>
      <c r="K1800" s="4">
        <v>13.8589</v>
      </c>
      <c r="L1800" s="4">
        <v>14.113899999999999</v>
      </c>
      <c r="M1800" s="4">
        <f t="shared" si="113"/>
        <v>14.000566666666666</v>
      </c>
      <c r="Q1800" s="43" t="s">
        <v>677</v>
      </c>
      <c r="R1800" s="4">
        <v>13.631502912454501</v>
      </c>
      <c r="S1800" s="4">
        <v>13.500519399645199</v>
      </c>
      <c r="T1800" s="4">
        <v>14.2613756590266</v>
      </c>
      <c r="U1800" s="4">
        <f t="shared" si="114"/>
        <v>13.797799323708766</v>
      </c>
      <c r="X1800" s="43" t="s">
        <v>868</v>
      </c>
      <c r="Y1800" s="4">
        <v>13.788755484627099</v>
      </c>
      <c r="Z1800" s="4">
        <v>13.9206277988499</v>
      </c>
      <c r="AA1800" s="4">
        <v>14.133430224449601</v>
      </c>
      <c r="AB1800" s="4">
        <f t="shared" si="115"/>
        <v>13.9476045026422</v>
      </c>
    </row>
    <row r="1801" spans="2:28" x14ac:dyDescent="0.2">
      <c r="B1801" s="4" t="s">
        <v>611</v>
      </c>
      <c r="C1801" s="4">
        <v>13.6999</v>
      </c>
      <c r="D1801" s="4">
        <v>14.0608</v>
      </c>
      <c r="E1801" s="4">
        <v>14.2073</v>
      </c>
      <c r="F1801" s="4">
        <f t="shared" si="112"/>
        <v>13.989333333333335</v>
      </c>
      <c r="I1801" s="4" t="s">
        <v>753</v>
      </c>
      <c r="J1801" s="4">
        <v>13.913399999999999</v>
      </c>
      <c r="K1801" s="4">
        <v>14.4499</v>
      </c>
      <c r="L1801" s="4">
        <v>13.6379</v>
      </c>
      <c r="M1801" s="4">
        <f t="shared" si="113"/>
        <v>14.000399999999999</v>
      </c>
      <c r="Q1801" s="43" t="s">
        <v>4040</v>
      </c>
      <c r="R1801" s="4">
        <v>13.653920758533699</v>
      </c>
      <c r="S1801" s="4">
        <v>13.7008991343525</v>
      </c>
      <c r="T1801" s="4">
        <v>14.0367557830356</v>
      </c>
      <c r="U1801" s="4">
        <f t="shared" si="114"/>
        <v>13.797191891973933</v>
      </c>
      <c r="X1801" s="43" t="s">
        <v>1072</v>
      </c>
      <c r="Y1801" s="4">
        <v>13.960577632955101</v>
      </c>
      <c r="Z1801" s="4">
        <v>13.9036945877095</v>
      </c>
      <c r="AA1801" s="4">
        <v>13.975940443114</v>
      </c>
      <c r="AB1801" s="4">
        <f t="shared" si="115"/>
        <v>13.946737554592866</v>
      </c>
    </row>
    <row r="1802" spans="2:28" x14ac:dyDescent="0.2">
      <c r="B1802" s="4" t="s">
        <v>1237</v>
      </c>
      <c r="C1802" s="4">
        <v>13.844099999999999</v>
      </c>
      <c r="D1802" s="4">
        <v>14.094900000000001</v>
      </c>
      <c r="E1802" s="4">
        <v>14.025600000000001</v>
      </c>
      <c r="F1802" s="4">
        <f t="shared" si="112"/>
        <v>13.988200000000001</v>
      </c>
      <c r="I1802" s="4" t="s">
        <v>920</v>
      </c>
      <c r="J1802" s="4">
        <v>13.4244</v>
      </c>
      <c r="K1802" s="4">
        <v>15.266999999999999</v>
      </c>
      <c r="L1802" s="4">
        <v>13.3072</v>
      </c>
      <c r="M1802" s="4">
        <f t="shared" si="113"/>
        <v>13.999533333333334</v>
      </c>
      <c r="Q1802" s="43" t="s">
        <v>4103</v>
      </c>
      <c r="R1802" s="4">
        <v>13.813947123325001</v>
      </c>
      <c r="S1802" s="4">
        <v>13.688065334998001</v>
      </c>
      <c r="T1802" s="4">
        <v>13.884061936725899</v>
      </c>
      <c r="U1802" s="4">
        <f t="shared" si="114"/>
        <v>13.795358131682967</v>
      </c>
      <c r="X1802" s="43" t="s">
        <v>1932</v>
      </c>
      <c r="Y1802" s="4">
        <v>13.8628508087396</v>
      </c>
      <c r="Z1802" s="4">
        <v>14.0038312595879</v>
      </c>
      <c r="AA1802" s="4">
        <v>13.967905229811</v>
      </c>
      <c r="AB1802" s="4">
        <f t="shared" si="115"/>
        <v>13.944862432712833</v>
      </c>
    </row>
    <row r="1803" spans="2:28" x14ac:dyDescent="0.2">
      <c r="B1803" s="4" t="s">
        <v>3405</v>
      </c>
      <c r="C1803" s="4">
        <v>14.043900000000001</v>
      </c>
      <c r="D1803" s="4">
        <v>13.953099999999999</v>
      </c>
      <c r="E1803" s="4">
        <v>13.963699999999999</v>
      </c>
      <c r="F1803" s="4">
        <f t="shared" si="112"/>
        <v>13.9869</v>
      </c>
      <c r="I1803" s="4" t="s">
        <v>3396</v>
      </c>
      <c r="J1803" s="4">
        <v>13.8902</v>
      </c>
      <c r="K1803" s="4">
        <v>14.561400000000001</v>
      </c>
      <c r="L1803" s="4">
        <v>13.546099999999999</v>
      </c>
      <c r="M1803" s="4">
        <f t="shared" si="113"/>
        <v>13.999233333333331</v>
      </c>
      <c r="Q1803" s="43" t="s">
        <v>1539</v>
      </c>
      <c r="R1803" s="4">
        <v>13.8955439145388</v>
      </c>
      <c r="S1803" s="4">
        <v>13.5872460445068</v>
      </c>
      <c r="T1803" s="4">
        <v>13.8979453638023</v>
      </c>
      <c r="U1803" s="4">
        <f t="shared" si="114"/>
        <v>13.793578440949299</v>
      </c>
      <c r="X1803" s="43" t="s">
        <v>2104</v>
      </c>
      <c r="Y1803" s="4">
        <v>14.0084583268295</v>
      </c>
      <c r="Z1803" s="4">
        <v>13.8990982546577</v>
      </c>
      <c r="AA1803" s="4">
        <v>13.9246598278649</v>
      </c>
      <c r="AB1803" s="4">
        <f t="shared" si="115"/>
        <v>13.9440721364507</v>
      </c>
    </row>
    <row r="1804" spans="2:28" x14ac:dyDescent="0.2">
      <c r="B1804" s="4" t="s">
        <v>2585</v>
      </c>
      <c r="C1804" s="4">
        <v>14.085699999999999</v>
      </c>
      <c r="D1804" s="4">
        <v>14.015000000000001</v>
      </c>
      <c r="E1804" s="4">
        <v>13.857100000000001</v>
      </c>
      <c r="F1804" s="4">
        <f t="shared" si="112"/>
        <v>13.985933333333334</v>
      </c>
      <c r="I1804" s="4" t="s">
        <v>3525</v>
      </c>
      <c r="J1804" s="4">
        <v>14.021699999999999</v>
      </c>
      <c r="K1804" s="4">
        <v>13.9727</v>
      </c>
      <c r="L1804" s="4">
        <v>14.003299999999999</v>
      </c>
      <c r="M1804" s="4">
        <f t="shared" si="113"/>
        <v>13.999233333333331</v>
      </c>
      <c r="Q1804" s="43" t="s">
        <v>3989</v>
      </c>
      <c r="R1804" s="4">
        <v>13.7777200353244</v>
      </c>
      <c r="S1804" s="4">
        <v>13.7351022238637</v>
      </c>
      <c r="T1804" s="4">
        <v>13.861307866132501</v>
      </c>
      <c r="U1804" s="4">
        <f t="shared" si="114"/>
        <v>13.791376708440199</v>
      </c>
      <c r="X1804" s="43" t="s">
        <v>4005</v>
      </c>
      <c r="Y1804" s="4">
        <v>13.9649997173901</v>
      </c>
      <c r="Z1804" s="4">
        <v>13.915442788607701</v>
      </c>
      <c r="AA1804" s="4">
        <v>13.950350077887901</v>
      </c>
      <c r="AB1804" s="4">
        <f t="shared" si="115"/>
        <v>13.943597527961899</v>
      </c>
    </row>
    <row r="1805" spans="2:28" x14ac:dyDescent="0.2">
      <c r="B1805" s="4" t="s">
        <v>2771</v>
      </c>
      <c r="C1805" s="4">
        <v>14.0265</v>
      </c>
      <c r="D1805" s="4">
        <v>14.0852</v>
      </c>
      <c r="E1805" s="4">
        <v>13.839700000000001</v>
      </c>
      <c r="F1805" s="4">
        <f t="shared" si="112"/>
        <v>13.9838</v>
      </c>
      <c r="I1805" s="4" t="s">
        <v>3315</v>
      </c>
      <c r="J1805" s="4">
        <v>13.920400000000001</v>
      </c>
      <c r="K1805" s="4">
        <v>13.5664</v>
      </c>
      <c r="L1805" s="4">
        <v>14.507400000000001</v>
      </c>
      <c r="M1805" s="4">
        <f t="shared" si="113"/>
        <v>13.998066666666668</v>
      </c>
      <c r="Q1805" s="43" t="s">
        <v>2704</v>
      </c>
      <c r="R1805" s="4">
        <v>13.5542338721853</v>
      </c>
      <c r="S1805" s="4">
        <v>13.9343126749039</v>
      </c>
      <c r="T1805" s="4">
        <v>13.881787864146499</v>
      </c>
      <c r="U1805" s="4">
        <f t="shared" si="114"/>
        <v>13.790111470411901</v>
      </c>
      <c r="X1805" s="43" t="s">
        <v>1822</v>
      </c>
      <c r="Y1805" s="4">
        <v>13.9142498105094</v>
      </c>
      <c r="Z1805" s="4">
        <v>14.0472957320577</v>
      </c>
      <c r="AA1805" s="4">
        <v>13.8669925963141</v>
      </c>
      <c r="AB1805" s="4">
        <f t="shared" si="115"/>
        <v>13.942846046293733</v>
      </c>
    </row>
    <row r="1806" spans="2:28" x14ac:dyDescent="0.2">
      <c r="B1806" s="4" t="s">
        <v>3746</v>
      </c>
      <c r="C1806" s="4">
        <v>13.712400000000001</v>
      </c>
      <c r="D1806" s="4">
        <v>14.1256</v>
      </c>
      <c r="E1806" s="4">
        <v>14.1122</v>
      </c>
      <c r="F1806" s="4">
        <f t="shared" si="112"/>
        <v>13.983400000000001</v>
      </c>
      <c r="I1806" s="4" t="s">
        <v>591</v>
      </c>
      <c r="J1806" s="4">
        <v>13.9077</v>
      </c>
      <c r="K1806" s="4">
        <v>14.208500000000001</v>
      </c>
      <c r="L1806" s="4">
        <v>13.8743</v>
      </c>
      <c r="M1806" s="4">
        <f t="shared" si="113"/>
        <v>13.996833333333333</v>
      </c>
      <c r="Q1806" s="43" t="s">
        <v>1429</v>
      </c>
      <c r="R1806" s="4">
        <v>13.838667458782099</v>
      </c>
      <c r="S1806" s="4">
        <v>13.8400805977645</v>
      </c>
      <c r="T1806" s="4">
        <v>13.6915561073689</v>
      </c>
      <c r="U1806" s="4">
        <f t="shared" si="114"/>
        <v>13.790101387971832</v>
      </c>
      <c r="X1806" s="43" t="s">
        <v>78</v>
      </c>
      <c r="Y1806" s="4">
        <v>13.8300725944486</v>
      </c>
      <c r="Z1806" s="4">
        <v>13.834860314112101</v>
      </c>
      <c r="AA1806" s="4">
        <v>14.1542579748125</v>
      </c>
      <c r="AB1806" s="4">
        <f t="shared" si="115"/>
        <v>13.939730294457734</v>
      </c>
    </row>
    <row r="1807" spans="2:28" x14ac:dyDescent="0.2">
      <c r="B1807" s="4" t="s">
        <v>3583</v>
      </c>
      <c r="C1807" s="4">
        <v>14.2302</v>
      </c>
      <c r="D1807" s="4">
        <v>14.000999999999999</v>
      </c>
      <c r="E1807" s="4">
        <v>13.717000000000001</v>
      </c>
      <c r="F1807" s="4">
        <f t="shared" si="112"/>
        <v>13.982733333333334</v>
      </c>
      <c r="I1807" s="4" t="s">
        <v>2847</v>
      </c>
      <c r="J1807" s="4">
        <v>13.3925</v>
      </c>
      <c r="K1807" s="4">
        <v>14.457000000000001</v>
      </c>
      <c r="L1807" s="4">
        <v>14.137600000000001</v>
      </c>
      <c r="M1807" s="4">
        <f t="shared" si="113"/>
        <v>13.995699999999999</v>
      </c>
      <c r="Q1807" s="43" t="s">
        <v>1822</v>
      </c>
      <c r="R1807" s="4">
        <v>13.779814272502099</v>
      </c>
      <c r="S1807" s="4">
        <v>13.8637661394086</v>
      </c>
      <c r="T1807" s="4">
        <v>13.7247255089262</v>
      </c>
      <c r="U1807" s="4">
        <f t="shared" si="114"/>
        <v>13.789435306945633</v>
      </c>
      <c r="X1807" s="43" t="s">
        <v>239</v>
      </c>
      <c r="Y1807" s="4">
        <v>14.0073667473005</v>
      </c>
      <c r="Z1807" s="4">
        <v>13.9028925825027</v>
      </c>
      <c r="AA1807" s="4">
        <v>13.9038413236594</v>
      </c>
      <c r="AB1807" s="4">
        <f t="shared" si="115"/>
        <v>13.9380335511542</v>
      </c>
    </row>
    <row r="1808" spans="2:28" x14ac:dyDescent="0.2">
      <c r="B1808" s="4" t="s">
        <v>4041</v>
      </c>
      <c r="C1808" s="4">
        <v>14.0871</v>
      </c>
      <c r="D1808" s="4">
        <v>13.861700000000001</v>
      </c>
      <c r="E1808" s="4">
        <v>13.9984</v>
      </c>
      <c r="F1808" s="4">
        <f t="shared" si="112"/>
        <v>13.982399999999998</v>
      </c>
      <c r="I1808" s="4" t="s">
        <v>1045</v>
      </c>
      <c r="J1808" s="4">
        <v>12.7973</v>
      </c>
      <c r="K1808" s="4">
        <v>15.6691</v>
      </c>
      <c r="L1808" s="4">
        <v>13.519500000000001</v>
      </c>
      <c r="M1808" s="4">
        <f t="shared" si="113"/>
        <v>13.9953</v>
      </c>
      <c r="Q1808" s="43" t="s">
        <v>2053</v>
      </c>
      <c r="R1808" s="4">
        <v>13.6292986240638</v>
      </c>
      <c r="S1808" s="4">
        <v>14.213535556809999</v>
      </c>
      <c r="T1808" s="4">
        <v>13.5223910143611</v>
      </c>
      <c r="U1808" s="4">
        <f t="shared" si="114"/>
        <v>13.788408398411633</v>
      </c>
      <c r="X1808" s="43" t="s">
        <v>1582</v>
      </c>
      <c r="Y1808" s="4">
        <v>13.992846431697499</v>
      </c>
      <c r="Z1808" s="4">
        <v>14.117734415680101</v>
      </c>
      <c r="AA1808" s="4">
        <v>13.700866511172199</v>
      </c>
      <c r="AB1808" s="4">
        <f t="shared" si="115"/>
        <v>13.937149119516599</v>
      </c>
    </row>
    <row r="1809" spans="2:28" x14ac:dyDescent="0.2">
      <c r="B1809" s="4" t="s">
        <v>249</v>
      </c>
      <c r="C1809" s="4">
        <v>13.999700000000001</v>
      </c>
      <c r="D1809" s="4">
        <v>13.967599999999999</v>
      </c>
      <c r="E1809" s="4">
        <v>13.977399999999999</v>
      </c>
      <c r="F1809" s="4">
        <f t="shared" si="112"/>
        <v>13.981566666666666</v>
      </c>
      <c r="I1809" s="4" t="s">
        <v>2734</v>
      </c>
      <c r="J1809" s="4">
        <v>14.027200000000001</v>
      </c>
      <c r="K1809" s="4">
        <v>13.880699999999999</v>
      </c>
      <c r="L1809" s="4">
        <v>14.072800000000001</v>
      </c>
      <c r="M1809" s="4">
        <f t="shared" si="113"/>
        <v>13.993566666666666</v>
      </c>
      <c r="Q1809" s="43" t="s">
        <v>473</v>
      </c>
      <c r="R1809" s="4">
        <v>13.7468434918179</v>
      </c>
      <c r="S1809" s="4">
        <v>13.8485740841933</v>
      </c>
      <c r="T1809" s="4">
        <v>13.765467910091701</v>
      </c>
      <c r="U1809" s="4">
        <f t="shared" si="114"/>
        <v>13.786961828700967</v>
      </c>
      <c r="X1809" s="43" t="s">
        <v>360</v>
      </c>
      <c r="Y1809" s="4">
        <v>13.897016124902301</v>
      </c>
      <c r="Z1809" s="4">
        <v>14.042297819652701</v>
      </c>
      <c r="AA1809" s="4">
        <v>13.869174689484399</v>
      </c>
      <c r="AB1809" s="4">
        <f t="shared" si="115"/>
        <v>13.936162878013135</v>
      </c>
    </row>
    <row r="1810" spans="2:28" x14ac:dyDescent="0.2">
      <c r="B1810" s="4" t="s">
        <v>195</v>
      </c>
      <c r="C1810" s="4">
        <v>14.055099999999999</v>
      </c>
      <c r="D1810" s="4">
        <v>13.7965</v>
      </c>
      <c r="E1810" s="4">
        <v>14.093</v>
      </c>
      <c r="F1810" s="4">
        <f t="shared" si="112"/>
        <v>13.981533333333331</v>
      </c>
      <c r="I1810" s="4" t="s">
        <v>3269</v>
      </c>
      <c r="J1810" s="4">
        <v>14.3226</v>
      </c>
      <c r="K1810" s="4">
        <v>13.2957</v>
      </c>
      <c r="L1810" s="4">
        <v>14.3592</v>
      </c>
      <c r="M1810" s="4">
        <f t="shared" si="113"/>
        <v>13.9925</v>
      </c>
      <c r="Q1810" s="43" t="s">
        <v>562</v>
      </c>
      <c r="R1810" s="4">
        <v>14.037708796050101</v>
      </c>
      <c r="S1810" s="4">
        <v>13.5181208692312</v>
      </c>
      <c r="T1810" s="4">
        <v>13.8018715160601</v>
      </c>
      <c r="U1810" s="4">
        <f t="shared" si="114"/>
        <v>13.785900393780466</v>
      </c>
      <c r="X1810" s="43" t="s">
        <v>200</v>
      </c>
      <c r="Y1810" s="4">
        <v>14.0463979048263</v>
      </c>
      <c r="Z1810" s="4">
        <v>13.900048678241401</v>
      </c>
      <c r="AA1810" s="4">
        <v>13.8603918479062</v>
      </c>
      <c r="AB1810" s="4">
        <f t="shared" si="115"/>
        <v>13.935612810324633</v>
      </c>
    </row>
    <row r="1811" spans="2:28" x14ac:dyDescent="0.2">
      <c r="B1811" s="4" t="s">
        <v>2932</v>
      </c>
      <c r="C1811" s="4">
        <v>13.9894</v>
      </c>
      <c r="D1811" s="4">
        <v>13.836</v>
      </c>
      <c r="E1811" s="4">
        <v>14.1191</v>
      </c>
      <c r="F1811" s="4">
        <f t="shared" si="112"/>
        <v>13.981500000000002</v>
      </c>
      <c r="I1811" s="4" t="s">
        <v>2482</v>
      </c>
      <c r="J1811" s="4">
        <v>14.4339</v>
      </c>
      <c r="K1811" s="4">
        <v>13.314399999999999</v>
      </c>
      <c r="L1811" s="4">
        <v>14.226000000000001</v>
      </c>
      <c r="M1811" s="4">
        <f t="shared" si="113"/>
        <v>13.991433333333333</v>
      </c>
      <c r="Q1811" s="43" t="s">
        <v>3470</v>
      </c>
      <c r="R1811" s="4">
        <v>13.761655257825</v>
      </c>
      <c r="S1811" s="4">
        <v>13.796228287636501</v>
      </c>
      <c r="T1811" s="4">
        <v>13.798569624470099</v>
      </c>
      <c r="U1811" s="4">
        <f t="shared" si="114"/>
        <v>13.785484389977199</v>
      </c>
      <c r="X1811" s="43" t="s">
        <v>1073</v>
      </c>
      <c r="Y1811" s="4">
        <v>13.833651088103601</v>
      </c>
      <c r="Z1811" s="4">
        <v>14.0120661272835</v>
      </c>
      <c r="AA1811" s="4">
        <v>13.960332828694201</v>
      </c>
      <c r="AB1811" s="4">
        <f t="shared" si="115"/>
        <v>13.935350014693768</v>
      </c>
    </row>
    <row r="1812" spans="2:28" x14ac:dyDescent="0.2">
      <c r="B1812" s="4" t="s">
        <v>3679</v>
      </c>
      <c r="C1812" s="4">
        <v>14.013400000000001</v>
      </c>
      <c r="D1812" s="4">
        <v>13.985900000000001</v>
      </c>
      <c r="E1812" s="4">
        <v>13.944599999999999</v>
      </c>
      <c r="F1812" s="4">
        <f t="shared" si="112"/>
        <v>13.981299999999999</v>
      </c>
      <c r="I1812" s="4" t="s">
        <v>3450</v>
      </c>
      <c r="J1812" s="4">
        <v>13.9252</v>
      </c>
      <c r="K1812" s="4">
        <v>14.1447</v>
      </c>
      <c r="L1812" s="4">
        <v>13.8912</v>
      </c>
      <c r="M1812" s="4">
        <f t="shared" si="113"/>
        <v>13.987033333333335</v>
      </c>
      <c r="Q1812" s="43" t="s">
        <v>917</v>
      </c>
      <c r="R1812" s="4">
        <v>13.527141532253101</v>
      </c>
      <c r="S1812" s="4">
        <v>13.690332575463</v>
      </c>
      <c r="T1812" s="4">
        <v>14.1346264225763</v>
      </c>
      <c r="U1812" s="4">
        <f t="shared" si="114"/>
        <v>13.784033510097467</v>
      </c>
      <c r="X1812" s="43" t="s">
        <v>1794</v>
      </c>
      <c r="Y1812" s="4">
        <v>13.970269741294199</v>
      </c>
      <c r="Z1812" s="4">
        <v>13.9074810206276</v>
      </c>
      <c r="AA1812" s="4">
        <v>13.9154195830638</v>
      </c>
      <c r="AB1812" s="4">
        <f t="shared" si="115"/>
        <v>13.931056781661866</v>
      </c>
    </row>
    <row r="1813" spans="2:28" x14ac:dyDescent="0.2">
      <c r="B1813" s="4" t="s">
        <v>2829</v>
      </c>
      <c r="C1813" s="4">
        <v>13.939500000000001</v>
      </c>
      <c r="D1813" s="4">
        <v>14.122</v>
      </c>
      <c r="E1813" s="4">
        <v>13.8813</v>
      </c>
      <c r="F1813" s="4">
        <f t="shared" si="112"/>
        <v>13.980933333333335</v>
      </c>
      <c r="I1813" s="4" t="s">
        <v>2514</v>
      </c>
      <c r="J1813" s="4">
        <v>14.363200000000001</v>
      </c>
      <c r="K1813" s="4">
        <v>13.2605</v>
      </c>
      <c r="L1813" s="4">
        <v>14.3262</v>
      </c>
      <c r="M1813" s="4">
        <f t="shared" si="113"/>
        <v>13.9833</v>
      </c>
      <c r="Q1813" s="43" t="s">
        <v>3498</v>
      </c>
      <c r="R1813" s="4">
        <v>13.642335587100501</v>
      </c>
      <c r="S1813" s="4">
        <v>13.7313116168178</v>
      </c>
      <c r="T1813" s="4">
        <v>13.972638068886701</v>
      </c>
      <c r="U1813" s="4">
        <f t="shared" si="114"/>
        <v>13.782095090935002</v>
      </c>
      <c r="X1813" s="43" t="s">
        <v>3619</v>
      </c>
      <c r="Y1813" s="4">
        <v>14.002209641604299</v>
      </c>
      <c r="Z1813" s="4">
        <v>13.839654975554399</v>
      </c>
      <c r="AA1813" s="4">
        <v>13.9468434861519</v>
      </c>
      <c r="AB1813" s="4">
        <f t="shared" si="115"/>
        <v>13.929569367770199</v>
      </c>
    </row>
    <row r="1814" spans="2:28" x14ac:dyDescent="0.2">
      <c r="B1814" s="4" t="s">
        <v>1795</v>
      </c>
      <c r="C1814" s="4">
        <v>14.134499999999999</v>
      </c>
      <c r="D1814" s="4">
        <v>14.242699999999999</v>
      </c>
      <c r="E1814" s="4">
        <v>13.561500000000001</v>
      </c>
      <c r="F1814" s="4">
        <f t="shared" si="112"/>
        <v>13.979566666666665</v>
      </c>
      <c r="I1814" s="4" t="s">
        <v>2416</v>
      </c>
      <c r="J1814" s="4">
        <v>14.1439</v>
      </c>
      <c r="K1814" s="4">
        <v>13.6069</v>
      </c>
      <c r="L1814" s="4">
        <v>14.1915</v>
      </c>
      <c r="M1814" s="4">
        <f t="shared" si="113"/>
        <v>13.980766666666666</v>
      </c>
      <c r="Q1814" s="43" t="s">
        <v>2834</v>
      </c>
      <c r="R1814" s="4">
        <v>13.9103479944418</v>
      </c>
      <c r="S1814" s="4">
        <v>13.7717458242894</v>
      </c>
      <c r="T1814" s="4">
        <v>13.6627364318734</v>
      </c>
      <c r="U1814" s="4">
        <f t="shared" si="114"/>
        <v>13.781610083534867</v>
      </c>
      <c r="X1814" s="43" t="s">
        <v>3781</v>
      </c>
      <c r="Y1814" s="4">
        <v>13.733728615457</v>
      </c>
      <c r="Z1814" s="4">
        <v>14.0367777119891</v>
      </c>
      <c r="AA1814" s="4">
        <v>14.0138309602726</v>
      </c>
      <c r="AB1814" s="4">
        <f t="shared" si="115"/>
        <v>13.928112429239567</v>
      </c>
    </row>
    <row r="1815" spans="2:28" x14ac:dyDescent="0.2">
      <c r="B1815" s="4" t="s">
        <v>2821</v>
      </c>
      <c r="C1815" s="4">
        <v>14.1807</v>
      </c>
      <c r="D1815" s="4">
        <v>14.002700000000001</v>
      </c>
      <c r="E1815" s="4">
        <v>13.7471</v>
      </c>
      <c r="F1815" s="4">
        <f t="shared" si="112"/>
        <v>13.976833333333332</v>
      </c>
      <c r="I1815" s="4" t="s">
        <v>3337</v>
      </c>
      <c r="J1815" s="4">
        <v>13.571999999999999</v>
      </c>
      <c r="K1815" s="4">
        <v>14.5496</v>
      </c>
      <c r="L1815" s="4">
        <v>13.8172</v>
      </c>
      <c r="M1815" s="4">
        <f t="shared" si="113"/>
        <v>13.9796</v>
      </c>
      <c r="Q1815" s="43" t="s">
        <v>1475</v>
      </c>
      <c r="R1815" s="4">
        <v>13.507168716237199</v>
      </c>
      <c r="S1815" s="4">
        <v>13.819914689555199</v>
      </c>
      <c r="T1815" s="4">
        <v>14.0104570218686</v>
      </c>
      <c r="U1815" s="4">
        <f t="shared" si="114"/>
        <v>13.779180142553665</v>
      </c>
      <c r="X1815" s="43" t="s">
        <v>2905</v>
      </c>
      <c r="Y1815" s="4">
        <v>13.9194349997811</v>
      </c>
      <c r="Z1815" s="4">
        <v>13.9315638742142</v>
      </c>
      <c r="AA1815" s="4">
        <v>13.9321309952565</v>
      </c>
      <c r="AB1815" s="4">
        <f t="shared" si="115"/>
        <v>13.927709956417267</v>
      </c>
    </row>
    <row r="1816" spans="2:28" x14ac:dyDescent="0.2">
      <c r="B1816" s="4" t="s">
        <v>1545</v>
      </c>
      <c r="C1816" s="4">
        <v>12.952299999999999</v>
      </c>
      <c r="D1816" s="4">
        <v>13.410600000000001</v>
      </c>
      <c r="E1816" s="4">
        <v>15.5663</v>
      </c>
      <c r="F1816" s="4">
        <f t="shared" si="112"/>
        <v>13.9764</v>
      </c>
      <c r="I1816" s="4" t="s">
        <v>3629</v>
      </c>
      <c r="J1816" s="4">
        <v>13.445499999999999</v>
      </c>
      <c r="K1816" s="4">
        <v>14.173500000000001</v>
      </c>
      <c r="L1816" s="4">
        <v>14.3177</v>
      </c>
      <c r="M1816" s="4">
        <f t="shared" si="113"/>
        <v>13.978900000000001</v>
      </c>
      <c r="Q1816" s="43" t="s">
        <v>2333</v>
      </c>
      <c r="R1816" s="4">
        <v>13.7543931074682</v>
      </c>
      <c r="S1816" s="4">
        <v>13.6661968787276</v>
      </c>
      <c r="T1816" s="4">
        <v>13.9033361488419</v>
      </c>
      <c r="U1816" s="4">
        <f t="shared" si="114"/>
        <v>13.774642045012568</v>
      </c>
      <c r="X1816" s="43" t="s">
        <v>1644</v>
      </c>
      <c r="Y1816" s="4">
        <v>14.025253634496501</v>
      </c>
      <c r="Z1816" s="4">
        <v>13.8954103640058</v>
      </c>
      <c r="AA1816" s="4">
        <v>13.859902876810001</v>
      </c>
      <c r="AB1816" s="4">
        <f t="shared" si="115"/>
        <v>13.926855625104102</v>
      </c>
    </row>
    <row r="1817" spans="2:28" x14ac:dyDescent="0.2">
      <c r="B1817" s="4" t="s">
        <v>3733</v>
      </c>
      <c r="C1817" s="4">
        <v>13.621</v>
      </c>
      <c r="D1817" s="4">
        <v>13.9008</v>
      </c>
      <c r="E1817" s="4">
        <v>14.4064</v>
      </c>
      <c r="F1817" s="4">
        <f t="shared" si="112"/>
        <v>13.976066666666666</v>
      </c>
      <c r="I1817" s="4" t="s">
        <v>1262</v>
      </c>
      <c r="J1817" s="4">
        <v>13.8865</v>
      </c>
      <c r="K1817" s="4">
        <v>14.267099999999999</v>
      </c>
      <c r="L1817" s="4">
        <v>13.774900000000001</v>
      </c>
      <c r="M1817" s="4">
        <f t="shared" si="113"/>
        <v>13.976166666666666</v>
      </c>
      <c r="Q1817" s="43" t="s">
        <v>2548</v>
      </c>
      <c r="R1817" s="4">
        <v>13.9558168134682</v>
      </c>
      <c r="S1817" s="4">
        <v>13.833564471213</v>
      </c>
      <c r="T1817" s="4">
        <v>13.522455920781599</v>
      </c>
      <c r="U1817" s="4">
        <f t="shared" si="114"/>
        <v>13.770612401820932</v>
      </c>
      <c r="X1817" s="43" t="s">
        <v>3968</v>
      </c>
      <c r="Y1817" s="4">
        <v>13.794384924150201</v>
      </c>
      <c r="Z1817" s="4">
        <v>13.8605055864563</v>
      </c>
      <c r="AA1817" s="4">
        <v>14.1247454471506</v>
      </c>
      <c r="AB1817" s="4">
        <f t="shared" si="115"/>
        <v>13.926545319252368</v>
      </c>
    </row>
    <row r="1818" spans="2:28" x14ac:dyDescent="0.2">
      <c r="B1818" s="4" t="s">
        <v>2356</v>
      </c>
      <c r="C1818" s="4">
        <v>14.0076</v>
      </c>
      <c r="D1818" s="4">
        <v>13.9682</v>
      </c>
      <c r="E1818" s="4">
        <v>13.939299999999999</v>
      </c>
      <c r="F1818" s="4">
        <f t="shared" si="112"/>
        <v>13.971699999999998</v>
      </c>
      <c r="I1818" s="4" t="s">
        <v>761</v>
      </c>
      <c r="J1818" s="4">
        <v>13.7925</v>
      </c>
      <c r="K1818" s="4">
        <v>14.4641</v>
      </c>
      <c r="L1818" s="4">
        <v>13.671799999999999</v>
      </c>
      <c r="M1818" s="4">
        <f t="shared" si="113"/>
        <v>13.976133333333332</v>
      </c>
      <c r="Q1818" s="43" t="s">
        <v>842</v>
      </c>
      <c r="R1818" s="4">
        <v>13.506431934904001</v>
      </c>
      <c r="S1818" s="4">
        <v>13.7327476741994</v>
      </c>
      <c r="T1818" s="4">
        <v>14.0712033555772</v>
      </c>
      <c r="U1818" s="4">
        <f t="shared" si="114"/>
        <v>13.770127654893534</v>
      </c>
      <c r="X1818" s="43" t="s">
        <v>2883</v>
      </c>
      <c r="Y1818" s="4">
        <v>13.6084969400028</v>
      </c>
      <c r="Z1818" s="4">
        <v>13.851891796550801</v>
      </c>
      <c r="AA1818" s="4">
        <v>14.3183260672171</v>
      </c>
      <c r="AB1818" s="4">
        <f t="shared" si="115"/>
        <v>13.926238267923566</v>
      </c>
    </row>
    <row r="1819" spans="2:28" x14ac:dyDescent="0.2">
      <c r="B1819" s="4" t="s">
        <v>336</v>
      </c>
      <c r="C1819" s="4">
        <v>14.113200000000001</v>
      </c>
      <c r="D1819" s="4">
        <v>14.063000000000001</v>
      </c>
      <c r="E1819" s="4">
        <v>13.7348</v>
      </c>
      <c r="F1819" s="4">
        <f t="shared" si="112"/>
        <v>13.970333333333334</v>
      </c>
      <c r="I1819" s="4" t="s">
        <v>2301</v>
      </c>
      <c r="J1819" s="4">
        <v>14.215</v>
      </c>
      <c r="K1819" s="4">
        <v>13.563700000000001</v>
      </c>
      <c r="L1819" s="4">
        <v>14.142799999999999</v>
      </c>
      <c r="M1819" s="4">
        <f t="shared" si="113"/>
        <v>13.973833333333333</v>
      </c>
      <c r="Q1819" s="43" t="s">
        <v>3335</v>
      </c>
      <c r="R1819" s="4">
        <v>13.9248039805038</v>
      </c>
      <c r="S1819" s="4">
        <v>13.561099087216901</v>
      </c>
      <c r="T1819" s="4">
        <v>13.822216799100101</v>
      </c>
      <c r="U1819" s="4">
        <f t="shared" si="114"/>
        <v>13.769373288940267</v>
      </c>
      <c r="X1819" s="43" t="s">
        <v>3588</v>
      </c>
      <c r="Y1819" s="4">
        <v>14.1331920886169</v>
      </c>
      <c r="Z1819" s="4">
        <v>13.699394930643599</v>
      </c>
      <c r="AA1819" s="4">
        <v>13.9436066156686</v>
      </c>
      <c r="AB1819" s="4">
        <f t="shared" si="115"/>
        <v>13.925397878309701</v>
      </c>
    </row>
    <row r="1820" spans="2:28" x14ac:dyDescent="0.2">
      <c r="B1820" s="4" t="s">
        <v>2653</v>
      </c>
      <c r="C1820" s="4">
        <v>13.875</v>
      </c>
      <c r="D1820" s="4">
        <v>14.1182</v>
      </c>
      <c r="E1820" s="4">
        <v>13.9107</v>
      </c>
      <c r="F1820" s="4">
        <f t="shared" si="112"/>
        <v>13.967966666666667</v>
      </c>
      <c r="I1820" s="4" t="s">
        <v>1028</v>
      </c>
      <c r="J1820" s="4">
        <v>14.2316</v>
      </c>
      <c r="K1820" s="4">
        <v>13.615</v>
      </c>
      <c r="L1820" s="4">
        <v>14.0661</v>
      </c>
      <c r="M1820" s="4">
        <f t="shared" si="113"/>
        <v>13.9709</v>
      </c>
      <c r="Q1820" s="43" t="s">
        <v>2549</v>
      </c>
      <c r="R1820" s="4">
        <v>13.763019286238301</v>
      </c>
      <c r="S1820" s="4">
        <v>13.7258410998445</v>
      </c>
      <c r="T1820" s="4">
        <v>13.8133027558313</v>
      </c>
      <c r="U1820" s="4">
        <f t="shared" si="114"/>
        <v>13.767387713971367</v>
      </c>
      <c r="X1820" s="43" t="s">
        <v>762</v>
      </c>
      <c r="Y1820" s="4">
        <v>13.9337400083362</v>
      </c>
      <c r="Z1820" s="4">
        <v>13.7705088672753</v>
      </c>
      <c r="AA1820" s="4">
        <v>14.0629561875134</v>
      </c>
      <c r="AB1820" s="4">
        <f t="shared" si="115"/>
        <v>13.9224016877083</v>
      </c>
    </row>
    <row r="1821" spans="2:28" x14ac:dyDescent="0.2">
      <c r="B1821" s="4" t="s">
        <v>2072</v>
      </c>
      <c r="C1821" s="4">
        <v>14.5425</v>
      </c>
      <c r="D1821" s="4">
        <v>13.6432</v>
      </c>
      <c r="E1821" s="4">
        <v>13.699199999999999</v>
      </c>
      <c r="F1821" s="4">
        <f t="shared" si="112"/>
        <v>13.961633333333333</v>
      </c>
      <c r="I1821" s="4" t="s">
        <v>2323</v>
      </c>
      <c r="J1821" s="4">
        <v>14.12</v>
      </c>
      <c r="K1821" s="4">
        <v>13.782299999999999</v>
      </c>
      <c r="L1821" s="4">
        <v>14.0052</v>
      </c>
      <c r="M1821" s="4">
        <f t="shared" si="113"/>
        <v>13.969166666666666</v>
      </c>
      <c r="Q1821" s="43" t="s">
        <v>2868</v>
      </c>
      <c r="R1821" s="4">
        <v>13.8271149506862</v>
      </c>
      <c r="S1821" s="4">
        <v>13.661416459991599</v>
      </c>
      <c r="T1821" s="4">
        <v>13.807550169357</v>
      </c>
      <c r="U1821" s="4">
        <f t="shared" si="114"/>
        <v>13.765360526678267</v>
      </c>
      <c r="X1821" s="43" t="s">
        <v>2833</v>
      </c>
      <c r="Y1821" s="4">
        <v>13.9269628587338</v>
      </c>
      <c r="Z1821" s="4">
        <v>13.9279403833118</v>
      </c>
      <c r="AA1821" s="4">
        <v>13.9027498434916</v>
      </c>
      <c r="AB1821" s="4">
        <f t="shared" si="115"/>
        <v>13.919217695179066</v>
      </c>
    </row>
    <row r="1822" spans="2:28" x14ac:dyDescent="0.2">
      <c r="B1822" s="4" t="s">
        <v>1767</v>
      </c>
      <c r="C1822" s="4">
        <v>14.2318</v>
      </c>
      <c r="D1822" s="4">
        <v>14.006600000000001</v>
      </c>
      <c r="E1822" s="4">
        <v>13.6455</v>
      </c>
      <c r="F1822" s="4">
        <f t="shared" si="112"/>
        <v>13.9613</v>
      </c>
      <c r="I1822" s="4" t="s">
        <v>2934</v>
      </c>
      <c r="J1822" s="4">
        <v>12.1608</v>
      </c>
      <c r="K1822" s="4">
        <v>15.8536</v>
      </c>
      <c r="L1822" s="4">
        <v>13.8879</v>
      </c>
      <c r="M1822" s="4">
        <f t="shared" si="113"/>
        <v>13.967433333333334</v>
      </c>
      <c r="Q1822" s="43" t="s">
        <v>2208</v>
      </c>
      <c r="R1822" s="4">
        <v>13.9938560158357</v>
      </c>
      <c r="S1822" s="4">
        <v>13.686812334591799</v>
      </c>
      <c r="T1822" s="4">
        <v>13.612510407898601</v>
      </c>
      <c r="U1822" s="4">
        <f t="shared" si="114"/>
        <v>13.764392919442033</v>
      </c>
      <c r="X1822" s="43" t="s">
        <v>4073</v>
      </c>
      <c r="Y1822" s="4">
        <v>13.8080081607214</v>
      </c>
      <c r="Z1822" s="4">
        <v>14.014389523788999</v>
      </c>
      <c r="AA1822" s="4">
        <v>13.931486825876499</v>
      </c>
      <c r="AB1822" s="4">
        <f t="shared" si="115"/>
        <v>13.917961503462299</v>
      </c>
    </row>
    <row r="1823" spans="2:28" x14ac:dyDescent="0.2">
      <c r="B1823" s="4" t="s">
        <v>2588</v>
      </c>
      <c r="C1823" s="4">
        <v>13.9726</v>
      </c>
      <c r="D1823" s="4">
        <v>13.892200000000001</v>
      </c>
      <c r="E1823" s="4">
        <v>14.0161</v>
      </c>
      <c r="F1823" s="4">
        <f t="shared" si="112"/>
        <v>13.960300000000002</v>
      </c>
      <c r="I1823" s="4" t="s">
        <v>3694</v>
      </c>
      <c r="J1823" s="4">
        <v>14.103899999999999</v>
      </c>
      <c r="K1823" s="4">
        <v>14.2134</v>
      </c>
      <c r="L1823" s="4">
        <v>13.574</v>
      </c>
      <c r="M1823" s="4">
        <f t="shared" si="113"/>
        <v>13.963766666666666</v>
      </c>
      <c r="Q1823" s="43" t="s">
        <v>946</v>
      </c>
      <c r="R1823" s="4">
        <v>13.8628078849249</v>
      </c>
      <c r="S1823" s="4">
        <v>13.8534774734094</v>
      </c>
      <c r="T1823" s="4">
        <v>13.574864464271201</v>
      </c>
      <c r="U1823" s="4">
        <f t="shared" si="114"/>
        <v>13.763716607535168</v>
      </c>
      <c r="X1823" s="43" t="s">
        <v>2521</v>
      </c>
      <c r="Y1823" s="4">
        <v>13.8682914953816</v>
      </c>
      <c r="Z1823" s="4">
        <v>14.117250148236799</v>
      </c>
      <c r="AA1823" s="4">
        <v>13.768274761016</v>
      </c>
      <c r="AB1823" s="4">
        <f t="shared" si="115"/>
        <v>13.9179388015448</v>
      </c>
    </row>
    <row r="1824" spans="2:28" x14ac:dyDescent="0.2">
      <c r="B1824" s="4" t="s">
        <v>3963</v>
      </c>
      <c r="C1824" s="4">
        <v>13.9916</v>
      </c>
      <c r="D1824" s="4">
        <v>13.8772</v>
      </c>
      <c r="E1824" s="4">
        <v>14.005800000000001</v>
      </c>
      <c r="F1824" s="4">
        <f t="shared" si="112"/>
        <v>13.9582</v>
      </c>
      <c r="I1824" s="4" t="s">
        <v>927</v>
      </c>
      <c r="J1824" s="4">
        <v>13.759600000000001</v>
      </c>
      <c r="K1824" s="4">
        <v>14.7552</v>
      </c>
      <c r="L1824" s="4">
        <v>13.376300000000001</v>
      </c>
      <c r="M1824" s="4">
        <f t="shared" si="113"/>
        <v>13.963700000000001</v>
      </c>
      <c r="Q1824" s="43" t="s">
        <v>3675</v>
      </c>
      <c r="R1824" s="4">
        <v>13.8255522579821</v>
      </c>
      <c r="S1824" s="4">
        <v>13.612095624182601</v>
      </c>
      <c r="T1824" s="4">
        <v>13.8489557954437</v>
      </c>
      <c r="U1824" s="4">
        <f t="shared" si="114"/>
        <v>13.762201225869466</v>
      </c>
      <c r="X1824" s="43" t="s">
        <v>3857</v>
      </c>
      <c r="Y1824" s="4">
        <v>14.012392141014599</v>
      </c>
      <c r="Z1824" s="4">
        <v>13.975691708022399</v>
      </c>
      <c r="AA1824" s="4">
        <v>13.757675117652401</v>
      </c>
      <c r="AB1824" s="4">
        <f t="shared" si="115"/>
        <v>13.915252988896464</v>
      </c>
    </row>
    <row r="1825" spans="2:28" x14ac:dyDescent="0.2">
      <c r="B1825" s="4" t="s">
        <v>129</v>
      </c>
      <c r="C1825" s="4">
        <v>13.7058</v>
      </c>
      <c r="D1825" s="4">
        <v>13.7973</v>
      </c>
      <c r="E1825" s="4">
        <v>14.3668</v>
      </c>
      <c r="F1825" s="4">
        <f t="shared" si="112"/>
        <v>13.956633333333334</v>
      </c>
      <c r="I1825" s="4" t="s">
        <v>571</v>
      </c>
      <c r="J1825" s="4">
        <v>13.6554</v>
      </c>
      <c r="K1825" s="4">
        <v>14.288399999999999</v>
      </c>
      <c r="L1825" s="4">
        <v>13.945600000000001</v>
      </c>
      <c r="M1825" s="4">
        <f t="shared" si="113"/>
        <v>13.963133333333333</v>
      </c>
      <c r="Q1825" s="43" t="s">
        <v>4058</v>
      </c>
      <c r="R1825" s="4">
        <v>13.756688761698801</v>
      </c>
      <c r="S1825" s="4">
        <v>13.803787558802</v>
      </c>
      <c r="T1825" s="4">
        <v>13.7237484720868</v>
      </c>
      <c r="U1825" s="4">
        <f t="shared" si="114"/>
        <v>13.761408264195866</v>
      </c>
      <c r="X1825" s="43" t="s">
        <v>1246</v>
      </c>
      <c r="Y1825" s="4">
        <v>13.873824143267599</v>
      </c>
      <c r="Z1825" s="4">
        <v>13.656984977400599</v>
      </c>
      <c r="AA1825" s="4">
        <v>14.2130787346315</v>
      </c>
      <c r="AB1825" s="4">
        <f t="shared" si="115"/>
        <v>13.914629285099899</v>
      </c>
    </row>
    <row r="1826" spans="2:28" x14ac:dyDescent="0.2">
      <c r="B1826" s="4" t="s">
        <v>2268</v>
      </c>
      <c r="C1826" s="4">
        <v>14.1577</v>
      </c>
      <c r="D1826" s="4">
        <v>13.7829</v>
      </c>
      <c r="E1826" s="4">
        <v>13.9246</v>
      </c>
      <c r="F1826" s="4">
        <f t="shared" si="112"/>
        <v>13.955066666666667</v>
      </c>
      <c r="I1826" s="4" t="s">
        <v>2843</v>
      </c>
      <c r="J1826" s="4">
        <v>14.0444</v>
      </c>
      <c r="K1826" s="4">
        <v>13.8413</v>
      </c>
      <c r="L1826" s="4">
        <v>14.001200000000001</v>
      </c>
      <c r="M1826" s="4">
        <f t="shared" si="113"/>
        <v>13.962299999999999</v>
      </c>
      <c r="Q1826" s="43" t="s">
        <v>3905</v>
      </c>
      <c r="R1826" s="4">
        <v>13.901909736933799</v>
      </c>
      <c r="S1826" s="4">
        <v>13.8216269475849</v>
      </c>
      <c r="T1826" s="4">
        <v>13.560381864040099</v>
      </c>
      <c r="U1826" s="4">
        <f t="shared" si="114"/>
        <v>13.761306182852934</v>
      </c>
      <c r="X1826" s="43" t="s">
        <v>4583</v>
      </c>
      <c r="Y1826" s="4">
        <v>13.9978476326772</v>
      </c>
      <c r="Z1826" s="4">
        <v>13.9915952041735</v>
      </c>
      <c r="AA1826" s="4">
        <v>13.7532440492731</v>
      </c>
      <c r="AB1826" s="4">
        <f t="shared" si="115"/>
        <v>13.914228962041266</v>
      </c>
    </row>
    <row r="1827" spans="2:28" x14ac:dyDescent="0.2">
      <c r="B1827" s="4" t="s">
        <v>3201</v>
      </c>
      <c r="C1827" s="4">
        <v>14.317</v>
      </c>
      <c r="D1827" s="4">
        <v>13.8934</v>
      </c>
      <c r="E1827" s="4">
        <v>13.652699999999999</v>
      </c>
      <c r="F1827" s="4">
        <f t="shared" si="112"/>
        <v>13.954366666666667</v>
      </c>
      <c r="I1827" s="4" t="s">
        <v>549</v>
      </c>
      <c r="J1827" s="4">
        <v>14.338100000000001</v>
      </c>
      <c r="K1827" s="4">
        <v>13.38</v>
      </c>
      <c r="L1827" s="4">
        <v>14.168699999999999</v>
      </c>
      <c r="M1827" s="4">
        <f t="shared" si="113"/>
        <v>13.962266666666666</v>
      </c>
      <c r="Q1827" s="43" t="s">
        <v>4024</v>
      </c>
      <c r="R1827" s="4">
        <v>13.783406810697199</v>
      </c>
      <c r="S1827" s="4">
        <v>13.7900588084898</v>
      </c>
      <c r="T1827" s="4">
        <v>13.7081100739112</v>
      </c>
      <c r="U1827" s="4">
        <f t="shared" si="114"/>
        <v>13.760525231032732</v>
      </c>
      <c r="X1827" s="43" t="s">
        <v>2506</v>
      </c>
      <c r="Y1827" s="4">
        <v>13.790359970573</v>
      </c>
      <c r="Z1827" s="4">
        <v>14.104684621613499</v>
      </c>
      <c r="AA1827" s="4">
        <v>13.8442506515944</v>
      </c>
      <c r="AB1827" s="4">
        <f t="shared" si="115"/>
        <v>13.913098414593634</v>
      </c>
    </row>
    <row r="1828" spans="2:28" x14ac:dyDescent="0.2">
      <c r="B1828" s="4" t="s">
        <v>3498</v>
      </c>
      <c r="C1828" s="4">
        <v>13.7498</v>
      </c>
      <c r="D1828" s="4">
        <v>14.0928</v>
      </c>
      <c r="E1828" s="4">
        <v>14.016</v>
      </c>
      <c r="F1828" s="4">
        <f t="shared" si="112"/>
        <v>13.952866666666667</v>
      </c>
      <c r="I1828" s="4" t="s">
        <v>2689</v>
      </c>
      <c r="J1828" s="4">
        <v>13.488099999999999</v>
      </c>
      <c r="K1828" s="4">
        <v>14.916700000000001</v>
      </c>
      <c r="L1828" s="4">
        <v>13.479900000000001</v>
      </c>
      <c r="M1828" s="4">
        <f t="shared" si="113"/>
        <v>13.961566666666668</v>
      </c>
      <c r="Q1828" s="43" t="s">
        <v>3085</v>
      </c>
      <c r="R1828" s="4">
        <v>13.921218380130201</v>
      </c>
      <c r="S1828" s="4">
        <v>13.7135083245347</v>
      </c>
      <c r="T1828" s="4">
        <v>13.6450824148323</v>
      </c>
      <c r="U1828" s="4">
        <f t="shared" si="114"/>
        <v>13.759936373165734</v>
      </c>
      <c r="X1828" s="43" t="s">
        <v>3366</v>
      </c>
      <c r="Y1828" s="4">
        <v>14.2123070602472</v>
      </c>
      <c r="Z1828" s="4">
        <v>14.400651841183199</v>
      </c>
      <c r="AA1828" s="4">
        <v>13.1248262881844</v>
      </c>
      <c r="AB1828" s="4">
        <f t="shared" si="115"/>
        <v>13.912595063204932</v>
      </c>
    </row>
    <row r="1829" spans="2:28" x14ac:dyDescent="0.2">
      <c r="B1829" s="4" t="s">
        <v>497</v>
      </c>
      <c r="C1829" s="4">
        <v>13.9739</v>
      </c>
      <c r="D1829" s="4">
        <v>13.8513</v>
      </c>
      <c r="E1829" s="4">
        <v>14.0305</v>
      </c>
      <c r="F1829" s="4">
        <f t="shared" si="112"/>
        <v>13.9519</v>
      </c>
      <c r="I1829" s="4" t="s">
        <v>529</v>
      </c>
      <c r="J1829" s="4">
        <v>14.127700000000001</v>
      </c>
      <c r="K1829" s="4">
        <v>13.6503</v>
      </c>
      <c r="L1829" s="4">
        <v>14.106400000000001</v>
      </c>
      <c r="M1829" s="4">
        <f t="shared" si="113"/>
        <v>13.961466666666666</v>
      </c>
      <c r="Q1829" s="43" t="s">
        <v>2255</v>
      </c>
      <c r="R1829" s="4">
        <v>13.9062494287412</v>
      </c>
      <c r="S1829" s="4">
        <v>13.296210136121299</v>
      </c>
      <c r="T1829" s="4">
        <v>14.076461704895999</v>
      </c>
      <c r="U1829" s="4">
        <f t="shared" si="114"/>
        <v>13.759640423252833</v>
      </c>
      <c r="X1829" s="43" t="s">
        <v>2192</v>
      </c>
      <c r="Y1829" s="4">
        <v>14.268407104526499</v>
      </c>
      <c r="Z1829" s="4">
        <v>14.0860191755082</v>
      </c>
      <c r="AA1829" s="4">
        <v>13.380587959661799</v>
      </c>
      <c r="AB1829" s="4">
        <f t="shared" si="115"/>
        <v>13.911671413232165</v>
      </c>
    </row>
    <row r="1830" spans="2:28" x14ac:dyDescent="0.2">
      <c r="B1830" s="4" t="s">
        <v>3639</v>
      </c>
      <c r="C1830" s="4">
        <v>14.1981</v>
      </c>
      <c r="D1830" s="4">
        <v>13.873100000000001</v>
      </c>
      <c r="E1830" s="4">
        <v>13.7736</v>
      </c>
      <c r="F1830" s="4">
        <f t="shared" si="112"/>
        <v>13.948266666666667</v>
      </c>
      <c r="I1830" s="4" t="s">
        <v>3334</v>
      </c>
      <c r="J1830" s="4">
        <v>13.944699999999999</v>
      </c>
      <c r="K1830" s="4">
        <v>13.5854</v>
      </c>
      <c r="L1830" s="4">
        <v>14.348599999999999</v>
      </c>
      <c r="M1830" s="4">
        <f t="shared" si="113"/>
        <v>13.959566666666666</v>
      </c>
      <c r="Q1830" s="43" t="s">
        <v>4359</v>
      </c>
      <c r="R1830" s="4">
        <v>13.9487703745632</v>
      </c>
      <c r="S1830" s="4">
        <v>13.742041341444001</v>
      </c>
      <c r="T1830" s="4">
        <v>13.5824275774282</v>
      </c>
      <c r="U1830" s="4">
        <f t="shared" si="114"/>
        <v>13.757746431145135</v>
      </c>
      <c r="X1830" s="43" t="s">
        <v>112</v>
      </c>
      <c r="Y1830" s="4">
        <v>13.9241051493987</v>
      </c>
      <c r="Z1830" s="4">
        <v>13.987663074788401</v>
      </c>
      <c r="AA1830" s="4">
        <v>13.8196276470957</v>
      </c>
      <c r="AB1830" s="4">
        <f t="shared" si="115"/>
        <v>13.9104652904276</v>
      </c>
    </row>
    <row r="1831" spans="2:28" x14ac:dyDescent="0.2">
      <c r="B1831" s="4" t="s">
        <v>2787</v>
      </c>
      <c r="C1831" s="4">
        <v>13.8217</v>
      </c>
      <c r="D1831" s="4">
        <v>13.9293</v>
      </c>
      <c r="E1831" s="4">
        <v>14.0914</v>
      </c>
      <c r="F1831" s="4">
        <f t="shared" si="112"/>
        <v>13.947466666666665</v>
      </c>
      <c r="I1831" s="4" t="s">
        <v>2145</v>
      </c>
      <c r="J1831" s="4">
        <v>14.2003</v>
      </c>
      <c r="K1831" s="4">
        <v>13.615399999999999</v>
      </c>
      <c r="L1831" s="4">
        <v>14.0625</v>
      </c>
      <c r="M1831" s="4">
        <f t="shared" si="113"/>
        <v>13.9594</v>
      </c>
      <c r="Q1831" s="43" t="s">
        <v>379</v>
      </c>
      <c r="R1831" s="4">
        <v>13.561549375747299</v>
      </c>
      <c r="S1831" s="4">
        <v>13.7554064044556</v>
      </c>
      <c r="T1831" s="4">
        <v>13.953901259894</v>
      </c>
      <c r="U1831" s="4">
        <f t="shared" si="114"/>
        <v>13.756952346698966</v>
      </c>
      <c r="X1831" s="43" t="s">
        <v>4012</v>
      </c>
      <c r="Y1831" s="4">
        <v>13.883994009568299</v>
      </c>
      <c r="Z1831" s="4">
        <v>13.8214026595527</v>
      </c>
      <c r="AA1831" s="4">
        <v>14.021387999315801</v>
      </c>
      <c r="AB1831" s="4">
        <f t="shared" si="115"/>
        <v>13.908928222812266</v>
      </c>
    </row>
    <row r="1832" spans="2:28" x14ac:dyDescent="0.2">
      <c r="B1832" s="4" t="s">
        <v>2968</v>
      </c>
      <c r="C1832" s="4">
        <v>13.6274</v>
      </c>
      <c r="D1832" s="4">
        <v>13.971</v>
      </c>
      <c r="E1832" s="4">
        <v>14.2431</v>
      </c>
      <c r="F1832" s="4">
        <f t="shared" si="112"/>
        <v>13.947166666666666</v>
      </c>
      <c r="I1832" s="4" t="s">
        <v>3903</v>
      </c>
      <c r="J1832" s="4">
        <v>14.15</v>
      </c>
      <c r="K1832" s="4">
        <v>13.292199999999999</v>
      </c>
      <c r="L1832" s="4">
        <v>14.433999999999999</v>
      </c>
      <c r="M1832" s="4">
        <f t="shared" si="113"/>
        <v>13.958733333333333</v>
      </c>
      <c r="Q1832" s="43" t="s">
        <v>80</v>
      </c>
      <c r="R1832" s="4">
        <v>13.633475558284699</v>
      </c>
      <c r="S1832" s="4">
        <v>13.6765706388589</v>
      </c>
      <c r="T1832" s="4">
        <v>13.9584448193354</v>
      </c>
      <c r="U1832" s="4">
        <f t="shared" si="114"/>
        <v>13.756163672159666</v>
      </c>
      <c r="X1832" s="43" t="s">
        <v>2044</v>
      </c>
      <c r="Y1832" s="4">
        <v>13.939695972791201</v>
      </c>
      <c r="Z1832" s="4">
        <v>13.9277655782178</v>
      </c>
      <c r="AA1832" s="4">
        <v>13.855242211630101</v>
      </c>
      <c r="AB1832" s="4">
        <f t="shared" si="115"/>
        <v>13.9075679208797</v>
      </c>
    </row>
    <row r="1833" spans="2:28" x14ac:dyDescent="0.2">
      <c r="B1833" s="4" t="s">
        <v>2645</v>
      </c>
      <c r="C1833" s="4">
        <v>13.792899999999999</v>
      </c>
      <c r="D1833" s="4">
        <v>14.2197</v>
      </c>
      <c r="E1833" s="4">
        <v>13.818899999999999</v>
      </c>
      <c r="F1833" s="4">
        <f t="shared" si="112"/>
        <v>13.943833333333332</v>
      </c>
      <c r="I1833" s="4" t="s">
        <v>1146</v>
      </c>
      <c r="J1833" s="4">
        <v>14.0504</v>
      </c>
      <c r="K1833" s="4">
        <v>13.701599999999999</v>
      </c>
      <c r="L1833" s="4">
        <v>14.1229</v>
      </c>
      <c r="M1833" s="4">
        <f t="shared" si="113"/>
        <v>13.958299999999999</v>
      </c>
      <c r="Q1833" s="43" t="s">
        <v>988</v>
      </c>
      <c r="R1833" s="4">
        <v>13.883617323242399</v>
      </c>
      <c r="S1833" s="4">
        <v>13.6911663814832</v>
      </c>
      <c r="T1833" s="4">
        <v>13.6934145481748</v>
      </c>
      <c r="U1833" s="4">
        <f t="shared" si="114"/>
        <v>13.756066084300132</v>
      </c>
      <c r="X1833" s="43" t="s">
        <v>3238</v>
      </c>
      <c r="Y1833" s="4">
        <v>13.904049027988201</v>
      </c>
      <c r="Z1833" s="4">
        <v>13.8449015568333</v>
      </c>
      <c r="AA1833" s="4">
        <v>13.9736540675716</v>
      </c>
      <c r="AB1833" s="4">
        <f t="shared" si="115"/>
        <v>13.907534884131033</v>
      </c>
    </row>
    <row r="1834" spans="2:28" x14ac:dyDescent="0.2">
      <c r="B1834" s="4" t="s">
        <v>3489</v>
      </c>
      <c r="C1834" s="4">
        <v>14.055400000000001</v>
      </c>
      <c r="D1834" s="4">
        <v>14.0547</v>
      </c>
      <c r="E1834" s="4">
        <v>13.7204</v>
      </c>
      <c r="F1834" s="4">
        <f t="shared" si="112"/>
        <v>13.9435</v>
      </c>
      <c r="I1834" s="4" t="s">
        <v>1301</v>
      </c>
      <c r="J1834" s="4">
        <v>14.1532</v>
      </c>
      <c r="K1834" s="4">
        <v>13.450900000000001</v>
      </c>
      <c r="L1834" s="4">
        <v>14.2691</v>
      </c>
      <c r="M1834" s="4">
        <f t="shared" si="113"/>
        <v>13.957733333333335</v>
      </c>
      <c r="Q1834" s="43" t="s">
        <v>805</v>
      </c>
      <c r="R1834" s="4">
        <v>13.9529743915406</v>
      </c>
      <c r="S1834" s="4">
        <v>13.659794791972599</v>
      </c>
      <c r="T1834" s="4">
        <v>13.6551941441978</v>
      </c>
      <c r="U1834" s="4">
        <f t="shared" si="114"/>
        <v>13.755987775903668</v>
      </c>
      <c r="X1834" s="43" t="s">
        <v>3777</v>
      </c>
      <c r="Y1834" s="4">
        <v>14.021627779759401</v>
      </c>
      <c r="Z1834" s="4">
        <v>13.810029112582701</v>
      </c>
      <c r="AA1834" s="4">
        <v>13.865068399303301</v>
      </c>
      <c r="AB1834" s="4">
        <f t="shared" si="115"/>
        <v>13.898908430548468</v>
      </c>
    </row>
    <row r="1835" spans="2:28" x14ac:dyDescent="0.2">
      <c r="B1835" s="4" t="s">
        <v>568</v>
      </c>
      <c r="C1835" s="4">
        <v>13.3094</v>
      </c>
      <c r="D1835" s="4">
        <v>13.9815</v>
      </c>
      <c r="E1835" s="4">
        <v>14.5335</v>
      </c>
      <c r="F1835" s="4">
        <f t="shared" si="112"/>
        <v>13.941466666666665</v>
      </c>
      <c r="I1835" s="4" t="s">
        <v>918</v>
      </c>
      <c r="J1835" s="4">
        <v>13.5991</v>
      </c>
      <c r="K1835" s="4">
        <v>15.2357</v>
      </c>
      <c r="L1835" s="4">
        <v>13.037599999999999</v>
      </c>
      <c r="M1835" s="4">
        <f t="shared" si="113"/>
        <v>13.957466666666667</v>
      </c>
      <c r="Q1835" s="43" t="s">
        <v>3619</v>
      </c>
      <c r="R1835" s="4">
        <v>13.7624511839142</v>
      </c>
      <c r="S1835" s="4">
        <v>13.792038533530199</v>
      </c>
      <c r="T1835" s="4">
        <v>13.7119822026702</v>
      </c>
      <c r="U1835" s="4">
        <f t="shared" si="114"/>
        <v>13.755490640038198</v>
      </c>
      <c r="X1835" s="43" t="s">
        <v>3229</v>
      </c>
      <c r="Y1835" s="4">
        <v>13.8294828538923</v>
      </c>
      <c r="Z1835" s="4">
        <v>13.9534642262488</v>
      </c>
      <c r="AA1835" s="4">
        <v>13.911990655670399</v>
      </c>
      <c r="AB1835" s="4">
        <f t="shared" si="115"/>
        <v>13.898312578603834</v>
      </c>
    </row>
    <row r="1836" spans="2:28" x14ac:dyDescent="0.2">
      <c r="B1836" s="4" t="s">
        <v>1766</v>
      </c>
      <c r="C1836" s="4">
        <v>13.9819</v>
      </c>
      <c r="D1836" s="4">
        <v>14.1286</v>
      </c>
      <c r="E1836" s="4">
        <v>13.713800000000001</v>
      </c>
      <c r="F1836" s="4">
        <f t="shared" si="112"/>
        <v>13.941433333333334</v>
      </c>
      <c r="I1836" s="4" t="s">
        <v>801</v>
      </c>
      <c r="J1836" s="4">
        <v>13.892200000000001</v>
      </c>
      <c r="K1836" s="4">
        <v>13.9664</v>
      </c>
      <c r="L1836" s="4">
        <v>14.0116</v>
      </c>
      <c r="M1836" s="4">
        <f t="shared" si="113"/>
        <v>13.956733333333334</v>
      </c>
      <c r="Q1836" s="43" t="s">
        <v>4477</v>
      </c>
      <c r="R1836" s="4">
        <v>14.3700426687231</v>
      </c>
      <c r="S1836" s="4">
        <v>13.444342830061499</v>
      </c>
      <c r="T1836" s="4">
        <v>13.4493621741564</v>
      </c>
      <c r="U1836" s="4">
        <f t="shared" si="114"/>
        <v>13.754582557647</v>
      </c>
      <c r="X1836" s="43" t="s">
        <v>4076</v>
      </c>
      <c r="Y1836" s="4">
        <v>14.177546331900301</v>
      </c>
      <c r="Z1836" s="4">
        <v>13.564834745144299</v>
      </c>
      <c r="AA1836" s="4">
        <v>13.9517849189973</v>
      </c>
      <c r="AB1836" s="4">
        <f t="shared" si="115"/>
        <v>13.898055332013966</v>
      </c>
    </row>
    <row r="1837" spans="2:28" x14ac:dyDescent="0.2">
      <c r="B1837" s="4" t="s">
        <v>3383</v>
      </c>
      <c r="C1837" s="4">
        <v>13.638400000000001</v>
      </c>
      <c r="D1837" s="4">
        <v>14.067299999999999</v>
      </c>
      <c r="E1837" s="4">
        <v>14.1111</v>
      </c>
      <c r="F1837" s="4">
        <f t="shared" si="112"/>
        <v>13.938933333333333</v>
      </c>
      <c r="I1837" s="4" t="s">
        <v>3622</v>
      </c>
      <c r="J1837" s="4">
        <v>13.6755</v>
      </c>
      <c r="K1837" s="4">
        <v>14.1752</v>
      </c>
      <c r="L1837" s="4">
        <v>14.0069</v>
      </c>
      <c r="M1837" s="4">
        <f t="shared" si="113"/>
        <v>13.952533333333333</v>
      </c>
      <c r="Q1837" s="43" t="s">
        <v>243</v>
      </c>
      <c r="R1837" s="4">
        <v>13.7333165916839</v>
      </c>
      <c r="S1837" s="4">
        <v>13.809900869415401</v>
      </c>
      <c r="T1837" s="4">
        <v>13.715728389614201</v>
      </c>
      <c r="U1837" s="4">
        <f t="shared" si="114"/>
        <v>13.752981950237833</v>
      </c>
      <c r="X1837" s="43" t="s">
        <v>667</v>
      </c>
      <c r="Y1837" s="4">
        <v>13.9186820485649</v>
      </c>
      <c r="Z1837" s="4">
        <v>13.458541820344401</v>
      </c>
      <c r="AA1837" s="4">
        <v>14.3149932605457</v>
      </c>
      <c r="AB1837" s="4">
        <f t="shared" si="115"/>
        <v>13.897405709818335</v>
      </c>
    </row>
    <row r="1838" spans="2:28" x14ac:dyDescent="0.2">
      <c r="B1838" s="4" t="s">
        <v>2905</v>
      </c>
      <c r="C1838" s="4">
        <v>13.889900000000001</v>
      </c>
      <c r="D1838" s="4">
        <v>13.9574</v>
      </c>
      <c r="E1838" s="4">
        <v>13.969200000000001</v>
      </c>
      <c r="F1838" s="4">
        <f t="shared" si="112"/>
        <v>13.938833333333335</v>
      </c>
      <c r="I1838" s="4" t="s">
        <v>3249</v>
      </c>
      <c r="J1838" s="4">
        <v>12.7692</v>
      </c>
      <c r="K1838" s="4">
        <v>16.609100000000002</v>
      </c>
      <c r="L1838" s="4">
        <v>12.479200000000001</v>
      </c>
      <c r="M1838" s="4">
        <f t="shared" si="113"/>
        <v>13.952500000000001</v>
      </c>
      <c r="Q1838" s="43" t="s">
        <v>445</v>
      </c>
      <c r="R1838" s="4">
        <v>13.814437154538901</v>
      </c>
      <c r="S1838" s="4">
        <v>13.788233892159701</v>
      </c>
      <c r="T1838" s="4">
        <v>13.6550659371247</v>
      </c>
      <c r="U1838" s="4">
        <f t="shared" si="114"/>
        <v>13.752578994607768</v>
      </c>
      <c r="X1838" s="43" t="s">
        <v>272</v>
      </c>
      <c r="Y1838" s="4">
        <v>14.0492259993337</v>
      </c>
      <c r="Z1838" s="4">
        <v>13.920294938511701</v>
      </c>
      <c r="AA1838" s="4">
        <v>13.718434300633</v>
      </c>
      <c r="AB1838" s="4">
        <f t="shared" si="115"/>
        <v>13.895985079492801</v>
      </c>
    </row>
    <row r="1839" spans="2:28" x14ac:dyDescent="0.2">
      <c r="B1839" s="4" t="s">
        <v>405</v>
      </c>
      <c r="C1839" s="4">
        <v>13.8263</v>
      </c>
      <c r="D1839" s="4">
        <v>13.355</v>
      </c>
      <c r="E1839" s="4">
        <v>14.635199999999999</v>
      </c>
      <c r="F1839" s="4">
        <f t="shared" si="112"/>
        <v>13.938833333333333</v>
      </c>
      <c r="I1839" s="4" t="s">
        <v>2179</v>
      </c>
      <c r="J1839" s="4">
        <v>14.170400000000001</v>
      </c>
      <c r="K1839" s="4">
        <v>13.577500000000001</v>
      </c>
      <c r="L1839" s="4">
        <v>14.105600000000001</v>
      </c>
      <c r="M1839" s="4">
        <f t="shared" si="113"/>
        <v>13.951166666666667</v>
      </c>
      <c r="Q1839" s="43" t="s">
        <v>4219</v>
      </c>
      <c r="R1839" s="4">
        <v>13.959119162861199</v>
      </c>
      <c r="S1839" s="4">
        <v>13.712802564900899</v>
      </c>
      <c r="T1839" s="4">
        <v>13.581353920187601</v>
      </c>
      <c r="U1839" s="4">
        <f t="shared" si="114"/>
        <v>13.7510918826499</v>
      </c>
      <c r="X1839" s="43" t="s">
        <v>611</v>
      </c>
      <c r="Y1839" s="4">
        <v>13.976817771785999</v>
      </c>
      <c r="Z1839" s="4">
        <v>13.880919508441799</v>
      </c>
      <c r="AA1839" s="4">
        <v>13.8263437038406</v>
      </c>
      <c r="AB1839" s="4">
        <f t="shared" si="115"/>
        <v>13.894693661356134</v>
      </c>
    </row>
    <row r="1840" spans="2:28" x14ac:dyDescent="0.2">
      <c r="B1840" s="4" t="s">
        <v>1174</v>
      </c>
      <c r="C1840" s="4">
        <v>13.6492</v>
      </c>
      <c r="D1840" s="4">
        <v>13.670400000000001</v>
      </c>
      <c r="E1840" s="4">
        <v>14.4895</v>
      </c>
      <c r="F1840" s="4">
        <f t="shared" si="112"/>
        <v>13.936366666666666</v>
      </c>
      <c r="I1840" s="4" t="s">
        <v>49</v>
      </c>
      <c r="J1840" s="4">
        <v>14.252800000000001</v>
      </c>
      <c r="K1840" s="4">
        <v>13.2155</v>
      </c>
      <c r="L1840" s="4">
        <v>14.3833</v>
      </c>
      <c r="M1840" s="4">
        <f t="shared" si="113"/>
        <v>13.950533333333333</v>
      </c>
      <c r="Q1840" s="43" t="s">
        <v>314</v>
      </c>
      <c r="R1840" s="4">
        <v>13.6029440996895</v>
      </c>
      <c r="S1840" s="4">
        <v>13.6452760449479</v>
      </c>
      <c r="T1840" s="4">
        <v>13.9959464553953</v>
      </c>
      <c r="U1840" s="4">
        <f t="shared" si="114"/>
        <v>13.748055533344234</v>
      </c>
      <c r="X1840" s="43" t="s">
        <v>1843</v>
      </c>
      <c r="Y1840" s="4">
        <v>13.997916699344101</v>
      </c>
      <c r="Z1840" s="4">
        <v>13.666186556281099</v>
      </c>
      <c r="AA1840" s="4">
        <v>14.0134878078499</v>
      </c>
      <c r="AB1840" s="4">
        <f t="shared" si="115"/>
        <v>13.892530354491699</v>
      </c>
    </row>
    <row r="1841" spans="2:28" x14ac:dyDescent="0.2">
      <c r="B1841" s="4" t="s">
        <v>962</v>
      </c>
      <c r="C1841" s="4">
        <v>13.9299</v>
      </c>
      <c r="D1841" s="4">
        <v>14.408099999999999</v>
      </c>
      <c r="E1841" s="4">
        <v>13.4626</v>
      </c>
      <c r="F1841" s="4">
        <f t="shared" si="112"/>
        <v>13.933533333333335</v>
      </c>
      <c r="I1841" s="4" t="s">
        <v>3370</v>
      </c>
      <c r="J1841" s="4">
        <v>14.059799999999999</v>
      </c>
      <c r="K1841" s="4">
        <v>14.282400000000001</v>
      </c>
      <c r="L1841" s="4">
        <v>13.5001</v>
      </c>
      <c r="M1841" s="4">
        <f t="shared" si="113"/>
        <v>13.947433333333331</v>
      </c>
      <c r="Q1841" s="43" t="s">
        <v>3067</v>
      </c>
      <c r="R1841" s="4">
        <v>13.9754307860211</v>
      </c>
      <c r="S1841" s="4">
        <v>13.742162935301399</v>
      </c>
      <c r="T1841" s="4">
        <v>13.516929064571601</v>
      </c>
      <c r="U1841" s="4">
        <f t="shared" si="114"/>
        <v>13.744840928631367</v>
      </c>
      <c r="X1841" s="43" t="s">
        <v>1185</v>
      </c>
      <c r="Y1841" s="4">
        <v>13.8826864729955</v>
      </c>
      <c r="Z1841" s="4">
        <v>13.9155708492922</v>
      </c>
      <c r="AA1841" s="4">
        <v>13.86278156335</v>
      </c>
      <c r="AB1841" s="4">
        <f t="shared" si="115"/>
        <v>13.887012961879234</v>
      </c>
    </row>
    <row r="1842" spans="2:28" x14ac:dyDescent="0.2">
      <c r="B1842" s="4" t="s">
        <v>3775</v>
      </c>
      <c r="C1842" s="4">
        <v>13.7387</v>
      </c>
      <c r="D1842" s="4">
        <v>14.000500000000001</v>
      </c>
      <c r="E1842" s="4">
        <v>14.0608</v>
      </c>
      <c r="F1842" s="4">
        <f t="shared" si="112"/>
        <v>13.933333333333332</v>
      </c>
      <c r="I1842" s="4" t="s">
        <v>3763</v>
      </c>
      <c r="J1842" s="4">
        <v>13.5192</v>
      </c>
      <c r="K1842" s="4">
        <v>14.663</v>
      </c>
      <c r="L1842" s="4">
        <v>13.6572</v>
      </c>
      <c r="M1842" s="4">
        <f t="shared" si="113"/>
        <v>13.946466666666666</v>
      </c>
      <c r="Q1842" s="43" t="s">
        <v>4419</v>
      </c>
      <c r="R1842" s="4">
        <v>13.8256466784227</v>
      </c>
      <c r="S1842" s="4">
        <v>13.7330345732531</v>
      </c>
      <c r="T1842" s="4">
        <v>13.6723454038775</v>
      </c>
      <c r="U1842" s="4">
        <f t="shared" si="114"/>
        <v>13.7436755518511</v>
      </c>
      <c r="X1842" s="43" t="s">
        <v>3288</v>
      </c>
      <c r="Y1842" s="4">
        <v>13.860118374489501</v>
      </c>
      <c r="Z1842" s="4">
        <v>14.0987020823117</v>
      </c>
      <c r="AA1842" s="4">
        <v>13.7005077430561</v>
      </c>
      <c r="AB1842" s="4">
        <f t="shared" si="115"/>
        <v>13.886442733285767</v>
      </c>
    </row>
    <row r="1843" spans="2:28" x14ac:dyDescent="0.2">
      <c r="B1843" s="4" t="s">
        <v>591</v>
      </c>
      <c r="C1843" s="4">
        <v>14.225300000000001</v>
      </c>
      <c r="D1843" s="4">
        <v>13.7468</v>
      </c>
      <c r="E1843" s="4">
        <v>13.822800000000001</v>
      </c>
      <c r="F1843" s="4">
        <f t="shared" si="112"/>
        <v>13.931633333333332</v>
      </c>
      <c r="I1843" s="4" t="s">
        <v>3369</v>
      </c>
      <c r="J1843" s="4">
        <v>13.5784</v>
      </c>
      <c r="K1843" s="4">
        <v>16.007899999999999</v>
      </c>
      <c r="L1843" s="4">
        <v>12.2493</v>
      </c>
      <c r="M1843" s="4">
        <f t="shared" si="113"/>
        <v>13.9452</v>
      </c>
      <c r="Q1843" s="43" t="s">
        <v>1348</v>
      </c>
      <c r="R1843" s="4">
        <v>13.7246977512141</v>
      </c>
      <c r="S1843" s="4">
        <v>13.7313972842952</v>
      </c>
      <c r="T1843" s="4">
        <v>13.7737775156511</v>
      </c>
      <c r="U1843" s="4">
        <f t="shared" si="114"/>
        <v>13.743290850386799</v>
      </c>
      <c r="X1843" s="43" t="s">
        <v>1757</v>
      </c>
      <c r="Y1843" s="4">
        <v>13.915395897080201</v>
      </c>
      <c r="Z1843" s="4">
        <v>13.8657727646958</v>
      </c>
      <c r="AA1843" s="4">
        <v>13.876888661962299</v>
      </c>
      <c r="AB1843" s="4">
        <f t="shared" si="115"/>
        <v>13.886019107912766</v>
      </c>
    </row>
    <row r="1844" spans="2:28" x14ac:dyDescent="0.2">
      <c r="B1844" s="4" t="s">
        <v>3761</v>
      </c>
      <c r="C1844" s="4">
        <v>14.0707</v>
      </c>
      <c r="D1844" s="4">
        <v>14.2462</v>
      </c>
      <c r="E1844" s="4">
        <v>13.4778</v>
      </c>
      <c r="F1844" s="4">
        <f t="shared" si="112"/>
        <v>13.931566666666667</v>
      </c>
      <c r="I1844" s="4" t="s">
        <v>3144</v>
      </c>
      <c r="J1844" s="4">
        <v>14.157999999999999</v>
      </c>
      <c r="K1844" s="4">
        <v>13.2652</v>
      </c>
      <c r="L1844" s="4">
        <v>14.411799999999999</v>
      </c>
      <c r="M1844" s="4">
        <f t="shared" si="113"/>
        <v>13.945</v>
      </c>
      <c r="Q1844" s="43" t="s">
        <v>1042</v>
      </c>
      <c r="R1844" s="4">
        <v>13.5672623078977</v>
      </c>
      <c r="S1844" s="4">
        <v>13.756821323318199</v>
      </c>
      <c r="T1844" s="4">
        <v>13.905049227078999</v>
      </c>
      <c r="U1844" s="4">
        <f t="shared" si="114"/>
        <v>13.743044286098298</v>
      </c>
      <c r="X1844" s="43" t="s">
        <v>555</v>
      </c>
      <c r="Y1844" s="4">
        <v>14.0539818979312</v>
      </c>
      <c r="Z1844" s="4">
        <v>13.984999344601301</v>
      </c>
      <c r="AA1844" s="4">
        <v>13.618508402754101</v>
      </c>
      <c r="AB1844" s="4">
        <f t="shared" si="115"/>
        <v>13.8858298817622</v>
      </c>
    </row>
    <row r="1845" spans="2:28" x14ac:dyDescent="0.2">
      <c r="B1845" s="4" t="s">
        <v>2034</v>
      </c>
      <c r="C1845" s="4">
        <v>13.6777</v>
      </c>
      <c r="D1845" s="4">
        <v>13.974</v>
      </c>
      <c r="E1845" s="4">
        <v>14.1419</v>
      </c>
      <c r="F1845" s="4">
        <f t="shared" si="112"/>
        <v>13.931199999999999</v>
      </c>
      <c r="I1845" s="4" t="s">
        <v>2034</v>
      </c>
      <c r="J1845" s="4">
        <v>14.242599999999999</v>
      </c>
      <c r="K1845" s="4">
        <v>13.5928</v>
      </c>
      <c r="L1845" s="4">
        <v>13.9948</v>
      </c>
      <c r="M1845" s="4">
        <f t="shared" si="113"/>
        <v>13.943399999999999</v>
      </c>
      <c r="Q1845" s="43" t="s">
        <v>2422</v>
      </c>
      <c r="R1845" s="4">
        <v>13.766806119124199</v>
      </c>
      <c r="S1845" s="4">
        <v>13.695699164685401</v>
      </c>
      <c r="T1845" s="4">
        <v>13.766584753661</v>
      </c>
      <c r="U1845" s="4">
        <f t="shared" si="114"/>
        <v>13.7430300124902</v>
      </c>
      <c r="X1845" s="43" t="s">
        <v>672</v>
      </c>
      <c r="Y1845" s="4">
        <v>13.8750639421814</v>
      </c>
      <c r="Z1845" s="4">
        <v>13.9018619304266</v>
      </c>
      <c r="AA1845" s="4">
        <v>13.877457187337001</v>
      </c>
      <c r="AB1845" s="4">
        <f t="shared" si="115"/>
        <v>13.884794353315002</v>
      </c>
    </row>
    <row r="1846" spans="2:28" x14ac:dyDescent="0.2">
      <c r="B1846" s="4" t="s">
        <v>1928</v>
      </c>
      <c r="C1846" s="4">
        <v>13.7774</v>
      </c>
      <c r="D1846" s="4">
        <v>13.789099999999999</v>
      </c>
      <c r="E1846" s="4">
        <v>14.2212</v>
      </c>
      <c r="F1846" s="4">
        <f t="shared" si="112"/>
        <v>13.929233333333334</v>
      </c>
      <c r="I1846" s="4" t="s">
        <v>1713</v>
      </c>
      <c r="J1846" s="4">
        <v>13.965199999999999</v>
      </c>
      <c r="K1846" s="4">
        <v>13.777799999999999</v>
      </c>
      <c r="L1846" s="4">
        <v>14.085000000000001</v>
      </c>
      <c r="M1846" s="4">
        <f t="shared" si="113"/>
        <v>13.942666666666668</v>
      </c>
      <c r="Q1846" s="43" t="s">
        <v>1706</v>
      </c>
      <c r="R1846" s="4">
        <v>13.666252671403599</v>
      </c>
      <c r="S1846" s="4">
        <v>13.761326380304901</v>
      </c>
      <c r="T1846" s="4">
        <v>13.7945291721879</v>
      </c>
      <c r="U1846" s="4">
        <f t="shared" si="114"/>
        <v>13.740702741298799</v>
      </c>
      <c r="X1846" s="43" t="s">
        <v>4512</v>
      </c>
      <c r="Y1846" s="4">
        <v>13.7246394443186</v>
      </c>
      <c r="Z1846" s="4">
        <v>14.203848968214601</v>
      </c>
      <c r="AA1846" s="4">
        <v>13.7222585892128</v>
      </c>
      <c r="AB1846" s="4">
        <f t="shared" si="115"/>
        <v>13.883582333915333</v>
      </c>
    </row>
    <row r="1847" spans="2:28" x14ac:dyDescent="0.2">
      <c r="B1847" s="4" t="s">
        <v>2208</v>
      </c>
      <c r="C1847" s="4">
        <v>13.552</v>
      </c>
      <c r="D1847" s="4">
        <v>14.1769</v>
      </c>
      <c r="E1847" s="4">
        <v>14.0562</v>
      </c>
      <c r="F1847" s="4">
        <f t="shared" si="112"/>
        <v>13.928366666666667</v>
      </c>
      <c r="I1847" s="4" t="s">
        <v>2960</v>
      </c>
      <c r="J1847" s="4">
        <v>13.8414</v>
      </c>
      <c r="K1847" s="4">
        <v>13.7668</v>
      </c>
      <c r="L1847" s="4">
        <v>14.2121</v>
      </c>
      <c r="M1847" s="4">
        <f t="shared" si="113"/>
        <v>13.940100000000001</v>
      </c>
      <c r="Q1847" s="43" t="s">
        <v>2086</v>
      </c>
      <c r="R1847" s="4">
        <v>13.9662697139314</v>
      </c>
      <c r="S1847" s="4">
        <v>13.451295906634799</v>
      </c>
      <c r="T1847" s="4">
        <v>13.8042872574716</v>
      </c>
      <c r="U1847" s="4">
        <f t="shared" si="114"/>
        <v>13.7406176260126</v>
      </c>
      <c r="X1847" s="43" t="s">
        <v>2321</v>
      </c>
      <c r="Y1847" s="4">
        <v>13.954733697637799</v>
      </c>
      <c r="Z1847" s="4">
        <v>13.855509126347499</v>
      </c>
      <c r="AA1847" s="4">
        <v>13.8333337180509</v>
      </c>
      <c r="AB1847" s="4">
        <f t="shared" si="115"/>
        <v>13.881192180678733</v>
      </c>
    </row>
    <row r="1848" spans="2:28" x14ac:dyDescent="0.2">
      <c r="B1848" s="4" t="s">
        <v>2532</v>
      </c>
      <c r="C1848" s="4">
        <v>13.844200000000001</v>
      </c>
      <c r="D1848" s="4">
        <v>13.8164</v>
      </c>
      <c r="E1848" s="4">
        <v>14.108000000000001</v>
      </c>
      <c r="F1848" s="4">
        <f t="shared" si="112"/>
        <v>13.922866666666669</v>
      </c>
      <c r="I1848" s="4" t="s">
        <v>411</v>
      </c>
      <c r="J1848" s="4">
        <v>13.450799999999999</v>
      </c>
      <c r="K1848" s="4">
        <v>15.299300000000001</v>
      </c>
      <c r="L1848" s="4">
        <v>13.0626</v>
      </c>
      <c r="M1848" s="4">
        <f t="shared" si="113"/>
        <v>13.937566666666667</v>
      </c>
      <c r="Q1848" s="43" t="s">
        <v>101</v>
      </c>
      <c r="R1848" s="4">
        <v>13.4721891791198</v>
      </c>
      <c r="S1848" s="4">
        <v>14.005369880885</v>
      </c>
      <c r="T1848" s="4">
        <v>13.7405385574781</v>
      </c>
      <c r="U1848" s="4">
        <f t="shared" si="114"/>
        <v>13.739365872494298</v>
      </c>
      <c r="X1848" s="43" t="s">
        <v>2258</v>
      </c>
      <c r="Y1848" s="4">
        <v>13.792679997009399</v>
      </c>
      <c r="Z1848" s="4">
        <v>13.923785804999399</v>
      </c>
      <c r="AA1848" s="4">
        <v>13.926334545664901</v>
      </c>
      <c r="AB1848" s="4">
        <f t="shared" si="115"/>
        <v>13.880933449224566</v>
      </c>
    </row>
    <row r="1849" spans="2:28" x14ac:dyDescent="0.2">
      <c r="B1849" s="4" t="s">
        <v>3792</v>
      </c>
      <c r="C1849" s="4">
        <v>14.099</v>
      </c>
      <c r="D1849" s="4">
        <v>13.9673</v>
      </c>
      <c r="E1849" s="4">
        <v>13.702199999999999</v>
      </c>
      <c r="F1849" s="4">
        <f t="shared" si="112"/>
        <v>13.922833333333331</v>
      </c>
      <c r="I1849" s="4" t="s">
        <v>3161</v>
      </c>
      <c r="J1849" s="4">
        <v>14.398099999999999</v>
      </c>
      <c r="K1849" s="4">
        <v>12.981400000000001</v>
      </c>
      <c r="L1849" s="4">
        <v>14.430899999999999</v>
      </c>
      <c r="M1849" s="4">
        <f t="shared" si="113"/>
        <v>13.9368</v>
      </c>
      <c r="Q1849" s="43" t="s">
        <v>1644</v>
      </c>
      <c r="R1849" s="4">
        <v>13.754985284655399</v>
      </c>
      <c r="S1849" s="4">
        <v>13.8025873861334</v>
      </c>
      <c r="T1849" s="4">
        <v>13.6599755670579</v>
      </c>
      <c r="U1849" s="4">
        <f t="shared" si="114"/>
        <v>13.7391827459489</v>
      </c>
      <c r="X1849" s="43" t="s">
        <v>480</v>
      </c>
      <c r="Y1849" s="4">
        <v>13.854764882138699</v>
      </c>
      <c r="Z1849" s="4">
        <v>13.7970629608868</v>
      </c>
      <c r="AA1849" s="4">
        <v>13.9903370824742</v>
      </c>
      <c r="AB1849" s="4">
        <f t="shared" si="115"/>
        <v>13.880721641833233</v>
      </c>
    </row>
    <row r="1850" spans="2:28" x14ac:dyDescent="0.2">
      <c r="B1850" s="4" t="s">
        <v>3787</v>
      </c>
      <c r="C1850" s="4">
        <v>13.763199999999999</v>
      </c>
      <c r="D1850" s="4">
        <v>14.080299999999999</v>
      </c>
      <c r="E1850" s="4">
        <v>13.9156</v>
      </c>
      <c r="F1850" s="4">
        <f t="shared" si="112"/>
        <v>13.919699999999999</v>
      </c>
      <c r="I1850" s="4" t="s">
        <v>2447</v>
      </c>
      <c r="J1850" s="4">
        <v>14.3132</v>
      </c>
      <c r="K1850" s="4">
        <v>13.4064</v>
      </c>
      <c r="L1850" s="4">
        <v>14.089600000000001</v>
      </c>
      <c r="M1850" s="4">
        <f t="shared" si="113"/>
        <v>13.936400000000001</v>
      </c>
      <c r="Q1850" s="43" t="s">
        <v>3347</v>
      </c>
      <c r="R1850" s="4">
        <v>14.1449155144426</v>
      </c>
      <c r="S1850" s="4">
        <v>13.120557704775401</v>
      </c>
      <c r="T1850" s="4">
        <v>13.9467102099361</v>
      </c>
      <c r="U1850" s="4">
        <f t="shared" si="114"/>
        <v>13.737394476384701</v>
      </c>
      <c r="X1850" s="43" t="s">
        <v>391</v>
      </c>
      <c r="Y1850" s="4">
        <v>13.9230340714111</v>
      </c>
      <c r="Z1850" s="4">
        <v>13.888319603227499</v>
      </c>
      <c r="AA1850" s="4">
        <v>13.8227419408932</v>
      </c>
      <c r="AB1850" s="4">
        <f t="shared" si="115"/>
        <v>13.878031871843932</v>
      </c>
    </row>
    <row r="1851" spans="2:28" x14ac:dyDescent="0.2">
      <c r="B1851" s="4" t="s">
        <v>3873</v>
      </c>
      <c r="C1851" s="4">
        <v>13.384</v>
      </c>
      <c r="D1851" s="4">
        <v>13.886699999999999</v>
      </c>
      <c r="E1851" s="4">
        <v>14.487399999999999</v>
      </c>
      <c r="F1851" s="4">
        <f t="shared" si="112"/>
        <v>13.919366666666667</v>
      </c>
      <c r="I1851" s="4" t="s">
        <v>4001</v>
      </c>
      <c r="J1851" s="4">
        <v>13.9659</v>
      </c>
      <c r="K1851" s="4">
        <v>13.7674</v>
      </c>
      <c r="L1851" s="4">
        <v>14.075799999999999</v>
      </c>
      <c r="M1851" s="4">
        <f t="shared" si="113"/>
        <v>13.936366666666666</v>
      </c>
      <c r="Q1851" s="43" t="s">
        <v>4254</v>
      </c>
      <c r="R1851" s="4">
        <v>13.795171765823</v>
      </c>
      <c r="S1851" s="4">
        <v>13.582667574110699</v>
      </c>
      <c r="T1851" s="4">
        <v>13.8329877096737</v>
      </c>
      <c r="U1851" s="4">
        <f t="shared" si="114"/>
        <v>13.736942349869134</v>
      </c>
      <c r="X1851" s="43" t="s">
        <v>158</v>
      </c>
      <c r="Y1851" s="4">
        <v>13.8779564754985</v>
      </c>
      <c r="Z1851" s="4">
        <v>13.755909697386899</v>
      </c>
      <c r="AA1851" s="4">
        <v>13.9984028561227</v>
      </c>
      <c r="AB1851" s="4">
        <f t="shared" si="115"/>
        <v>13.877423009669366</v>
      </c>
    </row>
    <row r="1852" spans="2:28" x14ac:dyDescent="0.2">
      <c r="B1852" s="4" t="s">
        <v>3751</v>
      </c>
      <c r="C1852" s="4">
        <v>13.657500000000001</v>
      </c>
      <c r="D1852" s="4">
        <v>14.2652</v>
      </c>
      <c r="E1852" s="4">
        <v>13.8317</v>
      </c>
      <c r="F1852" s="4">
        <f t="shared" si="112"/>
        <v>13.918133333333332</v>
      </c>
      <c r="I1852" s="4" t="s">
        <v>2386</v>
      </c>
      <c r="J1852" s="4">
        <v>13.832000000000001</v>
      </c>
      <c r="K1852" s="4">
        <v>13.949400000000001</v>
      </c>
      <c r="L1852" s="4">
        <v>14.0265</v>
      </c>
      <c r="M1852" s="4">
        <f t="shared" si="113"/>
        <v>13.935966666666667</v>
      </c>
      <c r="Q1852" s="43" t="s">
        <v>2799</v>
      </c>
      <c r="R1852" s="4">
        <v>13.737423867872501</v>
      </c>
      <c r="S1852" s="4">
        <v>13.6664356135419</v>
      </c>
      <c r="T1852" s="4">
        <v>13.8021323014774</v>
      </c>
      <c r="U1852" s="4">
        <f t="shared" si="114"/>
        <v>13.735330594297267</v>
      </c>
      <c r="X1852" s="43" t="s">
        <v>4006</v>
      </c>
      <c r="Y1852" s="4">
        <v>13.8611415417194</v>
      </c>
      <c r="Z1852" s="4">
        <v>13.7977035882612</v>
      </c>
      <c r="AA1852" s="4">
        <v>13.971544558507301</v>
      </c>
      <c r="AB1852" s="4">
        <f t="shared" si="115"/>
        <v>13.876796562829298</v>
      </c>
    </row>
    <row r="1853" spans="2:28" x14ac:dyDescent="0.2">
      <c r="B1853" s="4" t="s">
        <v>1887</v>
      </c>
      <c r="C1853" s="4">
        <v>13.816800000000001</v>
      </c>
      <c r="D1853" s="4">
        <v>13.9434</v>
      </c>
      <c r="E1853" s="4">
        <v>13.989699999999999</v>
      </c>
      <c r="F1853" s="4">
        <f t="shared" si="112"/>
        <v>13.916633333333332</v>
      </c>
      <c r="I1853" s="4" t="s">
        <v>2759</v>
      </c>
      <c r="J1853" s="4">
        <v>14.1564</v>
      </c>
      <c r="K1853" s="4">
        <v>13.542</v>
      </c>
      <c r="L1853" s="4">
        <v>14.1083</v>
      </c>
      <c r="M1853" s="4">
        <f t="shared" si="113"/>
        <v>13.935566666666666</v>
      </c>
      <c r="Q1853" s="43" t="s">
        <v>4135</v>
      </c>
      <c r="R1853" s="4">
        <v>13.9678457235345</v>
      </c>
      <c r="S1853" s="4">
        <v>13.637184127876001</v>
      </c>
      <c r="T1853" s="4">
        <v>13.5919649720725</v>
      </c>
      <c r="U1853" s="4">
        <f t="shared" si="114"/>
        <v>13.732331607827666</v>
      </c>
      <c r="X1853" s="43" t="s">
        <v>3481</v>
      </c>
      <c r="Y1853" s="4">
        <v>13.8547776789836</v>
      </c>
      <c r="Z1853" s="4">
        <v>13.8291569108437</v>
      </c>
      <c r="AA1853" s="4">
        <v>13.944906056089399</v>
      </c>
      <c r="AB1853" s="4">
        <f t="shared" si="115"/>
        <v>13.876280215305568</v>
      </c>
    </row>
    <row r="1854" spans="2:28" x14ac:dyDescent="0.2">
      <c r="B1854" s="4" t="s">
        <v>2381</v>
      </c>
      <c r="C1854" s="4">
        <v>13.695499999999999</v>
      </c>
      <c r="D1854" s="4">
        <v>14.1715</v>
      </c>
      <c r="E1854" s="4">
        <v>13.8667</v>
      </c>
      <c r="F1854" s="4">
        <f t="shared" si="112"/>
        <v>13.911233333333334</v>
      </c>
      <c r="I1854" s="4" t="s">
        <v>3346</v>
      </c>
      <c r="J1854" s="4">
        <v>13.7479</v>
      </c>
      <c r="K1854" s="4">
        <v>14.292299999999999</v>
      </c>
      <c r="L1854" s="4">
        <v>13.764699999999999</v>
      </c>
      <c r="M1854" s="4">
        <f t="shared" si="113"/>
        <v>13.934966666666666</v>
      </c>
      <c r="Q1854" s="43" t="s">
        <v>365</v>
      </c>
      <c r="R1854" s="4">
        <v>13.727368957208901</v>
      </c>
      <c r="S1854" s="4">
        <v>13.611619564913401</v>
      </c>
      <c r="T1854" s="4">
        <v>13.8569769114554</v>
      </c>
      <c r="U1854" s="4">
        <f t="shared" si="114"/>
        <v>13.731988477859232</v>
      </c>
      <c r="X1854" s="43" t="s">
        <v>1697</v>
      </c>
      <c r="Y1854" s="4">
        <v>13.9317425241475</v>
      </c>
      <c r="Z1854" s="4">
        <v>13.849422474751099</v>
      </c>
      <c r="AA1854" s="4">
        <v>13.846803089261</v>
      </c>
      <c r="AB1854" s="4">
        <f t="shared" si="115"/>
        <v>13.875989362719865</v>
      </c>
    </row>
    <row r="1855" spans="2:28" x14ac:dyDescent="0.2">
      <c r="B1855" s="4" t="s">
        <v>2306</v>
      </c>
      <c r="C1855" s="4">
        <v>13.835100000000001</v>
      </c>
      <c r="D1855" s="4">
        <v>14.087999999999999</v>
      </c>
      <c r="E1855" s="4">
        <v>13.8049</v>
      </c>
      <c r="F1855" s="4">
        <f t="shared" si="112"/>
        <v>13.909333333333331</v>
      </c>
      <c r="I1855" s="4" t="s">
        <v>2072</v>
      </c>
      <c r="J1855" s="4">
        <v>13.954599999999999</v>
      </c>
      <c r="K1855" s="4">
        <v>14.104200000000001</v>
      </c>
      <c r="L1855" s="4">
        <v>13.745799999999999</v>
      </c>
      <c r="M1855" s="4">
        <f t="shared" si="113"/>
        <v>13.934866666666665</v>
      </c>
      <c r="Q1855" s="43" t="s">
        <v>3253</v>
      </c>
      <c r="R1855" s="4">
        <v>13.490302112578499</v>
      </c>
      <c r="S1855" s="4">
        <v>13.788173921867299</v>
      </c>
      <c r="T1855" s="4">
        <v>13.9123690590107</v>
      </c>
      <c r="U1855" s="4">
        <f t="shared" si="114"/>
        <v>13.730281697818834</v>
      </c>
      <c r="X1855" s="43" t="s">
        <v>2790</v>
      </c>
      <c r="Y1855" s="4">
        <v>13.881731229983099</v>
      </c>
      <c r="Z1855" s="4">
        <v>13.7950223386211</v>
      </c>
      <c r="AA1855" s="4">
        <v>13.9462174581779</v>
      </c>
      <c r="AB1855" s="4">
        <f t="shared" si="115"/>
        <v>13.874323675594033</v>
      </c>
    </row>
    <row r="1856" spans="2:28" x14ac:dyDescent="0.2">
      <c r="B1856" s="4" t="s">
        <v>1404</v>
      </c>
      <c r="C1856" s="4">
        <v>13.902799999999999</v>
      </c>
      <c r="D1856" s="4">
        <v>14.073499999999999</v>
      </c>
      <c r="E1856" s="4">
        <v>13.7461</v>
      </c>
      <c r="F1856" s="4">
        <f t="shared" si="112"/>
        <v>13.907466666666666</v>
      </c>
      <c r="I1856" s="4" t="s">
        <v>3656</v>
      </c>
      <c r="J1856" s="4">
        <v>13.310499999999999</v>
      </c>
      <c r="K1856" s="4">
        <v>14.885</v>
      </c>
      <c r="L1856" s="4">
        <v>13.605</v>
      </c>
      <c r="M1856" s="4">
        <f t="shared" si="113"/>
        <v>13.9335</v>
      </c>
      <c r="Q1856" s="43" t="s">
        <v>4437</v>
      </c>
      <c r="R1856" s="4">
        <v>14.2079810547914</v>
      </c>
      <c r="S1856" s="4">
        <v>13.5204364201371</v>
      </c>
      <c r="T1856" s="4">
        <v>13.458628802233999</v>
      </c>
      <c r="U1856" s="4">
        <f t="shared" si="114"/>
        <v>13.729015425720831</v>
      </c>
      <c r="X1856" s="43" t="s">
        <v>3835</v>
      </c>
      <c r="Y1856" s="4">
        <v>13.991795728120399</v>
      </c>
      <c r="Z1856" s="4">
        <v>14.040074228976501</v>
      </c>
      <c r="AA1856" s="4">
        <v>13.5881175551939</v>
      </c>
      <c r="AB1856" s="4">
        <f t="shared" si="115"/>
        <v>13.873329170763602</v>
      </c>
    </row>
    <row r="1857" spans="2:28" x14ac:dyDescent="0.2">
      <c r="B1857" s="4" t="s">
        <v>2497</v>
      </c>
      <c r="C1857" s="4">
        <v>14.0063</v>
      </c>
      <c r="D1857" s="4">
        <v>13.962</v>
      </c>
      <c r="E1857" s="4">
        <v>13.749499999999999</v>
      </c>
      <c r="F1857" s="4">
        <f t="shared" si="112"/>
        <v>13.905933333333332</v>
      </c>
      <c r="I1857" s="4" t="s">
        <v>989</v>
      </c>
      <c r="J1857" s="4">
        <v>13.422700000000001</v>
      </c>
      <c r="K1857" s="4">
        <v>15.0105</v>
      </c>
      <c r="L1857" s="4">
        <v>13.3584</v>
      </c>
      <c r="M1857" s="4">
        <f t="shared" si="113"/>
        <v>13.930533333333335</v>
      </c>
      <c r="Q1857" s="43" t="s">
        <v>2115</v>
      </c>
      <c r="R1857" s="4">
        <v>13.8369365373653</v>
      </c>
      <c r="S1857" s="4">
        <v>13.7355006785968</v>
      </c>
      <c r="T1857" s="4">
        <v>13.6137318374972</v>
      </c>
      <c r="U1857" s="4">
        <f t="shared" si="114"/>
        <v>13.728723017819767</v>
      </c>
      <c r="X1857" s="43" t="s">
        <v>1850</v>
      </c>
      <c r="Y1857" s="4">
        <v>13.7758729718515</v>
      </c>
      <c r="Z1857" s="4">
        <v>14.031682881811101</v>
      </c>
      <c r="AA1857" s="4">
        <v>13.8094957493586</v>
      </c>
      <c r="AB1857" s="4">
        <f t="shared" si="115"/>
        <v>13.872350534340399</v>
      </c>
    </row>
    <row r="1858" spans="2:28" x14ac:dyDescent="0.2">
      <c r="B1858" s="4" t="s">
        <v>4018</v>
      </c>
      <c r="C1858" s="4">
        <v>14.233499999999999</v>
      </c>
      <c r="D1858" s="4">
        <v>13.653499999999999</v>
      </c>
      <c r="E1858" s="4">
        <v>13.823600000000001</v>
      </c>
      <c r="F1858" s="4">
        <f t="shared" ref="F1858:F1921" si="116">(C1858+D1858+E1858)/3</f>
        <v>13.903533333333334</v>
      </c>
      <c r="I1858" s="4" t="s">
        <v>1204</v>
      </c>
      <c r="J1858" s="4">
        <v>13.7676</v>
      </c>
      <c r="K1858" s="4">
        <v>14.0862</v>
      </c>
      <c r="L1858" s="4">
        <v>13.9369</v>
      </c>
      <c r="M1858" s="4">
        <f t="shared" ref="M1858:M1921" si="117">(J1858+K1858+L1858)/3</f>
        <v>13.930233333333334</v>
      </c>
      <c r="Q1858" s="43" t="s">
        <v>1327</v>
      </c>
      <c r="R1858" s="4">
        <v>13.729586040667099</v>
      </c>
      <c r="S1858" s="4">
        <v>13.635050068889599</v>
      </c>
      <c r="T1858" s="4">
        <v>13.817614527923199</v>
      </c>
      <c r="U1858" s="4">
        <f t="shared" ref="U1858:U1921" si="118">(R1858+S1858+T1858)/3</f>
        <v>13.727416879159966</v>
      </c>
      <c r="X1858" s="43" t="s">
        <v>1597</v>
      </c>
      <c r="Y1858" s="4">
        <v>13.5606754100831</v>
      </c>
      <c r="Z1858" s="4">
        <v>14.0850371515101</v>
      </c>
      <c r="AA1858" s="4">
        <v>13.963020457144699</v>
      </c>
      <c r="AB1858" s="4">
        <f t="shared" ref="AB1858:AB1921" si="119">(Y1858+Z1858+AA1858)/3</f>
        <v>13.869577672912634</v>
      </c>
    </row>
    <row r="1859" spans="2:28" x14ac:dyDescent="0.2">
      <c r="B1859" s="4" t="s">
        <v>3040</v>
      </c>
      <c r="C1859" s="4">
        <v>13.924799999999999</v>
      </c>
      <c r="D1859" s="4">
        <v>13.7239</v>
      </c>
      <c r="E1859" s="4">
        <v>14.061199999999999</v>
      </c>
      <c r="F1859" s="4">
        <f t="shared" si="116"/>
        <v>13.9033</v>
      </c>
      <c r="I1859" s="4" t="s">
        <v>1376</v>
      </c>
      <c r="J1859" s="4">
        <v>13.5679</v>
      </c>
      <c r="K1859" s="4">
        <v>14.7719</v>
      </c>
      <c r="L1859" s="4">
        <v>13.4483</v>
      </c>
      <c r="M1859" s="4">
        <f t="shared" si="117"/>
        <v>13.929366666666667</v>
      </c>
      <c r="Q1859" s="43" t="s">
        <v>3002</v>
      </c>
      <c r="R1859" s="4">
        <v>14.005954540047901</v>
      </c>
      <c r="S1859" s="4">
        <v>13.1630095315343</v>
      </c>
      <c r="T1859" s="4">
        <v>14.0116012287054</v>
      </c>
      <c r="U1859" s="4">
        <f t="shared" si="118"/>
        <v>13.726855100095868</v>
      </c>
      <c r="X1859" s="43" t="s">
        <v>1839</v>
      </c>
      <c r="Y1859" s="4">
        <v>13.734027796315299</v>
      </c>
      <c r="Z1859" s="4">
        <v>13.8040528656401</v>
      </c>
      <c r="AA1859" s="4">
        <v>14.0693740082055</v>
      </c>
      <c r="AB1859" s="4">
        <f t="shared" si="119"/>
        <v>13.869151556720299</v>
      </c>
    </row>
    <row r="1860" spans="2:28" x14ac:dyDescent="0.2">
      <c r="B1860" s="4" t="s">
        <v>343</v>
      </c>
      <c r="C1860" s="4">
        <v>13.7296</v>
      </c>
      <c r="D1860" s="4">
        <v>13.582700000000001</v>
      </c>
      <c r="E1860" s="4">
        <v>14.388400000000001</v>
      </c>
      <c r="F1860" s="4">
        <f t="shared" si="116"/>
        <v>13.900233333333333</v>
      </c>
      <c r="I1860" s="4" t="s">
        <v>3613</v>
      </c>
      <c r="J1860" s="4">
        <v>14.2075</v>
      </c>
      <c r="K1860" s="4">
        <v>13.3263</v>
      </c>
      <c r="L1860" s="4">
        <v>14.2531</v>
      </c>
      <c r="M1860" s="4">
        <f t="shared" si="117"/>
        <v>13.928966666666668</v>
      </c>
      <c r="Q1860" s="43" t="s">
        <v>1537</v>
      </c>
      <c r="R1860" s="4">
        <v>13.805443786745901</v>
      </c>
      <c r="S1860" s="4">
        <v>13.535228391804599</v>
      </c>
      <c r="T1860" s="4">
        <v>13.839666570062301</v>
      </c>
      <c r="U1860" s="4">
        <f t="shared" si="118"/>
        <v>13.726779582870932</v>
      </c>
      <c r="X1860" s="43" t="s">
        <v>591</v>
      </c>
      <c r="Y1860" s="4">
        <v>14.031075585325899</v>
      </c>
      <c r="Z1860" s="4">
        <v>13.672449638183</v>
      </c>
      <c r="AA1860" s="4">
        <v>13.890317073449999</v>
      </c>
      <c r="AB1860" s="4">
        <f t="shared" si="119"/>
        <v>13.8646140989863</v>
      </c>
    </row>
    <row r="1861" spans="2:28" x14ac:dyDescent="0.2">
      <c r="B1861" s="4" t="s">
        <v>3305</v>
      </c>
      <c r="C1861" s="4">
        <v>13.649699999999999</v>
      </c>
      <c r="D1861" s="4">
        <v>13.9483</v>
      </c>
      <c r="E1861" s="4">
        <v>14.102499999999999</v>
      </c>
      <c r="F1861" s="4">
        <f t="shared" si="116"/>
        <v>13.900166666666665</v>
      </c>
      <c r="I1861" s="4" t="s">
        <v>900</v>
      </c>
      <c r="J1861" s="4">
        <v>12.63</v>
      </c>
      <c r="K1861" s="4">
        <v>16.6402</v>
      </c>
      <c r="L1861" s="4">
        <v>12.5159</v>
      </c>
      <c r="M1861" s="4">
        <f t="shared" si="117"/>
        <v>13.928700000000001</v>
      </c>
      <c r="Q1861" s="43" t="s">
        <v>2008</v>
      </c>
      <c r="R1861" s="4">
        <v>13.497316559415999</v>
      </c>
      <c r="S1861" s="4">
        <v>13.7399242747887</v>
      </c>
      <c r="T1861" s="4">
        <v>13.930629267517499</v>
      </c>
      <c r="U1861" s="4">
        <f t="shared" si="118"/>
        <v>13.722623367240734</v>
      </c>
      <c r="X1861" s="43" t="s">
        <v>4243</v>
      </c>
      <c r="Y1861" s="4">
        <v>13.738127507377399</v>
      </c>
      <c r="Z1861" s="4">
        <v>13.984790852753299</v>
      </c>
      <c r="AA1861" s="4">
        <v>13.869725815465999</v>
      </c>
      <c r="AB1861" s="4">
        <f t="shared" si="119"/>
        <v>13.864214725198899</v>
      </c>
    </row>
    <row r="1862" spans="2:28" x14ac:dyDescent="0.2">
      <c r="B1862" s="4" t="s">
        <v>3980</v>
      </c>
      <c r="C1862" s="4">
        <v>13.852399999999999</v>
      </c>
      <c r="D1862" s="4">
        <v>14.2547</v>
      </c>
      <c r="E1862" s="4">
        <v>13.591699999999999</v>
      </c>
      <c r="F1862" s="4">
        <f t="shared" si="116"/>
        <v>13.8996</v>
      </c>
      <c r="I1862" s="4" t="s">
        <v>3192</v>
      </c>
      <c r="J1862" s="4">
        <v>13.994899999999999</v>
      </c>
      <c r="K1862" s="4">
        <v>13.975</v>
      </c>
      <c r="L1862" s="4">
        <v>13.813800000000001</v>
      </c>
      <c r="M1862" s="4">
        <f t="shared" si="117"/>
        <v>13.927899999999999</v>
      </c>
      <c r="Q1862" s="43" t="s">
        <v>193</v>
      </c>
      <c r="R1862" s="4">
        <v>13.6878290492589</v>
      </c>
      <c r="S1862" s="4">
        <v>13.658406392380501</v>
      </c>
      <c r="T1862" s="4">
        <v>13.8189559990277</v>
      </c>
      <c r="U1862" s="4">
        <f t="shared" si="118"/>
        <v>13.721730480222368</v>
      </c>
      <c r="X1862" s="43" t="s">
        <v>857</v>
      </c>
      <c r="Y1862" s="4">
        <v>13.9339133261977</v>
      </c>
      <c r="Z1862" s="4">
        <v>13.8263575863215</v>
      </c>
      <c r="AA1862" s="4">
        <v>13.831814462553099</v>
      </c>
      <c r="AB1862" s="4">
        <f t="shared" si="119"/>
        <v>13.864028458357433</v>
      </c>
    </row>
    <row r="1863" spans="2:28" x14ac:dyDescent="0.2">
      <c r="B1863" s="4" t="s">
        <v>2151</v>
      </c>
      <c r="C1863" s="4">
        <v>13.859</v>
      </c>
      <c r="D1863" s="4">
        <v>13.7967</v>
      </c>
      <c r="E1863" s="4">
        <v>14.042999999999999</v>
      </c>
      <c r="F1863" s="4">
        <f t="shared" si="116"/>
        <v>13.899566666666667</v>
      </c>
      <c r="I1863" s="4" t="s">
        <v>421</v>
      </c>
      <c r="J1863" s="4">
        <v>14.008100000000001</v>
      </c>
      <c r="K1863" s="4">
        <v>13.5646</v>
      </c>
      <c r="L1863" s="4">
        <v>14.2081</v>
      </c>
      <c r="M1863" s="4">
        <f t="shared" si="117"/>
        <v>13.926933333333332</v>
      </c>
      <c r="Q1863" s="43" t="s">
        <v>226</v>
      </c>
      <c r="R1863" s="4">
        <v>13.689787322713199</v>
      </c>
      <c r="S1863" s="4">
        <v>13.704860090322599</v>
      </c>
      <c r="T1863" s="4">
        <v>13.766242252221399</v>
      </c>
      <c r="U1863" s="4">
        <f t="shared" si="118"/>
        <v>13.720296555085733</v>
      </c>
      <c r="X1863" s="43" t="s">
        <v>2676</v>
      </c>
      <c r="Y1863" s="4">
        <v>13.9357589274692</v>
      </c>
      <c r="Z1863" s="4">
        <v>13.7981180043022</v>
      </c>
      <c r="AA1863" s="4">
        <v>13.854545443755899</v>
      </c>
      <c r="AB1863" s="4">
        <f t="shared" si="119"/>
        <v>13.862807458509101</v>
      </c>
    </row>
    <row r="1864" spans="2:28" x14ac:dyDescent="0.2">
      <c r="B1864" s="4" t="s">
        <v>926</v>
      </c>
      <c r="C1864" s="4">
        <v>13.8705</v>
      </c>
      <c r="D1864" s="4">
        <v>13.9605</v>
      </c>
      <c r="E1864" s="4">
        <v>13.8588</v>
      </c>
      <c r="F1864" s="4">
        <f t="shared" si="116"/>
        <v>13.896599999999999</v>
      </c>
      <c r="I1864" s="4" t="s">
        <v>256</v>
      </c>
      <c r="J1864" s="4">
        <v>14.1873</v>
      </c>
      <c r="K1864" s="4">
        <v>13.0741</v>
      </c>
      <c r="L1864" s="4">
        <v>14.511900000000001</v>
      </c>
      <c r="M1864" s="4">
        <f t="shared" si="117"/>
        <v>13.924433333333335</v>
      </c>
      <c r="Q1864" s="43" t="s">
        <v>2055</v>
      </c>
      <c r="R1864" s="4">
        <v>13.6483478756639</v>
      </c>
      <c r="S1864" s="4">
        <v>13.897436918392501</v>
      </c>
      <c r="T1864" s="4">
        <v>13.610398845967399</v>
      </c>
      <c r="U1864" s="4">
        <f t="shared" si="118"/>
        <v>13.718727880007933</v>
      </c>
      <c r="X1864" s="43" t="s">
        <v>919</v>
      </c>
      <c r="Y1864" s="4">
        <v>13.8251046118156</v>
      </c>
      <c r="Z1864" s="4">
        <v>13.7762577457933</v>
      </c>
      <c r="AA1864" s="4">
        <v>13.986929875401101</v>
      </c>
      <c r="AB1864" s="4">
        <f t="shared" si="119"/>
        <v>13.862764077670001</v>
      </c>
    </row>
    <row r="1865" spans="2:28" x14ac:dyDescent="0.2">
      <c r="B1865" s="4" t="s">
        <v>3612</v>
      </c>
      <c r="C1865" s="4">
        <v>13.853400000000001</v>
      </c>
      <c r="D1865" s="4">
        <v>14.107799999999999</v>
      </c>
      <c r="E1865" s="4">
        <v>13.7273</v>
      </c>
      <c r="F1865" s="4">
        <f t="shared" si="116"/>
        <v>13.896166666666666</v>
      </c>
      <c r="I1865" s="4" t="s">
        <v>3215</v>
      </c>
      <c r="J1865" s="4">
        <v>14.172599999999999</v>
      </c>
      <c r="K1865" s="4">
        <v>13.5913</v>
      </c>
      <c r="L1865" s="4">
        <v>13.999599999999999</v>
      </c>
      <c r="M1865" s="4">
        <f t="shared" si="117"/>
        <v>13.921166666666666</v>
      </c>
      <c r="Q1865" s="43" t="s">
        <v>1101</v>
      </c>
      <c r="R1865" s="4">
        <v>13.917563722012201</v>
      </c>
      <c r="S1865" s="4">
        <v>13.7851481584248</v>
      </c>
      <c r="T1865" s="4">
        <v>13.449240499726301</v>
      </c>
      <c r="U1865" s="4">
        <f t="shared" si="118"/>
        <v>13.717317460054433</v>
      </c>
      <c r="X1865" s="43" t="s">
        <v>745</v>
      </c>
      <c r="Y1865" s="4">
        <v>13.9713038129489</v>
      </c>
      <c r="Z1865" s="4">
        <v>13.651318589082001</v>
      </c>
      <c r="AA1865" s="4">
        <v>13.954788302961701</v>
      </c>
      <c r="AB1865" s="4">
        <f t="shared" si="119"/>
        <v>13.859136901664201</v>
      </c>
    </row>
    <row r="1866" spans="2:28" x14ac:dyDescent="0.2">
      <c r="B1866" s="4" t="s">
        <v>4056</v>
      </c>
      <c r="C1866" s="4">
        <v>13.755599999999999</v>
      </c>
      <c r="D1866" s="4">
        <v>13.8574</v>
      </c>
      <c r="E1866" s="4">
        <v>14.074199999999999</v>
      </c>
      <c r="F1866" s="4">
        <f t="shared" si="116"/>
        <v>13.895733333333332</v>
      </c>
      <c r="I1866" s="4" t="s">
        <v>360</v>
      </c>
      <c r="J1866" s="4">
        <v>14.0756</v>
      </c>
      <c r="K1866" s="4">
        <v>13.7471</v>
      </c>
      <c r="L1866" s="4">
        <v>13.938599999999999</v>
      </c>
      <c r="M1866" s="4">
        <f t="shared" si="117"/>
        <v>13.920433333333333</v>
      </c>
      <c r="Q1866" s="43" t="s">
        <v>2768</v>
      </c>
      <c r="R1866" s="4">
        <v>13.5862373944108</v>
      </c>
      <c r="S1866" s="4">
        <v>13.8221302365429</v>
      </c>
      <c r="T1866" s="4">
        <v>13.7434404918064</v>
      </c>
      <c r="U1866" s="4">
        <f t="shared" si="118"/>
        <v>13.717269374253368</v>
      </c>
      <c r="X1866" s="43" t="s">
        <v>330</v>
      </c>
      <c r="Y1866" s="4">
        <v>13.8028238400498</v>
      </c>
      <c r="Z1866" s="4">
        <v>14.0506093774595</v>
      </c>
      <c r="AA1866" s="4">
        <v>13.7208809815679</v>
      </c>
      <c r="AB1866" s="4">
        <f t="shared" si="119"/>
        <v>13.858104733025733</v>
      </c>
    </row>
    <row r="1867" spans="2:28" x14ac:dyDescent="0.2">
      <c r="B1867" s="4" t="s">
        <v>2640</v>
      </c>
      <c r="C1867" s="4">
        <v>13.695600000000001</v>
      </c>
      <c r="D1867" s="4">
        <v>13.9986</v>
      </c>
      <c r="E1867" s="4">
        <v>13.9849</v>
      </c>
      <c r="F1867" s="4">
        <f t="shared" si="116"/>
        <v>13.893033333333335</v>
      </c>
      <c r="I1867" s="4" t="s">
        <v>1023</v>
      </c>
      <c r="J1867" s="4">
        <v>13.828900000000001</v>
      </c>
      <c r="K1867" s="4">
        <v>13.840999999999999</v>
      </c>
      <c r="L1867" s="4">
        <v>14.0906</v>
      </c>
      <c r="M1867" s="4">
        <f t="shared" si="117"/>
        <v>13.920166666666667</v>
      </c>
      <c r="Q1867" s="43" t="s">
        <v>2629</v>
      </c>
      <c r="R1867" s="4">
        <v>13.958379577592099</v>
      </c>
      <c r="S1867" s="4">
        <v>13.6690130416605</v>
      </c>
      <c r="T1867" s="4">
        <v>13.5243487329848</v>
      </c>
      <c r="U1867" s="4">
        <f t="shared" si="118"/>
        <v>13.717247117412468</v>
      </c>
      <c r="X1867" s="43" t="s">
        <v>1018</v>
      </c>
      <c r="Y1867" s="4">
        <v>13.8049994180169</v>
      </c>
      <c r="Z1867" s="4">
        <v>13.9169908852829</v>
      </c>
      <c r="AA1867" s="4">
        <v>13.850398221862999</v>
      </c>
      <c r="AB1867" s="4">
        <f t="shared" si="119"/>
        <v>13.857462841720931</v>
      </c>
    </row>
    <row r="1868" spans="2:28" x14ac:dyDescent="0.2">
      <c r="B1868" s="4" t="s">
        <v>1327</v>
      </c>
      <c r="C1868" s="4">
        <v>14.405200000000001</v>
      </c>
      <c r="D1868" s="4">
        <v>13.770200000000001</v>
      </c>
      <c r="E1868" s="4">
        <v>13.497299999999999</v>
      </c>
      <c r="F1868" s="4">
        <f t="shared" si="116"/>
        <v>13.890900000000002</v>
      </c>
      <c r="I1868" s="4" t="s">
        <v>1529</v>
      </c>
      <c r="J1868" s="4">
        <v>13.1288</v>
      </c>
      <c r="K1868" s="4">
        <v>15.6037</v>
      </c>
      <c r="L1868" s="4">
        <v>13.0275</v>
      </c>
      <c r="M1868" s="4">
        <f t="shared" si="117"/>
        <v>13.920000000000002</v>
      </c>
      <c r="Q1868" s="43" t="s">
        <v>153</v>
      </c>
      <c r="R1868" s="4">
        <v>13.975918653581701</v>
      </c>
      <c r="S1868" s="4">
        <v>13.7318434632693</v>
      </c>
      <c r="T1868" s="4">
        <v>13.4364511699017</v>
      </c>
      <c r="U1868" s="4">
        <f t="shared" si="118"/>
        <v>13.7147377622509</v>
      </c>
      <c r="X1868" s="43" t="s">
        <v>3057</v>
      </c>
      <c r="Y1868" s="4">
        <v>14.054123673144201</v>
      </c>
      <c r="Z1868" s="4">
        <v>13.889925267315499</v>
      </c>
      <c r="AA1868" s="4">
        <v>13.625973766892301</v>
      </c>
      <c r="AB1868" s="4">
        <f t="shared" si="119"/>
        <v>13.856674235784</v>
      </c>
    </row>
    <row r="1869" spans="2:28" x14ac:dyDescent="0.2">
      <c r="B1869" s="4" t="s">
        <v>2179</v>
      </c>
      <c r="C1869" s="4">
        <v>14.1859</v>
      </c>
      <c r="D1869" s="4">
        <v>13.3634</v>
      </c>
      <c r="E1869" s="4">
        <v>14.1158</v>
      </c>
      <c r="F1869" s="4">
        <f t="shared" si="116"/>
        <v>13.888366666666668</v>
      </c>
      <c r="I1869" s="4" t="s">
        <v>440</v>
      </c>
      <c r="J1869" s="4">
        <v>13.8108</v>
      </c>
      <c r="K1869" s="4">
        <v>13.927300000000001</v>
      </c>
      <c r="L1869" s="4">
        <v>14.021599999999999</v>
      </c>
      <c r="M1869" s="4">
        <f t="shared" si="117"/>
        <v>13.9199</v>
      </c>
      <c r="Q1869" s="43" t="s">
        <v>3990</v>
      </c>
      <c r="R1869" s="4">
        <v>13.9835270195249</v>
      </c>
      <c r="S1869" s="4">
        <v>13.6964609090619</v>
      </c>
      <c r="T1869" s="4">
        <v>13.464124003740499</v>
      </c>
      <c r="U1869" s="4">
        <f t="shared" si="118"/>
        <v>13.714703977442433</v>
      </c>
      <c r="X1869" s="43" t="s">
        <v>3397</v>
      </c>
      <c r="Y1869" s="4">
        <v>13.9647828239915</v>
      </c>
      <c r="Z1869" s="4">
        <v>13.930554873815099</v>
      </c>
      <c r="AA1869" s="4">
        <v>13.663301753730501</v>
      </c>
      <c r="AB1869" s="4">
        <f t="shared" si="119"/>
        <v>13.852879817179035</v>
      </c>
    </row>
    <row r="1870" spans="2:28" x14ac:dyDescent="0.2">
      <c r="B1870" s="4" t="s">
        <v>974</v>
      </c>
      <c r="C1870" s="4">
        <v>13.8385</v>
      </c>
      <c r="D1870" s="4">
        <v>14.096500000000001</v>
      </c>
      <c r="E1870" s="4">
        <v>13.729900000000001</v>
      </c>
      <c r="F1870" s="4">
        <f t="shared" si="116"/>
        <v>13.888300000000001</v>
      </c>
      <c r="I1870" s="4" t="s">
        <v>3915</v>
      </c>
      <c r="J1870" s="4">
        <v>13.8583</v>
      </c>
      <c r="K1870" s="4">
        <v>13.8156</v>
      </c>
      <c r="L1870" s="4">
        <v>14.0824</v>
      </c>
      <c r="M1870" s="4">
        <f t="shared" si="117"/>
        <v>13.918766666666665</v>
      </c>
      <c r="Q1870" s="43" t="s">
        <v>4383</v>
      </c>
      <c r="R1870" s="4">
        <v>13.883611199221599</v>
      </c>
      <c r="S1870" s="4">
        <v>13.622925705185001</v>
      </c>
      <c r="T1870" s="4">
        <v>13.629747492269001</v>
      </c>
      <c r="U1870" s="4">
        <f t="shared" si="118"/>
        <v>13.712094798891869</v>
      </c>
      <c r="X1870" s="43" t="s">
        <v>3642</v>
      </c>
      <c r="Y1870" s="4">
        <v>14.071475421766101</v>
      </c>
      <c r="Z1870" s="4">
        <v>13.720257067021301</v>
      </c>
      <c r="AA1870" s="4">
        <v>13.7665992709234</v>
      </c>
      <c r="AB1870" s="4">
        <f t="shared" si="119"/>
        <v>13.852777253236935</v>
      </c>
    </row>
    <row r="1871" spans="2:28" x14ac:dyDescent="0.2">
      <c r="B1871" s="4" t="s">
        <v>3471</v>
      </c>
      <c r="C1871" s="4">
        <v>13.891500000000001</v>
      </c>
      <c r="D1871" s="4">
        <v>13.960699999999999</v>
      </c>
      <c r="E1871" s="4">
        <v>13.811400000000001</v>
      </c>
      <c r="F1871" s="4">
        <f t="shared" si="116"/>
        <v>13.887866666666667</v>
      </c>
      <c r="I1871" s="4" t="s">
        <v>2276</v>
      </c>
      <c r="J1871" s="4">
        <v>13.797700000000001</v>
      </c>
      <c r="K1871" s="4">
        <v>14.0863</v>
      </c>
      <c r="L1871" s="4">
        <v>13.8718</v>
      </c>
      <c r="M1871" s="4">
        <f t="shared" si="117"/>
        <v>13.9186</v>
      </c>
      <c r="Q1871" s="43" t="s">
        <v>2044</v>
      </c>
      <c r="R1871" s="4">
        <v>13.658512711096201</v>
      </c>
      <c r="S1871" s="4">
        <v>13.712496456885599</v>
      </c>
      <c r="T1871" s="4">
        <v>13.760071854461399</v>
      </c>
      <c r="U1871" s="4">
        <f t="shared" si="118"/>
        <v>13.710360340814399</v>
      </c>
      <c r="X1871" s="43" t="s">
        <v>3766</v>
      </c>
      <c r="Y1871" s="4">
        <v>13.8625354393818</v>
      </c>
      <c r="Z1871" s="4">
        <v>13.760835640183601</v>
      </c>
      <c r="AA1871" s="4">
        <v>13.9245035952358</v>
      </c>
      <c r="AB1871" s="4">
        <f t="shared" si="119"/>
        <v>13.849291558267067</v>
      </c>
    </row>
    <row r="1872" spans="2:28" x14ac:dyDescent="0.2">
      <c r="B1872" s="4" t="s">
        <v>1229</v>
      </c>
      <c r="C1872" s="4">
        <v>14.110300000000001</v>
      </c>
      <c r="D1872" s="4">
        <v>13.8367</v>
      </c>
      <c r="E1872" s="4">
        <v>13.7165</v>
      </c>
      <c r="F1872" s="4">
        <f t="shared" si="116"/>
        <v>13.887833333333333</v>
      </c>
      <c r="I1872" s="4" t="s">
        <v>165</v>
      </c>
      <c r="J1872" s="4">
        <v>14.438599999999999</v>
      </c>
      <c r="K1872" s="4">
        <v>12.870200000000001</v>
      </c>
      <c r="L1872" s="4">
        <v>14.4434</v>
      </c>
      <c r="M1872" s="4">
        <f t="shared" si="117"/>
        <v>13.917400000000001</v>
      </c>
      <c r="Q1872" s="43" t="s">
        <v>3198</v>
      </c>
      <c r="R1872" s="4">
        <v>13.2578496537179</v>
      </c>
      <c r="S1872" s="4">
        <v>13.9267005314671</v>
      </c>
      <c r="T1872" s="4">
        <v>13.941801243715201</v>
      </c>
      <c r="U1872" s="4">
        <f t="shared" si="118"/>
        <v>13.708783809633401</v>
      </c>
      <c r="X1872" s="43" t="s">
        <v>974</v>
      </c>
      <c r="Y1872" s="4">
        <v>13.919991464379301</v>
      </c>
      <c r="Z1872" s="4">
        <v>13.6778920776252</v>
      </c>
      <c r="AA1872" s="4">
        <v>13.949435838135299</v>
      </c>
      <c r="AB1872" s="4">
        <f t="shared" si="119"/>
        <v>13.849106460046601</v>
      </c>
    </row>
    <row r="1873" spans="2:28" x14ac:dyDescent="0.2">
      <c r="B1873" s="4" t="s">
        <v>2823</v>
      </c>
      <c r="C1873" s="4">
        <v>13.800800000000001</v>
      </c>
      <c r="D1873" s="4">
        <v>13.905799999999999</v>
      </c>
      <c r="E1873" s="4">
        <v>13.9542</v>
      </c>
      <c r="F1873" s="4">
        <f t="shared" si="116"/>
        <v>13.886933333333333</v>
      </c>
      <c r="I1873" s="4" t="s">
        <v>3203</v>
      </c>
      <c r="J1873" s="4">
        <v>13.6503</v>
      </c>
      <c r="K1873" s="4">
        <v>14.3942</v>
      </c>
      <c r="L1873" s="4">
        <v>13.697699999999999</v>
      </c>
      <c r="M1873" s="4">
        <f t="shared" si="117"/>
        <v>13.914066666666665</v>
      </c>
      <c r="Q1873" s="43" t="s">
        <v>4253</v>
      </c>
      <c r="R1873" s="4">
        <v>13.808058068407201</v>
      </c>
      <c r="S1873" s="4">
        <v>13.734660994407999</v>
      </c>
      <c r="T1873" s="4">
        <v>13.5824906548262</v>
      </c>
      <c r="U1873" s="4">
        <f t="shared" si="118"/>
        <v>13.708403239213801</v>
      </c>
      <c r="X1873" s="43" t="s">
        <v>4231</v>
      </c>
      <c r="Y1873" s="4">
        <v>13.9196057217692</v>
      </c>
      <c r="Z1873" s="4">
        <v>13.673132554941599</v>
      </c>
      <c r="AA1873" s="4">
        <v>13.9482025320799</v>
      </c>
      <c r="AB1873" s="4">
        <f t="shared" si="119"/>
        <v>13.846980269596898</v>
      </c>
    </row>
    <row r="1874" spans="2:28" x14ac:dyDescent="0.2">
      <c r="B1874" s="4" t="s">
        <v>595</v>
      </c>
      <c r="C1874" s="4">
        <v>13.478</v>
      </c>
      <c r="D1874" s="4">
        <v>13.3599</v>
      </c>
      <c r="E1874" s="4">
        <v>14.8187</v>
      </c>
      <c r="F1874" s="4">
        <f t="shared" si="116"/>
        <v>13.885533333333333</v>
      </c>
      <c r="I1874" s="4" t="s">
        <v>3853</v>
      </c>
      <c r="J1874" s="4">
        <v>13.7889</v>
      </c>
      <c r="K1874" s="4">
        <v>14.2</v>
      </c>
      <c r="L1874" s="4">
        <v>13.7523</v>
      </c>
      <c r="M1874" s="4">
        <f t="shared" si="117"/>
        <v>13.913733333333333</v>
      </c>
      <c r="Q1874" s="43" t="s">
        <v>129</v>
      </c>
      <c r="R1874" s="4">
        <v>13.9295720857258</v>
      </c>
      <c r="S1874" s="4">
        <v>13.4219441702152</v>
      </c>
      <c r="T1874" s="4">
        <v>13.7710186936387</v>
      </c>
      <c r="U1874" s="4">
        <f t="shared" si="118"/>
        <v>13.707511649859901</v>
      </c>
      <c r="X1874" s="43" t="s">
        <v>325</v>
      </c>
      <c r="Y1874" s="4">
        <v>13.8560711954539</v>
      </c>
      <c r="Z1874" s="4">
        <v>13.8109505259232</v>
      </c>
      <c r="AA1874" s="4">
        <v>13.8696832304745</v>
      </c>
      <c r="AB1874" s="4">
        <f t="shared" si="119"/>
        <v>13.845568317283869</v>
      </c>
    </row>
    <row r="1875" spans="2:28" x14ac:dyDescent="0.2">
      <c r="B1875" s="4" t="s">
        <v>2043</v>
      </c>
      <c r="C1875" s="4">
        <v>14.103199999999999</v>
      </c>
      <c r="D1875" s="4">
        <v>14.156499999999999</v>
      </c>
      <c r="E1875" s="4">
        <v>13.394399999999999</v>
      </c>
      <c r="F1875" s="4">
        <f t="shared" si="116"/>
        <v>13.8847</v>
      </c>
      <c r="I1875" s="4" t="s">
        <v>2816</v>
      </c>
      <c r="J1875" s="4">
        <v>13.9808</v>
      </c>
      <c r="K1875" s="4">
        <v>13.651899999999999</v>
      </c>
      <c r="L1875" s="4">
        <v>14.108000000000001</v>
      </c>
      <c r="M1875" s="4">
        <f t="shared" si="117"/>
        <v>13.913566666666668</v>
      </c>
      <c r="Q1875" s="43" t="s">
        <v>1638</v>
      </c>
      <c r="R1875" s="4">
        <v>13.844136803671001</v>
      </c>
      <c r="S1875" s="4">
        <v>13.549384401333899</v>
      </c>
      <c r="T1875" s="4">
        <v>13.7237897465668</v>
      </c>
      <c r="U1875" s="4">
        <f t="shared" si="118"/>
        <v>13.705770317190568</v>
      </c>
      <c r="X1875" s="43" t="s">
        <v>1595</v>
      </c>
      <c r="Y1875" s="4">
        <v>13.8307316658135</v>
      </c>
      <c r="Z1875" s="4">
        <v>13.9352640886014</v>
      </c>
      <c r="AA1875" s="4">
        <v>13.7695969970008</v>
      </c>
      <c r="AB1875" s="4">
        <f t="shared" si="119"/>
        <v>13.845197583805236</v>
      </c>
    </row>
    <row r="1876" spans="2:28" x14ac:dyDescent="0.2">
      <c r="B1876" s="4" t="s">
        <v>675</v>
      </c>
      <c r="C1876" s="4">
        <v>13.9536</v>
      </c>
      <c r="D1876" s="4">
        <v>13.8834</v>
      </c>
      <c r="E1876" s="4">
        <v>13.8139</v>
      </c>
      <c r="F1876" s="4">
        <f t="shared" si="116"/>
        <v>13.883633333333334</v>
      </c>
      <c r="I1876" s="4" t="s">
        <v>3707</v>
      </c>
      <c r="J1876" s="4">
        <v>13.5158</v>
      </c>
      <c r="K1876" s="4">
        <v>14.507300000000001</v>
      </c>
      <c r="L1876" s="4">
        <v>13.713200000000001</v>
      </c>
      <c r="M1876" s="4">
        <f t="shared" si="117"/>
        <v>13.912100000000001</v>
      </c>
      <c r="Q1876" s="43" t="s">
        <v>583</v>
      </c>
      <c r="R1876" s="4">
        <v>13.4453024427479</v>
      </c>
      <c r="S1876" s="4">
        <v>13.8323615871897</v>
      </c>
      <c r="T1876" s="4">
        <v>13.8383596991105</v>
      </c>
      <c r="U1876" s="4">
        <f t="shared" si="118"/>
        <v>13.705341243016035</v>
      </c>
      <c r="X1876" s="43" t="s">
        <v>997</v>
      </c>
      <c r="Y1876" s="4">
        <v>13.8179141599917</v>
      </c>
      <c r="Z1876" s="4">
        <v>14.1961655257379</v>
      </c>
      <c r="AA1876" s="4">
        <v>13.510982509124799</v>
      </c>
      <c r="AB1876" s="4">
        <f t="shared" si="119"/>
        <v>13.841687398284799</v>
      </c>
    </row>
    <row r="1877" spans="2:28" x14ac:dyDescent="0.2">
      <c r="B1877" s="4" t="s">
        <v>1074</v>
      </c>
      <c r="C1877" s="4">
        <v>14.0663</v>
      </c>
      <c r="D1877" s="4">
        <v>13.4541</v>
      </c>
      <c r="E1877" s="4">
        <v>14.1242</v>
      </c>
      <c r="F1877" s="4">
        <f t="shared" si="116"/>
        <v>13.881533333333335</v>
      </c>
      <c r="I1877" s="4" t="s">
        <v>112</v>
      </c>
      <c r="J1877" s="4">
        <v>14.0238</v>
      </c>
      <c r="K1877" s="4">
        <v>13.7203</v>
      </c>
      <c r="L1877" s="4">
        <v>13.9803</v>
      </c>
      <c r="M1877" s="4">
        <f t="shared" si="117"/>
        <v>13.908133333333334</v>
      </c>
      <c r="Q1877" s="43" t="s">
        <v>1850</v>
      </c>
      <c r="R1877" s="4">
        <v>13.6238807058331</v>
      </c>
      <c r="S1877" s="4">
        <v>13.6637190577244</v>
      </c>
      <c r="T1877" s="4">
        <v>13.828075065481199</v>
      </c>
      <c r="U1877" s="4">
        <f t="shared" si="118"/>
        <v>13.705224943012901</v>
      </c>
      <c r="X1877" s="43" t="s">
        <v>2287</v>
      </c>
      <c r="Y1877" s="4">
        <v>13.635765164338901</v>
      </c>
      <c r="Z1877" s="4">
        <v>14.2051906620131</v>
      </c>
      <c r="AA1877" s="4">
        <v>13.6836082228655</v>
      </c>
      <c r="AB1877" s="4">
        <f t="shared" si="119"/>
        <v>13.841521349739168</v>
      </c>
    </row>
    <row r="1878" spans="2:28" x14ac:dyDescent="0.2">
      <c r="B1878" s="4" t="s">
        <v>542</v>
      </c>
      <c r="C1878" s="4">
        <v>13.4459</v>
      </c>
      <c r="D1878" s="4">
        <v>14.2712</v>
      </c>
      <c r="E1878" s="4">
        <v>13.9275</v>
      </c>
      <c r="F1878" s="4">
        <f t="shared" si="116"/>
        <v>13.881533333333335</v>
      </c>
      <c r="I1878" s="4" t="s">
        <v>825</v>
      </c>
      <c r="J1878" s="4">
        <v>14.3041</v>
      </c>
      <c r="K1878" s="4">
        <v>12.946199999999999</v>
      </c>
      <c r="L1878" s="4">
        <v>14.471500000000001</v>
      </c>
      <c r="M1878" s="4">
        <f t="shared" si="117"/>
        <v>13.907266666666667</v>
      </c>
      <c r="Q1878" s="43" t="s">
        <v>975</v>
      </c>
      <c r="R1878" s="4">
        <v>13.8464459050616</v>
      </c>
      <c r="S1878" s="4">
        <v>13.690619613576199</v>
      </c>
      <c r="T1878" s="4">
        <v>13.5737951218206</v>
      </c>
      <c r="U1878" s="4">
        <f t="shared" si="118"/>
        <v>13.703620213486133</v>
      </c>
      <c r="X1878" s="43" t="s">
        <v>2487</v>
      </c>
      <c r="Y1878" s="4">
        <v>13.9707059428946</v>
      </c>
      <c r="Z1878" s="4">
        <v>13.6272663724555</v>
      </c>
      <c r="AA1878" s="4">
        <v>13.925498204243301</v>
      </c>
      <c r="AB1878" s="4">
        <f t="shared" si="119"/>
        <v>13.841156839864468</v>
      </c>
    </row>
    <row r="1879" spans="2:28" x14ac:dyDescent="0.2">
      <c r="B1879" s="4" t="s">
        <v>2496</v>
      </c>
      <c r="C1879" s="4">
        <v>14.1416</v>
      </c>
      <c r="D1879" s="4">
        <v>13.708399999999999</v>
      </c>
      <c r="E1879" s="4">
        <v>13.7926</v>
      </c>
      <c r="F1879" s="4">
        <f t="shared" si="116"/>
        <v>13.880866666666668</v>
      </c>
      <c r="I1879" s="4" t="s">
        <v>3538</v>
      </c>
      <c r="J1879" s="4">
        <v>13.593500000000001</v>
      </c>
      <c r="K1879" s="4">
        <v>14.0205</v>
      </c>
      <c r="L1879" s="4">
        <v>14.1067</v>
      </c>
      <c r="M1879" s="4">
        <f t="shared" si="117"/>
        <v>13.9069</v>
      </c>
      <c r="Q1879" s="43" t="s">
        <v>3832</v>
      </c>
      <c r="R1879" s="4">
        <v>13.895568732271</v>
      </c>
      <c r="S1879" s="4">
        <v>13.4601654007758</v>
      </c>
      <c r="T1879" s="4">
        <v>13.746969475512101</v>
      </c>
      <c r="U1879" s="4">
        <f t="shared" si="118"/>
        <v>13.700901202852968</v>
      </c>
      <c r="X1879" s="43" t="s">
        <v>1804</v>
      </c>
      <c r="Y1879" s="4">
        <v>13.9130407071706</v>
      </c>
      <c r="Z1879" s="4">
        <v>13.5906548832089</v>
      </c>
      <c r="AA1879" s="4">
        <v>14.017585437583801</v>
      </c>
      <c r="AB1879" s="4">
        <f t="shared" si="119"/>
        <v>13.840427009321099</v>
      </c>
    </row>
    <row r="1880" spans="2:28" x14ac:dyDescent="0.2">
      <c r="B1880" s="4" t="s">
        <v>3521</v>
      </c>
      <c r="C1880" s="4">
        <v>13.7241</v>
      </c>
      <c r="D1880" s="4">
        <v>13.9323</v>
      </c>
      <c r="E1880" s="4">
        <v>13.9809</v>
      </c>
      <c r="F1880" s="4">
        <f t="shared" si="116"/>
        <v>13.879099999999999</v>
      </c>
      <c r="I1880" s="4" t="s">
        <v>701</v>
      </c>
      <c r="J1880" s="4">
        <v>14.306699999999999</v>
      </c>
      <c r="K1880" s="4">
        <v>13.276199999999999</v>
      </c>
      <c r="L1880" s="4">
        <v>14.1365</v>
      </c>
      <c r="M1880" s="4">
        <f t="shared" si="117"/>
        <v>13.906466666666667</v>
      </c>
      <c r="Q1880" s="43" t="s">
        <v>3238</v>
      </c>
      <c r="R1880" s="4">
        <v>13.5690913983674</v>
      </c>
      <c r="S1880" s="4">
        <v>13.885201318767701</v>
      </c>
      <c r="T1880" s="4">
        <v>13.6474463570573</v>
      </c>
      <c r="U1880" s="4">
        <f t="shared" si="118"/>
        <v>13.700579691397467</v>
      </c>
      <c r="X1880" s="43" t="s">
        <v>217</v>
      </c>
      <c r="Y1880" s="4">
        <v>13.719178177688599</v>
      </c>
      <c r="Z1880" s="4">
        <v>13.893077482322999</v>
      </c>
      <c r="AA1880" s="4">
        <v>13.9045975925047</v>
      </c>
      <c r="AB1880" s="4">
        <f t="shared" si="119"/>
        <v>13.8389510841721</v>
      </c>
    </row>
    <row r="1881" spans="2:28" x14ac:dyDescent="0.2">
      <c r="B1881" s="4" t="s">
        <v>2116</v>
      </c>
      <c r="C1881" s="4">
        <v>13.971299999999999</v>
      </c>
      <c r="D1881" s="4">
        <v>13.8001</v>
      </c>
      <c r="E1881" s="4">
        <v>13.865500000000001</v>
      </c>
      <c r="F1881" s="4">
        <f t="shared" si="116"/>
        <v>13.878966666666665</v>
      </c>
      <c r="I1881" s="4" t="s">
        <v>3371</v>
      </c>
      <c r="J1881" s="4">
        <v>14.1372</v>
      </c>
      <c r="K1881" s="4">
        <v>13.7469</v>
      </c>
      <c r="L1881" s="4">
        <v>13.833299999999999</v>
      </c>
      <c r="M1881" s="4">
        <f t="shared" si="117"/>
        <v>13.905799999999999</v>
      </c>
      <c r="Q1881" s="43" t="s">
        <v>3550</v>
      </c>
      <c r="R1881" s="4">
        <v>13.8272659227625</v>
      </c>
      <c r="S1881" s="4">
        <v>13.6197403102225</v>
      </c>
      <c r="T1881" s="4">
        <v>13.6474608951109</v>
      </c>
      <c r="U1881" s="4">
        <f t="shared" si="118"/>
        <v>13.698155709365301</v>
      </c>
      <c r="X1881" s="43" t="s">
        <v>1029</v>
      </c>
      <c r="Y1881" s="4">
        <v>13.7820123609142</v>
      </c>
      <c r="Z1881" s="4">
        <v>13.9038273086149</v>
      </c>
      <c r="AA1881" s="4">
        <v>13.825826954204899</v>
      </c>
      <c r="AB1881" s="4">
        <f t="shared" si="119"/>
        <v>13.837222207911333</v>
      </c>
    </row>
    <row r="1882" spans="2:28" x14ac:dyDescent="0.2">
      <c r="B1882" s="4" t="s">
        <v>598</v>
      </c>
      <c r="C1882" s="4">
        <v>14.068099999999999</v>
      </c>
      <c r="D1882" s="4">
        <v>13.6768</v>
      </c>
      <c r="E1882" s="4">
        <v>13.890499999999999</v>
      </c>
      <c r="F1882" s="4">
        <f t="shared" si="116"/>
        <v>13.878466666666668</v>
      </c>
      <c r="I1882" s="4" t="s">
        <v>572</v>
      </c>
      <c r="J1882" s="4">
        <v>14.1172</v>
      </c>
      <c r="K1882" s="4">
        <v>13.7437</v>
      </c>
      <c r="L1882" s="4">
        <v>13.85</v>
      </c>
      <c r="M1882" s="4">
        <f t="shared" si="117"/>
        <v>13.903633333333334</v>
      </c>
      <c r="Q1882" s="43" t="s">
        <v>2378</v>
      </c>
      <c r="R1882" s="4">
        <v>13.9211660183548</v>
      </c>
      <c r="S1882" s="4">
        <v>13.7114323657644</v>
      </c>
      <c r="T1882" s="4">
        <v>13.4599758720609</v>
      </c>
      <c r="U1882" s="4">
        <f t="shared" si="118"/>
        <v>13.697524752060033</v>
      </c>
      <c r="X1882" s="43" t="s">
        <v>2563</v>
      </c>
      <c r="Y1882" s="4">
        <v>13.7821486470012</v>
      </c>
      <c r="Z1882" s="4">
        <v>13.736465694174701</v>
      </c>
      <c r="AA1882" s="4">
        <v>13.9928696630675</v>
      </c>
      <c r="AB1882" s="4">
        <f t="shared" si="119"/>
        <v>13.837161334747799</v>
      </c>
    </row>
    <row r="1883" spans="2:28" x14ac:dyDescent="0.2">
      <c r="B1883" s="4" t="s">
        <v>2654</v>
      </c>
      <c r="C1883" s="4">
        <v>13.7178</v>
      </c>
      <c r="D1883" s="4">
        <v>14.061999999999999</v>
      </c>
      <c r="E1883" s="4">
        <v>13.853999999999999</v>
      </c>
      <c r="F1883" s="4">
        <f t="shared" si="116"/>
        <v>13.877933333333333</v>
      </c>
      <c r="I1883" s="4" t="s">
        <v>2321</v>
      </c>
      <c r="J1883" s="4">
        <v>14.2623</v>
      </c>
      <c r="K1883" s="4">
        <v>13.2653</v>
      </c>
      <c r="L1883" s="4">
        <v>14.182399999999999</v>
      </c>
      <c r="M1883" s="4">
        <f t="shared" si="117"/>
        <v>13.903333333333334</v>
      </c>
      <c r="Q1883" s="43" t="s">
        <v>3497</v>
      </c>
      <c r="R1883" s="4">
        <v>13.564422699295299</v>
      </c>
      <c r="S1883" s="4">
        <v>13.7492701079904</v>
      </c>
      <c r="T1883" s="4">
        <v>13.772509397235501</v>
      </c>
      <c r="U1883" s="4">
        <f t="shared" si="118"/>
        <v>13.695400734840399</v>
      </c>
      <c r="X1883" s="43" t="s">
        <v>2856</v>
      </c>
      <c r="Y1883" s="4">
        <v>13.9035412268376</v>
      </c>
      <c r="Z1883" s="4">
        <v>13.720123225109599</v>
      </c>
      <c r="AA1883" s="4">
        <v>13.8816580768358</v>
      </c>
      <c r="AB1883" s="4">
        <f t="shared" si="119"/>
        <v>13.835107509594332</v>
      </c>
    </row>
    <row r="1884" spans="2:28" x14ac:dyDescent="0.2">
      <c r="B1884" s="4" t="s">
        <v>3852</v>
      </c>
      <c r="C1884" s="4">
        <v>13.6006</v>
      </c>
      <c r="D1884" s="4">
        <v>14.0054</v>
      </c>
      <c r="E1884" s="4">
        <v>14.0236</v>
      </c>
      <c r="F1884" s="4">
        <f t="shared" si="116"/>
        <v>13.876533333333334</v>
      </c>
      <c r="I1884" s="4" t="s">
        <v>3714</v>
      </c>
      <c r="J1884" s="4">
        <v>13.8192</v>
      </c>
      <c r="K1884" s="4">
        <v>14.7125</v>
      </c>
      <c r="L1884" s="4">
        <v>13.176399999999999</v>
      </c>
      <c r="M1884" s="4">
        <f t="shared" si="117"/>
        <v>13.902700000000001</v>
      </c>
      <c r="Q1884" s="43" t="s">
        <v>2337</v>
      </c>
      <c r="R1884" s="4">
        <v>13.8926178769822</v>
      </c>
      <c r="S1884" s="4">
        <v>13.5438208352299</v>
      </c>
      <c r="T1884" s="4">
        <v>13.6490644502486</v>
      </c>
      <c r="U1884" s="4">
        <f t="shared" si="118"/>
        <v>13.695167720820235</v>
      </c>
      <c r="X1884" s="43" t="s">
        <v>60</v>
      </c>
      <c r="Y1884" s="4">
        <v>14.0359484806061</v>
      </c>
      <c r="Z1884" s="4">
        <v>13.6276243722063</v>
      </c>
      <c r="AA1884" s="4">
        <v>13.8313304229927</v>
      </c>
      <c r="AB1884" s="4">
        <f t="shared" si="119"/>
        <v>13.831634425268367</v>
      </c>
    </row>
    <row r="1885" spans="2:28" x14ac:dyDescent="0.2">
      <c r="B1885" s="4" t="s">
        <v>933</v>
      </c>
      <c r="C1885" s="4">
        <v>14.138500000000001</v>
      </c>
      <c r="D1885" s="4">
        <v>13.5815</v>
      </c>
      <c r="E1885" s="4">
        <v>13.907400000000001</v>
      </c>
      <c r="F1885" s="4">
        <f t="shared" si="116"/>
        <v>13.8758</v>
      </c>
      <c r="I1885" s="4" t="s">
        <v>469</v>
      </c>
      <c r="J1885" s="4">
        <v>14.2262</v>
      </c>
      <c r="K1885" s="4">
        <v>13.801299999999999</v>
      </c>
      <c r="L1885" s="4">
        <v>13.6731</v>
      </c>
      <c r="M1885" s="4">
        <f t="shared" si="117"/>
        <v>13.9002</v>
      </c>
      <c r="Q1885" s="43" t="s">
        <v>2792</v>
      </c>
      <c r="R1885" s="4">
        <v>13.767181371876701</v>
      </c>
      <c r="S1885" s="4">
        <v>13.547331512149199</v>
      </c>
      <c r="T1885" s="4">
        <v>13.7708438582521</v>
      </c>
      <c r="U1885" s="4">
        <f t="shared" si="118"/>
        <v>13.695118914092667</v>
      </c>
      <c r="X1885" s="43" t="s">
        <v>1454</v>
      </c>
      <c r="Y1885" s="4">
        <v>13.8676936706378</v>
      </c>
      <c r="Z1885" s="4">
        <v>13.7224044150017</v>
      </c>
      <c r="AA1885" s="4">
        <v>13.901959227802701</v>
      </c>
      <c r="AB1885" s="4">
        <f t="shared" si="119"/>
        <v>13.830685771147401</v>
      </c>
    </row>
    <row r="1886" spans="2:28" x14ac:dyDescent="0.2">
      <c r="B1886" s="4" t="s">
        <v>3151</v>
      </c>
      <c r="C1886" s="4">
        <v>13.8025</v>
      </c>
      <c r="D1886" s="4">
        <v>14.0063</v>
      </c>
      <c r="E1886" s="4">
        <v>13.8171</v>
      </c>
      <c r="F1886" s="4">
        <f t="shared" si="116"/>
        <v>13.875300000000001</v>
      </c>
      <c r="I1886" s="4" t="s">
        <v>3113</v>
      </c>
      <c r="J1886" s="4">
        <v>13.8765</v>
      </c>
      <c r="K1886" s="4">
        <v>13.802899999999999</v>
      </c>
      <c r="L1886" s="4">
        <v>14.0181</v>
      </c>
      <c r="M1886" s="4">
        <f t="shared" si="117"/>
        <v>13.899166666666668</v>
      </c>
      <c r="Q1886" s="43" t="s">
        <v>577</v>
      </c>
      <c r="R1886" s="4">
        <v>13.6105953952805</v>
      </c>
      <c r="S1886" s="4">
        <v>13.727875363748099</v>
      </c>
      <c r="T1886" s="4">
        <v>13.7445825389257</v>
      </c>
      <c r="U1886" s="4">
        <f t="shared" si="118"/>
        <v>13.6943510993181</v>
      </c>
      <c r="X1886" s="43" t="s">
        <v>4017</v>
      </c>
      <c r="Y1886" s="4">
        <v>13.973550771453899</v>
      </c>
      <c r="Z1886" s="4">
        <v>13.765750173461701</v>
      </c>
      <c r="AA1886" s="4">
        <v>13.7520733871487</v>
      </c>
      <c r="AB1886" s="4">
        <f t="shared" si="119"/>
        <v>13.830458110688099</v>
      </c>
    </row>
    <row r="1887" spans="2:28" x14ac:dyDescent="0.2">
      <c r="B1887" s="4" t="s">
        <v>738</v>
      </c>
      <c r="C1887" s="4">
        <v>13.7425</v>
      </c>
      <c r="D1887" s="4">
        <v>13.864599999999999</v>
      </c>
      <c r="E1887" s="4">
        <v>14.015700000000001</v>
      </c>
      <c r="F1887" s="4">
        <f t="shared" si="116"/>
        <v>13.874266666666665</v>
      </c>
      <c r="I1887" s="4" t="s">
        <v>1292</v>
      </c>
      <c r="J1887" s="4">
        <v>14.1609</v>
      </c>
      <c r="K1887" s="4">
        <v>13.384499999999999</v>
      </c>
      <c r="L1887" s="4">
        <v>14.149900000000001</v>
      </c>
      <c r="M1887" s="4">
        <f t="shared" si="117"/>
        <v>13.898433333333335</v>
      </c>
      <c r="Q1887" s="43" t="s">
        <v>4402</v>
      </c>
      <c r="R1887" s="4">
        <v>13.7496962749901</v>
      </c>
      <c r="S1887" s="4">
        <v>13.6257453781328</v>
      </c>
      <c r="T1887" s="4">
        <v>13.7065727304705</v>
      </c>
      <c r="U1887" s="4">
        <f t="shared" si="118"/>
        <v>13.694004794531132</v>
      </c>
      <c r="X1887" s="43" t="s">
        <v>3018</v>
      </c>
      <c r="Y1887" s="4">
        <v>13.963839622537</v>
      </c>
      <c r="Z1887" s="4">
        <v>13.684259682324299</v>
      </c>
      <c r="AA1887" s="4">
        <v>13.838712286606601</v>
      </c>
      <c r="AB1887" s="4">
        <f t="shared" si="119"/>
        <v>13.828937197155966</v>
      </c>
    </row>
    <row r="1888" spans="2:28" x14ac:dyDescent="0.2">
      <c r="B1888" s="4" t="s">
        <v>4045</v>
      </c>
      <c r="C1888" s="4">
        <v>13.5642</v>
      </c>
      <c r="D1888" s="4">
        <v>13.8452</v>
      </c>
      <c r="E1888" s="4">
        <v>14.212899999999999</v>
      </c>
      <c r="F1888" s="4">
        <f t="shared" si="116"/>
        <v>13.874099999999999</v>
      </c>
      <c r="I1888" s="4" t="s">
        <v>2756</v>
      </c>
      <c r="J1888" s="4">
        <v>14.105399999999999</v>
      </c>
      <c r="K1888" s="4">
        <v>13.312799999999999</v>
      </c>
      <c r="L1888" s="4">
        <v>14.2727</v>
      </c>
      <c r="M1888" s="4">
        <f t="shared" si="117"/>
        <v>13.896966666666666</v>
      </c>
      <c r="Q1888" s="43" t="s">
        <v>2697</v>
      </c>
      <c r="R1888" s="4">
        <v>13.3585162283307</v>
      </c>
      <c r="S1888" s="4">
        <v>13.6987679840705</v>
      </c>
      <c r="T1888" s="4">
        <v>14.0098306909832</v>
      </c>
      <c r="U1888" s="4">
        <f t="shared" si="118"/>
        <v>13.689038301128134</v>
      </c>
      <c r="X1888" s="43" t="s">
        <v>706</v>
      </c>
      <c r="Y1888" s="4">
        <v>13.796049542250699</v>
      </c>
      <c r="Z1888" s="4">
        <v>13.9167793531198</v>
      </c>
      <c r="AA1888" s="4">
        <v>13.773459641416601</v>
      </c>
      <c r="AB1888" s="4">
        <f t="shared" si="119"/>
        <v>13.828762845595699</v>
      </c>
    </row>
    <row r="1889" spans="2:28" x14ac:dyDescent="0.2">
      <c r="B1889" s="4" t="s">
        <v>3997</v>
      </c>
      <c r="C1889" s="4">
        <v>13.978199999999999</v>
      </c>
      <c r="D1889" s="4">
        <v>13.979200000000001</v>
      </c>
      <c r="E1889" s="4">
        <v>13.6593</v>
      </c>
      <c r="F1889" s="4">
        <f t="shared" si="116"/>
        <v>13.872233333333334</v>
      </c>
      <c r="I1889" s="4" t="s">
        <v>2899</v>
      </c>
      <c r="J1889" s="4">
        <v>13.958500000000001</v>
      </c>
      <c r="K1889" s="4">
        <v>13.7706</v>
      </c>
      <c r="L1889" s="4">
        <v>13.956799999999999</v>
      </c>
      <c r="M1889" s="4">
        <f t="shared" si="117"/>
        <v>13.895300000000001</v>
      </c>
      <c r="Q1889" s="43" t="s">
        <v>1062</v>
      </c>
      <c r="R1889" s="4">
        <v>13.4010337797404</v>
      </c>
      <c r="S1889" s="4">
        <v>13.7969031686916</v>
      </c>
      <c r="T1889" s="4">
        <v>13.868540075994799</v>
      </c>
      <c r="U1889" s="4">
        <f t="shared" si="118"/>
        <v>13.688825674808934</v>
      </c>
      <c r="X1889" s="43" t="s">
        <v>213</v>
      </c>
      <c r="Y1889" s="4">
        <v>13.9453576300821</v>
      </c>
      <c r="Z1889" s="4">
        <v>13.816623027835799</v>
      </c>
      <c r="AA1889" s="4">
        <v>13.723785150030301</v>
      </c>
      <c r="AB1889" s="4">
        <f t="shared" si="119"/>
        <v>13.828588602649399</v>
      </c>
    </row>
    <row r="1890" spans="2:28" x14ac:dyDescent="0.2">
      <c r="B1890" s="4" t="s">
        <v>83</v>
      </c>
      <c r="C1890" s="4">
        <v>13.8271</v>
      </c>
      <c r="D1890" s="4">
        <v>13.8597</v>
      </c>
      <c r="E1890" s="4">
        <v>13.9231</v>
      </c>
      <c r="F1890" s="4">
        <f t="shared" si="116"/>
        <v>13.869966666666665</v>
      </c>
      <c r="I1890" s="4" t="s">
        <v>1420</v>
      </c>
      <c r="J1890" s="4">
        <v>13.6914</v>
      </c>
      <c r="K1890" s="4">
        <v>15.3477</v>
      </c>
      <c r="L1890" s="4">
        <v>12.6333</v>
      </c>
      <c r="M1890" s="4">
        <f t="shared" si="117"/>
        <v>13.890799999999999</v>
      </c>
      <c r="Q1890" s="43" t="s">
        <v>47</v>
      </c>
      <c r="R1890" s="4">
        <v>13.6208784044426</v>
      </c>
      <c r="S1890" s="4">
        <v>13.620961425085399</v>
      </c>
      <c r="T1890" s="4">
        <v>13.821308122803099</v>
      </c>
      <c r="U1890" s="4">
        <f t="shared" si="118"/>
        <v>13.687715984110364</v>
      </c>
      <c r="X1890" s="43" t="s">
        <v>3347</v>
      </c>
      <c r="Y1890" s="4">
        <v>13.931770831860099</v>
      </c>
      <c r="Z1890" s="4">
        <v>14.588976370277001</v>
      </c>
      <c r="AA1890" s="4">
        <v>12.9647101663132</v>
      </c>
      <c r="AB1890" s="4">
        <f t="shared" si="119"/>
        <v>13.828485789483432</v>
      </c>
    </row>
    <row r="1891" spans="2:28" x14ac:dyDescent="0.2">
      <c r="B1891" s="4" t="s">
        <v>1300</v>
      </c>
      <c r="C1891" s="4">
        <v>13.778700000000001</v>
      </c>
      <c r="D1891" s="4">
        <v>13.9198</v>
      </c>
      <c r="E1891" s="4">
        <v>13.911199999999999</v>
      </c>
      <c r="F1891" s="4">
        <f t="shared" si="116"/>
        <v>13.869900000000001</v>
      </c>
      <c r="I1891" s="4" t="s">
        <v>2455</v>
      </c>
      <c r="J1891" s="4">
        <v>13.948399999999999</v>
      </c>
      <c r="K1891" s="4">
        <v>13.761200000000001</v>
      </c>
      <c r="L1891" s="4">
        <v>13.9621</v>
      </c>
      <c r="M1891" s="4">
        <f t="shared" si="117"/>
        <v>13.890566666666667</v>
      </c>
      <c r="Q1891" s="43" t="s">
        <v>4039</v>
      </c>
      <c r="R1891" s="4">
        <v>13.800323126735099</v>
      </c>
      <c r="S1891" s="4">
        <v>13.690048965794899</v>
      </c>
      <c r="T1891" s="4">
        <v>13.5718330795365</v>
      </c>
      <c r="U1891" s="4">
        <f t="shared" si="118"/>
        <v>13.687401724022166</v>
      </c>
      <c r="X1891" s="43" t="s">
        <v>2364</v>
      </c>
      <c r="Y1891" s="4">
        <v>13.873916921008499</v>
      </c>
      <c r="Z1891" s="4">
        <v>13.8223174279264</v>
      </c>
      <c r="AA1891" s="4">
        <v>13.785012714835</v>
      </c>
      <c r="AB1891" s="4">
        <f t="shared" si="119"/>
        <v>13.827082354589967</v>
      </c>
    </row>
    <row r="1892" spans="2:28" x14ac:dyDescent="0.2">
      <c r="B1892" s="4" t="s">
        <v>2912</v>
      </c>
      <c r="C1892" s="4">
        <v>12.942600000000001</v>
      </c>
      <c r="D1892" s="4">
        <v>13.4825</v>
      </c>
      <c r="E1892" s="4">
        <v>15.1829</v>
      </c>
      <c r="F1892" s="4">
        <f t="shared" si="116"/>
        <v>13.869333333333335</v>
      </c>
      <c r="I1892" s="4" t="s">
        <v>584</v>
      </c>
      <c r="J1892" s="4">
        <v>13.515499999999999</v>
      </c>
      <c r="K1892" s="4">
        <v>14.5848</v>
      </c>
      <c r="L1892" s="4">
        <v>13.5663</v>
      </c>
      <c r="M1892" s="4">
        <f t="shared" si="117"/>
        <v>13.888866666666665</v>
      </c>
      <c r="Q1892" s="43" t="s">
        <v>4516</v>
      </c>
      <c r="R1892" s="4">
        <v>13.4284194444985</v>
      </c>
      <c r="S1892" s="4">
        <v>13.907342800659301</v>
      </c>
      <c r="T1892" s="4">
        <v>13.7254809843506</v>
      </c>
      <c r="U1892" s="4">
        <f t="shared" si="118"/>
        <v>13.687081076502801</v>
      </c>
      <c r="X1892" s="43" t="s">
        <v>724</v>
      </c>
      <c r="Y1892" s="4">
        <v>14.05342625448</v>
      </c>
      <c r="Z1892" s="4">
        <v>13.420932881497601</v>
      </c>
      <c r="AA1892" s="4">
        <v>14.006131745780699</v>
      </c>
      <c r="AB1892" s="4">
        <f t="shared" si="119"/>
        <v>13.826830293919434</v>
      </c>
    </row>
    <row r="1893" spans="2:28" x14ac:dyDescent="0.2">
      <c r="B1893" s="4" t="s">
        <v>3610</v>
      </c>
      <c r="C1893" s="4">
        <v>13.6691</v>
      </c>
      <c r="D1893" s="4">
        <v>13.7766</v>
      </c>
      <c r="E1893" s="4">
        <v>14.1599</v>
      </c>
      <c r="F1893" s="4">
        <f t="shared" si="116"/>
        <v>13.868533333333334</v>
      </c>
      <c r="I1893" s="4" t="s">
        <v>2268</v>
      </c>
      <c r="J1893" s="4">
        <v>14.0025</v>
      </c>
      <c r="K1893" s="4">
        <v>13.5953</v>
      </c>
      <c r="L1893" s="4">
        <v>14.0627</v>
      </c>
      <c r="M1893" s="4">
        <f t="shared" si="117"/>
        <v>13.886833333333334</v>
      </c>
      <c r="Q1893" s="43" t="s">
        <v>3040</v>
      </c>
      <c r="R1893" s="4">
        <v>13.6584087911976</v>
      </c>
      <c r="S1893" s="4">
        <v>13.675980253716901</v>
      </c>
      <c r="T1893" s="4">
        <v>13.7243137187507</v>
      </c>
      <c r="U1893" s="4">
        <f t="shared" si="118"/>
        <v>13.686234254555067</v>
      </c>
      <c r="X1893" s="43" t="s">
        <v>1640</v>
      </c>
      <c r="Y1893" s="4">
        <v>13.877364490878699</v>
      </c>
      <c r="Z1893" s="4">
        <v>13.8590513265307</v>
      </c>
      <c r="AA1893" s="4">
        <v>13.742796540654499</v>
      </c>
      <c r="AB1893" s="4">
        <f t="shared" si="119"/>
        <v>13.826404119354635</v>
      </c>
    </row>
    <row r="1894" spans="2:28" x14ac:dyDescent="0.2">
      <c r="B1894" s="4" t="s">
        <v>3626</v>
      </c>
      <c r="C1894" s="4">
        <v>13.860300000000001</v>
      </c>
      <c r="D1894" s="4">
        <v>13.870200000000001</v>
      </c>
      <c r="E1894" s="4">
        <v>13.8697</v>
      </c>
      <c r="F1894" s="4">
        <f t="shared" si="116"/>
        <v>13.866733333333334</v>
      </c>
      <c r="I1894" s="4" t="s">
        <v>2918</v>
      </c>
      <c r="J1894" s="4">
        <v>14.0814</v>
      </c>
      <c r="K1894" s="4">
        <v>13.5783</v>
      </c>
      <c r="L1894" s="4">
        <v>13.999000000000001</v>
      </c>
      <c r="M1894" s="4">
        <f t="shared" si="117"/>
        <v>13.886233333333335</v>
      </c>
      <c r="Q1894" s="43" t="s">
        <v>2644</v>
      </c>
      <c r="R1894" s="4">
        <v>13.703737587085</v>
      </c>
      <c r="S1894" s="4">
        <v>13.4741446065504</v>
      </c>
      <c r="T1894" s="4">
        <v>13.880081552797799</v>
      </c>
      <c r="U1894" s="4">
        <f t="shared" si="118"/>
        <v>13.685987915477732</v>
      </c>
      <c r="X1894" s="43" t="s">
        <v>323</v>
      </c>
      <c r="Y1894" s="4">
        <v>13.628953374594801</v>
      </c>
      <c r="Z1894" s="4">
        <v>14.268960736779301</v>
      </c>
      <c r="AA1894" s="4">
        <v>13.57760533627</v>
      </c>
      <c r="AB1894" s="4">
        <f t="shared" si="119"/>
        <v>13.825173149214701</v>
      </c>
    </row>
    <row r="1895" spans="2:28" x14ac:dyDescent="0.2">
      <c r="B1895" s="4" t="s">
        <v>2999</v>
      </c>
      <c r="C1895" s="4">
        <v>13.969799999999999</v>
      </c>
      <c r="D1895" s="4">
        <v>13.9413</v>
      </c>
      <c r="E1895" s="4">
        <v>13.680099999999999</v>
      </c>
      <c r="F1895" s="4">
        <f t="shared" si="116"/>
        <v>13.863733333333334</v>
      </c>
      <c r="I1895" s="4" t="s">
        <v>36</v>
      </c>
      <c r="J1895" s="4">
        <v>14.2439</v>
      </c>
      <c r="K1895" s="4">
        <v>13.3794</v>
      </c>
      <c r="L1895" s="4">
        <v>14.0341</v>
      </c>
      <c r="M1895" s="4">
        <f t="shared" si="117"/>
        <v>13.885800000000001</v>
      </c>
      <c r="Q1895" s="43" t="s">
        <v>608</v>
      </c>
      <c r="R1895" s="4">
        <v>13.7044277941019</v>
      </c>
      <c r="S1895" s="4">
        <v>13.7353582552793</v>
      </c>
      <c r="T1895" s="4">
        <v>13.614317205490799</v>
      </c>
      <c r="U1895" s="4">
        <f t="shared" si="118"/>
        <v>13.684701084957332</v>
      </c>
      <c r="X1895" s="43" t="s">
        <v>1584</v>
      </c>
      <c r="Y1895" s="4">
        <v>13.8185491520415</v>
      </c>
      <c r="Z1895" s="4">
        <v>13.6937234161229</v>
      </c>
      <c r="AA1895" s="4">
        <v>13.9622757882924</v>
      </c>
      <c r="AB1895" s="4">
        <f t="shared" si="119"/>
        <v>13.824849452152266</v>
      </c>
    </row>
    <row r="1896" spans="2:28" x14ac:dyDescent="0.2">
      <c r="B1896" s="4" t="s">
        <v>2416</v>
      </c>
      <c r="C1896" s="4">
        <v>14.008900000000001</v>
      </c>
      <c r="D1896" s="4">
        <v>13.978199999999999</v>
      </c>
      <c r="E1896" s="4">
        <v>13.601800000000001</v>
      </c>
      <c r="F1896" s="4">
        <f t="shared" si="116"/>
        <v>13.862966666666665</v>
      </c>
      <c r="I1896" s="4" t="s">
        <v>2715</v>
      </c>
      <c r="J1896" s="4">
        <v>13.7935</v>
      </c>
      <c r="K1896" s="4">
        <v>13.5868</v>
      </c>
      <c r="L1896" s="4">
        <v>14.274800000000001</v>
      </c>
      <c r="M1896" s="4">
        <f t="shared" si="117"/>
        <v>13.885033333333332</v>
      </c>
      <c r="Q1896" s="43" t="s">
        <v>1288</v>
      </c>
      <c r="R1896" s="4">
        <v>14.169532947472</v>
      </c>
      <c r="S1896" s="4">
        <v>13.5986417789938</v>
      </c>
      <c r="T1896" s="4">
        <v>13.2858637606694</v>
      </c>
      <c r="U1896" s="4">
        <f t="shared" si="118"/>
        <v>13.684679495711734</v>
      </c>
      <c r="X1896" s="43" t="s">
        <v>3756</v>
      </c>
      <c r="Y1896" s="4">
        <v>13.9748856825509</v>
      </c>
      <c r="Z1896" s="4">
        <v>13.597701917871101</v>
      </c>
      <c r="AA1896" s="4">
        <v>13.900932181480099</v>
      </c>
      <c r="AB1896" s="4">
        <f t="shared" si="119"/>
        <v>13.824506593967365</v>
      </c>
    </row>
    <row r="1897" spans="2:28" x14ac:dyDescent="0.2">
      <c r="B1897" s="4" t="s">
        <v>3736</v>
      </c>
      <c r="C1897" s="4">
        <v>13.8407</v>
      </c>
      <c r="D1897" s="4">
        <v>13.751099999999999</v>
      </c>
      <c r="E1897" s="4">
        <v>13.991899999999999</v>
      </c>
      <c r="F1897" s="4">
        <f t="shared" si="116"/>
        <v>13.861233333333333</v>
      </c>
      <c r="I1897" s="4" t="s">
        <v>1405</v>
      </c>
      <c r="J1897" s="4">
        <v>13.782</v>
      </c>
      <c r="K1897" s="4">
        <v>14.634</v>
      </c>
      <c r="L1897" s="4">
        <v>13.2309</v>
      </c>
      <c r="M1897" s="4">
        <f t="shared" si="117"/>
        <v>13.882300000000001</v>
      </c>
      <c r="Q1897" s="43" t="s">
        <v>1292</v>
      </c>
      <c r="R1897" s="4">
        <v>13.708798247524699</v>
      </c>
      <c r="S1897" s="4">
        <v>13.6938496071381</v>
      </c>
      <c r="T1897" s="4">
        <v>13.6505295338027</v>
      </c>
      <c r="U1897" s="4">
        <f t="shared" si="118"/>
        <v>13.684392462821833</v>
      </c>
      <c r="X1897" s="43" t="s">
        <v>413</v>
      </c>
      <c r="Y1897" s="4">
        <v>13.7506786271972</v>
      </c>
      <c r="Z1897" s="4">
        <v>13.8013346134716</v>
      </c>
      <c r="AA1897" s="4">
        <v>13.920791352452</v>
      </c>
      <c r="AB1897" s="4">
        <f t="shared" si="119"/>
        <v>13.824268197706933</v>
      </c>
    </row>
    <row r="1898" spans="2:28" x14ac:dyDescent="0.2">
      <c r="B1898" s="4" t="s">
        <v>3992</v>
      </c>
      <c r="C1898" s="4">
        <v>13.517200000000001</v>
      </c>
      <c r="D1898" s="4">
        <v>13.78</v>
      </c>
      <c r="E1898" s="4">
        <v>14.284700000000001</v>
      </c>
      <c r="F1898" s="4">
        <f t="shared" si="116"/>
        <v>13.860633333333334</v>
      </c>
      <c r="I1898" s="4" t="s">
        <v>3254</v>
      </c>
      <c r="J1898" s="4">
        <v>13.779199999999999</v>
      </c>
      <c r="K1898" s="4">
        <v>15.0169</v>
      </c>
      <c r="L1898" s="4">
        <v>12.8431</v>
      </c>
      <c r="M1898" s="4">
        <f t="shared" si="117"/>
        <v>13.879733333333334</v>
      </c>
      <c r="Q1898" s="43" t="s">
        <v>436</v>
      </c>
      <c r="R1898" s="4">
        <v>13.656897898471</v>
      </c>
      <c r="S1898" s="4">
        <v>13.4709060921855</v>
      </c>
      <c r="T1898" s="4">
        <v>13.9242526121157</v>
      </c>
      <c r="U1898" s="4">
        <f t="shared" si="118"/>
        <v>13.684018867590732</v>
      </c>
      <c r="X1898" s="43" t="s">
        <v>694</v>
      </c>
      <c r="Y1898" s="4">
        <v>13.5917619055322</v>
      </c>
      <c r="Z1898" s="4">
        <v>13.774249793767799</v>
      </c>
      <c r="AA1898" s="4">
        <v>14.1056857769529</v>
      </c>
      <c r="AB1898" s="4">
        <f t="shared" si="119"/>
        <v>13.823899158750967</v>
      </c>
    </row>
    <row r="1899" spans="2:28" x14ac:dyDescent="0.2">
      <c r="B1899" s="4" t="s">
        <v>3345</v>
      </c>
      <c r="C1899" s="4">
        <v>13.437799999999999</v>
      </c>
      <c r="D1899" s="4">
        <v>14.006600000000001</v>
      </c>
      <c r="E1899" s="4">
        <v>14.1356</v>
      </c>
      <c r="F1899" s="4">
        <f t="shared" si="116"/>
        <v>13.86</v>
      </c>
      <c r="I1899" s="4" t="s">
        <v>2555</v>
      </c>
      <c r="J1899" s="4">
        <v>13.855700000000001</v>
      </c>
      <c r="K1899" s="4">
        <v>13.709199999999999</v>
      </c>
      <c r="L1899" s="4">
        <v>14.0739</v>
      </c>
      <c r="M1899" s="4">
        <f t="shared" si="117"/>
        <v>13.879600000000002</v>
      </c>
      <c r="Q1899" s="43" t="s">
        <v>659</v>
      </c>
      <c r="R1899" s="4">
        <v>13.5255953076871</v>
      </c>
      <c r="S1899" s="4">
        <v>13.490785715115001</v>
      </c>
      <c r="T1899" s="4">
        <v>14.0351613005967</v>
      </c>
      <c r="U1899" s="4">
        <f t="shared" si="118"/>
        <v>13.683847441132933</v>
      </c>
      <c r="X1899" s="43" t="s">
        <v>3440</v>
      </c>
      <c r="Y1899" s="4">
        <v>13.6625927488471</v>
      </c>
      <c r="Z1899" s="4">
        <v>14.081416086188799</v>
      </c>
      <c r="AA1899" s="4">
        <v>13.727172298086799</v>
      </c>
      <c r="AB1899" s="4">
        <f t="shared" si="119"/>
        <v>13.823727044374232</v>
      </c>
    </row>
    <row r="1900" spans="2:28" x14ac:dyDescent="0.2">
      <c r="B1900" s="4" t="s">
        <v>2086</v>
      </c>
      <c r="C1900" s="4">
        <v>14.383599999999999</v>
      </c>
      <c r="D1900" s="4">
        <v>14.030900000000001</v>
      </c>
      <c r="E1900" s="4">
        <v>13.162800000000001</v>
      </c>
      <c r="F1900" s="4">
        <f t="shared" si="116"/>
        <v>13.8591</v>
      </c>
      <c r="I1900" s="4" t="s">
        <v>1609</v>
      </c>
      <c r="J1900" s="4">
        <v>14.3367</v>
      </c>
      <c r="K1900" s="4">
        <v>12.781499999999999</v>
      </c>
      <c r="L1900" s="4">
        <v>14.5197</v>
      </c>
      <c r="M1900" s="4">
        <f t="shared" si="117"/>
        <v>13.879300000000001</v>
      </c>
      <c r="Q1900" s="43" t="s">
        <v>2148</v>
      </c>
      <c r="R1900" s="4">
        <v>14.073649863671401</v>
      </c>
      <c r="S1900" s="4">
        <v>13.531142190794901</v>
      </c>
      <c r="T1900" s="4">
        <v>13.4461108271533</v>
      </c>
      <c r="U1900" s="4">
        <f t="shared" si="118"/>
        <v>13.683634293873199</v>
      </c>
      <c r="X1900" s="43" t="s">
        <v>2533</v>
      </c>
      <c r="Y1900" s="4">
        <v>13.8091828892272</v>
      </c>
      <c r="Z1900" s="4">
        <v>13.709829689025501</v>
      </c>
      <c r="AA1900" s="4">
        <v>13.9345270245986</v>
      </c>
      <c r="AB1900" s="4">
        <f t="shared" si="119"/>
        <v>13.817846534283767</v>
      </c>
    </row>
    <row r="1901" spans="2:28" x14ac:dyDescent="0.2">
      <c r="B1901" s="4" t="s">
        <v>233</v>
      </c>
      <c r="C1901" s="4">
        <v>13.711</v>
      </c>
      <c r="D1901" s="4">
        <v>14.001200000000001</v>
      </c>
      <c r="E1901" s="4">
        <v>13.8611</v>
      </c>
      <c r="F1901" s="4">
        <f t="shared" si="116"/>
        <v>13.857766666666668</v>
      </c>
      <c r="I1901" s="4" t="s">
        <v>2356</v>
      </c>
      <c r="J1901" s="4">
        <v>14.0029</v>
      </c>
      <c r="K1901" s="4">
        <v>13.4856</v>
      </c>
      <c r="L1901" s="4">
        <v>14.146599999999999</v>
      </c>
      <c r="M1901" s="4">
        <f t="shared" si="117"/>
        <v>13.878366666666667</v>
      </c>
      <c r="Q1901" s="43" t="s">
        <v>2569</v>
      </c>
      <c r="R1901" s="4">
        <v>13.6462452473149</v>
      </c>
      <c r="S1901" s="4">
        <v>13.6610078241225</v>
      </c>
      <c r="T1901" s="4">
        <v>13.738946210819</v>
      </c>
      <c r="U1901" s="4">
        <f t="shared" si="118"/>
        <v>13.682066427418802</v>
      </c>
      <c r="X1901" s="43" t="s">
        <v>3274</v>
      </c>
      <c r="Y1901" s="4">
        <v>13.8978215374645</v>
      </c>
      <c r="Z1901" s="4">
        <v>13.973403357816499</v>
      </c>
      <c r="AA1901" s="4">
        <v>13.5806256165015</v>
      </c>
      <c r="AB1901" s="4">
        <f t="shared" si="119"/>
        <v>13.817283503927499</v>
      </c>
    </row>
    <row r="1902" spans="2:28" x14ac:dyDescent="0.2">
      <c r="B1902" s="4" t="s">
        <v>498</v>
      </c>
      <c r="C1902" s="4">
        <v>13.943</v>
      </c>
      <c r="D1902" s="4">
        <v>13.9489</v>
      </c>
      <c r="E1902" s="4">
        <v>13.6807</v>
      </c>
      <c r="F1902" s="4">
        <f t="shared" si="116"/>
        <v>13.857533333333334</v>
      </c>
      <c r="I1902" s="4" t="s">
        <v>3264</v>
      </c>
      <c r="J1902" s="4">
        <v>13.787100000000001</v>
      </c>
      <c r="K1902" s="4">
        <v>14.3301</v>
      </c>
      <c r="L1902" s="4">
        <v>13.5075</v>
      </c>
      <c r="M1902" s="4">
        <f t="shared" si="117"/>
        <v>13.874900000000002</v>
      </c>
      <c r="Q1902" s="43" t="s">
        <v>4595</v>
      </c>
      <c r="R1902" s="4">
        <v>13.2079620960693</v>
      </c>
      <c r="S1902" s="4">
        <v>14.0881220377397</v>
      </c>
      <c r="T1902" s="4">
        <v>13.7475915135942</v>
      </c>
      <c r="U1902" s="4">
        <f t="shared" si="118"/>
        <v>13.681225215801065</v>
      </c>
      <c r="X1902" s="43" t="s">
        <v>1609</v>
      </c>
      <c r="Y1902" s="4">
        <v>13.466446001531001</v>
      </c>
      <c r="Z1902" s="4">
        <v>14.3012780956046</v>
      </c>
      <c r="AA1902" s="4">
        <v>13.6819579360699</v>
      </c>
      <c r="AB1902" s="4">
        <f t="shared" si="119"/>
        <v>13.816560677735167</v>
      </c>
    </row>
    <row r="1903" spans="2:28" x14ac:dyDescent="0.2">
      <c r="B1903" s="4" t="s">
        <v>1392</v>
      </c>
      <c r="C1903" s="4">
        <v>13.835000000000001</v>
      </c>
      <c r="D1903" s="4">
        <v>14.044499999999999</v>
      </c>
      <c r="E1903" s="4">
        <v>13.693099999999999</v>
      </c>
      <c r="F1903" s="4">
        <f t="shared" si="116"/>
        <v>13.857533333333334</v>
      </c>
      <c r="I1903" s="4" t="s">
        <v>3742</v>
      </c>
      <c r="J1903" s="4">
        <v>13.4863</v>
      </c>
      <c r="K1903" s="4">
        <v>14.702500000000001</v>
      </c>
      <c r="L1903" s="4">
        <v>13.4345</v>
      </c>
      <c r="M1903" s="4">
        <f t="shared" si="117"/>
        <v>13.874433333333334</v>
      </c>
      <c r="Q1903" s="43" t="s">
        <v>3930</v>
      </c>
      <c r="R1903" s="4">
        <v>12.7341495593774</v>
      </c>
      <c r="S1903" s="4">
        <v>13.9982419149117</v>
      </c>
      <c r="T1903" s="4">
        <v>14.302793837752199</v>
      </c>
      <c r="U1903" s="4">
        <f t="shared" si="118"/>
        <v>13.678395104013767</v>
      </c>
      <c r="X1903" s="43" t="s">
        <v>2823</v>
      </c>
      <c r="Y1903" s="4">
        <v>13.827880379337101</v>
      </c>
      <c r="Z1903" s="4">
        <v>13.7758429241755</v>
      </c>
      <c r="AA1903" s="4">
        <v>13.842478153729701</v>
      </c>
      <c r="AB1903" s="4">
        <f t="shared" si="119"/>
        <v>13.815400485747434</v>
      </c>
    </row>
    <row r="1904" spans="2:28" x14ac:dyDescent="0.2">
      <c r="B1904" s="4" t="s">
        <v>3898</v>
      </c>
      <c r="C1904" s="4">
        <v>13.6669</v>
      </c>
      <c r="D1904" s="4">
        <v>13.8894</v>
      </c>
      <c r="E1904" s="4">
        <v>14.0151</v>
      </c>
      <c r="F1904" s="4">
        <f t="shared" si="116"/>
        <v>13.857133333333332</v>
      </c>
      <c r="I1904" s="4" t="s">
        <v>2316</v>
      </c>
      <c r="J1904" s="4">
        <v>13.7332</v>
      </c>
      <c r="K1904" s="4">
        <v>14.269399999999999</v>
      </c>
      <c r="L1904" s="4">
        <v>13.619400000000001</v>
      </c>
      <c r="M1904" s="4">
        <f t="shared" si="117"/>
        <v>13.874000000000001</v>
      </c>
      <c r="Q1904" s="43" t="s">
        <v>611</v>
      </c>
      <c r="R1904" s="4">
        <v>13.504358318639101</v>
      </c>
      <c r="S1904" s="4">
        <v>13.8760407427042</v>
      </c>
      <c r="T1904" s="4">
        <v>13.649468860651099</v>
      </c>
      <c r="U1904" s="4">
        <f t="shared" si="118"/>
        <v>13.676622640664801</v>
      </c>
      <c r="X1904" s="43" t="s">
        <v>127</v>
      </c>
      <c r="Y1904" s="4">
        <v>13.7749102994014</v>
      </c>
      <c r="Z1904" s="4">
        <v>13.926604821825601</v>
      </c>
      <c r="AA1904" s="4">
        <v>13.7444030412475</v>
      </c>
      <c r="AB1904" s="4">
        <f t="shared" si="119"/>
        <v>13.815306054158166</v>
      </c>
    </row>
    <row r="1905" spans="2:28" x14ac:dyDescent="0.2">
      <c r="B1905" s="4" t="s">
        <v>2895</v>
      </c>
      <c r="C1905" s="4">
        <v>13.986800000000001</v>
      </c>
      <c r="D1905" s="4">
        <v>13.900700000000001</v>
      </c>
      <c r="E1905" s="4">
        <v>13.6759</v>
      </c>
      <c r="F1905" s="4">
        <f t="shared" si="116"/>
        <v>13.854466666666667</v>
      </c>
      <c r="I1905" s="4" t="s">
        <v>2043</v>
      </c>
      <c r="J1905" s="4">
        <v>13.9023</v>
      </c>
      <c r="K1905" s="4">
        <v>13.676</v>
      </c>
      <c r="L1905" s="4">
        <v>14.027799999999999</v>
      </c>
      <c r="M1905" s="4">
        <f t="shared" si="117"/>
        <v>13.868699999999999</v>
      </c>
      <c r="Q1905" s="43" t="s">
        <v>3588</v>
      </c>
      <c r="R1905" s="4">
        <v>13.408755884652299</v>
      </c>
      <c r="S1905" s="4">
        <v>13.628697535585999</v>
      </c>
      <c r="T1905" s="4">
        <v>13.9830737839906</v>
      </c>
      <c r="U1905" s="4">
        <f t="shared" si="118"/>
        <v>13.673509068076299</v>
      </c>
      <c r="X1905" s="43" t="s">
        <v>427</v>
      </c>
      <c r="Y1905" s="4">
        <v>13.881804913012701</v>
      </c>
      <c r="Z1905" s="4">
        <v>13.9366321436446</v>
      </c>
      <c r="AA1905" s="4">
        <v>13.627205406117101</v>
      </c>
      <c r="AB1905" s="4">
        <f t="shared" si="119"/>
        <v>13.815214154258134</v>
      </c>
    </row>
    <row r="1906" spans="2:28" x14ac:dyDescent="0.2">
      <c r="B1906" s="4" t="s">
        <v>4049</v>
      </c>
      <c r="C1906" s="4">
        <v>13.981</v>
      </c>
      <c r="D1906" s="4">
        <v>13.9131</v>
      </c>
      <c r="E1906" s="4">
        <v>13.6647</v>
      </c>
      <c r="F1906" s="4">
        <f t="shared" si="116"/>
        <v>13.852933333333334</v>
      </c>
      <c r="I1906" s="24" t="s">
        <v>401</v>
      </c>
      <c r="J1906" s="24">
        <v>14.135</v>
      </c>
      <c r="K1906" s="24">
        <v>13.5501</v>
      </c>
      <c r="L1906" s="24">
        <v>13.9186</v>
      </c>
      <c r="M1906" s="4">
        <f t="shared" si="117"/>
        <v>13.867899999999999</v>
      </c>
      <c r="Q1906" s="43" t="s">
        <v>2234</v>
      </c>
      <c r="R1906" s="4">
        <v>13.7430861152624</v>
      </c>
      <c r="S1906" s="4">
        <v>13.645958266068799</v>
      </c>
      <c r="T1906" s="4">
        <v>13.6284496875626</v>
      </c>
      <c r="U1906" s="4">
        <f t="shared" si="118"/>
        <v>13.672498022964598</v>
      </c>
      <c r="X1906" s="43" t="s">
        <v>1888</v>
      </c>
      <c r="Y1906" s="4">
        <v>13.923897389249801</v>
      </c>
      <c r="Z1906" s="4">
        <v>13.830401523322299</v>
      </c>
      <c r="AA1906" s="4">
        <v>13.6834949285267</v>
      </c>
      <c r="AB1906" s="4">
        <f t="shared" si="119"/>
        <v>13.812597947032934</v>
      </c>
    </row>
    <row r="1907" spans="2:28" x14ac:dyDescent="0.2">
      <c r="B1907" s="4" t="s">
        <v>571</v>
      </c>
      <c r="C1907" s="4">
        <v>14.0259</v>
      </c>
      <c r="D1907" s="4">
        <v>13.7232</v>
      </c>
      <c r="E1907" s="4">
        <v>13.8087</v>
      </c>
      <c r="F1907" s="4">
        <f t="shared" si="116"/>
        <v>13.852600000000001</v>
      </c>
      <c r="I1907" s="4" t="s">
        <v>3108</v>
      </c>
      <c r="J1907" s="4">
        <v>13.4374</v>
      </c>
      <c r="K1907" s="4">
        <v>14.579800000000001</v>
      </c>
      <c r="L1907" s="4">
        <v>13.5854</v>
      </c>
      <c r="M1907" s="4">
        <f t="shared" si="117"/>
        <v>13.867533333333334</v>
      </c>
      <c r="Q1907" s="43" t="s">
        <v>2876</v>
      </c>
      <c r="R1907" s="4">
        <v>13.696930501760299</v>
      </c>
      <c r="S1907" s="4">
        <v>13.691493007995</v>
      </c>
      <c r="T1907" s="4">
        <v>13.6251719673389</v>
      </c>
      <c r="U1907" s="4">
        <f t="shared" si="118"/>
        <v>13.671198492364733</v>
      </c>
      <c r="X1907" s="43" t="s">
        <v>834</v>
      </c>
      <c r="Y1907" s="4">
        <v>13.7367121731294</v>
      </c>
      <c r="Z1907" s="4">
        <v>13.9074971000957</v>
      </c>
      <c r="AA1907" s="4">
        <v>13.7847991080115</v>
      </c>
      <c r="AB1907" s="4">
        <f t="shared" si="119"/>
        <v>13.8096694604122</v>
      </c>
    </row>
    <row r="1908" spans="2:28" x14ac:dyDescent="0.2">
      <c r="B1908" s="4" t="s">
        <v>1920</v>
      </c>
      <c r="C1908" s="4">
        <v>13.7652</v>
      </c>
      <c r="D1908" s="4">
        <v>14.035600000000001</v>
      </c>
      <c r="E1908" s="4">
        <v>13.7531</v>
      </c>
      <c r="F1908" s="4">
        <f t="shared" si="116"/>
        <v>13.8513</v>
      </c>
      <c r="I1908" s="4" t="s">
        <v>3672</v>
      </c>
      <c r="J1908" s="4">
        <v>13.9001</v>
      </c>
      <c r="K1908" s="4">
        <v>13.922700000000001</v>
      </c>
      <c r="L1908" s="4">
        <v>13.7666</v>
      </c>
      <c r="M1908" s="4">
        <f t="shared" si="117"/>
        <v>13.863133333333332</v>
      </c>
      <c r="Q1908" s="43" t="s">
        <v>3134</v>
      </c>
      <c r="R1908" s="4">
        <v>13.8632172408466</v>
      </c>
      <c r="S1908" s="4">
        <v>13.713687639378501</v>
      </c>
      <c r="T1908" s="4">
        <v>13.433209726810601</v>
      </c>
      <c r="U1908" s="4">
        <f t="shared" si="118"/>
        <v>13.670038202345234</v>
      </c>
      <c r="X1908" s="43" t="s">
        <v>1089</v>
      </c>
      <c r="Y1908" s="4">
        <v>13.774825178345701</v>
      </c>
      <c r="Z1908" s="4">
        <v>13.862556823007001</v>
      </c>
      <c r="AA1908" s="4">
        <v>13.786790690206599</v>
      </c>
      <c r="AB1908" s="4">
        <f t="shared" si="119"/>
        <v>13.808057563853099</v>
      </c>
    </row>
    <row r="1909" spans="2:28" x14ac:dyDescent="0.2">
      <c r="B1909" s="4" t="s">
        <v>1479</v>
      </c>
      <c r="C1909" s="4">
        <v>14.7691</v>
      </c>
      <c r="D1909" s="4">
        <v>13.959899999999999</v>
      </c>
      <c r="E1909" s="4">
        <v>12.8233</v>
      </c>
      <c r="F1909" s="4">
        <f t="shared" si="116"/>
        <v>13.850766666666667</v>
      </c>
      <c r="I1909" s="4" t="s">
        <v>1530</v>
      </c>
      <c r="J1909" s="4">
        <v>13.5014</v>
      </c>
      <c r="K1909" s="4">
        <v>13.350899999999999</v>
      </c>
      <c r="L1909" s="4">
        <v>14.7303</v>
      </c>
      <c r="M1909" s="4">
        <f t="shared" si="117"/>
        <v>13.860866666666666</v>
      </c>
      <c r="Q1909" s="43" t="s">
        <v>3768</v>
      </c>
      <c r="R1909" s="4">
        <v>13.3131957245665</v>
      </c>
      <c r="S1909" s="4">
        <v>13.842692182536499</v>
      </c>
      <c r="T1909" s="4">
        <v>13.8542058638737</v>
      </c>
      <c r="U1909" s="4">
        <f t="shared" si="118"/>
        <v>13.670031256992234</v>
      </c>
      <c r="X1909" s="43" t="s">
        <v>595</v>
      </c>
      <c r="Y1909" s="4">
        <v>13.822971723326701</v>
      </c>
      <c r="Z1909" s="4">
        <v>13.959889543139999</v>
      </c>
      <c r="AA1909" s="4">
        <v>13.6389224646059</v>
      </c>
      <c r="AB1909" s="4">
        <f t="shared" si="119"/>
        <v>13.807261243690867</v>
      </c>
    </row>
    <row r="1910" spans="2:28" x14ac:dyDescent="0.2">
      <c r="B1910" s="4" t="s">
        <v>529</v>
      </c>
      <c r="C1910" s="4">
        <v>13.943899999999999</v>
      </c>
      <c r="D1910" s="4">
        <v>13.8786</v>
      </c>
      <c r="E1910" s="4">
        <v>13.7277</v>
      </c>
      <c r="F1910" s="4">
        <f t="shared" si="116"/>
        <v>13.850066666666665</v>
      </c>
      <c r="I1910" s="4" t="s">
        <v>2313</v>
      </c>
      <c r="J1910" s="4">
        <v>13.4034</v>
      </c>
      <c r="K1910" s="4">
        <v>14.4551</v>
      </c>
      <c r="L1910" s="4">
        <v>13.7158</v>
      </c>
      <c r="M1910" s="4">
        <f t="shared" si="117"/>
        <v>13.8581</v>
      </c>
      <c r="Q1910" s="43" t="s">
        <v>4141</v>
      </c>
      <c r="R1910" s="4">
        <v>13.7091617259661</v>
      </c>
      <c r="S1910" s="4">
        <v>13.761242610004899</v>
      </c>
      <c r="T1910" s="4">
        <v>13.539036593939301</v>
      </c>
      <c r="U1910" s="4">
        <f t="shared" si="118"/>
        <v>13.669813643303433</v>
      </c>
      <c r="X1910" s="43" t="s">
        <v>2986</v>
      </c>
      <c r="Y1910" s="4">
        <v>13.751612882223601</v>
      </c>
      <c r="Z1910" s="4">
        <v>13.8581914058888</v>
      </c>
      <c r="AA1910" s="4">
        <v>13.8102453995358</v>
      </c>
      <c r="AB1910" s="4">
        <f t="shared" si="119"/>
        <v>13.806683229216068</v>
      </c>
    </row>
    <row r="1911" spans="2:28" x14ac:dyDescent="0.2">
      <c r="B1911" s="4" t="s">
        <v>2634</v>
      </c>
      <c r="C1911" s="4">
        <v>13.732100000000001</v>
      </c>
      <c r="D1911" s="4">
        <v>13.8988</v>
      </c>
      <c r="E1911" s="4">
        <v>13.917400000000001</v>
      </c>
      <c r="F1911" s="4">
        <f t="shared" si="116"/>
        <v>13.849433333333332</v>
      </c>
      <c r="I1911" s="4" t="s">
        <v>3620</v>
      </c>
      <c r="J1911" s="4">
        <v>13.8607</v>
      </c>
      <c r="K1911" s="4">
        <v>13.7402</v>
      </c>
      <c r="L1911" s="4">
        <v>13.963100000000001</v>
      </c>
      <c r="M1911" s="4">
        <f t="shared" si="117"/>
        <v>13.854666666666667</v>
      </c>
      <c r="Q1911" s="43" t="s">
        <v>330</v>
      </c>
      <c r="R1911" s="4">
        <v>13.7580684344208</v>
      </c>
      <c r="S1911" s="4">
        <v>13.7479830963239</v>
      </c>
      <c r="T1911" s="4">
        <v>13.498297718930701</v>
      </c>
      <c r="U1911" s="4">
        <f t="shared" si="118"/>
        <v>13.668116416558467</v>
      </c>
      <c r="X1911" s="43" t="s">
        <v>843</v>
      </c>
      <c r="Y1911" s="4">
        <v>13.7377596947337</v>
      </c>
      <c r="Z1911" s="4">
        <v>13.8618455027769</v>
      </c>
      <c r="AA1911" s="4">
        <v>13.8199747340546</v>
      </c>
      <c r="AB1911" s="4">
        <f t="shared" si="119"/>
        <v>13.806526643855065</v>
      </c>
    </row>
    <row r="1912" spans="2:28" x14ac:dyDescent="0.2">
      <c r="B1912" s="4" t="s">
        <v>3871</v>
      </c>
      <c r="C1912" s="4">
        <v>13.3802</v>
      </c>
      <c r="D1912" s="4">
        <v>14.2173</v>
      </c>
      <c r="E1912" s="4">
        <v>13.9498</v>
      </c>
      <c r="F1912" s="4">
        <f t="shared" si="116"/>
        <v>13.8491</v>
      </c>
      <c r="I1912" s="4" t="s">
        <v>849</v>
      </c>
      <c r="J1912" s="4">
        <v>14.091200000000001</v>
      </c>
      <c r="K1912" s="4">
        <v>13.6129</v>
      </c>
      <c r="L1912" s="4">
        <v>13.8583</v>
      </c>
      <c r="M1912" s="4">
        <f t="shared" si="117"/>
        <v>13.854133333333332</v>
      </c>
      <c r="Q1912" s="43" t="s">
        <v>2368</v>
      </c>
      <c r="R1912" s="4">
        <v>14.030646030019</v>
      </c>
      <c r="S1912" s="4">
        <v>13.267430353381</v>
      </c>
      <c r="T1912" s="4">
        <v>13.7041743357307</v>
      </c>
      <c r="U1912" s="4">
        <f t="shared" si="118"/>
        <v>13.6674169063769</v>
      </c>
      <c r="X1912" s="43" t="s">
        <v>4300</v>
      </c>
      <c r="Y1912" s="4">
        <v>13.931867478293301</v>
      </c>
      <c r="Z1912" s="4">
        <v>14.245031959594399</v>
      </c>
      <c r="AA1912" s="4">
        <v>13.242035357473499</v>
      </c>
      <c r="AB1912" s="4">
        <f t="shared" si="119"/>
        <v>13.806311598453732</v>
      </c>
    </row>
    <row r="1913" spans="2:28" x14ac:dyDescent="0.2">
      <c r="B1913" s="4" t="s">
        <v>2276</v>
      </c>
      <c r="C1913" s="4">
        <v>13.597</v>
      </c>
      <c r="D1913" s="4">
        <v>13.756</v>
      </c>
      <c r="E1913" s="4">
        <v>14.1905</v>
      </c>
      <c r="F1913" s="4">
        <f t="shared" si="116"/>
        <v>13.847833333333334</v>
      </c>
      <c r="I1913" s="4" t="s">
        <v>3263</v>
      </c>
      <c r="J1913" s="4">
        <v>13.988200000000001</v>
      </c>
      <c r="K1913" s="4">
        <v>13.546200000000001</v>
      </c>
      <c r="L1913" s="4">
        <v>14.027699999999999</v>
      </c>
      <c r="M1913" s="4">
        <f t="shared" si="117"/>
        <v>13.854033333333334</v>
      </c>
      <c r="Q1913" s="43" t="s">
        <v>1649</v>
      </c>
      <c r="R1913" s="4">
        <v>13.7045674216115</v>
      </c>
      <c r="S1913" s="4">
        <v>13.4332141265059</v>
      </c>
      <c r="T1913" s="4">
        <v>13.856479565596301</v>
      </c>
      <c r="U1913" s="4">
        <f t="shared" si="118"/>
        <v>13.664753704571234</v>
      </c>
      <c r="X1913" s="43" t="s">
        <v>4497</v>
      </c>
      <c r="Y1913" s="4">
        <v>13.934776536341101</v>
      </c>
      <c r="Z1913" s="4">
        <v>13.520974738606199</v>
      </c>
      <c r="AA1913" s="4">
        <v>13.9612598345552</v>
      </c>
      <c r="AB1913" s="4">
        <f t="shared" si="119"/>
        <v>13.805670369834166</v>
      </c>
    </row>
    <row r="1914" spans="2:28" x14ac:dyDescent="0.2">
      <c r="B1914" s="4" t="s">
        <v>3415</v>
      </c>
      <c r="C1914" s="4">
        <v>14.240500000000001</v>
      </c>
      <c r="D1914" s="4">
        <v>13.8667</v>
      </c>
      <c r="E1914" s="4">
        <v>13.4313</v>
      </c>
      <c r="F1914" s="4">
        <f t="shared" si="116"/>
        <v>13.846166666666667</v>
      </c>
      <c r="I1914" s="4" t="s">
        <v>2116</v>
      </c>
      <c r="J1914" s="4">
        <v>13.722099999999999</v>
      </c>
      <c r="K1914" s="4">
        <v>14.171200000000001</v>
      </c>
      <c r="L1914" s="4">
        <v>13.653600000000001</v>
      </c>
      <c r="M1914" s="4">
        <f t="shared" si="117"/>
        <v>13.848966666666668</v>
      </c>
      <c r="Q1914" s="43" t="s">
        <v>3731</v>
      </c>
      <c r="R1914" s="4">
        <v>13.8081534182139</v>
      </c>
      <c r="S1914" s="4">
        <v>13.6076968723224</v>
      </c>
      <c r="T1914" s="4">
        <v>13.5747812486438</v>
      </c>
      <c r="U1914" s="4">
        <f t="shared" si="118"/>
        <v>13.663543846393367</v>
      </c>
      <c r="X1914" s="43" t="s">
        <v>2555</v>
      </c>
      <c r="Y1914" s="4">
        <v>13.882975465894001</v>
      </c>
      <c r="Z1914" s="4">
        <v>13.6977043126655</v>
      </c>
      <c r="AA1914" s="4">
        <v>13.8328324323959</v>
      </c>
      <c r="AB1914" s="4">
        <f t="shared" si="119"/>
        <v>13.804504070318467</v>
      </c>
    </row>
    <row r="1915" spans="2:28" x14ac:dyDescent="0.2">
      <c r="B1915" s="4" t="s">
        <v>4044</v>
      </c>
      <c r="C1915" s="4">
        <v>13.6707</v>
      </c>
      <c r="D1915" s="4">
        <v>13.821199999999999</v>
      </c>
      <c r="E1915" s="4">
        <v>14.0383</v>
      </c>
      <c r="F1915" s="4">
        <f t="shared" si="116"/>
        <v>13.843400000000001</v>
      </c>
      <c r="I1915" s="4" t="s">
        <v>2984</v>
      </c>
      <c r="J1915" s="4">
        <v>13.9536</v>
      </c>
      <c r="K1915" s="4">
        <v>13.7935</v>
      </c>
      <c r="L1915" s="4">
        <v>13.7997</v>
      </c>
      <c r="M1915" s="4">
        <f t="shared" si="117"/>
        <v>13.848933333333333</v>
      </c>
      <c r="Q1915" s="43" t="s">
        <v>4016</v>
      </c>
      <c r="R1915" s="4">
        <v>13.3755254912586</v>
      </c>
      <c r="S1915" s="4">
        <v>13.661386534823899</v>
      </c>
      <c r="T1915" s="4">
        <v>13.9520449990109</v>
      </c>
      <c r="U1915" s="4">
        <f t="shared" si="118"/>
        <v>13.662985675031132</v>
      </c>
      <c r="X1915" s="43" t="s">
        <v>359</v>
      </c>
      <c r="Y1915" s="4">
        <v>13.822294437901</v>
      </c>
      <c r="Z1915" s="4">
        <v>13.9012735903615</v>
      </c>
      <c r="AA1915" s="4">
        <v>13.686558800150401</v>
      </c>
      <c r="AB1915" s="4">
        <f t="shared" si="119"/>
        <v>13.803375609470967</v>
      </c>
    </row>
    <row r="1916" spans="2:28" x14ac:dyDescent="0.2">
      <c r="B1916" s="4" t="s">
        <v>787</v>
      </c>
      <c r="C1916" s="4">
        <v>14.0496</v>
      </c>
      <c r="D1916" s="4">
        <v>14.4024</v>
      </c>
      <c r="E1916" s="4">
        <v>13.059100000000001</v>
      </c>
      <c r="F1916" s="4">
        <f t="shared" si="116"/>
        <v>13.837033333333332</v>
      </c>
      <c r="I1916" s="4" t="s">
        <v>2741</v>
      </c>
      <c r="J1916" s="4">
        <v>13.940300000000001</v>
      </c>
      <c r="K1916" s="4">
        <v>13.496499999999999</v>
      </c>
      <c r="L1916" s="4">
        <v>14.1074</v>
      </c>
      <c r="M1916" s="4">
        <f t="shared" si="117"/>
        <v>13.848066666666666</v>
      </c>
      <c r="Q1916" s="43" t="s">
        <v>4032</v>
      </c>
      <c r="R1916" s="4">
        <v>13.9124437891239</v>
      </c>
      <c r="S1916" s="4">
        <v>13.567386254373501</v>
      </c>
      <c r="T1916" s="4">
        <v>13.5076078312318</v>
      </c>
      <c r="U1916" s="4">
        <f t="shared" si="118"/>
        <v>13.662479291576402</v>
      </c>
      <c r="X1916" s="43" t="s">
        <v>2899</v>
      </c>
      <c r="Y1916" s="4">
        <v>13.583924066799799</v>
      </c>
      <c r="Z1916" s="4">
        <v>13.7310122736646</v>
      </c>
      <c r="AA1916" s="4">
        <v>14.0910662377189</v>
      </c>
      <c r="AB1916" s="4">
        <f t="shared" si="119"/>
        <v>13.802000859394433</v>
      </c>
    </row>
    <row r="1917" spans="2:28" x14ac:dyDescent="0.2">
      <c r="B1917" s="4" t="s">
        <v>4021</v>
      </c>
      <c r="C1917" s="4">
        <v>13.7437</v>
      </c>
      <c r="D1917" s="4">
        <v>14.2964</v>
      </c>
      <c r="E1917" s="4">
        <v>13.4703</v>
      </c>
      <c r="F1917" s="4">
        <f t="shared" si="116"/>
        <v>13.836800000000002</v>
      </c>
      <c r="I1917" s="4" t="s">
        <v>1306</v>
      </c>
      <c r="J1917" s="4">
        <v>14.273999999999999</v>
      </c>
      <c r="K1917" s="4">
        <v>13.114800000000001</v>
      </c>
      <c r="L1917" s="4">
        <v>14.153499999999999</v>
      </c>
      <c r="M1917" s="4">
        <f t="shared" si="117"/>
        <v>13.847433333333333</v>
      </c>
      <c r="Q1917" s="43" t="s">
        <v>4372</v>
      </c>
      <c r="R1917" s="4">
        <v>13.9206619519315</v>
      </c>
      <c r="S1917" s="4">
        <v>13.618980354698101</v>
      </c>
      <c r="T1917" s="4">
        <v>13.4420771212177</v>
      </c>
      <c r="U1917" s="4">
        <f t="shared" si="118"/>
        <v>13.660573142615767</v>
      </c>
      <c r="X1917" s="43" t="s">
        <v>800</v>
      </c>
      <c r="Y1917" s="4">
        <v>13.946372397015701</v>
      </c>
      <c r="Z1917" s="4">
        <v>13.7523539396236</v>
      </c>
      <c r="AA1917" s="4">
        <v>13.695177813965699</v>
      </c>
      <c r="AB1917" s="4">
        <f t="shared" si="119"/>
        <v>13.797968050201666</v>
      </c>
    </row>
    <row r="1918" spans="2:28" x14ac:dyDescent="0.2">
      <c r="B1918" s="4" t="s">
        <v>3398</v>
      </c>
      <c r="C1918" s="4">
        <v>13.7446</v>
      </c>
      <c r="D1918" s="4">
        <v>14.255599999999999</v>
      </c>
      <c r="E1918" s="4">
        <v>13.5076</v>
      </c>
      <c r="F1918" s="4">
        <f t="shared" si="116"/>
        <v>13.835933333333335</v>
      </c>
      <c r="I1918" s="4" t="s">
        <v>3335</v>
      </c>
      <c r="J1918" s="4">
        <v>14.065200000000001</v>
      </c>
      <c r="K1918" s="4">
        <v>13.9811</v>
      </c>
      <c r="L1918" s="4">
        <v>13.489800000000001</v>
      </c>
      <c r="M1918" s="4">
        <f t="shared" si="117"/>
        <v>13.845366666666669</v>
      </c>
      <c r="Q1918" s="43" t="s">
        <v>726</v>
      </c>
      <c r="R1918" s="4">
        <v>13.2838739425206</v>
      </c>
      <c r="S1918" s="4">
        <v>13.852527402710299</v>
      </c>
      <c r="T1918" s="4">
        <v>13.8343854266619</v>
      </c>
      <c r="U1918" s="4">
        <f t="shared" si="118"/>
        <v>13.656928923964267</v>
      </c>
      <c r="X1918" s="43" t="s">
        <v>469</v>
      </c>
      <c r="Y1918" s="4">
        <v>13.9069676838073</v>
      </c>
      <c r="Z1918" s="4">
        <v>13.821400599603001</v>
      </c>
      <c r="AA1918" s="4">
        <v>13.6648451937542</v>
      </c>
      <c r="AB1918" s="4">
        <f t="shared" si="119"/>
        <v>13.7977378257215</v>
      </c>
    </row>
    <row r="1919" spans="2:28" x14ac:dyDescent="0.2">
      <c r="B1919" s="4" t="s">
        <v>3497</v>
      </c>
      <c r="C1919" s="4">
        <v>13.558</v>
      </c>
      <c r="D1919" s="4">
        <v>13.8042</v>
      </c>
      <c r="E1919" s="4">
        <v>14.137700000000001</v>
      </c>
      <c r="F1919" s="4">
        <f t="shared" si="116"/>
        <v>13.833300000000001</v>
      </c>
      <c r="I1919" s="4" t="s">
        <v>1814</v>
      </c>
      <c r="J1919" s="4">
        <v>13.5236</v>
      </c>
      <c r="K1919" s="4">
        <v>14.5029</v>
      </c>
      <c r="L1919" s="4">
        <v>13.4901</v>
      </c>
      <c r="M1919" s="4">
        <f t="shared" si="117"/>
        <v>13.838866666666666</v>
      </c>
      <c r="Q1919" s="43" t="s">
        <v>1083</v>
      </c>
      <c r="R1919" s="4">
        <v>13.3777767570799</v>
      </c>
      <c r="S1919" s="4">
        <v>13.8643712943207</v>
      </c>
      <c r="T1919" s="4">
        <v>13.7260130283774</v>
      </c>
      <c r="U1919" s="4">
        <f t="shared" si="118"/>
        <v>13.656053693259333</v>
      </c>
      <c r="X1919" s="43" t="s">
        <v>3685</v>
      </c>
      <c r="Y1919" s="4">
        <v>13.797396686769</v>
      </c>
      <c r="Z1919" s="4">
        <v>13.6309200377572</v>
      </c>
      <c r="AA1919" s="4">
        <v>13.9626180546119</v>
      </c>
      <c r="AB1919" s="4">
        <f t="shared" si="119"/>
        <v>13.7969782597127</v>
      </c>
    </row>
    <row r="1920" spans="2:28" x14ac:dyDescent="0.2">
      <c r="B1920" s="4" t="s">
        <v>2106</v>
      </c>
      <c r="C1920" s="4">
        <v>13.843500000000001</v>
      </c>
      <c r="D1920" s="4">
        <v>13.9375</v>
      </c>
      <c r="E1920" s="4">
        <v>13.7179</v>
      </c>
      <c r="F1920" s="4">
        <f t="shared" si="116"/>
        <v>13.832966666666666</v>
      </c>
      <c r="I1920" s="4" t="s">
        <v>2332</v>
      </c>
      <c r="J1920" s="4">
        <v>13.6861</v>
      </c>
      <c r="K1920" s="4">
        <v>14.185700000000001</v>
      </c>
      <c r="L1920" s="4">
        <v>13.635199999999999</v>
      </c>
      <c r="M1920" s="4">
        <f t="shared" si="117"/>
        <v>13.835666666666667</v>
      </c>
      <c r="Q1920" s="43" t="s">
        <v>216</v>
      </c>
      <c r="R1920" s="4">
        <v>13.403449916936401</v>
      </c>
      <c r="S1920" s="4">
        <v>13.553760001512799</v>
      </c>
      <c r="T1920" s="4">
        <v>14.009538148205401</v>
      </c>
      <c r="U1920" s="4">
        <f t="shared" si="118"/>
        <v>13.655582688884868</v>
      </c>
      <c r="X1920" s="43" t="s">
        <v>3462</v>
      </c>
      <c r="Y1920" s="4">
        <v>13.7039424687493</v>
      </c>
      <c r="Z1920" s="4">
        <v>13.6282721477943</v>
      </c>
      <c r="AA1920" s="4">
        <v>14.0577133344835</v>
      </c>
      <c r="AB1920" s="4">
        <f t="shared" si="119"/>
        <v>13.796642650342369</v>
      </c>
    </row>
    <row r="1921" spans="2:28" x14ac:dyDescent="0.2">
      <c r="B1921" s="4" t="s">
        <v>3103</v>
      </c>
      <c r="C1921" s="4">
        <v>13.731199999999999</v>
      </c>
      <c r="D1921" s="4">
        <v>14.0632</v>
      </c>
      <c r="E1921" s="4">
        <v>13.700200000000001</v>
      </c>
      <c r="F1921" s="4">
        <f t="shared" si="116"/>
        <v>13.831533333333333</v>
      </c>
      <c r="I1921" s="4" t="s">
        <v>2588</v>
      </c>
      <c r="J1921" s="4">
        <v>13.7818</v>
      </c>
      <c r="K1921" s="4">
        <v>13.6861</v>
      </c>
      <c r="L1921" s="4">
        <v>14.0319</v>
      </c>
      <c r="M1921" s="4">
        <f t="shared" si="117"/>
        <v>13.833266666666667</v>
      </c>
      <c r="Q1921" s="43" t="s">
        <v>4236</v>
      </c>
      <c r="R1921" s="4">
        <v>13.742602205136199</v>
      </c>
      <c r="S1921" s="4">
        <v>13.8404670561505</v>
      </c>
      <c r="T1921" s="4">
        <v>13.380447930192901</v>
      </c>
      <c r="U1921" s="4">
        <f t="shared" si="118"/>
        <v>13.654505730493199</v>
      </c>
      <c r="X1921" s="43" t="s">
        <v>2447</v>
      </c>
      <c r="Y1921" s="4">
        <v>13.680416543832299</v>
      </c>
      <c r="Z1921" s="4">
        <v>13.8962856898133</v>
      </c>
      <c r="AA1921" s="4">
        <v>13.8131825982886</v>
      </c>
      <c r="AB1921" s="4">
        <f t="shared" si="119"/>
        <v>13.796628277311399</v>
      </c>
    </row>
    <row r="1922" spans="2:28" x14ac:dyDescent="0.2">
      <c r="B1922" s="4" t="s">
        <v>1753</v>
      </c>
      <c r="C1922" s="4">
        <v>13.9427</v>
      </c>
      <c r="D1922" s="4">
        <v>13.8796</v>
      </c>
      <c r="E1922" s="4">
        <v>13.670400000000001</v>
      </c>
      <c r="F1922" s="4">
        <f t="shared" ref="F1922:F1985" si="120">(C1922+D1922+E1922)/3</f>
        <v>13.8309</v>
      </c>
      <c r="I1922" s="4" t="s">
        <v>2306</v>
      </c>
      <c r="J1922" s="4">
        <v>13.507999999999999</v>
      </c>
      <c r="K1922" s="4">
        <v>14.030799999999999</v>
      </c>
      <c r="L1922" s="4">
        <v>13.957100000000001</v>
      </c>
      <c r="M1922" s="4">
        <f t="shared" ref="M1922:M1985" si="121">(J1922+K1922+L1922)/3</f>
        <v>13.831966666666666</v>
      </c>
      <c r="Q1922" s="43" t="s">
        <v>3337</v>
      </c>
      <c r="R1922" s="4">
        <v>13.8531406273299</v>
      </c>
      <c r="S1922" s="4">
        <v>13.4626978654157</v>
      </c>
      <c r="T1922" s="4">
        <v>13.638649196772301</v>
      </c>
      <c r="U1922" s="4">
        <f t="shared" ref="U1922:U1985" si="122">(R1922+S1922+T1922)/3</f>
        <v>13.651495896505965</v>
      </c>
      <c r="X1922" s="43" t="s">
        <v>4204</v>
      </c>
      <c r="Y1922" s="4">
        <v>13.925479434421201</v>
      </c>
      <c r="Z1922" s="4">
        <v>13.6028866513961</v>
      </c>
      <c r="AA1922" s="4">
        <v>13.859668056682001</v>
      </c>
      <c r="AB1922" s="4">
        <f t="shared" ref="AB1922:AB1985" si="123">(Y1922+Z1922+AA1922)/3</f>
        <v>13.7960113808331</v>
      </c>
    </row>
    <row r="1923" spans="2:28" x14ac:dyDescent="0.2">
      <c r="B1923" s="4" t="s">
        <v>3358</v>
      </c>
      <c r="C1923" s="4">
        <v>14.037699999999999</v>
      </c>
      <c r="D1923" s="4">
        <v>13.8202</v>
      </c>
      <c r="E1923" s="4">
        <v>13.633100000000001</v>
      </c>
      <c r="F1923" s="4">
        <f t="shared" si="120"/>
        <v>13.830333333333334</v>
      </c>
      <c r="I1923" s="4" t="s">
        <v>2151</v>
      </c>
      <c r="J1923" s="4">
        <v>13.7706</v>
      </c>
      <c r="K1923" s="4">
        <v>13.139699999999999</v>
      </c>
      <c r="L1923" s="4">
        <v>14.5853</v>
      </c>
      <c r="M1923" s="4">
        <f t="shared" si="121"/>
        <v>13.831866666666665</v>
      </c>
      <c r="Q1923" s="43" t="s">
        <v>4086</v>
      </c>
      <c r="R1923" s="4">
        <v>13.851323556279601</v>
      </c>
      <c r="S1923" s="4">
        <v>13.5059675555914</v>
      </c>
      <c r="T1923" s="4">
        <v>13.5888905959303</v>
      </c>
      <c r="U1923" s="4">
        <f t="shared" si="122"/>
        <v>13.648727235933768</v>
      </c>
      <c r="X1923" s="43" t="s">
        <v>1292</v>
      </c>
      <c r="Y1923" s="4">
        <v>13.7876730378332</v>
      </c>
      <c r="Z1923" s="4">
        <v>13.7463059383482</v>
      </c>
      <c r="AA1923" s="4">
        <v>13.8502166012386</v>
      </c>
      <c r="AB1923" s="4">
        <f t="shared" si="123"/>
        <v>13.794731859140001</v>
      </c>
    </row>
    <row r="1924" spans="2:28" x14ac:dyDescent="0.2">
      <c r="B1924" s="4" t="s">
        <v>1156</v>
      </c>
      <c r="C1924" s="4">
        <v>14.6953</v>
      </c>
      <c r="D1924" s="4">
        <v>13.964</v>
      </c>
      <c r="E1924" s="4">
        <v>12.823399999999999</v>
      </c>
      <c r="F1924" s="4">
        <f t="shared" si="120"/>
        <v>13.827566666666668</v>
      </c>
      <c r="I1924" s="4" t="s">
        <v>2862</v>
      </c>
      <c r="J1924" s="4">
        <v>14.137</v>
      </c>
      <c r="K1924" s="4">
        <v>13.110900000000001</v>
      </c>
      <c r="L1924" s="4">
        <v>14.245100000000001</v>
      </c>
      <c r="M1924" s="4">
        <f t="shared" si="121"/>
        <v>13.831000000000001</v>
      </c>
      <c r="Q1924" s="43" t="s">
        <v>1434</v>
      </c>
      <c r="R1924" s="4">
        <v>13.841149857599</v>
      </c>
      <c r="S1924" s="4">
        <v>13.4916557639449</v>
      </c>
      <c r="T1924" s="4">
        <v>13.612677936033499</v>
      </c>
      <c r="U1924" s="4">
        <f t="shared" si="122"/>
        <v>13.648494519192466</v>
      </c>
      <c r="X1924" s="43" t="s">
        <v>547</v>
      </c>
      <c r="Y1924" s="4">
        <v>13.987290940645</v>
      </c>
      <c r="Z1924" s="4">
        <v>13.7928932852773</v>
      </c>
      <c r="AA1924" s="4">
        <v>13.6016966726409</v>
      </c>
      <c r="AB1924" s="4">
        <f t="shared" si="123"/>
        <v>13.793960299521066</v>
      </c>
    </row>
    <row r="1925" spans="2:28" x14ac:dyDescent="0.2">
      <c r="B1925" s="4" t="s">
        <v>2648</v>
      </c>
      <c r="C1925" s="4">
        <v>14.1496</v>
      </c>
      <c r="D1925" s="4">
        <v>14.025700000000001</v>
      </c>
      <c r="E1925" s="4">
        <v>13.305099999999999</v>
      </c>
      <c r="F1925" s="4">
        <f t="shared" si="120"/>
        <v>13.8268</v>
      </c>
      <c r="I1925" s="4" t="s">
        <v>341</v>
      </c>
      <c r="J1925" s="4">
        <v>13.7719</v>
      </c>
      <c r="K1925" s="4">
        <v>14.5905</v>
      </c>
      <c r="L1925" s="4">
        <v>13.128500000000001</v>
      </c>
      <c r="M1925" s="4">
        <f t="shared" si="121"/>
        <v>13.830300000000001</v>
      </c>
      <c r="Q1925" s="43" t="s">
        <v>2640</v>
      </c>
      <c r="R1925" s="4">
        <v>13.617576576048799</v>
      </c>
      <c r="S1925" s="4">
        <v>13.448125089575701</v>
      </c>
      <c r="T1925" s="4">
        <v>13.8775968237347</v>
      </c>
      <c r="U1925" s="4">
        <f t="shared" si="122"/>
        <v>13.647766163119734</v>
      </c>
      <c r="X1925" s="43" t="s">
        <v>4230</v>
      </c>
      <c r="Y1925" s="4">
        <v>13.6875054744976</v>
      </c>
      <c r="Z1925" s="4">
        <v>13.804095307026101</v>
      </c>
      <c r="AA1925" s="4">
        <v>13.886845787609101</v>
      </c>
      <c r="AB1925" s="4">
        <f t="shared" si="123"/>
        <v>13.792815523044268</v>
      </c>
    </row>
    <row r="1926" spans="2:28" x14ac:dyDescent="0.2">
      <c r="B1926" s="4" t="s">
        <v>115</v>
      </c>
      <c r="C1926" s="4">
        <v>13.5876</v>
      </c>
      <c r="D1926" s="4">
        <v>13.6653</v>
      </c>
      <c r="E1926" s="4">
        <v>14.227499999999999</v>
      </c>
      <c r="F1926" s="4">
        <f t="shared" si="120"/>
        <v>13.8268</v>
      </c>
      <c r="I1926" s="4" t="s">
        <v>3200</v>
      </c>
      <c r="J1926" s="4">
        <v>14.1471</v>
      </c>
      <c r="K1926" s="4">
        <v>13.4183</v>
      </c>
      <c r="L1926" s="4">
        <v>13.9117</v>
      </c>
      <c r="M1926" s="4">
        <f t="shared" si="121"/>
        <v>13.825699999999999</v>
      </c>
      <c r="Q1926" s="43" t="s">
        <v>2295</v>
      </c>
      <c r="R1926" s="4">
        <v>13.4174636533661</v>
      </c>
      <c r="S1926" s="4">
        <v>13.8548888410154</v>
      </c>
      <c r="T1926" s="4">
        <v>13.6701921446515</v>
      </c>
      <c r="U1926" s="4">
        <f t="shared" si="122"/>
        <v>13.647514879677667</v>
      </c>
      <c r="X1926" s="43" t="s">
        <v>3778</v>
      </c>
      <c r="Y1926" s="4">
        <v>13.589208410016401</v>
      </c>
      <c r="Z1926" s="4">
        <v>13.8956755051725</v>
      </c>
      <c r="AA1926" s="4">
        <v>13.891036362325</v>
      </c>
      <c r="AB1926" s="4">
        <f t="shared" si="123"/>
        <v>13.791973425837966</v>
      </c>
    </row>
    <row r="1927" spans="2:28" x14ac:dyDescent="0.2">
      <c r="B1927" s="4" t="s">
        <v>2926</v>
      </c>
      <c r="C1927" s="4">
        <v>14.089700000000001</v>
      </c>
      <c r="D1927" s="4">
        <v>13.988899999999999</v>
      </c>
      <c r="E1927" s="4">
        <v>13.4016</v>
      </c>
      <c r="F1927" s="4">
        <f t="shared" si="120"/>
        <v>13.826733333333335</v>
      </c>
      <c r="I1927" s="4" t="s">
        <v>3243</v>
      </c>
      <c r="J1927" s="4">
        <v>13.809200000000001</v>
      </c>
      <c r="K1927" s="4">
        <v>13.484500000000001</v>
      </c>
      <c r="L1927" s="4">
        <v>14.177199999999999</v>
      </c>
      <c r="M1927" s="4">
        <f t="shared" si="121"/>
        <v>13.823633333333333</v>
      </c>
      <c r="Q1927" s="43" t="s">
        <v>2104</v>
      </c>
      <c r="R1927" s="4">
        <v>13.713306049503</v>
      </c>
      <c r="S1927" s="4">
        <v>13.588785310371399</v>
      </c>
      <c r="T1927" s="4">
        <v>13.6394358977485</v>
      </c>
      <c r="U1927" s="4">
        <f t="shared" si="122"/>
        <v>13.647175752540967</v>
      </c>
      <c r="X1927" s="43" t="s">
        <v>3658</v>
      </c>
      <c r="Y1927" s="4">
        <v>13.7191460315959</v>
      </c>
      <c r="Z1927" s="4">
        <v>13.8985606724719</v>
      </c>
      <c r="AA1927" s="4">
        <v>13.7556550158224</v>
      </c>
      <c r="AB1927" s="4">
        <f t="shared" si="123"/>
        <v>13.791120573296732</v>
      </c>
    </row>
    <row r="1928" spans="2:28" x14ac:dyDescent="0.2">
      <c r="B1928" s="4" t="s">
        <v>1652</v>
      </c>
      <c r="C1928" s="4">
        <v>14.109299999999999</v>
      </c>
      <c r="D1928" s="4">
        <v>13.719799999999999</v>
      </c>
      <c r="E1928" s="4">
        <v>13.651</v>
      </c>
      <c r="F1928" s="4">
        <f t="shared" si="120"/>
        <v>13.826699999999997</v>
      </c>
      <c r="I1928" s="4" t="s">
        <v>3870</v>
      </c>
      <c r="J1928" s="4">
        <v>13.522399999999999</v>
      </c>
      <c r="K1928" s="4">
        <v>14.079700000000001</v>
      </c>
      <c r="L1928" s="4">
        <v>13.8674</v>
      </c>
      <c r="M1928" s="4">
        <f t="shared" si="121"/>
        <v>13.823166666666665</v>
      </c>
      <c r="Q1928" s="43" t="s">
        <v>4566</v>
      </c>
      <c r="R1928" s="4">
        <v>13.5005399343748</v>
      </c>
      <c r="S1928" s="4">
        <v>13.807227181507701</v>
      </c>
      <c r="T1928" s="4">
        <v>13.629630141975699</v>
      </c>
      <c r="U1928" s="4">
        <f t="shared" si="122"/>
        <v>13.645799085952731</v>
      </c>
      <c r="X1928" s="43" t="s">
        <v>234</v>
      </c>
      <c r="Y1928" s="4">
        <v>13.7057739331115</v>
      </c>
      <c r="Z1928" s="4">
        <v>14.020530745356</v>
      </c>
      <c r="AA1928" s="4">
        <v>13.6449583518894</v>
      </c>
      <c r="AB1928" s="4">
        <f t="shared" si="123"/>
        <v>13.790421010118967</v>
      </c>
    </row>
    <row r="1929" spans="2:28" x14ac:dyDescent="0.2">
      <c r="B1929" s="4" t="s">
        <v>3570</v>
      </c>
      <c r="C1929" s="4">
        <v>13.750999999999999</v>
      </c>
      <c r="D1929" s="4">
        <v>13.894600000000001</v>
      </c>
      <c r="E1929" s="4">
        <v>13.8306</v>
      </c>
      <c r="F1929" s="4">
        <f t="shared" si="120"/>
        <v>13.825400000000002</v>
      </c>
      <c r="I1929" s="4" t="s">
        <v>3628</v>
      </c>
      <c r="J1929" s="4">
        <v>13.9094</v>
      </c>
      <c r="K1929" s="4">
        <v>13.6587</v>
      </c>
      <c r="L1929" s="4">
        <v>13.898999999999999</v>
      </c>
      <c r="M1929" s="4">
        <f t="shared" si="121"/>
        <v>13.822366666666667</v>
      </c>
      <c r="Q1929" s="43" t="s">
        <v>4005</v>
      </c>
      <c r="R1929" s="4">
        <v>13.5475018035409</v>
      </c>
      <c r="S1929" s="4">
        <v>13.6959919349994</v>
      </c>
      <c r="T1929" s="4">
        <v>13.688683780040501</v>
      </c>
      <c r="U1929" s="4">
        <f t="shared" si="122"/>
        <v>13.644059172860267</v>
      </c>
      <c r="X1929" s="43" t="s">
        <v>2021</v>
      </c>
      <c r="Y1929" s="4">
        <v>13.693394311292</v>
      </c>
      <c r="Z1929" s="4">
        <v>13.8040881590907</v>
      </c>
      <c r="AA1929" s="4">
        <v>13.8736313627169</v>
      </c>
      <c r="AB1929" s="4">
        <f t="shared" si="123"/>
        <v>13.790371277699867</v>
      </c>
    </row>
    <row r="1930" spans="2:28" x14ac:dyDescent="0.2">
      <c r="B1930" s="4" t="s">
        <v>3235</v>
      </c>
      <c r="C1930" s="4">
        <v>13.833</v>
      </c>
      <c r="D1930" s="4">
        <v>13.8565</v>
      </c>
      <c r="E1930" s="4">
        <v>13.7864</v>
      </c>
      <c r="F1930" s="4">
        <f t="shared" si="120"/>
        <v>13.8253</v>
      </c>
      <c r="I1930" s="4" t="s">
        <v>946</v>
      </c>
      <c r="J1930" s="4">
        <v>14.204499999999999</v>
      </c>
      <c r="K1930" s="4">
        <v>13.334199999999999</v>
      </c>
      <c r="L1930" s="4">
        <v>13.926</v>
      </c>
      <c r="M1930" s="4">
        <f t="shared" si="121"/>
        <v>13.821566666666667</v>
      </c>
      <c r="Q1930" s="43" t="s">
        <v>2021</v>
      </c>
      <c r="R1930" s="4">
        <v>13.417194080290701</v>
      </c>
      <c r="S1930" s="4">
        <v>13.6187188343784</v>
      </c>
      <c r="T1930" s="4">
        <v>13.893910872472601</v>
      </c>
      <c r="U1930" s="4">
        <f t="shared" si="122"/>
        <v>13.643274595713899</v>
      </c>
      <c r="X1930" s="43" t="s">
        <v>2868</v>
      </c>
      <c r="Y1930" s="4">
        <v>13.7355598356193</v>
      </c>
      <c r="Z1930" s="4">
        <v>13.685918925427901</v>
      </c>
      <c r="AA1930" s="4">
        <v>13.947892363167799</v>
      </c>
      <c r="AB1930" s="4">
        <f t="shared" si="123"/>
        <v>13.789790374738333</v>
      </c>
    </row>
    <row r="1931" spans="2:28" x14ac:dyDescent="0.2">
      <c r="B1931" s="4" t="s">
        <v>549</v>
      </c>
      <c r="C1931" s="4">
        <v>13.841900000000001</v>
      </c>
      <c r="D1931" s="4">
        <v>13.848800000000001</v>
      </c>
      <c r="E1931" s="4">
        <v>13.7837</v>
      </c>
      <c r="F1931" s="4">
        <f t="shared" si="120"/>
        <v>13.824800000000002</v>
      </c>
      <c r="I1931" s="4" t="s">
        <v>1410</v>
      </c>
      <c r="J1931" s="4">
        <v>13.8719</v>
      </c>
      <c r="K1931" s="4">
        <v>14.0602</v>
      </c>
      <c r="L1931" s="4">
        <v>13.532500000000001</v>
      </c>
      <c r="M1931" s="4">
        <f t="shared" si="121"/>
        <v>13.821533333333333</v>
      </c>
      <c r="Q1931" s="43" t="s">
        <v>2554</v>
      </c>
      <c r="R1931" s="4">
        <v>13.3694036507031</v>
      </c>
      <c r="S1931" s="4">
        <v>13.9099735707031</v>
      </c>
      <c r="T1931" s="4">
        <v>13.6501355492119</v>
      </c>
      <c r="U1931" s="4">
        <f t="shared" si="122"/>
        <v>13.643170923539367</v>
      </c>
      <c r="X1931" s="43" t="s">
        <v>1359</v>
      </c>
      <c r="Y1931" s="4">
        <v>13.715855095491801</v>
      </c>
      <c r="Z1931" s="4">
        <v>13.5417661351901</v>
      </c>
      <c r="AA1931" s="4">
        <v>14.108012171654799</v>
      </c>
      <c r="AB1931" s="4">
        <f t="shared" si="123"/>
        <v>13.788544467445567</v>
      </c>
    </row>
    <row r="1932" spans="2:28" x14ac:dyDescent="0.2">
      <c r="B1932" s="4" t="s">
        <v>1350</v>
      </c>
      <c r="C1932" s="4">
        <v>13.596500000000001</v>
      </c>
      <c r="D1932" s="4">
        <v>13.6228</v>
      </c>
      <c r="E1932" s="4">
        <v>14.2479</v>
      </c>
      <c r="F1932" s="4">
        <f t="shared" si="120"/>
        <v>13.8224</v>
      </c>
      <c r="I1932" s="4" t="s">
        <v>82</v>
      </c>
      <c r="J1932" s="4">
        <v>13.2689</v>
      </c>
      <c r="K1932" s="4">
        <v>14.4497</v>
      </c>
      <c r="L1932" s="4">
        <v>13.7446</v>
      </c>
      <c r="M1932" s="4">
        <f t="shared" si="121"/>
        <v>13.821066666666667</v>
      </c>
      <c r="Q1932" s="43" t="s">
        <v>828</v>
      </c>
      <c r="R1932" s="4">
        <v>13.5711441116076</v>
      </c>
      <c r="S1932" s="4">
        <v>13.627836980827899</v>
      </c>
      <c r="T1932" s="4">
        <v>13.726162154027101</v>
      </c>
      <c r="U1932" s="4">
        <f t="shared" si="122"/>
        <v>13.641714415487533</v>
      </c>
      <c r="X1932" s="43" t="s">
        <v>3537</v>
      </c>
      <c r="Y1932" s="4">
        <v>13.6137877820412</v>
      </c>
      <c r="Z1932" s="4">
        <v>13.8500187806738</v>
      </c>
      <c r="AA1932" s="4">
        <v>13.894144711079299</v>
      </c>
      <c r="AB1932" s="4">
        <f t="shared" si="123"/>
        <v>13.785983757931433</v>
      </c>
    </row>
    <row r="1933" spans="2:28" x14ac:dyDescent="0.2">
      <c r="B1933" s="4" t="s">
        <v>170</v>
      </c>
      <c r="C1933" s="4">
        <v>13.8423</v>
      </c>
      <c r="D1933" s="4">
        <v>13.4595</v>
      </c>
      <c r="E1933" s="4">
        <v>14.1561</v>
      </c>
      <c r="F1933" s="4">
        <f t="shared" si="120"/>
        <v>13.8193</v>
      </c>
      <c r="I1933" s="4" t="s">
        <v>3359</v>
      </c>
      <c r="J1933" s="4">
        <v>13.991400000000001</v>
      </c>
      <c r="K1933" s="4">
        <v>13.327299999999999</v>
      </c>
      <c r="L1933" s="4">
        <v>14.1442</v>
      </c>
      <c r="M1933" s="4">
        <f t="shared" si="121"/>
        <v>13.820966666666665</v>
      </c>
      <c r="Q1933" s="43" t="s">
        <v>2823</v>
      </c>
      <c r="R1933" s="4">
        <v>13.565733243360199</v>
      </c>
      <c r="S1933" s="4">
        <v>13.6599843931736</v>
      </c>
      <c r="T1933" s="4">
        <v>13.6988472204518</v>
      </c>
      <c r="U1933" s="4">
        <f t="shared" si="122"/>
        <v>13.641521618995199</v>
      </c>
      <c r="X1933" s="43" t="s">
        <v>2859</v>
      </c>
      <c r="Y1933" s="4">
        <v>13.9238093972639</v>
      </c>
      <c r="Z1933" s="4">
        <v>13.502143585267699</v>
      </c>
      <c r="AA1933" s="4">
        <v>13.9175782920498</v>
      </c>
      <c r="AB1933" s="4">
        <f t="shared" si="123"/>
        <v>13.781177091527132</v>
      </c>
    </row>
    <row r="1934" spans="2:28" x14ac:dyDescent="0.2">
      <c r="B1934" s="4" t="s">
        <v>1320</v>
      </c>
      <c r="C1934" s="4">
        <v>13.9732</v>
      </c>
      <c r="D1934" s="4">
        <v>13.477600000000001</v>
      </c>
      <c r="E1934" s="4">
        <v>14.003500000000001</v>
      </c>
      <c r="F1934" s="4">
        <f t="shared" si="120"/>
        <v>13.818100000000001</v>
      </c>
      <c r="I1934" s="4" t="s">
        <v>4058</v>
      </c>
      <c r="J1934" s="4">
        <v>13.718400000000001</v>
      </c>
      <c r="K1934" s="4">
        <v>14.062900000000001</v>
      </c>
      <c r="L1934" s="4">
        <v>13.680199999999999</v>
      </c>
      <c r="M1934" s="4">
        <f t="shared" si="121"/>
        <v>13.820500000000001</v>
      </c>
      <c r="Q1934" s="43" t="s">
        <v>1045</v>
      </c>
      <c r="R1934" s="4">
        <v>13.550753543859001</v>
      </c>
      <c r="S1934" s="4">
        <v>13.800675092232</v>
      </c>
      <c r="T1934" s="4">
        <v>13.569475101140901</v>
      </c>
      <c r="U1934" s="4">
        <f t="shared" si="122"/>
        <v>13.640301245743968</v>
      </c>
      <c r="X1934" s="43" t="s">
        <v>4400</v>
      </c>
      <c r="Y1934" s="4">
        <v>14.0415065688391</v>
      </c>
      <c r="Z1934" s="4">
        <v>13.4827995670394</v>
      </c>
      <c r="AA1934" s="4">
        <v>13.815252866439399</v>
      </c>
      <c r="AB1934" s="4">
        <f t="shared" si="123"/>
        <v>13.779853000772633</v>
      </c>
    </row>
    <row r="1935" spans="2:28" x14ac:dyDescent="0.2">
      <c r="B1935" s="4" t="s">
        <v>1269</v>
      </c>
      <c r="C1935" s="4">
        <v>13.7424</v>
      </c>
      <c r="D1935" s="4">
        <v>13.8033</v>
      </c>
      <c r="E1935" s="4">
        <v>13.9</v>
      </c>
      <c r="F1935" s="4">
        <f t="shared" si="120"/>
        <v>13.815233333333333</v>
      </c>
      <c r="I1935" s="4" t="s">
        <v>3099</v>
      </c>
      <c r="J1935" s="4">
        <v>13.988899999999999</v>
      </c>
      <c r="K1935" s="4">
        <v>13.4292</v>
      </c>
      <c r="L1935" s="4">
        <v>14.0375</v>
      </c>
      <c r="M1935" s="4">
        <f t="shared" si="121"/>
        <v>13.818533333333333</v>
      </c>
      <c r="Q1935" s="43" t="s">
        <v>1820</v>
      </c>
      <c r="R1935" s="4">
        <v>13.684930391478799</v>
      </c>
      <c r="S1935" s="4">
        <v>13.552965431560899</v>
      </c>
      <c r="T1935" s="4">
        <v>13.680144788956</v>
      </c>
      <c r="U1935" s="4">
        <f t="shared" si="122"/>
        <v>13.639346870665234</v>
      </c>
      <c r="X1935" s="43" t="s">
        <v>2766</v>
      </c>
      <c r="Y1935" s="4">
        <v>13.8222942633918</v>
      </c>
      <c r="Z1935" s="4">
        <v>13.749430164277101</v>
      </c>
      <c r="AA1935" s="4">
        <v>13.763789027967301</v>
      </c>
      <c r="AB1935" s="4">
        <f t="shared" si="123"/>
        <v>13.778504485212068</v>
      </c>
    </row>
    <row r="1936" spans="2:28" x14ac:dyDescent="0.2">
      <c r="B1936" s="4" t="s">
        <v>3022</v>
      </c>
      <c r="C1936" s="4">
        <v>13.8339</v>
      </c>
      <c r="D1936" s="4">
        <v>13.687200000000001</v>
      </c>
      <c r="E1936" s="4">
        <v>13.922499999999999</v>
      </c>
      <c r="F1936" s="4">
        <f t="shared" si="120"/>
        <v>13.814533333333335</v>
      </c>
      <c r="I1936" s="4" t="s">
        <v>213</v>
      </c>
      <c r="J1936" s="4">
        <v>13.837199999999999</v>
      </c>
      <c r="K1936" s="4">
        <v>13.921099999999999</v>
      </c>
      <c r="L1936" s="4">
        <v>13.6911</v>
      </c>
      <c r="M1936" s="4">
        <f t="shared" si="121"/>
        <v>13.816466666666665</v>
      </c>
      <c r="Q1936" s="43" t="s">
        <v>509</v>
      </c>
      <c r="R1936" s="4">
        <v>13.4605584911485</v>
      </c>
      <c r="S1936" s="4">
        <v>13.642314043269501</v>
      </c>
      <c r="T1936" s="4">
        <v>13.812915926148801</v>
      </c>
      <c r="U1936" s="4">
        <f t="shared" si="122"/>
        <v>13.638596153522267</v>
      </c>
      <c r="X1936" s="43" t="s">
        <v>1817</v>
      </c>
      <c r="Y1936" s="4">
        <v>14.098238079543099</v>
      </c>
      <c r="Z1936" s="4">
        <v>13.568438422269001</v>
      </c>
      <c r="AA1936" s="4">
        <v>13.666533695903899</v>
      </c>
      <c r="AB1936" s="4">
        <f t="shared" si="123"/>
        <v>13.777736732572</v>
      </c>
    </row>
    <row r="1937" spans="2:28" x14ac:dyDescent="0.2">
      <c r="B1937" s="4" t="s">
        <v>3606</v>
      </c>
      <c r="C1937" s="4">
        <v>13.8901</v>
      </c>
      <c r="D1937" s="4">
        <v>13.787100000000001</v>
      </c>
      <c r="E1937" s="4">
        <v>13.7608</v>
      </c>
      <c r="F1937" s="4">
        <f t="shared" si="120"/>
        <v>13.812666666666667</v>
      </c>
      <c r="I1937" s="4" t="s">
        <v>2050</v>
      </c>
      <c r="J1937" s="4">
        <v>13.9771</v>
      </c>
      <c r="K1937" s="4">
        <v>13.3881</v>
      </c>
      <c r="L1937" s="4">
        <v>14.0825</v>
      </c>
      <c r="M1937" s="4">
        <f t="shared" si="121"/>
        <v>13.815899999999999</v>
      </c>
      <c r="Q1937" s="43" t="s">
        <v>2321</v>
      </c>
      <c r="R1937" s="4">
        <v>13.2791235791732</v>
      </c>
      <c r="S1937" s="4">
        <v>13.841617311975799</v>
      </c>
      <c r="T1937" s="4">
        <v>13.7930046964598</v>
      </c>
      <c r="U1937" s="4">
        <f t="shared" si="122"/>
        <v>13.637915195869601</v>
      </c>
      <c r="X1937" s="43" t="s">
        <v>3121</v>
      </c>
      <c r="Y1937" s="4">
        <v>13.660535775330599</v>
      </c>
      <c r="Z1937" s="4">
        <v>13.8138630040786</v>
      </c>
      <c r="AA1937" s="4">
        <v>13.8583223524573</v>
      </c>
      <c r="AB1937" s="4">
        <f t="shared" si="123"/>
        <v>13.777573710622166</v>
      </c>
    </row>
    <row r="1938" spans="2:28" x14ac:dyDescent="0.2">
      <c r="B1938" s="4" t="s">
        <v>3364</v>
      </c>
      <c r="C1938" s="4">
        <v>13.5458</v>
      </c>
      <c r="D1938" s="4">
        <v>13.417400000000001</v>
      </c>
      <c r="E1938" s="4">
        <v>14.474500000000001</v>
      </c>
      <c r="F1938" s="4">
        <f t="shared" si="120"/>
        <v>13.812566666666667</v>
      </c>
      <c r="I1938" s="4" t="s">
        <v>2381</v>
      </c>
      <c r="J1938" s="4">
        <v>13.683</v>
      </c>
      <c r="K1938" s="4">
        <v>14.0463</v>
      </c>
      <c r="L1938" s="4">
        <v>13.7179</v>
      </c>
      <c r="M1938" s="4">
        <f t="shared" si="121"/>
        <v>13.815733333333334</v>
      </c>
      <c r="Q1938" s="43" t="s">
        <v>3808</v>
      </c>
      <c r="R1938" s="4">
        <v>13.6742535001465</v>
      </c>
      <c r="S1938" s="4">
        <v>13.5998666522938</v>
      </c>
      <c r="T1938" s="4">
        <v>13.638315484799399</v>
      </c>
      <c r="U1938" s="4">
        <f t="shared" si="122"/>
        <v>13.637478545746566</v>
      </c>
      <c r="X1938" s="43" t="s">
        <v>1625</v>
      </c>
      <c r="Y1938" s="4">
        <v>13.6439741378551</v>
      </c>
      <c r="Z1938" s="4">
        <v>13.8482052920978</v>
      </c>
      <c r="AA1938" s="4">
        <v>13.8375665971106</v>
      </c>
      <c r="AB1938" s="4">
        <f t="shared" si="123"/>
        <v>13.776582009021167</v>
      </c>
    </row>
    <row r="1939" spans="2:28" x14ac:dyDescent="0.2">
      <c r="B1939" s="4" t="s">
        <v>2734</v>
      </c>
      <c r="C1939" s="4">
        <v>13.6922</v>
      </c>
      <c r="D1939" s="4">
        <v>14.0983</v>
      </c>
      <c r="E1939" s="4">
        <v>13.6457</v>
      </c>
      <c r="F1939" s="4">
        <f t="shared" si="120"/>
        <v>13.812066666666666</v>
      </c>
      <c r="I1939" s="4" t="s">
        <v>2086</v>
      </c>
      <c r="J1939" s="4">
        <v>14.340400000000001</v>
      </c>
      <c r="K1939" s="4">
        <v>13.773</v>
      </c>
      <c r="L1939" s="4">
        <v>13.328900000000001</v>
      </c>
      <c r="M1939" s="4">
        <f t="shared" si="121"/>
        <v>13.814100000000002</v>
      </c>
      <c r="Q1939" s="43" t="s">
        <v>2533</v>
      </c>
      <c r="R1939" s="4">
        <v>13.452503693852</v>
      </c>
      <c r="S1939" s="4">
        <v>13.5068229752978</v>
      </c>
      <c r="T1939" s="4">
        <v>13.9459835445841</v>
      </c>
      <c r="U1939" s="4">
        <f t="shared" si="122"/>
        <v>13.635103404577967</v>
      </c>
      <c r="X1939" s="43" t="s">
        <v>454</v>
      </c>
      <c r="Y1939" s="4">
        <v>13.656494056790001</v>
      </c>
      <c r="Z1939" s="4">
        <v>13.7546687600637</v>
      </c>
      <c r="AA1939" s="4">
        <v>13.915422390703499</v>
      </c>
      <c r="AB1939" s="4">
        <f t="shared" si="123"/>
        <v>13.775528402519067</v>
      </c>
    </row>
    <row r="1940" spans="2:28" x14ac:dyDescent="0.2">
      <c r="B1940" s="4" t="s">
        <v>3374</v>
      </c>
      <c r="C1940" s="4">
        <v>13.913</v>
      </c>
      <c r="D1940" s="4">
        <v>13.9552</v>
      </c>
      <c r="E1940" s="4">
        <v>13.565</v>
      </c>
      <c r="F1940" s="4">
        <f t="shared" si="120"/>
        <v>13.811066666666667</v>
      </c>
      <c r="I1940" s="4" t="s">
        <v>1761</v>
      </c>
      <c r="J1940" s="4">
        <v>13.7501</v>
      </c>
      <c r="K1940" s="4">
        <v>14.176399999999999</v>
      </c>
      <c r="L1940" s="4">
        <v>13.509499999999999</v>
      </c>
      <c r="M1940" s="4">
        <f t="shared" si="121"/>
        <v>13.811999999999998</v>
      </c>
      <c r="Q1940" s="43" t="s">
        <v>306</v>
      </c>
      <c r="R1940" s="4">
        <v>13.709758108873199</v>
      </c>
      <c r="S1940" s="4">
        <v>13.5854364186573</v>
      </c>
      <c r="T1940" s="4">
        <v>13.6088449130919</v>
      </c>
      <c r="U1940" s="4">
        <f t="shared" si="122"/>
        <v>13.634679813540799</v>
      </c>
      <c r="X1940" s="43" t="s">
        <v>4170</v>
      </c>
      <c r="Y1940" s="4">
        <v>13.9591246601285</v>
      </c>
      <c r="Z1940" s="4">
        <v>13.835259968343699</v>
      </c>
      <c r="AA1940" s="4">
        <v>13.5302559735059</v>
      </c>
      <c r="AB1940" s="4">
        <f t="shared" si="123"/>
        <v>13.774880200659368</v>
      </c>
    </row>
    <row r="1941" spans="2:28" x14ac:dyDescent="0.2">
      <c r="B1941" s="4" t="s">
        <v>2993</v>
      </c>
      <c r="C1941" s="4">
        <v>14.193</v>
      </c>
      <c r="D1941" s="4">
        <v>13.925599999999999</v>
      </c>
      <c r="E1941" s="4">
        <v>13.3131</v>
      </c>
      <c r="F1941" s="4">
        <f t="shared" si="120"/>
        <v>13.810566666666666</v>
      </c>
      <c r="I1941" s="4" t="s">
        <v>4034</v>
      </c>
      <c r="J1941" s="4">
        <v>13.860900000000001</v>
      </c>
      <c r="K1941" s="4">
        <v>13.959199999999999</v>
      </c>
      <c r="L1941" s="4">
        <v>13.6119</v>
      </c>
      <c r="M1941" s="4">
        <f t="shared" si="121"/>
        <v>13.810666666666668</v>
      </c>
      <c r="Q1941" s="43" t="s">
        <v>4230</v>
      </c>
      <c r="R1941" s="4">
        <v>13.5408983253801</v>
      </c>
      <c r="S1941" s="4">
        <v>13.4820395541569</v>
      </c>
      <c r="T1941" s="4">
        <v>13.8803666040269</v>
      </c>
      <c r="U1941" s="4">
        <f t="shared" si="122"/>
        <v>13.634434827854633</v>
      </c>
      <c r="X1941" s="43" t="s">
        <v>4608</v>
      </c>
      <c r="Y1941" s="4">
        <v>13.771537233860499</v>
      </c>
      <c r="Z1941" s="4">
        <v>13.5251518542839</v>
      </c>
      <c r="AA1941" s="4">
        <v>14.0269719128761</v>
      </c>
      <c r="AB1941" s="4">
        <f t="shared" si="123"/>
        <v>13.774553667006833</v>
      </c>
    </row>
    <row r="1942" spans="2:28" x14ac:dyDescent="0.2">
      <c r="B1942" s="4" t="s">
        <v>410</v>
      </c>
      <c r="C1942" s="4">
        <v>14.032500000000001</v>
      </c>
      <c r="D1942" s="4">
        <v>13.4277</v>
      </c>
      <c r="E1942" s="4">
        <v>13.961399999999999</v>
      </c>
      <c r="F1942" s="4">
        <f t="shared" si="120"/>
        <v>13.8072</v>
      </c>
      <c r="I1942" s="4" t="s">
        <v>2547</v>
      </c>
      <c r="J1942" s="4">
        <v>12.438499999999999</v>
      </c>
      <c r="K1942" s="4">
        <v>16.2698</v>
      </c>
      <c r="L1942" s="4">
        <v>12.722799999999999</v>
      </c>
      <c r="M1942" s="4">
        <f t="shared" si="121"/>
        <v>13.810366666666667</v>
      </c>
      <c r="Q1942" s="43" t="s">
        <v>2688</v>
      </c>
      <c r="R1942" s="4">
        <v>13.8194163182773</v>
      </c>
      <c r="S1942" s="4">
        <v>13.623308688120201</v>
      </c>
      <c r="T1942" s="4">
        <v>13.459345402538601</v>
      </c>
      <c r="U1942" s="4">
        <f t="shared" si="122"/>
        <v>13.634023469645369</v>
      </c>
      <c r="X1942" s="43" t="s">
        <v>205</v>
      </c>
      <c r="Y1942" s="4">
        <v>13.796423579148099</v>
      </c>
      <c r="Z1942" s="4">
        <v>13.740572697743501</v>
      </c>
      <c r="AA1942" s="4">
        <v>13.7864154843652</v>
      </c>
      <c r="AB1942" s="4">
        <f t="shared" si="123"/>
        <v>13.774470587085601</v>
      </c>
    </row>
    <row r="1943" spans="2:28" x14ac:dyDescent="0.2">
      <c r="B1943" s="4" t="s">
        <v>1553</v>
      </c>
      <c r="C1943" s="4">
        <v>13.2796</v>
      </c>
      <c r="D1943" s="4">
        <v>13.5045</v>
      </c>
      <c r="E1943" s="4">
        <v>14.6341</v>
      </c>
      <c r="F1943" s="4">
        <f t="shared" si="120"/>
        <v>13.806066666666666</v>
      </c>
      <c r="I1943" s="4" t="s">
        <v>2599</v>
      </c>
      <c r="J1943" s="4">
        <v>14.094900000000001</v>
      </c>
      <c r="K1943" s="4">
        <v>13.1913</v>
      </c>
      <c r="L1943" s="4">
        <v>14.143800000000001</v>
      </c>
      <c r="M1943" s="4">
        <f t="shared" si="121"/>
        <v>13.81</v>
      </c>
      <c r="Q1943" s="43" t="s">
        <v>2901</v>
      </c>
      <c r="R1943" s="4">
        <v>13.8029976108963</v>
      </c>
      <c r="S1943" s="4">
        <v>13.461607452814301</v>
      </c>
      <c r="T1943" s="4">
        <v>13.6361888726342</v>
      </c>
      <c r="U1943" s="4">
        <f t="shared" si="122"/>
        <v>13.6335979787816</v>
      </c>
      <c r="X1943" s="43" t="s">
        <v>1183</v>
      </c>
      <c r="Y1943" s="4">
        <v>13.8026378384622</v>
      </c>
      <c r="Z1943" s="4">
        <v>13.601905674454001</v>
      </c>
      <c r="AA1943" s="4">
        <v>13.918507645976099</v>
      </c>
      <c r="AB1943" s="4">
        <f t="shared" si="123"/>
        <v>13.774350386297433</v>
      </c>
    </row>
    <row r="1944" spans="2:28" x14ac:dyDescent="0.2">
      <c r="B1944" s="4" t="s">
        <v>3447</v>
      </c>
      <c r="C1944" s="4">
        <v>13.674300000000001</v>
      </c>
      <c r="D1944" s="4">
        <v>13.7547</v>
      </c>
      <c r="E1944" s="4">
        <v>13.9861</v>
      </c>
      <c r="F1944" s="4">
        <f t="shared" si="120"/>
        <v>13.805033333333334</v>
      </c>
      <c r="I1944" s="4" t="s">
        <v>1296</v>
      </c>
      <c r="J1944" s="4">
        <v>13.711499999999999</v>
      </c>
      <c r="K1944" s="4">
        <v>13.9305</v>
      </c>
      <c r="L1944" s="4">
        <v>13.7851</v>
      </c>
      <c r="M1944" s="4">
        <f t="shared" si="121"/>
        <v>13.809033333333332</v>
      </c>
      <c r="Q1944" s="43" t="s">
        <v>2959</v>
      </c>
      <c r="R1944" s="4">
        <v>13.193281252981301</v>
      </c>
      <c r="S1944" s="4">
        <v>14.218382792654699</v>
      </c>
      <c r="T1944" s="4">
        <v>13.4883071243878</v>
      </c>
      <c r="U1944" s="4">
        <f t="shared" si="122"/>
        <v>13.633323723341269</v>
      </c>
      <c r="X1944" s="43" t="s">
        <v>3736</v>
      </c>
      <c r="Y1944" s="4">
        <v>13.6808965698349</v>
      </c>
      <c r="Z1944" s="4">
        <v>13.7199323842128</v>
      </c>
      <c r="AA1944" s="4">
        <v>13.9031864402707</v>
      </c>
      <c r="AB1944" s="4">
        <f t="shared" si="123"/>
        <v>13.768005131439466</v>
      </c>
    </row>
    <row r="1945" spans="2:28" x14ac:dyDescent="0.2">
      <c r="B1945" s="4" t="s">
        <v>1276</v>
      </c>
      <c r="C1945" s="4">
        <v>14.353199999999999</v>
      </c>
      <c r="D1945" s="4">
        <v>12.9809</v>
      </c>
      <c r="E1945" s="4">
        <v>14.076700000000001</v>
      </c>
      <c r="F1945" s="4">
        <f t="shared" si="120"/>
        <v>13.803600000000001</v>
      </c>
      <c r="I1945" s="4" t="s">
        <v>2106</v>
      </c>
      <c r="J1945" s="4">
        <v>13.9636</v>
      </c>
      <c r="K1945" s="4">
        <v>13.6602</v>
      </c>
      <c r="L1945" s="4">
        <v>13.8012</v>
      </c>
      <c r="M1945" s="4">
        <f t="shared" si="121"/>
        <v>13.808333333333332</v>
      </c>
      <c r="Q1945" s="43" t="s">
        <v>3540</v>
      </c>
      <c r="R1945" s="4">
        <v>13.470512453742</v>
      </c>
      <c r="S1945" s="4">
        <v>13.6666345290471</v>
      </c>
      <c r="T1945" s="4">
        <v>13.7397896467607</v>
      </c>
      <c r="U1945" s="4">
        <f t="shared" si="122"/>
        <v>13.625645543183266</v>
      </c>
      <c r="X1945" s="43" t="s">
        <v>2587</v>
      </c>
      <c r="Y1945" s="4">
        <v>13.5158369224064</v>
      </c>
      <c r="Z1945" s="4">
        <v>14.113099712086701</v>
      </c>
      <c r="AA1945" s="4">
        <v>13.672092262653001</v>
      </c>
      <c r="AB1945" s="4">
        <f t="shared" si="123"/>
        <v>13.767009632382035</v>
      </c>
    </row>
    <row r="1946" spans="2:28" x14ac:dyDescent="0.2">
      <c r="B1946" s="4" t="s">
        <v>3437</v>
      </c>
      <c r="C1946" s="4">
        <v>13.865500000000001</v>
      </c>
      <c r="D1946" s="4">
        <v>13.9702</v>
      </c>
      <c r="E1946" s="4">
        <v>13.5709</v>
      </c>
      <c r="F1946" s="4">
        <f t="shared" si="120"/>
        <v>13.802200000000001</v>
      </c>
      <c r="I1946" s="4" t="s">
        <v>2532</v>
      </c>
      <c r="J1946" s="4">
        <v>13.8188</v>
      </c>
      <c r="K1946" s="4">
        <v>13.935499999999999</v>
      </c>
      <c r="L1946" s="4">
        <v>13.660500000000001</v>
      </c>
      <c r="M1946" s="4">
        <f t="shared" si="121"/>
        <v>13.804933333333333</v>
      </c>
      <c r="Q1946" s="43" t="s">
        <v>4466</v>
      </c>
      <c r="R1946" s="4">
        <v>13.8178140952026</v>
      </c>
      <c r="S1946" s="4">
        <v>13.444522248511801</v>
      </c>
      <c r="T1946" s="4">
        <v>13.610820344819899</v>
      </c>
      <c r="U1946" s="4">
        <f t="shared" si="122"/>
        <v>13.624385562844767</v>
      </c>
      <c r="X1946" s="43" t="s">
        <v>780</v>
      </c>
      <c r="Y1946" s="4">
        <v>13.8104682157442</v>
      </c>
      <c r="Z1946" s="4">
        <v>13.731488106756</v>
      </c>
      <c r="AA1946" s="4">
        <v>13.758300172649101</v>
      </c>
      <c r="AB1946" s="4">
        <f t="shared" si="123"/>
        <v>13.766752165049766</v>
      </c>
    </row>
    <row r="1947" spans="2:28" x14ac:dyDescent="0.2">
      <c r="B1947" s="4" t="s">
        <v>3524</v>
      </c>
      <c r="C1947" s="4">
        <v>13.571300000000001</v>
      </c>
      <c r="D1947" s="4">
        <v>13.877700000000001</v>
      </c>
      <c r="E1947" s="4">
        <v>13.9572</v>
      </c>
      <c r="F1947" s="4">
        <f t="shared" si="120"/>
        <v>13.802066666666667</v>
      </c>
      <c r="I1947" s="4" t="s">
        <v>1881</v>
      </c>
      <c r="J1947" s="4">
        <v>13.7759</v>
      </c>
      <c r="K1947" s="4">
        <v>13.357900000000001</v>
      </c>
      <c r="L1947" s="4">
        <v>14.2773</v>
      </c>
      <c r="M1947" s="4">
        <f t="shared" si="121"/>
        <v>13.803700000000001</v>
      </c>
      <c r="Q1947" s="43" t="s">
        <v>4282</v>
      </c>
      <c r="R1947" s="4">
        <v>13.8391206364563</v>
      </c>
      <c r="S1947" s="4">
        <v>13.404914101993599</v>
      </c>
      <c r="T1947" s="4">
        <v>13.6290614307719</v>
      </c>
      <c r="U1947" s="4">
        <f t="shared" si="122"/>
        <v>13.624365389740598</v>
      </c>
      <c r="X1947" s="43" t="s">
        <v>968</v>
      </c>
      <c r="Y1947" s="4">
        <v>13.7351430780668</v>
      </c>
      <c r="Z1947" s="4">
        <v>13.8837776609654</v>
      </c>
      <c r="AA1947" s="4">
        <v>13.676791545047401</v>
      </c>
      <c r="AB1947" s="4">
        <f t="shared" si="123"/>
        <v>13.765237428026532</v>
      </c>
    </row>
    <row r="1948" spans="2:28" x14ac:dyDescent="0.2">
      <c r="B1948" s="4" t="s">
        <v>132</v>
      </c>
      <c r="C1948" s="4">
        <v>14.082700000000001</v>
      </c>
      <c r="D1948" s="4">
        <v>13.725899999999999</v>
      </c>
      <c r="E1948" s="4">
        <v>13.596500000000001</v>
      </c>
      <c r="F1948" s="4">
        <f t="shared" si="120"/>
        <v>13.801699999999999</v>
      </c>
      <c r="I1948" s="4" t="s">
        <v>3112</v>
      </c>
      <c r="J1948" s="4">
        <v>13.483700000000001</v>
      </c>
      <c r="K1948" s="4">
        <v>13.739000000000001</v>
      </c>
      <c r="L1948" s="4">
        <v>14.1839</v>
      </c>
      <c r="M1948" s="4">
        <f t="shared" si="121"/>
        <v>13.802200000000001</v>
      </c>
      <c r="Q1948" s="43" t="s">
        <v>4332</v>
      </c>
      <c r="R1948" s="4">
        <v>13.653279779184</v>
      </c>
      <c r="S1948" s="4">
        <v>13.6910674067425</v>
      </c>
      <c r="T1948" s="4">
        <v>13.5277212651881</v>
      </c>
      <c r="U1948" s="4">
        <f t="shared" si="122"/>
        <v>13.624022817038201</v>
      </c>
      <c r="X1948" s="43" t="s">
        <v>571</v>
      </c>
      <c r="Y1948" s="4">
        <v>13.7117203366904</v>
      </c>
      <c r="Z1948" s="4">
        <v>13.7910165687977</v>
      </c>
      <c r="AA1948" s="4">
        <v>13.788896937771</v>
      </c>
      <c r="AB1948" s="4">
        <f t="shared" si="123"/>
        <v>13.763877947753032</v>
      </c>
    </row>
    <row r="1949" spans="2:28" x14ac:dyDescent="0.2">
      <c r="B1949" s="4" t="s">
        <v>1521</v>
      </c>
      <c r="C1949" s="4">
        <v>12.478999999999999</v>
      </c>
      <c r="D1949" s="4">
        <v>13.9153</v>
      </c>
      <c r="E1949" s="4">
        <v>15.007300000000001</v>
      </c>
      <c r="F1949" s="4">
        <f t="shared" si="120"/>
        <v>13.800533333333334</v>
      </c>
      <c r="I1949" s="4" t="s">
        <v>238</v>
      </c>
      <c r="J1949" s="4">
        <v>13.8344</v>
      </c>
      <c r="K1949" s="4">
        <v>13.8042</v>
      </c>
      <c r="L1949" s="4">
        <v>13.7661</v>
      </c>
      <c r="M1949" s="4">
        <f t="shared" si="121"/>
        <v>13.801566666666666</v>
      </c>
      <c r="Q1949" s="43" t="s">
        <v>4028</v>
      </c>
      <c r="R1949" s="4">
        <v>13.509748322785001</v>
      </c>
      <c r="S1949" s="4">
        <v>13.6772577853726</v>
      </c>
      <c r="T1949" s="4">
        <v>13.6850566498318</v>
      </c>
      <c r="U1949" s="4">
        <f t="shared" si="122"/>
        <v>13.6240209193298</v>
      </c>
      <c r="X1949" s="43" t="s">
        <v>747</v>
      </c>
      <c r="Y1949" s="4">
        <v>13.8612121221667</v>
      </c>
      <c r="Z1949" s="4">
        <v>13.6308753737571</v>
      </c>
      <c r="AA1949" s="4">
        <v>13.788988373707401</v>
      </c>
      <c r="AB1949" s="4">
        <f t="shared" si="123"/>
        <v>13.760358623210399</v>
      </c>
    </row>
    <row r="1950" spans="2:28" x14ac:dyDescent="0.2">
      <c r="B1950" s="4" t="s">
        <v>2050</v>
      </c>
      <c r="C1950" s="4">
        <v>13.672800000000001</v>
      </c>
      <c r="D1950" s="4">
        <v>13.8369</v>
      </c>
      <c r="E1950" s="4">
        <v>13.8904</v>
      </c>
      <c r="F1950" s="4">
        <f t="shared" si="120"/>
        <v>13.800033333333333</v>
      </c>
      <c r="I1950" s="4" t="s">
        <v>1917</v>
      </c>
      <c r="J1950" s="4">
        <v>14.0267</v>
      </c>
      <c r="K1950" s="4">
        <v>13.3713</v>
      </c>
      <c r="L1950" s="4">
        <v>14.0025</v>
      </c>
      <c r="M1950" s="4">
        <f t="shared" si="121"/>
        <v>13.800166666666668</v>
      </c>
      <c r="Q1950" s="43" t="s">
        <v>875</v>
      </c>
      <c r="R1950" s="4">
        <v>13.336693226109601</v>
      </c>
      <c r="S1950" s="4">
        <v>13.663006193657701</v>
      </c>
      <c r="T1950" s="4">
        <v>13.8702246340271</v>
      </c>
      <c r="U1950" s="4">
        <f t="shared" si="122"/>
        <v>13.623308017931469</v>
      </c>
      <c r="X1950" s="43" t="s">
        <v>723</v>
      </c>
      <c r="Y1950" s="4">
        <v>13.715946679661601</v>
      </c>
      <c r="Z1950" s="4">
        <v>13.8302150753786</v>
      </c>
      <c r="AA1950" s="4">
        <v>13.733712845529601</v>
      </c>
      <c r="AB1950" s="4">
        <f t="shared" si="123"/>
        <v>13.759958200189935</v>
      </c>
    </row>
    <row r="1951" spans="2:28" x14ac:dyDescent="0.2">
      <c r="B1951" s="4" t="s">
        <v>2826</v>
      </c>
      <c r="C1951" s="4">
        <v>13.7049</v>
      </c>
      <c r="D1951" s="4">
        <v>13.8157</v>
      </c>
      <c r="E1951" s="4">
        <v>13.870200000000001</v>
      </c>
      <c r="F1951" s="4">
        <f t="shared" si="120"/>
        <v>13.796933333333333</v>
      </c>
      <c r="I1951" s="4" t="s">
        <v>615</v>
      </c>
      <c r="J1951" s="4">
        <v>13.5252</v>
      </c>
      <c r="K1951" s="4">
        <v>14.197900000000001</v>
      </c>
      <c r="L1951" s="4">
        <v>13.6744</v>
      </c>
      <c r="M1951" s="4">
        <f t="shared" si="121"/>
        <v>13.799166666666666</v>
      </c>
      <c r="Q1951" s="43" t="s">
        <v>4073</v>
      </c>
      <c r="R1951" s="4">
        <v>13.671582800783099</v>
      </c>
      <c r="S1951" s="4">
        <v>13.747863387304699</v>
      </c>
      <c r="T1951" s="4">
        <v>13.4488776542322</v>
      </c>
      <c r="U1951" s="4">
        <f t="shared" si="122"/>
        <v>13.622774614106666</v>
      </c>
      <c r="X1951" s="43" t="s">
        <v>3102</v>
      </c>
      <c r="Y1951" s="4">
        <v>13.6658059124969</v>
      </c>
      <c r="Z1951" s="4">
        <v>13.773968667175399</v>
      </c>
      <c r="AA1951" s="4">
        <v>13.8364872173831</v>
      </c>
      <c r="AB1951" s="4">
        <f t="shared" si="123"/>
        <v>13.7587539323518</v>
      </c>
    </row>
    <row r="1952" spans="2:28" x14ac:dyDescent="0.2">
      <c r="B1952" s="4" t="s">
        <v>2482</v>
      </c>
      <c r="C1952" s="4">
        <v>13.4328</v>
      </c>
      <c r="D1952" s="4">
        <v>14.0131</v>
      </c>
      <c r="E1952" s="4">
        <v>13.943300000000001</v>
      </c>
      <c r="F1952" s="4">
        <f t="shared" si="120"/>
        <v>13.7964</v>
      </c>
      <c r="I1952" s="4" t="s">
        <v>4010</v>
      </c>
      <c r="J1952" s="4">
        <v>13.704599999999999</v>
      </c>
      <c r="K1952" s="4">
        <v>14.010300000000001</v>
      </c>
      <c r="L1952" s="4">
        <v>13.6722</v>
      </c>
      <c r="M1952" s="4">
        <f t="shared" si="121"/>
        <v>13.795700000000002</v>
      </c>
      <c r="Q1952" s="43" t="s">
        <v>1503</v>
      </c>
      <c r="R1952" s="4">
        <v>13.3513981260833</v>
      </c>
      <c r="S1952" s="4">
        <v>13.522304835593699</v>
      </c>
      <c r="T1952" s="4">
        <v>13.9928305858865</v>
      </c>
      <c r="U1952" s="4">
        <f t="shared" si="122"/>
        <v>13.622177849187834</v>
      </c>
      <c r="X1952" s="43" t="s">
        <v>287</v>
      </c>
      <c r="Y1952" s="4">
        <v>13.6816011592663</v>
      </c>
      <c r="Z1952" s="4">
        <v>13.661843342064399</v>
      </c>
      <c r="AA1952" s="4">
        <v>13.9322762290534</v>
      </c>
      <c r="AB1952" s="4">
        <f t="shared" si="123"/>
        <v>13.758573576794701</v>
      </c>
    </row>
    <row r="1953" spans="2:28" x14ac:dyDescent="0.2">
      <c r="B1953" s="4" t="s">
        <v>2447</v>
      </c>
      <c r="C1953" s="4">
        <v>13.7964</v>
      </c>
      <c r="D1953" s="4">
        <v>13.784599999999999</v>
      </c>
      <c r="E1953" s="4">
        <v>13.803800000000001</v>
      </c>
      <c r="F1953" s="4">
        <f t="shared" si="120"/>
        <v>13.794933333333333</v>
      </c>
      <c r="I1953" s="4" t="s">
        <v>2502</v>
      </c>
      <c r="J1953" s="4">
        <v>14.3406</v>
      </c>
      <c r="K1953" s="4">
        <v>12.6134</v>
      </c>
      <c r="L1953" s="4">
        <v>14.432399999999999</v>
      </c>
      <c r="M1953" s="4">
        <f t="shared" si="121"/>
        <v>13.795466666666668</v>
      </c>
      <c r="Q1953" s="43" t="s">
        <v>1279</v>
      </c>
      <c r="R1953" s="4">
        <v>13.6322972965195</v>
      </c>
      <c r="S1953" s="4">
        <v>13.5984571729101</v>
      </c>
      <c r="T1953" s="4">
        <v>13.6340680828341</v>
      </c>
      <c r="U1953" s="4">
        <f t="shared" si="122"/>
        <v>13.621607517421232</v>
      </c>
      <c r="X1953" s="43" t="s">
        <v>191</v>
      </c>
      <c r="Y1953" s="4">
        <v>13.789280066513699</v>
      </c>
      <c r="Z1953" s="4">
        <v>13.8841372265207</v>
      </c>
      <c r="AA1953" s="4">
        <v>13.597291930881999</v>
      </c>
      <c r="AB1953" s="4">
        <f t="shared" si="123"/>
        <v>13.756903074638799</v>
      </c>
    </row>
    <row r="1954" spans="2:28" x14ac:dyDescent="0.2">
      <c r="B1954" s="4" t="s">
        <v>3778</v>
      </c>
      <c r="C1954" s="4">
        <v>14.186500000000001</v>
      </c>
      <c r="D1954" s="4">
        <v>13.647500000000001</v>
      </c>
      <c r="E1954" s="4">
        <v>13.548999999999999</v>
      </c>
      <c r="F1954" s="4">
        <f t="shared" si="120"/>
        <v>13.794333333333334</v>
      </c>
      <c r="I1954" s="4" t="s">
        <v>370</v>
      </c>
      <c r="J1954" s="4">
        <v>13.245799999999999</v>
      </c>
      <c r="K1954" s="4">
        <v>14.2349</v>
      </c>
      <c r="L1954" s="4">
        <v>13.896599999999999</v>
      </c>
      <c r="M1954" s="4">
        <f t="shared" si="121"/>
        <v>13.792433333333333</v>
      </c>
      <c r="Q1954" s="43" t="s">
        <v>2634</v>
      </c>
      <c r="R1954" s="4">
        <v>13.547754360763101</v>
      </c>
      <c r="S1954" s="4">
        <v>13.5325111597713</v>
      </c>
      <c r="T1954" s="4">
        <v>13.780857296684299</v>
      </c>
      <c r="U1954" s="4">
        <f t="shared" si="122"/>
        <v>13.620374272406233</v>
      </c>
      <c r="X1954" s="43" t="s">
        <v>2815</v>
      </c>
      <c r="Y1954" s="4">
        <v>13.6305011370288</v>
      </c>
      <c r="Z1954" s="4">
        <v>13.980330035018801</v>
      </c>
      <c r="AA1954" s="4">
        <v>13.6594085330774</v>
      </c>
      <c r="AB1954" s="4">
        <f t="shared" si="123"/>
        <v>13.756746568375</v>
      </c>
    </row>
    <row r="1955" spans="2:28" x14ac:dyDescent="0.2">
      <c r="B1955" s="4" t="s">
        <v>4070</v>
      </c>
      <c r="C1955" s="4">
        <v>13.8508</v>
      </c>
      <c r="D1955" s="4">
        <v>13.831799999999999</v>
      </c>
      <c r="E1955" s="4">
        <v>13.699400000000001</v>
      </c>
      <c r="F1955" s="4">
        <f t="shared" si="120"/>
        <v>13.794000000000002</v>
      </c>
      <c r="I1955" s="4" t="s">
        <v>1616</v>
      </c>
      <c r="J1955" s="4">
        <v>13.9716</v>
      </c>
      <c r="K1955" s="4">
        <v>13.402200000000001</v>
      </c>
      <c r="L1955" s="4">
        <v>13.992800000000001</v>
      </c>
      <c r="M1955" s="4">
        <f t="shared" si="121"/>
        <v>13.788866666666669</v>
      </c>
      <c r="Q1955" s="43" t="s">
        <v>2288</v>
      </c>
      <c r="R1955" s="4">
        <v>13.6763481566054</v>
      </c>
      <c r="S1955" s="4">
        <v>13.717723964648499</v>
      </c>
      <c r="T1955" s="4">
        <v>13.466318670707199</v>
      </c>
      <c r="U1955" s="4">
        <f t="shared" si="122"/>
        <v>13.620130263987031</v>
      </c>
      <c r="X1955" s="43" t="s">
        <v>1765</v>
      </c>
      <c r="Y1955" s="4">
        <v>13.8601946145053</v>
      </c>
      <c r="Z1955" s="4">
        <v>13.803063106148899</v>
      </c>
      <c r="AA1955" s="4">
        <v>13.602595461994101</v>
      </c>
      <c r="AB1955" s="4">
        <f t="shared" si="123"/>
        <v>13.755284394216099</v>
      </c>
    </row>
    <row r="1956" spans="2:28" x14ac:dyDescent="0.2">
      <c r="B1956" s="4" t="s">
        <v>419</v>
      </c>
      <c r="C1956" s="4">
        <v>13.303800000000001</v>
      </c>
      <c r="D1956" s="4">
        <v>13.628500000000001</v>
      </c>
      <c r="E1956" s="4">
        <v>14.444000000000001</v>
      </c>
      <c r="F1956" s="4">
        <f t="shared" si="120"/>
        <v>13.7921</v>
      </c>
      <c r="I1956" s="4" t="s">
        <v>3582</v>
      </c>
      <c r="J1956" s="4">
        <v>13.586399999999999</v>
      </c>
      <c r="K1956" s="4">
        <v>14.3795</v>
      </c>
      <c r="L1956" s="4">
        <v>13.3993</v>
      </c>
      <c r="M1956" s="4">
        <f t="shared" si="121"/>
        <v>13.788400000000001</v>
      </c>
      <c r="Q1956" s="43" t="s">
        <v>3235</v>
      </c>
      <c r="R1956" s="4">
        <v>13.6290676307569</v>
      </c>
      <c r="S1956" s="4">
        <v>13.5369640762434</v>
      </c>
      <c r="T1956" s="4">
        <v>13.688938638697699</v>
      </c>
      <c r="U1956" s="4">
        <f t="shared" si="122"/>
        <v>13.618323448566001</v>
      </c>
      <c r="X1956" s="43" t="s">
        <v>3864</v>
      </c>
      <c r="Y1956" s="4">
        <v>13.5681047000317</v>
      </c>
      <c r="Z1956" s="4">
        <v>13.9955898042942</v>
      </c>
      <c r="AA1956" s="4">
        <v>13.6992118508864</v>
      </c>
      <c r="AB1956" s="4">
        <f t="shared" si="123"/>
        <v>13.7543021184041</v>
      </c>
    </row>
    <row r="1957" spans="2:28" x14ac:dyDescent="0.2">
      <c r="B1957" s="4" t="s">
        <v>751</v>
      </c>
      <c r="C1957" s="4">
        <v>13.978300000000001</v>
      </c>
      <c r="D1957" s="4">
        <v>13.7506</v>
      </c>
      <c r="E1957" s="4">
        <v>13.645300000000001</v>
      </c>
      <c r="F1957" s="4">
        <f t="shared" si="120"/>
        <v>13.791400000000001</v>
      </c>
      <c r="I1957" s="4" t="s">
        <v>485</v>
      </c>
      <c r="J1957" s="4">
        <v>13.450699999999999</v>
      </c>
      <c r="K1957" s="4">
        <v>14.534800000000001</v>
      </c>
      <c r="L1957" s="4">
        <v>13.378299999999999</v>
      </c>
      <c r="M1957" s="4">
        <f t="shared" si="121"/>
        <v>13.787933333333333</v>
      </c>
      <c r="Q1957" s="43" t="s">
        <v>3596</v>
      </c>
      <c r="R1957" s="4">
        <v>13.6212450896678</v>
      </c>
      <c r="S1957" s="4">
        <v>13.435506467726499</v>
      </c>
      <c r="T1957" s="4">
        <v>13.796801960687</v>
      </c>
      <c r="U1957" s="4">
        <f t="shared" si="122"/>
        <v>13.617851172693767</v>
      </c>
      <c r="X1957" s="43" t="s">
        <v>307</v>
      </c>
      <c r="Y1957" s="4">
        <v>13.6561910828403</v>
      </c>
      <c r="Z1957" s="4">
        <v>13.872455079917801</v>
      </c>
      <c r="AA1957" s="4">
        <v>13.730416754622899</v>
      </c>
      <c r="AB1957" s="4">
        <f t="shared" si="123"/>
        <v>13.753020972460334</v>
      </c>
    </row>
    <row r="1958" spans="2:28" x14ac:dyDescent="0.2">
      <c r="B1958" s="4" t="s">
        <v>2321</v>
      </c>
      <c r="C1958" s="4">
        <v>13.792999999999999</v>
      </c>
      <c r="D1958" s="4">
        <v>13.685499999999999</v>
      </c>
      <c r="E1958" s="4">
        <v>13.891999999999999</v>
      </c>
      <c r="F1958" s="4">
        <f t="shared" si="120"/>
        <v>13.790166666666664</v>
      </c>
      <c r="I1958" s="4" t="s">
        <v>3118</v>
      </c>
      <c r="J1958" s="4">
        <v>13.8459</v>
      </c>
      <c r="K1958" s="4">
        <v>14.019</v>
      </c>
      <c r="L1958" s="4">
        <v>13.4978</v>
      </c>
      <c r="M1958" s="4">
        <f t="shared" si="121"/>
        <v>13.787566666666665</v>
      </c>
      <c r="Q1958" s="43" t="s">
        <v>2957</v>
      </c>
      <c r="R1958" s="4">
        <v>13.569084439054</v>
      </c>
      <c r="S1958" s="4">
        <v>13.6018318232915</v>
      </c>
      <c r="T1958" s="4">
        <v>13.682289160777</v>
      </c>
      <c r="U1958" s="4">
        <f t="shared" si="122"/>
        <v>13.617735141040834</v>
      </c>
      <c r="X1958" s="43" t="s">
        <v>2504</v>
      </c>
      <c r="Y1958" s="4">
        <v>13.8112794483211</v>
      </c>
      <c r="Z1958" s="4">
        <v>13.627899670306</v>
      </c>
      <c r="AA1958" s="4">
        <v>13.8181546195474</v>
      </c>
      <c r="AB1958" s="4">
        <f t="shared" si="123"/>
        <v>13.752444579391501</v>
      </c>
    </row>
    <row r="1959" spans="2:28" x14ac:dyDescent="0.2">
      <c r="B1959" s="4" t="s">
        <v>3661</v>
      </c>
      <c r="C1959" s="4">
        <v>14.003</v>
      </c>
      <c r="D1959" s="4">
        <v>14.2188</v>
      </c>
      <c r="E1959" s="4">
        <v>13.1472</v>
      </c>
      <c r="F1959" s="4">
        <f t="shared" si="120"/>
        <v>13.789666666666667</v>
      </c>
      <c r="I1959" s="4" t="s">
        <v>538</v>
      </c>
      <c r="J1959" s="4">
        <v>13.9367</v>
      </c>
      <c r="K1959" s="4">
        <v>13.708299999999999</v>
      </c>
      <c r="L1959" s="4">
        <v>13.7097</v>
      </c>
      <c r="M1959" s="4">
        <f t="shared" si="121"/>
        <v>13.7849</v>
      </c>
      <c r="Q1959" s="43" t="s">
        <v>2521</v>
      </c>
      <c r="R1959" s="4">
        <v>13.4298224589831</v>
      </c>
      <c r="S1959" s="4">
        <v>13.684866223402899</v>
      </c>
      <c r="T1959" s="4">
        <v>13.7278854045864</v>
      </c>
      <c r="U1959" s="4">
        <f t="shared" si="122"/>
        <v>13.614191362324133</v>
      </c>
      <c r="X1959" s="43" t="s">
        <v>3341</v>
      </c>
      <c r="Y1959" s="4">
        <v>13.765114181216701</v>
      </c>
      <c r="Z1959" s="4">
        <v>13.732589219713701</v>
      </c>
      <c r="AA1959" s="4">
        <v>13.7586361604329</v>
      </c>
      <c r="AB1959" s="4">
        <f t="shared" si="123"/>
        <v>13.752113187121102</v>
      </c>
    </row>
    <row r="1960" spans="2:28" x14ac:dyDescent="0.2">
      <c r="B1960" s="4" t="s">
        <v>3150</v>
      </c>
      <c r="C1960" s="4">
        <v>13.48</v>
      </c>
      <c r="D1960" s="4">
        <v>13.867900000000001</v>
      </c>
      <c r="E1960" s="4">
        <v>14.0184</v>
      </c>
      <c r="F1960" s="4">
        <f t="shared" si="120"/>
        <v>13.788766666666668</v>
      </c>
      <c r="I1960" s="4" t="s">
        <v>3914</v>
      </c>
      <c r="J1960" s="4">
        <v>14.1182</v>
      </c>
      <c r="K1960" s="4">
        <v>13.723100000000001</v>
      </c>
      <c r="L1960" s="4">
        <v>13.510899999999999</v>
      </c>
      <c r="M1960" s="4">
        <f t="shared" si="121"/>
        <v>13.784066666666666</v>
      </c>
      <c r="Q1960" s="43" t="s">
        <v>2683</v>
      </c>
      <c r="R1960" s="4">
        <v>13.5028952513133</v>
      </c>
      <c r="S1960" s="4">
        <v>13.6691178142677</v>
      </c>
      <c r="T1960" s="4">
        <v>13.6697592046206</v>
      </c>
      <c r="U1960" s="4">
        <f t="shared" si="122"/>
        <v>13.613924090067201</v>
      </c>
      <c r="X1960" s="43" t="s">
        <v>3822</v>
      </c>
      <c r="Y1960" s="4">
        <v>13.751019509717</v>
      </c>
      <c r="Z1960" s="4">
        <v>13.5537929790975</v>
      </c>
      <c r="AA1960" s="4">
        <v>13.946496540537</v>
      </c>
      <c r="AB1960" s="4">
        <f t="shared" si="123"/>
        <v>13.750436343117165</v>
      </c>
    </row>
    <row r="1961" spans="2:28" x14ac:dyDescent="0.2">
      <c r="B1961" s="4" t="s">
        <v>1618</v>
      </c>
      <c r="C1961" s="4">
        <v>13.889200000000001</v>
      </c>
      <c r="D1961" s="4">
        <v>13.8095</v>
      </c>
      <c r="E1961" s="4">
        <v>13.6585</v>
      </c>
      <c r="F1961" s="4">
        <f t="shared" si="120"/>
        <v>13.785733333333335</v>
      </c>
      <c r="I1961" s="4" t="s">
        <v>649</v>
      </c>
      <c r="J1961" s="4">
        <v>13.4132</v>
      </c>
      <c r="K1961" s="4">
        <v>14.0885</v>
      </c>
      <c r="L1961" s="4">
        <v>13.849500000000001</v>
      </c>
      <c r="M1961" s="4">
        <f t="shared" si="121"/>
        <v>13.783733333333332</v>
      </c>
      <c r="Q1961" s="43" t="s">
        <v>722</v>
      </c>
      <c r="R1961" s="4">
        <v>13.730627623109999</v>
      </c>
      <c r="S1961" s="4">
        <v>13.400071828661501</v>
      </c>
      <c r="T1961" s="4">
        <v>13.7070607692411</v>
      </c>
      <c r="U1961" s="4">
        <f t="shared" si="122"/>
        <v>13.612586740337534</v>
      </c>
      <c r="X1961" s="43" t="s">
        <v>967</v>
      </c>
      <c r="Y1961" s="4">
        <v>13.882757680731601</v>
      </c>
      <c r="Z1961" s="4">
        <v>13.9510855816259</v>
      </c>
      <c r="AA1961" s="4">
        <v>13.4151119935218</v>
      </c>
      <c r="AB1961" s="4">
        <f t="shared" si="123"/>
        <v>13.749651751959767</v>
      </c>
    </row>
    <row r="1962" spans="2:28" x14ac:dyDescent="0.2">
      <c r="B1962" s="4" t="s">
        <v>2372</v>
      </c>
      <c r="C1962" s="4">
        <v>13.5494</v>
      </c>
      <c r="D1962" s="4">
        <v>14.1402</v>
      </c>
      <c r="E1962" s="4">
        <v>13.660600000000001</v>
      </c>
      <c r="F1962" s="4">
        <f t="shared" si="120"/>
        <v>13.7834</v>
      </c>
      <c r="I1962" s="4" t="s">
        <v>1276</v>
      </c>
      <c r="J1962" s="4">
        <v>13.439299999999999</v>
      </c>
      <c r="K1962" s="4">
        <v>15.2629</v>
      </c>
      <c r="L1962" s="4">
        <v>12.6473</v>
      </c>
      <c r="M1962" s="4">
        <f t="shared" si="121"/>
        <v>13.783166666666666</v>
      </c>
      <c r="Q1962" s="43" t="s">
        <v>3260</v>
      </c>
      <c r="R1962" s="4">
        <v>13.551912194580501</v>
      </c>
      <c r="S1962" s="4">
        <v>13.6021230494996</v>
      </c>
      <c r="T1962" s="4">
        <v>13.6722319475689</v>
      </c>
      <c r="U1962" s="4">
        <f t="shared" si="122"/>
        <v>13.608755730549666</v>
      </c>
      <c r="X1962" s="43" t="s">
        <v>4044</v>
      </c>
      <c r="Y1962" s="4">
        <v>13.6975869879412</v>
      </c>
      <c r="Z1962" s="4">
        <v>13.9776598482776</v>
      </c>
      <c r="AA1962" s="4">
        <v>13.572981846219699</v>
      </c>
      <c r="AB1962" s="4">
        <f t="shared" si="123"/>
        <v>13.749409560812834</v>
      </c>
    </row>
    <row r="1963" spans="2:28" x14ac:dyDescent="0.2">
      <c r="B1963" s="4" t="s">
        <v>3440</v>
      </c>
      <c r="C1963" s="4">
        <v>13.9725</v>
      </c>
      <c r="D1963" s="4">
        <v>13.5067</v>
      </c>
      <c r="E1963" s="4">
        <v>13.8681</v>
      </c>
      <c r="F1963" s="4">
        <f t="shared" si="120"/>
        <v>13.782433333333332</v>
      </c>
      <c r="I1963" s="4" t="s">
        <v>1653</v>
      </c>
      <c r="J1963" s="4">
        <v>13.6899</v>
      </c>
      <c r="K1963" s="4">
        <v>13.9819</v>
      </c>
      <c r="L1963" s="4">
        <v>13.6716</v>
      </c>
      <c r="M1963" s="4">
        <f t="shared" si="121"/>
        <v>13.781133333333331</v>
      </c>
      <c r="Q1963" s="43" t="s">
        <v>2085</v>
      </c>
      <c r="R1963" s="4">
        <v>13.325735947148999</v>
      </c>
      <c r="S1963" s="4">
        <v>13.7167494098915</v>
      </c>
      <c r="T1963" s="4">
        <v>13.777029014052699</v>
      </c>
      <c r="U1963" s="4">
        <f t="shared" si="122"/>
        <v>13.606504790364399</v>
      </c>
      <c r="X1963" s="43" t="s">
        <v>2008</v>
      </c>
      <c r="Y1963" s="4">
        <v>13.7349074460324</v>
      </c>
      <c r="Z1963" s="4">
        <v>13.822388743422801</v>
      </c>
      <c r="AA1963" s="4">
        <v>13.6812069893908</v>
      </c>
      <c r="AB1963" s="4">
        <f t="shared" si="123"/>
        <v>13.746167726282001</v>
      </c>
    </row>
    <row r="1964" spans="2:28" x14ac:dyDescent="0.2">
      <c r="B1964" s="4" t="s">
        <v>3899</v>
      </c>
      <c r="C1964" s="4">
        <v>13.623100000000001</v>
      </c>
      <c r="D1964" s="4">
        <v>13.8805</v>
      </c>
      <c r="E1964" s="4">
        <v>13.8422</v>
      </c>
      <c r="F1964" s="4">
        <f t="shared" si="120"/>
        <v>13.781933333333333</v>
      </c>
      <c r="I1964" s="4" t="s">
        <v>21</v>
      </c>
      <c r="J1964" s="4">
        <v>13.9915</v>
      </c>
      <c r="K1964" s="4">
        <v>13.6365</v>
      </c>
      <c r="L1964" s="4">
        <v>13.7136</v>
      </c>
      <c r="M1964" s="4">
        <f t="shared" si="121"/>
        <v>13.780533333333333</v>
      </c>
      <c r="Q1964" s="43" t="s">
        <v>1896</v>
      </c>
      <c r="R1964" s="4">
        <v>13.6654144988086</v>
      </c>
      <c r="S1964" s="4">
        <v>13.451041572012301</v>
      </c>
      <c r="T1964" s="4">
        <v>13.7026936424336</v>
      </c>
      <c r="U1964" s="4">
        <f t="shared" si="122"/>
        <v>13.606383237751501</v>
      </c>
      <c r="X1964" s="43" t="s">
        <v>1764</v>
      </c>
      <c r="Y1964" s="4">
        <v>13.993320037276201</v>
      </c>
      <c r="Z1964" s="4">
        <v>13.571412082792399</v>
      </c>
      <c r="AA1964" s="4">
        <v>13.671795520910599</v>
      </c>
      <c r="AB1964" s="4">
        <f t="shared" si="123"/>
        <v>13.745509213659732</v>
      </c>
    </row>
    <row r="1965" spans="2:28" x14ac:dyDescent="0.2">
      <c r="B1965" s="4" t="s">
        <v>745</v>
      </c>
      <c r="C1965" s="4">
        <v>14.0213</v>
      </c>
      <c r="D1965" s="4">
        <v>13.953900000000001</v>
      </c>
      <c r="E1965" s="4">
        <v>13.3697</v>
      </c>
      <c r="F1965" s="4">
        <f t="shared" si="120"/>
        <v>13.781633333333334</v>
      </c>
      <c r="I1965" s="24" t="s">
        <v>406</v>
      </c>
      <c r="J1965" s="24">
        <v>14.306699999999999</v>
      </c>
      <c r="K1965" s="24">
        <v>12.614699999999999</v>
      </c>
      <c r="L1965" s="24">
        <v>14.4162</v>
      </c>
      <c r="M1965" s="4">
        <f t="shared" si="121"/>
        <v>13.779199999999998</v>
      </c>
      <c r="Q1965" s="43" t="s">
        <v>684</v>
      </c>
      <c r="R1965" s="4">
        <v>13.743882694246</v>
      </c>
      <c r="S1965" s="4">
        <v>13.252665924934201</v>
      </c>
      <c r="T1965" s="4">
        <v>13.8182585065148</v>
      </c>
      <c r="U1965" s="4">
        <f t="shared" si="122"/>
        <v>13.604935708565002</v>
      </c>
      <c r="X1965" s="43" t="s">
        <v>2288</v>
      </c>
      <c r="Y1965" s="4">
        <v>13.6717211452144</v>
      </c>
      <c r="Z1965" s="4">
        <v>13.876158128882199</v>
      </c>
      <c r="AA1965" s="4">
        <v>13.6816532206388</v>
      </c>
      <c r="AB1965" s="4">
        <f t="shared" si="123"/>
        <v>13.743177498245133</v>
      </c>
    </row>
    <row r="1966" spans="2:28" x14ac:dyDescent="0.2">
      <c r="B1966" s="4" t="s">
        <v>2672</v>
      </c>
      <c r="C1966" s="4">
        <v>13.825100000000001</v>
      </c>
      <c r="D1966" s="4">
        <v>13.6884</v>
      </c>
      <c r="E1966" s="4">
        <v>13.8278</v>
      </c>
      <c r="F1966" s="4">
        <f t="shared" si="120"/>
        <v>13.780433333333335</v>
      </c>
      <c r="I1966" s="4" t="s">
        <v>2498</v>
      </c>
      <c r="J1966" s="4">
        <v>13.8812</v>
      </c>
      <c r="K1966" s="4">
        <v>13.655099999999999</v>
      </c>
      <c r="L1966" s="4">
        <v>13.7898</v>
      </c>
      <c r="M1966" s="4">
        <f t="shared" si="121"/>
        <v>13.775366666666665</v>
      </c>
      <c r="Q1966" s="43" t="s">
        <v>252</v>
      </c>
      <c r="R1966" s="4">
        <v>13.4030352557965</v>
      </c>
      <c r="S1966" s="4">
        <v>13.910594679687399</v>
      </c>
      <c r="T1966" s="4">
        <v>13.497466624922501</v>
      </c>
      <c r="U1966" s="4">
        <f t="shared" si="122"/>
        <v>13.603698853468799</v>
      </c>
      <c r="X1966" s="43" t="s">
        <v>3349</v>
      </c>
      <c r="Y1966" s="4">
        <v>13.6354376434538</v>
      </c>
      <c r="Z1966" s="4">
        <v>13.696424136953199</v>
      </c>
      <c r="AA1966" s="4">
        <v>13.8958001844239</v>
      </c>
      <c r="AB1966" s="4">
        <f t="shared" si="123"/>
        <v>13.742553988276967</v>
      </c>
    </row>
    <row r="1967" spans="2:28" x14ac:dyDescent="0.2">
      <c r="B1967" s="4" t="s">
        <v>2843</v>
      </c>
      <c r="C1967" s="4">
        <v>13.8874</v>
      </c>
      <c r="D1967" s="4">
        <v>13.7403</v>
      </c>
      <c r="E1967" s="4">
        <v>13.713100000000001</v>
      </c>
      <c r="F1967" s="4">
        <f t="shared" si="120"/>
        <v>13.780266666666668</v>
      </c>
      <c r="I1967" s="4" t="s">
        <v>3786</v>
      </c>
      <c r="J1967" s="4">
        <v>13.588100000000001</v>
      </c>
      <c r="K1967" s="4">
        <v>14.219900000000001</v>
      </c>
      <c r="L1967" s="4">
        <v>13.5161</v>
      </c>
      <c r="M1967" s="4">
        <f t="shared" si="121"/>
        <v>13.774700000000001</v>
      </c>
      <c r="Q1967" s="43" t="s">
        <v>3376</v>
      </c>
      <c r="R1967" s="4">
        <v>13.5962108051784</v>
      </c>
      <c r="S1967" s="4">
        <v>13.8633957896862</v>
      </c>
      <c r="T1967" s="4">
        <v>13.3452746326038</v>
      </c>
      <c r="U1967" s="4">
        <f t="shared" si="122"/>
        <v>13.601627075822799</v>
      </c>
      <c r="X1967" s="43" t="s">
        <v>4326</v>
      </c>
      <c r="Y1967" s="4">
        <v>13.8322557643178</v>
      </c>
      <c r="Z1967" s="4">
        <v>13.622423985172199</v>
      </c>
      <c r="AA1967" s="4">
        <v>13.7646973515436</v>
      </c>
      <c r="AB1967" s="4">
        <f t="shared" si="123"/>
        <v>13.7397923670112</v>
      </c>
    </row>
    <row r="1968" spans="2:28" x14ac:dyDescent="0.2">
      <c r="B1968" s="4" t="s">
        <v>3673</v>
      </c>
      <c r="C1968" s="4">
        <v>13.7986</v>
      </c>
      <c r="D1968" s="4">
        <v>13.7615</v>
      </c>
      <c r="E1968" s="4">
        <v>13.780200000000001</v>
      </c>
      <c r="F1968" s="4">
        <f t="shared" si="120"/>
        <v>13.780099999999999</v>
      </c>
      <c r="I1968" s="4" t="s">
        <v>3876</v>
      </c>
      <c r="J1968" s="4">
        <v>13.831300000000001</v>
      </c>
      <c r="K1968" s="4">
        <v>13.360099999999999</v>
      </c>
      <c r="L1968" s="4">
        <v>14.1267</v>
      </c>
      <c r="M1968" s="4">
        <f t="shared" si="121"/>
        <v>13.7727</v>
      </c>
      <c r="Q1968" s="43" t="s">
        <v>4305</v>
      </c>
      <c r="R1968" s="4">
        <v>14.136052725684401</v>
      </c>
      <c r="S1968" s="4">
        <v>13.4322121591197</v>
      </c>
      <c r="T1968" s="4">
        <v>13.2351481510124</v>
      </c>
      <c r="U1968" s="4">
        <f t="shared" si="122"/>
        <v>13.601137678605502</v>
      </c>
      <c r="X1968" s="43" t="s">
        <v>4370</v>
      </c>
      <c r="Y1968" s="4">
        <v>13.809512955294</v>
      </c>
      <c r="Z1968" s="4">
        <v>13.418140678136201</v>
      </c>
      <c r="AA1968" s="4">
        <v>13.990839010007299</v>
      </c>
      <c r="AB1968" s="4">
        <f t="shared" si="123"/>
        <v>13.739497547812499</v>
      </c>
    </row>
    <row r="1969" spans="2:28" x14ac:dyDescent="0.2">
      <c r="B1969" s="4" t="s">
        <v>3195</v>
      </c>
      <c r="C1969" s="4">
        <v>13.9732</v>
      </c>
      <c r="D1969" s="4">
        <v>13.4816</v>
      </c>
      <c r="E1969" s="4">
        <v>13.881</v>
      </c>
      <c r="F1969" s="4">
        <f t="shared" si="120"/>
        <v>13.778599999999999</v>
      </c>
      <c r="I1969" s="4" t="s">
        <v>1863</v>
      </c>
      <c r="J1969" s="4">
        <v>13.5054</v>
      </c>
      <c r="K1969" s="4">
        <v>14.0746</v>
      </c>
      <c r="L1969" s="4">
        <v>13.7346</v>
      </c>
      <c r="M1969" s="4">
        <f t="shared" si="121"/>
        <v>13.771533333333332</v>
      </c>
      <c r="Q1969" s="43" t="s">
        <v>4464</v>
      </c>
      <c r="R1969" s="4">
        <v>13.8986226599601</v>
      </c>
      <c r="S1969" s="4">
        <v>13.568645920173401</v>
      </c>
      <c r="T1969" s="4">
        <v>13.328202056519601</v>
      </c>
      <c r="U1969" s="4">
        <f t="shared" si="122"/>
        <v>13.598490212217699</v>
      </c>
      <c r="X1969" s="43" t="s">
        <v>1417</v>
      </c>
      <c r="Y1969" s="4">
        <v>13.7874456529652</v>
      </c>
      <c r="Z1969" s="4">
        <v>13.6886084701855</v>
      </c>
      <c r="AA1969" s="4">
        <v>13.741260672257001</v>
      </c>
      <c r="AB1969" s="4">
        <f t="shared" si="123"/>
        <v>13.739104931802567</v>
      </c>
    </row>
    <row r="1970" spans="2:28" x14ac:dyDescent="0.2">
      <c r="B1970" s="4" t="s">
        <v>3885</v>
      </c>
      <c r="C1970" s="4">
        <v>13.664300000000001</v>
      </c>
      <c r="D1970" s="4">
        <v>13.8422</v>
      </c>
      <c r="E1970" s="4">
        <v>13.8287</v>
      </c>
      <c r="F1970" s="4">
        <f t="shared" si="120"/>
        <v>13.7784</v>
      </c>
      <c r="I1970" s="4" t="s">
        <v>528</v>
      </c>
      <c r="J1970" s="4">
        <v>13.697699999999999</v>
      </c>
      <c r="K1970" s="4">
        <v>14.2691</v>
      </c>
      <c r="L1970" s="4">
        <v>13.347099999999999</v>
      </c>
      <c r="M1970" s="4">
        <f t="shared" si="121"/>
        <v>13.771299999999998</v>
      </c>
      <c r="Q1970" s="43" t="s">
        <v>2649</v>
      </c>
      <c r="R1970" s="4">
        <v>13.577717409091999</v>
      </c>
      <c r="S1970" s="4">
        <v>13.689619742222501</v>
      </c>
      <c r="T1970" s="4">
        <v>13.5114501101644</v>
      </c>
      <c r="U1970" s="4">
        <f t="shared" si="122"/>
        <v>13.592929087159632</v>
      </c>
      <c r="X1970" s="43" t="s">
        <v>1360</v>
      </c>
      <c r="Y1970" s="4">
        <v>13.840959173614801</v>
      </c>
      <c r="Z1970" s="4">
        <v>13.8046277286434</v>
      </c>
      <c r="AA1970" s="4">
        <v>13.570291689315599</v>
      </c>
      <c r="AB1970" s="4">
        <f t="shared" si="123"/>
        <v>13.738626197191266</v>
      </c>
    </row>
    <row r="1971" spans="2:28" x14ac:dyDescent="0.2">
      <c r="B1971" s="4" t="s">
        <v>3550</v>
      </c>
      <c r="C1971" s="4">
        <v>13.789899999999999</v>
      </c>
      <c r="D1971" s="4">
        <v>13.646000000000001</v>
      </c>
      <c r="E1971" s="4">
        <v>13.893800000000001</v>
      </c>
      <c r="F1971" s="4">
        <f t="shared" si="120"/>
        <v>13.776566666666668</v>
      </c>
      <c r="I1971" s="4" t="s">
        <v>3018</v>
      </c>
      <c r="J1971" s="4">
        <v>13.1873</v>
      </c>
      <c r="K1971" s="4">
        <v>15.04</v>
      </c>
      <c r="L1971" s="4">
        <v>13.084199999999999</v>
      </c>
      <c r="M1971" s="4">
        <f t="shared" si="121"/>
        <v>13.770499999999998</v>
      </c>
      <c r="Q1971" s="43" t="s">
        <v>2290</v>
      </c>
      <c r="R1971" s="4">
        <v>13.531235506112001</v>
      </c>
      <c r="S1971" s="4">
        <v>13.502482494811799</v>
      </c>
      <c r="T1971" s="4">
        <v>13.7360409940348</v>
      </c>
      <c r="U1971" s="4">
        <f t="shared" si="122"/>
        <v>13.5899196649862</v>
      </c>
      <c r="X1971" s="43" t="s">
        <v>2261</v>
      </c>
      <c r="Y1971" s="4">
        <v>13.677423634460601</v>
      </c>
      <c r="Z1971" s="4">
        <v>13.7813975789952</v>
      </c>
      <c r="AA1971" s="4">
        <v>13.7566307256557</v>
      </c>
      <c r="AB1971" s="4">
        <f t="shared" si="123"/>
        <v>13.738483979703835</v>
      </c>
    </row>
    <row r="1972" spans="2:28" x14ac:dyDescent="0.2">
      <c r="B1972" s="4" t="s">
        <v>3561</v>
      </c>
      <c r="C1972" s="4">
        <v>13.6511</v>
      </c>
      <c r="D1972" s="4">
        <v>13.825200000000001</v>
      </c>
      <c r="E1972" s="4">
        <v>13.847200000000001</v>
      </c>
      <c r="F1972" s="4">
        <f t="shared" si="120"/>
        <v>13.774500000000002</v>
      </c>
      <c r="I1972" s="4" t="s">
        <v>2071</v>
      </c>
      <c r="J1972" s="4">
        <v>13.865399999999999</v>
      </c>
      <c r="K1972" s="4">
        <v>13.744199999999999</v>
      </c>
      <c r="L1972" s="4">
        <v>13.7006</v>
      </c>
      <c r="M1972" s="4">
        <f t="shared" si="121"/>
        <v>13.770066666666667</v>
      </c>
      <c r="Q1972" s="43" t="s">
        <v>1910</v>
      </c>
      <c r="R1972" s="4">
        <v>13.140758092357</v>
      </c>
      <c r="S1972" s="4">
        <v>13.729374202265101</v>
      </c>
      <c r="T1972" s="4">
        <v>13.883095029937</v>
      </c>
      <c r="U1972" s="4">
        <f t="shared" si="122"/>
        <v>13.584409108186369</v>
      </c>
      <c r="X1972" s="43" t="s">
        <v>2657</v>
      </c>
      <c r="Y1972" s="4">
        <v>13.805275703741399</v>
      </c>
      <c r="Z1972" s="4">
        <v>13.653473926729699</v>
      </c>
      <c r="AA1972" s="4">
        <v>13.7558165329683</v>
      </c>
      <c r="AB1972" s="4">
        <f t="shared" si="123"/>
        <v>13.738188721146466</v>
      </c>
    </row>
    <row r="1973" spans="2:28" x14ac:dyDescent="0.2">
      <c r="B1973" s="4" t="s">
        <v>581</v>
      </c>
      <c r="C1973" s="4">
        <v>13.6477</v>
      </c>
      <c r="D1973" s="4">
        <v>13.635400000000001</v>
      </c>
      <c r="E1973" s="4">
        <v>14.0397</v>
      </c>
      <c r="F1973" s="4">
        <f t="shared" si="120"/>
        <v>13.774266666666668</v>
      </c>
      <c r="I1973" s="4" t="s">
        <v>177</v>
      </c>
      <c r="J1973" s="4">
        <v>13.510400000000001</v>
      </c>
      <c r="K1973" s="4">
        <v>13.914099999999999</v>
      </c>
      <c r="L1973" s="4">
        <v>13.8855</v>
      </c>
      <c r="M1973" s="4">
        <f t="shared" si="121"/>
        <v>13.770000000000001</v>
      </c>
      <c r="Q1973" s="43" t="s">
        <v>1660</v>
      </c>
      <c r="R1973" s="4">
        <v>13.5425105021829</v>
      </c>
      <c r="S1973" s="4">
        <v>13.628143092149701</v>
      </c>
      <c r="T1973" s="4">
        <v>13.5781805604752</v>
      </c>
      <c r="U1973" s="4">
        <f t="shared" si="122"/>
        <v>13.582944718269266</v>
      </c>
      <c r="X1973" s="43" t="s">
        <v>3641</v>
      </c>
      <c r="Y1973" s="4">
        <v>13.6320499287133</v>
      </c>
      <c r="Z1973" s="4">
        <v>13.612813196266099</v>
      </c>
      <c r="AA1973" s="4">
        <v>13.9670008468419</v>
      </c>
      <c r="AB1973" s="4">
        <f t="shared" si="123"/>
        <v>13.737287990607101</v>
      </c>
    </row>
    <row r="1974" spans="2:28" x14ac:dyDescent="0.2">
      <c r="B1974" s="4" t="s">
        <v>2832</v>
      </c>
      <c r="C1974" s="4">
        <v>13.671900000000001</v>
      </c>
      <c r="D1974" s="4">
        <v>13.4838</v>
      </c>
      <c r="E1974" s="4">
        <v>14.1637</v>
      </c>
      <c r="F1974" s="4">
        <f t="shared" si="120"/>
        <v>13.773133333333334</v>
      </c>
      <c r="I1974" s="4" t="s">
        <v>1815</v>
      </c>
      <c r="J1974" s="4">
        <v>13.777200000000001</v>
      </c>
      <c r="K1974" s="4">
        <v>13.4754</v>
      </c>
      <c r="L1974" s="4">
        <v>14.0572</v>
      </c>
      <c r="M1974" s="4">
        <f t="shared" si="121"/>
        <v>13.769933333333334</v>
      </c>
      <c r="Q1974" s="43" t="s">
        <v>2100</v>
      </c>
      <c r="R1974" s="4">
        <v>13.421295096992299</v>
      </c>
      <c r="S1974" s="4">
        <v>13.566682844507399</v>
      </c>
      <c r="T1974" s="4">
        <v>13.759275321190801</v>
      </c>
      <c r="U1974" s="4">
        <f t="shared" si="122"/>
        <v>13.582417754230166</v>
      </c>
      <c r="X1974" s="43" t="s">
        <v>757</v>
      </c>
      <c r="Y1974" s="4">
        <v>13.865053162514</v>
      </c>
      <c r="Z1974" s="4">
        <v>13.5489221640608</v>
      </c>
      <c r="AA1974" s="4">
        <v>13.791937605698701</v>
      </c>
      <c r="AB1974" s="4">
        <f t="shared" si="123"/>
        <v>13.735304310757833</v>
      </c>
    </row>
    <row r="1975" spans="2:28" x14ac:dyDescent="0.2">
      <c r="B1975" s="4" t="s">
        <v>1544</v>
      </c>
      <c r="C1975" s="4">
        <v>13.795999999999999</v>
      </c>
      <c r="D1975" s="4">
        <v>13.5459</v>
      </c>
      <c r="E1975" s="4">
        <v>13.976800000000001</v>
      </c>
      <c r="F1975" s="4">
        <f t="shared" si="120"/>
        <v>13.7729</v>
      </c>
      <c r="I1975" s="4" t="s">
        <v>3183</v>
      </c>
      <c r="J1975" s="4">
        <v>13.870100000000001</v>
      </c>
      <c r="K1975" s="4">
        <v>14.1028</v>
      </c>
      <c r="L1975" s="4">
        <v>13.3355</v>
      </c>
      <c r="M1975" s="4">
        <f t="shared" si="121"/>
        <v>13.769466666666668</v>
      </c>
      <c r="Q1975" s="43" t="s">
        <v>2806</v>
      </c>
      <c r="R1975" s="4">
        <v>13.6047259721533</v>
      </c>
      <c r="S1975" s="4">
        <v>13.489259716878299</v>
      </c>
      <c r="T1975" s="4">
        <v>13.652784159239401</v>
      </c>
      <c r="U1975" s="4">
        <f t="shared" si="122"/>
        <v>13.582256616090334</v>
      </c>
      <c r="X1975" s="43" t="s">
        <v>3568</v>
      </c>
      <c r="Y1975" s="4">
        <v>13.7584149869841</v>
      </c>
      <c r="Z1975" s="4">
        <v>13.8779505639534</v>
      </c>
      <c r="AA1975" s="4">
        <v>13.567850671794099</v>
      </c>
      <c r="AB1975" s="4">
        <f t="shared" si="123"/>
        <v>13.734738740910531</v>
      </c>
    </row>
    <row r="1976" spans="2:28" x14ac:dyDescent="0.2">
      <c r="B1976" s="4" t="s">
        <v>3148</v>
      </c>
      <c r="C1976" s="4">
        <v>13.8857</v>
      </c>
      <c r="D1976" s="4">
        <v>13.9023</v>
      </c>
      <c r="E1976" s="4">
        <v>13.5228</v>
      </c>
      <c r="F1976" s="4">
        <f t="shared" si="120"/>
        <v>13.770266666666666</v>
      </c>
      <c r="I1976" s="4" t="s">
        <v>2073</v>
      </c>
      <c r="J1976" s="4">
        <v>14.092599999999999</v>
      </c>
      <c r="K1976" s="4">
        <v>13.3687</v>
      </c>
      <c r="L1976" s="4">
        <v>13.8459</v>
      </c>
      <c r="M1976" s="4">
        <f t="shared" si="121"/>
        <v>13.769066666666667</v>
      </c>
      <c r="Q1976" s="43" t="s">
        <v>594</v>
      </c>
      <c r="R1976" s="4">
        <v>13.602241821321099</v>
      </c>
      <c r="S1976" s="4">
        <v>13.592826184794101</v>
      </c>
      <c r="T1976" s="4">
        <v>13.549646904138701</v>
      </c>
      <c r="U1976" s="4">
        <f t="shared" si="122"/>
        <v>13.581571636751301</v>
      </c>
      <c r="X1976" s="43" t="s">
        <v>2457</v>
      </c>
      <c r="Y1976" s="4">
        <v>13.6705195649829</v>
      </c>
      <c r="Z1976" s="4">
        <v>13.514606448031101</v>
      </c>
      <c r="AA1976" s="4">
        <v>14.013379235203599</v>
      </c>
      <c r="AB1976" s="4">
        <f t="shared" si="123"/>
        <v>13.7328350827392</v>
      </c>
    </row>
    <row r="1977" spans="2:28" x14ac:dyDescent="0.2">
      <c r="B1977" s="4" t="s">
        <v>3933</v>
      </c>
      <c r="C1977" s="4">
        <v>13.4841</v>
      </c>
      <c r="D1977" s="4">
        <v>13.8673</v>
      </c>
      <c r="E1977" s="4">
        <v>13.9589</v>
      </c>
      <c r="F1977" s="4">
        <f t="shared" si="120"/>
        <v>13.770099999999999</v>
      </c>
      <c r="I1977" s="4" t="s">
        <v>1275</v>
      </c>
      <c r="J1977" s="4">
        <v>13.847799999999999</v>
      </c>
      <c r="K1977" s="4">
        <v>13.592700000000001</v>
      </c>
      <c r="L1977" s="4">
        <v>13.8651</v>
      </c>
      <c r="M1977" s="4">
        <f t="shared" si="121"/>
        <v>13.768533333333332</v>
      </c>
      <c r="Q1977" s="43" t="s">
        <v>708</v>
      </c>
      <c r="R1977" s="4">
        <v>13.4883659792301</v>
      </c>
      <c r="S1977" s="4">
        <v>13.50406463064</v>
      </c>
      <c r="T1977" s="4">
        <v>13.749603560511799</v>
      </c>
      <c r="U1977" s="4">
        <f t="shared" si="122"/>
        <v>13.580678056793966</v>
      </c>
      <c r="X1977" s="43" t="s">
        <v>2266</v>
      </c>
      <c r="Y1977" s="4">
        <v>13.8306857765731</v>
      </c>
      <c r="Z1977" s="4">
        <v>13.843244818817199</v>
      </c>
      <c r="AA1977" s="4">
        <v>13.518006496841799</v>
      </c>
      <c r="AB1977" s="4">
        <f t="shared" si="123"/>
        <v>13.730645697410699</v>
      </c>
    </row>
    <row r="1978" spans="2:28" x14ac:dyDescent="0.2">
      <c r="B1978" s="4" t="s">
        <v>360</v>
      </c>
      <c r="C1978" s="4">
        <v>13.5124</v>
      </c>
      <c r="D1978" s="4">
        <v>13.689500000000001</v>
      </c>
      <c r="E1978" s="4">
        <v>14.1073</v>
      </c>
      <c r="F1978" s="4">
        <f t="shared" si="120"/>
        <v>13.769733333333335</v>
      </c>
      <c r="I1978" s="4" t="s">
        <v>3090</v>
      </c>
      <c r="J1978" s="4">
        <v>13.374000000000001</v>
      </c>
      <c r="K1978" s="4">
        <v>14.254899999999999</v>
      </c>
      <c r="L1978" s="4">
        <v>13.6723</v>
      </c>
      <c r="M1978" s="4">
        <f t="shared" si="121"/>
        <v>13.767066666666667</v>
      </c>
      <c r="Q1978" s="43" t="s">
        <v>4189</v>
      </c>
      <c r="R1978" s="4">
        <v>13.3934789470447</v>
      </c>
      <c r="S1978" s="4">
        <v>13.6156748326877</v>
      </c>
      <c r="T1978" s="4">
        <v>13.731632638985101</v>
      </c>
      <c r="U1978" s="4">
        <f t="shared" si="122"/>
        <v>13.580262139572502</v>
      </c>
      <c r="X1978" s="43" t="s">
        <v>1533</v>
      </c>
      <c r="Y1978" s="4">
        <v>13.9466730858408</v>
      </c>
      <c r="Z1978" s="4">
        <v>13.357228892347001</v>
      </c>
      <c r="AA1978" s="4">
        <v>13.887979885597501</v>
      </c>
      <c r="AB1978" s="4">
        <f t="shared" si="123"/>
        <v>13.730627287928435</v>
      </c>
    </row>
    <row r="1979" spans="2:28" x14ac:dyDescent="0.2">
      <c r="B1979" s="4" t="s">
        <v>3115</v>
      </c>
      <c r="C1979" s="4">
        <v>14.0745</v>
      </c>
      <c r="D1979" s="4">
        <v>13.4781</v>
      </c>
      <c r="E1979" s="4">
        <v>13.7502</v>
      </c>
      <c r="F1979" s="4">
        <f t="shared" si="120"/>
        <v>13.7676</v>
      </c>
      <c r="I1979" s="4" t="s">
        <v>60</v>
      </c>
      <c r="J1979" s="4">
        <v>12.859299999999999</v>
      </c>
      <c r="K1979" s="4">
        <v>14.434200000000001</v>
      </c>
      <c r="L1979" s="4">
        <v>14.0059</v>
      </c>
      <c r="M1979" s="4">
        <f t="shared" si="121"/>
        <v>13.766466666666668</v>
      </c>
      <c r="Q1979" s="43" t="s">
        <v>3656</v>
      </c>
      <c r="R1979" s="4">
        <v>13.3297577932314</v>
      </c>
      <c r="S1979" s="4">
        <v>13.6723808156729</v>
      </c>
      <c r="T1979" s="4">
        <v>13.7339632491729</v>
      </c>
      <c r="U1979" s="4">
        <f t="shared" si="122"/>
        <v>13.578700619359067</v>
      </c>
      <c r="X1979" s="43" t="s">
        <v>4469</v>
      </c>
      <c r="Y1979" s="4">
        <v>13.958710027260899</v>
      </c>
      <c r="Z1979" s="4">
        <v>13.5185137120287</v>
      </c>
      <c r="AA1979" s="4">
        <v>13.7119568727075</v>
      </c>
      <c r="AB1979" s="4">
        <f t="shared" si="123"/>
        <v>13.729726870665701</v>
      </c>
    </row>
    <row r="1980" spans="2:28" x14ac:dyDescent="0.2">
      <c r="B1980" s="4" t="s">
        <v>3829</v>
      </c>
      <c r="C1980" s="4">
        <v>13.5899</v>
      </c>
      <c r="D1980" s="4">
        <v>13.5991</v>
      </c>
      <c r="E1980" s="4">
        <v>14.1136</v>
      </c>
      <c r="F1980" s="4">
        <f t="shared" si="120"/>
        <v>13.767533333333333</v>
      </c>
      <c r="I1980" s="4" t="s">
        <v>2774</v>
      </c>
      <c r="J1980" s="4">
        <v>11.534000000000001</v>
      </c>
      <c r="K1980" s="4">
        <v>16.817599999999999</v>
      </c>
      <c r="L1980" s="4">
        <v>12.944900000000001</v>
      </c>
      <c r="M1980" s="4">
        <f t="shared" si="121"/>
        <v>13.765499999999998</v>
      </c>
      <c r="Q1980" s="43" t="s">
        <v>4076</v>
      </c>
      <c r="R1980" s="4">
        <v>13.388531342711101</v>
      </c>
      <c r="S1980" s="4">
        <v>13.701406142304901</v>
      </c>
      <c r="T1980" s="4">
        <v>13.6272637149731</v>
      </c>
      <c r="U1980" s="4">
        <f t="shared" si="122"/>
        <v>13.572400399996368</v>
      </c>
      <c r="X1980" s="43" t="s">
        <v>1217</v>
      </c>
      <c r="Y1980" s="4">
        <v>13.8253330170825</v>
      </c>
      <c r="Z1980" s="4">
        <v>13.671543095813</v>
      </c>
      <c r="AA1980" s="4">
        <v>13.6922678618481</v>
      </c>
      <c r="AB1980" s="4">
        <f t="shared" si="123"/>
        <v>13.729714658247866</v>
      </c>
    </row>
    <row r="1981" spans="2:28" x14ac:dyDescent="0.2">
      <c r="B1981" s="4" t="s">
        <v>2644</v>
      </c>
      <c r="C1981" s="4">
        <v>13.716699999999999</v>
      </c>
      <c r="D1981" s="4">
        <v>13.8161</v>
      </c>
      <c r="E1981" s="4">
        <v>13.768599999999999</v>
      </c>
      <c r="F1981" s="4">
        <f t="shared" si="120"/>
        <v>13.767133333333334</v>
      </c>
      <c r="I1981" s="4" t="s">
        <v>3906</v>
      </c>
      <c r="J1981" s="4">
        <v>13.7699</v>
      </c>
      <c r="K1981" s="4">
        <v>13.672800000000001</v>
      </c>
      <c r="L1981" s="4">
        <v>13.8537</v>
      </c>
      <c r="M1981" s="4">
        <f t="shared" si="121"/>
        <v>13.765466666666669</v>
      </c>
      <c r="Q1981" s="43" t="s">
        <v>190</v>
      </c>
      <c r="R1981" s="4">
        <v>13.828039310770199</v>
      </c>
      <c r="S1981" s="4">
        <v>13.2354367932505</v>
      </c>
      <c r="T1981" s="4">
        <v>13.652342753843101</v>
      </c>
      <c r="U1981" s="4">
        <f t="shared" si="122"/>
        <v>13.571939619287933</v>
      </c>
      <c r="X1981" s="43" t="s">
        <v>3457</v>
      </c>
      <c r="Y1981" s="4">
        <v>13.810750404745001</v>
      </c>
      <c r="Z1981" s="4">
        <v>13.627717013525499</v>
      </c>
      <c r="AA1981" s="4">
        <v>13.749291034538899</v>
      </c>
      <c r="AB1981" s="4">
        <f t="shared" si="123"/>
        <v>13.729252817603133</v>
      </c>
    </row>
    <row r="1982" spans="2:28" x14ac:dyDescent="0.2">
      <c r="B1982" s="4" t="s">
        <v>3983</v>
      </c>
      <c r="C1982" s="4">
        <v>14.3203</v>
      </c>
      <c r="D1982" s="4">
        <v>13.412699999999999</v>
      </c>
      <c r="E1982" s="4">
        <v>13.5581</v>
      </c>
      <c r="F1982" s="4">
        <f t="shared" si="120"/>
        <v>13.7637</v>
      </c>
      <c r="I1982" s="4" t="s">
        <v>3854</v>
      </c>
      <c r="J1982" s="4">
        <v>13.986800000000001</v>
      </c>
      <c r="K1982" s="4">
        <v>13.929500000000001</v>
      </c>
      <c r="L1982" s="4">
        <v>13.379799999999999</v>
      </c>
      <c r="M1982" s="4">
        <f t="shared" si="121"/>
        <v>13.765366666666665</v>
      </c>
      <c r="Q1982" s="43" t="s">
        <v>3129</v>
      </c>
      <c r="R1982" s="4">
        <v>13.5263642989816</v>
      </c>
      <c r="S1982" s="4">
        <v>13.5006499031368</v>
      </c>
      <c r="T1982" s="4">
        <v>13.6807735236382</v>
      </c>
      <c r="U1982" s="4">
        <f t="shared" si="122"/>
        <v>13.569262575252202</v>
      </c>
      <c r="X1982" s="43" t="s">
        <v>3739</v>
      </c>
      <c r="Y1982" s="4">
        <v>13.433161705511001</v>
      </c>
      <c r="Z1982" s="4">
        <v>14.0930982393267</v>
      </c>
      <c r="AA1982" s="4">
        <v>13.6595617296796</v>
      </c>
      <c r="AB1982" s="4">
        <f t="shared" si="123"/>
        <v>13.7286072248391</v>
      </c>
    </row>
    <row r="1983" spans="2:28" x14ac:dyDescent="0.2">
      <c r="B1983" s="4" t="s">
        <v>4074</v>
      </c>
      <c r="C1983" s="4">
        <v>13.8262</v>
      </c>
      <c r="D1983" s="4">
        <v>13.9107</v>
      </c>
      <c r="E1983" s="4">
        <v>13.5489</v>
      </c>
      <c r="F1983" s="4">
        <f t="shared" si="120"/>
        <v>13.761933333333332</v>
      </c>
      <c r="I1983" s="4" t="s">
        <v>1606</v>
      </c>
      <c r="J1983" s="4">
        <v>14.069800000000001</v>
      </c>
      <c r="K1983" s="4">
        <v>13.2263</v>
      </c>
      <c r="L1983" s="4">
        <v>13.9978</v>
      </c>
      <c r="M1983" s="4">
        <f t="shared" si="121"/>
        <v>13.764633333333334</v>
      </c>
      <c r="Q1983" s="43" t="s">
        <v>4505</v>
      </c>
      <c r="R1983" s="4">
        <v>13.607655166984401</v>
      </c>
      <c r="S1983" s="4">
        <v>13.5353678375361</v>
      </c>
      <c r="T1983" s="4">
        <v>13.564099953878801</v>
      </c>
      <c r="U1983" s="4">
        <f t="shared" si="122"/>
        <v>13.569040986133102</v>
      </c>
      <c r="X1983" s="43" t="s">
        <v>2253</v>
      </c>
      <c r="Y1983" s="4">
        <v>13.7336730398386</v>
      </c>
      <c r="Z1983" s="4">
        <v>13.9370716681613</v>
      </c>
      <c r="AA1983" s="4">
        <v>13.513795034748</v>
      </c>
      <c r="AB1983" s="4">
        <f t="shared" si="123"/>
        <v>13.728179914249301</v>
      </c>
    </row>
    <row r="1984" spans="2:28" x14ac:dyDescent="0.2">
      <c r="B1984" s="4" t="s">
        <v>3597</v>
      </c>
      <c r="C1984" s="4">
        <v>13.8202</v>
      </c>
      <c r="D1984" s="4">
        <v>13.770799999999999</v>
      </c>
      <c r="E1984" s="4">
        <v>13.6806</v>
      </c>
      <c r="F1984" s="4">
        <f t="shared" si="120"/>
        <v>13.757199999999999</v>
      </c>
      <c r="I1984" s="4" t="s">
        <v>3097</v>
      </c>
      <c r="J1984" s="4">
        <v>13.7392</v>
      </c>
      <c r="K1984" s="4">
        <v>13.705299999999999</v>
      </c>
      <c r="L1984" s="4">
        <v>13.844099999999999</v>
      </c>
      <c r="M1984" s="4">
        <f t="shared" si="121"/>
        <v>13.762866666666666</v>
      </c>
      <c r="Q1984" s="43" t="s">
        <v>213</v>
      </c>
      <c r="R1984" s="4">
        <v>13.6500395683502</v>
      </c>
      <c r="S1984" s="4">
        <v>13.6190572454702</v>
      </c>
      <c r="T1984" s="4">
        <v>13.4374903849532</v>
      </c>
      <c r="U1984" s="4">
        <f t="shared" si="122"/>
        <v>13.568862399591202</v>
      </c>
      <c r="X1984" s="43" t="s">
        <v>1079</v>
      </c>
      <c r="Y1984" s="4">
        <v>13.7454170175118</v>
      </c>
      <c r="Z1984" s="4">
        <v>13.669636274672801</v>
      </c>
      <c r="AA1984" s="4">
        <v>13.768009339087</v>
      </c>
      <c r="AB1984" s="4">
        <f t="shared" si="123"/>
        <v>13.727687543757201</v>
      </c>
    </row>
    <row r="1985" spans="2:28" x14ac:dyDescent="0.2">
      <c r="B1985" s="4" t="s">
        <v>2071</v>
      </c>
      <c r="C1985" s="4">
        <v>13.6774</v>
      </c>
      <c r="D1985" s="4">
        <v>13.6737</v>
      </c>
      <c r="E1985" s="4">
        <v>13.9091</v>
      </c>
      <c r="F1985" s="4">
        <f t="shared" si="120"/>
        <v>13.753400000000001</v>
      </c>
      <c r="I1985" s="4" t="s">
        <v>2310</v>
      </c>
      <c r="J1985" s="4">
        <v>14.0191</v>
      </c>
      <c r="K1985" s="4">
        <v>13.3851</v>
      </c>
      <c r="L1985" s="4">
        <v>13.883900000000001</v>
      </c>
      <c r="M1985" s="4">
        <f t="shared" si="121"/>
        <v>13.762700000000001</v>
      </c>
      <c r="Q1985" s="43" t="s">
        <v>2777</v>
      </c>
      <c r="R1985" s="4">
        <v>13.2149933799063</v>
      </c>
      <c r="S1985" s="4">
        <v>13.694802113454701</v>
      </c>
      <c r="T1985" s="4">
        <v>13.7922187313519</v>
      </c>
      <c r="U1985" s="4">
        <f t="shared" si="122"/>
        <v>13.567338074904301</v>
      </c>
      <c r="X1985" s="43" t="s">
        <v>4010</v>
      </c>
      <c r="Y1985" s="4">
        <v>13.8329141857779</v>
      </c>
      <c r="Z1985" s="4">
        <v>13.562978837219401</v>
      </c>
      <c r="AA1985" s="4">
        <v>13.781511535999799</v>
      </c>
      <c r="AB1985" s="4">
        <f t="shared" si="123"/>
        <v>13.7258015196657</v>
      </c>
    </row>
    <row r="1986" spans="2:28" x14ac:dyDescent="0.2">
      <c r="B1986" s="4" t="s">
        <v>803</v>
      </c>
      <c r="C1986" s="4">
        <v>14.0421</v>
      </c>
      <c r="D1986" s="4">
        <v>13.5709</v>
      </c>
      <c r="E1986" s="4">
        <v>13.640499999999999</v>
      </c>
      <c r="F1986" s="4">
        <f t="shared" ref="F1986:F2049" si="124">(C1986+D1986+E1986)/3</f>
        <v>13.751166666666668</v>
      </c>
      <c r="I1986" s="4" t="s">
        <v>1325</v>
      </c>
      <c r="J1986" s="4">
        <v>13.9397</v>
      </c>
      <c r="K1986" s="4">
        <v>13.4937</v>
      </c>
      <c r="L1986" s="4">
        <v>13.8543</v>
      </c>
      <c r="M1986" s="4">
        <f t="shared" ref="M1986:M2049" si="125">(J1986+K1986+L1986)/3</f>
        <v>13.762566666666666</v>
      </c>
      <c r="Q1986" s="43" t="s">
        <v>3212</v>
      </c>
      <c r="R1986" s="4">
        <v>13.727448260488501</v>
      </c>
      <c r="S1986" s="4">
        <v>13.5914927683726</v>
      </c>
      <c r="T1986" s="4">
        <v>13.380522834384299</v>
      </c>
      <c r="U1986" s="4">
        <f t="shared" ref="U1986:U2049" si="126">(R1986+S1986+T1986)/3</f>
        <v>13.566487954415132</v>
      </c>
      <c r="X1986" s="43" t="s">
        <v>3193</v>
      </c>
      <c r="Y1986" s="4">
        <v>13.715009052554899</v>
      </c>
      <c r="Z1986" s="4">
        <v>13.672194949973999</v>
      </c>
      <c r="AA1986" s="4">
        <v>13.785039947005</v>
      </c>
      <c r="AB1986" s="4">
        <f t="shared" ref="AB1986:AB2049" si="127">(Y1986+Z1986+AA1986)/3</f>
        <v>13.724081316511297</v>
      </c>
    </row>
    <row r="1987" spans="2:28" x14ac:dyDescent="0.2">
      <c r="B1987" s="4" t="s">
        <v>1249</v>
      </c>
      <c r="C1987" s="4">
        <v>13.8689</v>
      </c>
      <c r="D1987" s="4">
        <v>13.845800000000001</v>
      </c>
      <c r="E1987" s="4">
        <v>13.5388</v>
      </c>
      <c r="F1987" s="4">
        <f t="shared" si="124"/>
        <v>13.751166666666668</v>
      </c>
      <c r="I1987" s="4" t="s">
        <v>1583</v>
      </c>
      <c r="J1987" s="4">
        <v>13.8531</v>
      </c>
      <c r="K1987" s="4">
        <v>13.5151</v>
      </c>
      <c r="L1987" s="4">
        <v>13.9186</v>
      </c>
      <c r="M1987" s="4">
        <f t="shared" si="125"/>
        <v>13.762266666666667</v>
      </c>
      <c r="Q1987" s="43" t="s">
        <v>2676</v>
      </c>
      <c r="R1987" s="4">
        <v>13.4992444471988</v>
      </c>
      <c r="S1987" s="4">
        <v>13.6090386762679</v>
      </c>
      <c r="T1987" s="4">
        <v>13.586396178970899</v>
      </c>
      <c r="U1987" s="4">
        <f t="shared" si="126"/>
        <v>13.564893100812533</v>
      </c>
      <c r="X1987" s="43" t="s">
        <v>4457</v>
      </c>
      <c r="Y1987" s="4">
        <v>13.5616837424484</v>
      </c>
      <c r="Z1987" s="4">
        <v>13.753658246919599</v>
      </c>
      <c r="AA1987" s="4">
        <v>13.856433996650599</v>
      </c>
      <c r="AB1987" s="4">
        <f t="shared" si="127"/>
        <v>13.723925328672868</v>
      </c>
    </row>
    <row r="1988" spans="2:28" x14ac:dyDescent="0.2">
      <c r="B1988" s="4" t="s">
        <v>3682</v>
      </c>
      <c r="C1988" s="4">
        <v>14.0785</v>
      </c>
      <c r="D1988" s="4">
        <v>13.8049</v>
      </c>
      <c r="E1988" s="4">
        <v>13.3698</v>
      </c>
      <c r="F1988" s="4">
        <f t="shared" si="124"/>
        <v>13.751066666666667</v>
      </c>
      <c r="I1988" s="4" t="s">
        <v>1361</v>
      </c>
      <c r="J1988" s="4">
        <v>14.037000000000001</v>
      </c>
      <c r="K1988" s="4">
        <v>13.060600000000001</v>
      </c>
      <c r="L1988" s="4">
        <v>14.1876</v>
      </c>
      <c r="M1988" s="4">
        <f t="shared" si="125"/>
        <v>13.761733333333334</v>
      </c>
      <c r="Q1988" s="43" t="s">
        <v>108</v>
      </c>
      <c r="R1988" s="4">
        <v>13.372050928006001</v>
      </c>
      <c r="S1988" s="4">
        <v>13.715135343779799</v>
      </c>
      <c r="T1988" s="4">
        <v>13.6062697392967</v>
      </c>
      <c r="U1988" s="4">
        <f t="shared" si="126"/>
        <v>13.5644853370275</v>
      </c>
      <c r="X1988" s="43" t="s">
        <v>4119</v>
      </c>
      <c r="Y1988" s="4">
        <v>13.7032792213706</v>
      </c>
      <c r="Z1988" s="4">
        <v>13.722918383275699</v>
      </c>
      <c r="AA1988" s="4">
        <v>13.7387393891401</v>
      </c>
      <c r="AB1988" s="4">
        <f t="shared" si="127"/>
        <v>13.721645664595465</v>
      </c>
    </row>
    <row r="1989" spans="2:28" x14ac:dyDescent="0.2">
      <c r="B1989" s="4" t="s">
        <v>2313</v>
      </c>
      <c r="C1989" s="4">
        <v>13.8614</v>
      </c>
      <c r="D1989" s="4">
        <v>13.682499999999999</v>
      </c>
      <c r="E1989" s="4">
        <v>13.705500000000001</v>
      </c>
      <c r="F1989" s="4">
        <f t="shared" si="124"/>
        <v>13.7498</v>
      </c>
      <c r="I1989" s="4" t="s">
        <v>4038</v>
      </c>
      <c r="J1989" s="4">
        <v>13.7829</v>
      </c>
      <c r="K1989" s="4">
        <v>13.7872</v>
      </c>
      <c r="L1989" s="4">
        <v>13.711600000000001</v>
      </c>
      <c r="M1989" s="4">
        <f t="shared" si="125"/>
        <v>13.760566666666668</v>
      </c>
      <c r="Q1989" s="43" t="s">
        <v>691</v>
      </c>
      <c r="R1989" s="4">
        <v>13.3645592179618</v>
      </c>
      <c r="S1989" s="4">
        <v>13.6814860850145</v>
      </c>
      <c r="T1989" s="4">
        <v>13.646797166585401</v>
      </c>
      <c r="U1989" s="4">
        <f t="shared" si="126"/>
        <v>13.564280823187232</v>
      </c>
      <c r="X1989" s="43" t="s">
        <v>3638</v>
      </c>
      <c r="Y1989" s="4">
        <v>13.595570880711399</v>
      </c>
      <c r="Z1989" s="4">
        <v>13.8414177109509</v>
      </c>
      <c r="AA1989" s="4">
        <v>13.726282799749301</v>
      </c>
      <c r="AB1989" s="4">
        <f t="shared" si="127"/>
        <v>13.721090463803867</v>
      </c>
    </row>
    <row r="1990" spans="2:28" x14ac:dyDescent="0.2">
      <c r="B1990" s="4" t="s">
        <v>1614</v>
      </c>
      <c r="C1990" s="4">
        <v>13.972899999999999</v>
      </c>
      <c r="D1990" s="4">
        <v>14.0031</v>
      </c>
      <c r="E1990" s="4">
        <v>13.272500000000001</v>
      </c>
      <c r="F1990" s="4">
        <f t="shared" si="124"/>
        <v>13.749499999999999</v>
      </c>
      <c r="I1990" s="4" t="s">
        <v>3122</v>
      </c>
      <c r="J1990" s="4">
        <v>14.0982</v>
      </c>
      <c r="K1990" s="4">
        <v>13.2194</v>
      </c>
      <c r="L1990" s="4">
        <v>13.963200000000001</v>
      </c>
      <c r="M1990" s="4">
        <f t="shared" si="125"/>
        <v>13.760266666666666</v>
      </c>
      <c r="Q1990" s="43" t="s">
        <v>149</v>
      </c>
      <c r="R1990" s="4">
        <v>13.8712933794771</v>
      </c>
      <c r="S1990" s="4">
        <v>13.635172121744899</v>
      </c>
      <c r="T1990" s="4">
        <v>13.183753257157001</v>
      </c>
      <c r="U1990" s="4">
        <f t="shared" si="126"/>
        <v>13.563406252793001</v>
      </c>
      <c r="X1990" s="43" t="s">
        <v>2713</v>
      </c>
      <c r="Y1990" s="4">
        <v>13.7662908751362</v>
      </c>
      <c r="Z1990" s="4">
        <v>13.6439330818322</v>
      </c>
      <c r="AA1990" s="4">
        <v>13.7501277207078</v>
      </c>
      <c r="AB1990" s="4">
        <f t="shared" si="127"/>
        <v>13.720117225892068</v>
      </c>
    </row>
    <row r="1991" spans="2:28" x14ac:dyDescent="0.2">
      <c r="B1991" s="4" t="s">
        <v>1047</v>
      </c>
      <c r="C1991" s="4">
        <v>13.7125</v>
      </c>
      <c r="D1991" s="4">
        <v>13.6135</v>
      </c>
      <c r="E1991" s="4">
        <v>13.921799999999999</v>
      </c>
      <c r="F1991" s="4">
        <f t="shared" si="124"/>
        <v>13.749266666666665</v>
      </c>
      <c r="I1991" s="4" t="s">
        <v>3731</v>
      </c>
      <c r="J1991" s="4">
        <v>13.082100000000001</v>
      </c>
      <c r="K1991" s="4">
        <v>15.152799999999999</v>
      </c>
      <c r="L1991" s="4">
        <v>13.043200000000001</v>
      </c>
      <c r="M1991" s="4">
        <f t="shared" si="125"/>
        <v>13.759366666666667</v>
      </c>
      <c r="Q1991" s="43" t="s">
        <v>4521</v>
      </c>
      <c r="R1991" s="4">
        <v>13.5621545811643</v>
      </c>
      <c r="S1991" s="4">
        <v>13.711291124094499</v>
      </c>
      <c r="T1991" s="4">
        <v>13.416679069863299</v>
      </c>
      <c r="U1991" s="4">
        <f t="shared" si="126"/>
        <v>13.5633749250407</v>
      </c>
      <c r="X1991" s="43" t="s">
        <v>2536</v>
      </c>
      <c r="Y1991" s="4">
        <v>13.725784767831099</v>
      </c>
      <c r="Z1991" s="4">
        <v>13.7560573496154</v>
      </c>
      <c r="AA1991" s="4">
        <v>13.6776007097048</v>
      </c>
      <c r="AB1991" s="4">
        <f t="shared" si="127"/>
        <v>13.719814275717098</v>
      </c>
    </row>
    <row r="1992" spans="2:28" x14ac:dyDescent="0.2">
      <c r="B1992" s="4" t="s">
        <v>2825</v>
      </c>
      <c r="C1992" s="4">
        <v>14.359299999999999</v>
      </c>
      <c r="D1992" s="4">
        <v>13.4687</v>
      </c>
      <c r="E1992" s="4">
        <v>13.419600000000001</v>
      </c>
      <c r="F1992" s="4">
        <f t="shared" si="124"/>
        <v>13.7492</v>
      </c>
      <c r="I1992" s="4" t="s">
        <v>2829</v>
      </c>
      <c r="J1992" s="4">
        <v>13.8765</v>
      </c>
      <c r="K1992" s="4">
        <v>13.9803</v>
      </c>
      <c r="L1992" s="4">
        <v>13.419499999999999</v>
      </c>
      <c r="M1992" s="4">
        <f t="shared" si="125"/>
        <v>13.758766666666666</v>
      </c>
      <c r="Q1992" s="43" t="s">
        <v>4342</v>
      </c>
      <c r="R1992" s="4">
        <v>13.6946862129543</v>
      </c>
      <c r="S1992" s="4">
        <v>13.324946556712501</v>
      </c>
      <c r="T1992" s="4">
        <v>13.668974932515001</v>
      </c>
      <c r="U1992" s="4">
        <f t="shared" si="126"/>
        <v>13.562869234060599</v>
      </c>
      <c r="X1992" s="43" t="s">
        <v>98</v>
      </c>
      <c r="Y1992" s="4">
        <v>13.7556913218655</v>
      </c>
      <c r="Z1992" s="4">
        <v>13.722901999620399</v>
      </c>
      <c r="AA1992" s="4">
        <v>13.6776455886835</v>
      </c>
      <c r="AB1992" s="4">
        <f t="shared" si="127"/>
        <v>13.7187463033898</v>
      </c>
    </row>
    <row r="1993" spans="2:28" x14ac:dyDescent="0.2">
      <c r="B1993" s="4" t="s">
        <v>3016</v>
      </c>
      <c r="C1993" s="4">
        <v>13.386200000000001</v>
      </c>
      <c r="D1993" s="4">
        <v>13.966100000000001</v>
      </c>
      <c r="E1993" s="4">
        <v>13.894399999999999</v>
      </c>
      <c r="F1993" s="4">
        <f t="shared" si="124"/>
        <v>13.748899999999999</v>
      </c>
      <c r="I1993" s="4" t="s">
        <v>3219</v>
      </c>
      <c r="J1993" s="4">
        <v>13.898099999999999</v>
      </c>
      <c r="K1993" s="4">
        <v>13.459</v>
      </c>
      <c r="L1993" s="4">
        <v>13.9102</v>
      </c>
      <c r="M1993" s="4">
        <f t="shared" si="125"/>
        <v>13.755766666666666</v>
      </c>
      <c r="Q1993" s="43" t="s">
        <v>4570</v>
      </c>
      <c r="R1993" s="4">
        <v>13.588797546339199</v>
      </c>
      <c r="S1993" s="4">
        <v>13.585148754394501</v>
      </c>
      <c r="T1993" s="4">
        <v>13.5125490882278</v>
      </c>
      <c r="U1993" s="4">
        <f t="shared" si="126"/>
        <v>13.562165129653835</v>
      </c>
      <c r="X1993" s="43" t="s">
        <v>1284</v>
      </c>
      <c r="Y1993" s="4">
        <v>13.7819489238284</v>
      </c>
      <c r="Z1993" s="4">
        <v>13.793260023735799</v>
      </c>
      <c r="AA1993" s="4">
        <v>13.5781795718363</v>
      </c>
      <c r="AB1993" s="4">
        <f t="shared" si="127"/>
        <v>13.7177961731335</v>
      </c>
    </row>
    <row r="1994" spans="2:28" x14ac:dyDescent="0.2">
      <c r="B1994" s="4" t="s">
        <v>2856</v>
      </c>
      <c r="C1994" s="4">
        <v>13.527100000000001</v>
      </c>
      <c r="D1994" s="4">
        <v>13.9421</v>
      </c>
      <c r="E1994" s="4">
        <v>13.7774</v>
      </c>
      <c r="F1994" s="4">
        <f t="shared" si="124"/>
        <v>13.748866666666666</v>
      </c>
      <c r="I1994" s="4" t="s">
        <v>1174</v>
      </c>
      <c r="J1994" s="4">
        <v>13.6303</v>
      </c>
      <c r="K1994" s="4">
        <v>13.966200000000001</v>
      </c>
      <c r="L1994" s="4">
        <v>13.670500000000001</v>
      </c>
      <c r="M1994" s="4">
        <f t="shared" si="125"/>
        <v>13.755666666666665</v>
      </c>
      <c r="Q1994" s="43" t="s">
        <v>3105</v>
      </c>
      <c r="R1994" s="4">
        <v>13.673254934040999</v>
      </c>
      <c r="S1994" s="4">
        <v>13.664479836579799</v>
      </c>
      <c r="T1994" s="4">
        <v>13.3451427719171</v>
      </c>
      <c r="U1994" s="4">
        <f t="shared" si="126"/>
        <v>13.560959180845964</v>
      </c>
      <c r="X1994" s="43" t="s">
        <v>1066</v>
      </c>
      <c r="Y1994" s="4">
        <v>13.6363565593208</v>
      </c>
      <c r="Z1994" s="4">
        <v>13.888238971066301</v>
      </c>
      <c r="AA1994" s="4">
        <v>13.625058336336</v>
      </c>
      <c r="AB1994" s="4">
        <f t="shared" si="127"/>
        <v>13.7165512889077</v>
      </c>
    </row>
    <row r="1995" spans="2:28" x14ac:dyDescent="0.2">
      <c r="B1995" s="4" t="s">
        <v>2690</v>
      </c>
      <c r="C1995" s="4">
        <v>14.305999999999999</v>
      </c>
      <c r="D1995" s="4">
        <v>13.4687</v>
      </c>
      <c r="E1995" s="4">
        <v>13.4686</v>
      </c>
      <c r="F1995" s="4">
        <f t="shared" si="124"/>
        <v>13.747766666666665</v>
      </c>
      <c r="I1995" s="4" t="s">
        <v>2815</v>
      </c>
      <c r="J1995" s="4">
        <v>14.096500000000001</v>
      </c>
      <c r="K1995" s="4">
        <v>13.501799999999999</v>
      </c>
      <c r="L1995" s="4">
        <v>13.6556</v>
      </c>
      <c r="M1995" s="4">
        <f t="shared" si="125"/>
        <v>13.751300000000001</v>
      </c>
      <c r="Q1995" s="43" t="s">
        <v>398</v>
      </c>
      <c r="R1995" s="4">
        <v>13.587629006730801</v>
      </c>
      <c r="S1995" s="4">
        <v>13.6108145064011</v>
      </c>
      <c r="T1995" s="4">
        <v>13.478263209814701</v>
      </c>
      <c r="U1995" s="4">
        <f t="shared" si="126"/>
        <v>13.558902240982199</v>
      </c>
      <c r="X1995" s="43" t="s">
        <v>4133</v>
      </c>
      <c r="Y1995" s="4">
        <v>13.5714106093792</v>
      </c>
      <c r="Z1995" s="4">
        <v>13.714714505558</v>
      </c>
      <c r="AA1995" s="4">
        <v>13.862863096302799</v>
      </c>
      <c r="AB1995" s="4">
        <f t="shared" si="127"/>
        <v>13.716329403746665</v>
      </c>
    </row>
    <row r="1996" spans="2:28" x14ac:dyDescent="0.2">
      <c r="B1996" s="4" t="s">
        <v>2332</v>
      </c>
      <c r="C1996" s="4">
        <v>13.525</v>
      </c>
      <c r="D1996" s="4">
        <v>13.783200000000001</v>
      </c>
      <c r="E1996" s="4">
        <v>13.9298</v>
      </c>
      <c r="F1996" s="4">
        <f t="shared" si="124"/>
        <v>13.746</v>
      </c>
      <c r="I1996" s="4" t="s">
        <v>945</v>
      </c>
      <c r="J1996" s="4">
        <v>13.795199999999999</v>
      </c>
      <c r="K1996" s="4">
        <v>13.7188</v>
      </c>
      <c r="L1996" s="4">
        <v>13.735900000000001</v>
      </c>
      <c r="M1996" s="4">
        <f t="shared" si="125"/>
        <v>13.749966666666666</v>
      </c>
      <c r="Q1996" s="43" t="s">
        <v>2651</v>
      </c>
      <c r="R1996" s="4">
        <v>13.471968265789901</v>
      </c>
      <c r="S1996" s="4">
        <v>13.664357355361201</v>
      </c>
      <c r="T1996" s="4">
        <v>13.540111191667201</v>
      </c>
      <c r="U1996" s="4">
        <f t="shared" si="126"/>
        <v>13.558812270939434</v>
      </c>
      <c r="X1996" s="43" t="s">
        <v>2716</v>
      </c>
      <c r="Y1996" s="4">
        <v>14.0339365586978</v>
      </c>
      <c r="Z1996" s="4">
        <v>13.174094963341901</v>
      </c>
      <c r="AA1996" s="4">
        <v>13.9391953316485</v>
      </c>
      <c r="AB1996" s="4">
        <f t="shared" si="127"/>
        <v>13.715742284562735</v>
      </c>
    </row>
    <row r="1997" spans="2:28" x14ac:dyDescent="0.2">
      <c r="B1997" s="4" t="s">
        <v>2073</v>
      </c>
      <c r="C1997" s="4">
        <v>13.725</v>
      </c>
      <c r="D1997" s="4">
        <v>13.507300000000001</v>
      </c>
      <c r="E1997" s="4">
        <v>14.0037</v>
      </c>
      <c r="F1997" s="4">
        <f t="shared" si="124"/>
        <v>13.745333333333335</v>
      </c>
      <c r="I1997" s="4" t="s">
        <v>2814</v>
      </c>
      <c r="J1997" s="4">
        <v>13.8459</v>
      </c>
      <c r="K1997" s="4">
        <v>13.3294</v>
      </c>
      <c r="L1997" s="4">
        <v>14.0739</v>
      </c>
      <c r="M1997" s="4">
        <f t="shared" si="125"/>
        <v>13.749733333333333</v>
      </c>
      <c r="Q1997" s="43" t="s">
        <v>3940</v>
      </c>
      <c r="R1997" s="4">
        <v>13.7140402670721</v>
      </c>
      <c r="S1997" s="4">
        <v>13.3915586113899</v>
      </c>
      <c r="T1997" s="4">
        <v>13.5652928117907</v>
      </c>
      <c r="U1997" s="4">
        <f t="shared" si="126"/>
        <v>13.556963896750901</v>
      </c>
      <c r="X1997" s="43" t="s">
        <v>563</v>
      </c>
      <c r="Y1997" s="4">
        <v>13.551331908585199</v>
      </c>
      <c r="Z1997" s="4">
        <v>13.7864166586849</v>
      </c>
      <c r="AA1997" s="4">
        <v>13.806172513649001</v>
      </c>
      <c r="AB1997" s="4">
        <f t="shared" si="127"/>
        <v>13.714640360306367</v>
      </c>
    </row>
    <row r="1998" spans="2:28" x14ac:dyDescent="0.2">
      <c r="B1998" s="4" t="s">
        <v>2541</v>
      </c>
      <c r="C1998" s="4">
        <v>12.9534</v>
      </c>
      <c r="D1998" s="4">
        <v>14.350099999999999</v>
      </c>
      <c r="E1998" s="4">
        <v>13.931100000000001</v>
      </c>
      <c r="F1998" s="4">
        <f t="shared" si="124"/>
        <v>13.744866666666667</v>
      </c>
      <c r="I1998" s="4" t="s">
        <v>3630</v>
      </c>
      <c r="J1998" s="4">
        <v>13.754300000000001</v>
      </c>
      <c r="K1998" s="4">
        <v>13.6236</v>
      </c>
      <c r="L1998" s="4">
        <v>13.8703</v>
      </c>
      <c r="M1998" s="4">
        <f t="shared" si="125"/>
        <v>13.7494</v>
      </c>
      <c r="Q1998" s="43" t="s">
        <v>4142</v>
      </c>
      <c r="R1998" s="4">
        <v>13.6684240546934</v>
      </c>
      <c r="S1998" s="4">
        <v>13.6229049367693</v>
      </c>
      <c r="T1998" s="4">
        <v>13.3776412703209</v>
      </c>
      <c r="U1998" s="4">
        <f t="shared" si="126"/>
        <v>13.556323420594532</v>
      </c>
      <c r="X1998" s="43" t="s">
        <v>2939</v>
      </c>
      <c r="Y1998" s="4">
        <v>13.9243302772067</v>
      </c>
      <c r="Z1998" s="4">
        <v>13.758499501290499</v>
      </c>
      <c r="AA1998" s="4">
        <v>13.4563939920856</v>
      </c>
      <c r="AB1998" s="4">
        <f t="shared" si="127"/>
        <v>13.713074590194267</v>
      </c>
    </row>
    <row r="1999" spans="2:28" x14ac:dyDescent="0.2">
      <c r="B1999" s="4" t="s">
        <v>3542</v>
      </c>
      <c r="C1999" s="4">
        <v>13.773</v>
      </c>
      <c r="D1999" s="4">
        <v>13.5053</v>
      </c>
      <c r="E1999" s="4">
        <v>13.9557</v>
      </c>
      <c r="F1999" s="4">
        <f t="shared" si="124"/>
        <v>13.744666666666667</v>
      </c>
      <c r="I1999" s="4" t="s">
        <v>3797</v>
      </c>
      <c r="J1999" s="4">
        <v>13.929600000000001</v>
      </c>
      <c r="K1999" s="4">
        <v>13.261900000000001</v>
      </c>
      <c r="L1999" s="4">
        <v>14.0535</v>
      </c>
      <c r="M1999" s="4">
        <f t="shared" si="125"/>
        <v>13.748333333333335</v>
      </c>
      <c r="Q1999" s="43" t="s">
        <v>826</v>
      </c>
      <c r="R1999" s="4">
        <v>13.330556759990399</v>
      </c>
      <c r="S1999" s="4">
        <v>13.580681667958499</v>
      </c>
      <c r="T1999" s="4">
        <v>13.7565469512625</v>
      </c>
      <c r="U1999" s="4">
        <f t="shared" si="126"/>
        <v>13.555928459737132</v>
      </c>
      <c r="X1999" s="43" t="s">
        <v>3714</v>
      </c>
      <c r="Y1999" s="4">
        <v>14.0480621787129</v>
      </c>
      <c r="Z1999" s="4">
        <v>13.3713112656416</v>
      </c>
      <c r="AA1999" s="4">
        <v>13.7067555855597</v>
      </c>
      <c r="AB1999" s="4">
        <f t="shared" si="127"/>
        <v>13.708709676638065</v>
      </c>
    </row>
    <row r="2000" spans="2:28" x14ac:dyDescent="0.2">
      <c r="B2000" s="4" t="s">
        <v>2853</v>
      </c>
      <c r="C2000" s="4">
        <v>13.7814</v>
      </c>
      <c r="D2000" s="4">
        <v>13.7775</v>
      </c>
      <c r="E2000" s="4">
        <v>13.671900000000001</v>
      </c>
      <c r="F2000" s="4">
        <f t="shared" si="124"/>
        <v>13.743600000000001</v>
      </c>
      <c r="I2000" s="4" t="s">
        <v>3768</v>
      </c>
      <c r="J2000" s="4">
        <v>13.6006</v>
      </c>
      <c r="K2000" s="4">
        <v>14.0975</v>
      </c>
      <c r="L2000" s="4">
        <v>13.5335</v>
      </c>
      <c r="M2000" s="4">
        <f t="shared" si="125"/>
        <v>13.743866666666667</v>
      </c>
      <c r="Q2000" s="43" t="s">
        <v>1754</v>
      </c>
      <c r="R2000" s="4">
        <v>13.720715512740499</v>
      </c>
      <c r="S2000" s="4">
        <v>13.566719150273199</v>
      </c>
      <c r="T2000" s="4">
        <v>13.379267499651201</v>
      </c>
      <c r="U2000" s="4">
        <f t="shared" si="126"/>
        <v>13.555567387554966</v>
      </c>
      <c r="X2000" s="43" t="s">
        <v>1927</v>
      </c>
      <c r="Y2000" s="4">
        <v>13.717236975615799</v>
      </c>
      <c r="Z2000" s="4">
        <v>13.738956786948901</v>
      </c>
      <c r="AA2000" s="4">
        <v>13.6689210598032</v>
      </c>
      <c r="AB2000" s="4">
        <f t="shared" si="127"/>
        <v>13.708371607455968</v>
      </c>
    </row>
    <row r="2001" spans="2:28" x14ac:dyDescent="0.2">
      <c r="B2001" s="4" t="s">
        <v>3174</v>
      </c>
      <c r="C2001" s="4">
        <v>13.860900000000001</v>
      </c>
      <c r="D2001" s="4">
        <v>13.4366</v>
      </c>
      <c r="E2001" s="4">
        <v>13.933199999999999</v>
      </c>
      <c r="F2001" s="4">
        <f t="shared" si="124"/>
        <v>13.743566666666666</v>
      </c>
      <c r="I2001" s="4" t="s">
        <v>3227</v>
      </c>
      <c r="J2001" s="4">
        <v>12.9617</v>
      </c>
      <c r="K2001" s="4">
        <v>14.754200000000001</v>
      </c>
      <c r="L2001" s="4">
        <v>13.5085</v>
      </c>
      <c r="M2001" s="4">
        <f t="shared" si="125"/>
        <v>13.741466666666668</v>
      </c>
      <c r="Q2001" s="43" t="s">
        <v>2867</v>
      </c>
      <c r="R2001" s="4">
        <v>13.8533957555409</v>
      </c>
      <c r="S2001" s="4">
        <v>13.3669704073784</v>
      </c>
      <c r="T2001" s="4">
        <v>13.446157607046899</v>
      </c>
      <c r="U2001" s="4">
        <f t="shared" si="126"/>
        <v>13.555507923322066</v>
      </c>
      <c r="X2001" s="43" t="s">
        <v>561</v>
      </c>
      <c r="Y2001" s="4">
        <v>13.750763901223401</v>
      </c>
      <c r="Z2001" s="4">
        <v>13.691601502534301</v>
      </c>
      <c r="AA2001" s="4">
        <v>13.681527849561901</v>
      </c>
      <c r="AB2001" s="4">
        <f t="shared" si="127"/>
        <v>13.7079644177732</v>
      </c>
    </row>
    <row r="2002" spans="2:28" x14ac:dyDescent="0.2">
      <c r="B2002" s="4" t="s">
        <v>2477</v>
      </c>
      <c r="C2002" s="4">
        <v>14.8681</v>
      </c>
      <c r="D2002" s="4">
        <v>12.4665</v>
      </c>
      <c r="E2002" s="4">
        <v>13.8942</v>
      </c>
      <c r="F2002" s="4">
        <f t="shared" si="124"/>
        <v>13.742933333333333</v>
      </c>
      <c r="I2002" s="4" t="s">
        <v>3819</v>
      </c>
      <c r="J2002" s="4">
        <v>13.9002</v>
      </c>
      <c r="K2002" s="4">
        <v>13.8894</v>
      </c>
      <c r="L2002" s="4">
        <v>13.420500000000001</v>
      </c>
      <c r="M2002" s="4">
        <f t="shared" si="125"/>
        <v>13.736699999999999</v>
      </c>
      <c r="Q2002" s="43" t="s">
        <v>4394</v>
      </c>
      <c r="R2002" s="4">
        <v>13.616267196777001</v>
      </c>
      <c r="S2002" s="4">
        <v>13.4564226422494</v>
      </c>
      <c r="T2002" s="4">
        <v>13.5814128567681</v>
      </c>
      <c r="U2002" s="4">
        <f t="shared" si="126"/>
        <v>13.551367565264835</v>
      </c>
      <c r="X2002" s="43" t="s">
        <v>2106</v>
      </c>
      <c r="Y2002" s="4">
        <v>13.4723248990743</v>
      </c>
      <c r="Z2002" s="4">
        <v>13.8629285781909</v>
      </c>
      <c r="AA2002" s="4">
        <v>13.7855072528929</v>
      </c>
      <c r="AB2002" s="4">
        <f t="shared" si="127"/>
        <v>13.706920243386032</v>
      </c>
    </row>
    <row r="2003" spans="2:28" x14ac:dyDescent="0.2">
      <c r="B2003" s="4" t="s">
        <v>2239</v>
      </c>
      <c r="C2003" s="4">
        <v>13.9224</v>
      </c>
      <c r="D2003" s="4">
        <v>13.6554</v>
      </c>
      <c r="E2003" s="4">
        <v>13.647500000000001</v>
      </c>
      <c r="F2003" s="4">
        <f t="shared" si="124"/>
        <v>13.741766666666669</v>
      </c>
      <c r="I2003" s="4" t="s">
        <v>3132</v>
      </c>
      <c r="J2003" s="4">
        <v>14.139699999999999</v>
      </c>
      <c r="K2003" s="4">
        <v>12.9033</v>
      </c>
      <c r="L2003" s="4">
        <v>14.1601</v>
      </c>
      <c r="M2003" s="4">
        <f t="shared" si="125"/>
        <v>13.734366666666666</v>
      </c>
      <c r="Q2003" s="43" t="s">
        <v>4341</v>
      </c>
      <c r="R2003" s="4">
        <v>13.552705538168</v>
      </c>
      <c r="S2003" s="4">
        <v>13.675072907889</v>
      </c>
      <c r="T2003" s="4">
        <v>13.422396301493601</v>
      </c>
      <c r="U2003" s="4">
        <f t="shared" si="126"/>
        <v>13.550058249183534</v>
      </c>
      <c r="X2003" s="43" t="s">
        <v>3675</v>
      </c>
      <c r="Y2003" s="4">
        <v>14.1798261469091</v>
      </c>
      <c r="Z2003" s="4">
        <v>13.022062068540301</v>
      </c>
      <c r="AA2003" s="4">
        <v>13.916497782681899</v>
      </c>
      <c r="AB2003" s="4">
        <f t="shared" si="127"/>
        <v>13.706128666043767</v>
      </c>
    </row>
    <row r="2004" spans="2:28" x14ac:dyDescent="0.2">
      <c r="B2004" s="4" t="s">
        <v>2616</v>
      </c>
      <c r="C2004" s="4">
        <v>13.817600000000001</v>
      </c>
      <c r="D2004" s="4">
        <v>13.8588</v>
      </c>
      <c r="E2004" s="4">
        <v>13.541600000000001</v>
      </c>
      <c r="F2004" s="4">
        <f t="shared" si="124"/>
        <v>13.739333333333335</v>
      </c>
      <c r="I2004" s="4" t="s">
        <v>3318</v>
      </c>
      <c r="J2004" s="4">
        <v>13.317299999999999</v>
      </c>
      <c r="K2004" s="4">
        <v>14.741</v>
      </c>
      <c r="L2004" s="4">
        <v>13.1393</v>
      </c>
      <c r="M2004" s="4">
        <f t="shared" si="125"/>
        <v>13.732533333333334</v>
      </c>
      <c r="Q2004" s="43" t="s">
        <v>2152</v>
      </c>
      <c r="R2004" s="4">
        <v>13.3532526225666</v>
      </c>
      <c r="S2004" s="4">
        <v>13.8176057358137</v>
      </c>
      <c r="T2004" s="4">
        <v>13.4781178350099</v>
      </c>
      <c r="U2004" s="4">
        <f t="shared" si="126"/>
        <v>13.549658731130066</v>
      </c>
      <c r="X2004" s="43" t="s">
        <v>2095</v>
      </c>
      <c r="Y2004" s="4">
        <v>13.622484126370001</v>
      </c>
      <c r="Z2004" s="4">
        <v>13.6771060387077</v>
      </c>
      <c r="AA2004" s="4">
        <v>13.8095994850952</v>
      </c>
      <c r="AB2004" s="4">
        <f t="shared" si="127"/>
        <v>13.703063216724301</v>
      </c>
    </row>
    <row r="2005" spans="2:28" x14ac:dyDescent="0.2">
      <c r="B2005" s="4" t="s">
        <v>2745</v>
      </c>
      <c r="C2005" s="4">
        <v>13.1914</v>
      </c>
      <c r="D2005" s="4">
        <v>14.060700000000001</v>
      </c>
      <c r="E2005" s="4">
        <v>13.9656</v>
      </c>
      <c r="F2005" s="4">
        <f t="shared" si="124"/>
        <v>13.739233333333333</v>
      </c>
      <c r="I2005" s="4" t="s">
        <v>559</v>
      </c>
      <c r="J2005" s="4">
        <v>13.337</v>
      </c>
      <c r="K2005" s="4">
        <v>14.488300000000001</v>
      </c>
      <c r="L2005" s="4">
        <v>13.364800000000001</v>
      </c>
      <c r="M2005" s="4">
        <f t="shared" si="125"/>
        <v>13.730033333333333</v>
      </c>
      <c r="Q2005" s="43" t="s">
        <v>3405</v>
      </c>
      <c r="R2005" s="4">
        <v>13.615945386221201</v>
      </c>
      <c r="S2005" s="4">
        <v>13.6146956145516</v>
      </c>
      <c r="T2005" s="4">
        <v>13.4170248061476</v>
      </c>
      <c r="U2005" s="4">
        <f t="shared" si="126"/>
        <v>13.549221935640134</v>
      </c>
      <c r="X2005" s="43" t="s">
        <v>2147</v>
      </c>
      <c r="Y2005" s="4">
        <v>13.939316589966801</v>
      </c>
      <c r="Z2005" s="4">
        <v>13.328709011398001</v>
      </c>
      <c r="AA2005" s="4">
        <v>13.83704001866</v>
      </c>
      <c r="AB2005" s="4">
        <f t="shared" si="127"/>
        <v>13.701688540008268</v>
      </c>
    </row>
    <row r="2006" spans="2:28" x14ac:dyDescent="0.2">
      <c r="B2006" s="4" t="s">
        <v>2555</v>
      </c>
      <c r="C2006" s="4">
        <v>14.0398</v>
      </c>
      <c r="D2006" s="4">
        <v>13.560499999999999</v>
      </c>
      <c r="E2006" s="4">
        <v>13.616099999999999</v>
      </c>
      <c r="F2006" s="4">
        <f t="shared" si="124"/>
        <v>13.738799999999998</v>
      </c>
      <c r="I2006" s="4" t="s">
        <v>3528</v>
      </c>
      <c r="J2006" s="4">
        <v>13.9564</v>
      </c>
      <c r="K2006" s="4">
        <v>13.4078</v>
      </c>
      <c r="L2006" s="4">
        <v>13.825799999999999</v>
      </c>
      <c r="M2006" s="4">
        <f t="shared" si="125"/>
        <v>13.729999999999999</v>
      </c>
      <c r="Q2006" s="43" t="s">
        <v>4082</v>
      </c>
      <c r="R2006" s="4">
        <v>13.398564969730501</v>
      </c>
      <c r="S2006" s="4">
        <v>13.538129802453501</v>
      </c>
      <c r="T2006" s="4">
        <v>13.7049319273824</v>
      </c>
      <c r="U2006" s="4">
        <f t="shared" si="126"/>
        <v>13.547208899855468</v>
      </c>
      <c r="X2006" s="43" t="s">
        <v>886</v>
      </c>
      <c r="Y2006" s="4">
        <v>13.7661901854391</v>
      </c>
      <c r="Z2006" s="4">
        <v>13.562654954209799</v>
      </c>
      <c r="AA2006" s="4">
        <v>13.774651261878899</v>
      </c>
      <c r="AB2006" s="4">
        <f t="shared" si="127"/>
        <v>13.701165467175933</v>
      </c>
    </row>
    <row r="2007" spans="2:28" x14ac:dyDescent="0.2">
      <c r="B2007" s="4" t="s">
        <v>3256</v>
      </c>
      <c r="C2007" s="4">
        <v>13.618399999999999</v>
      </c>
      <c r="D2007" s="4">
        <v>13.5387</v>
      </c>
      <c r="E2007" s="4">
        <v>14.058</v>
      </c>
      <c r="F2007" s="4">
        <f t="shared" si="124"/>
        <v>13.738366666666666</v>
      </c>
      <c r="I2007" s="4" t="s">
        <v>181</v>
      </c>
      <c r="J2007" s="4">
        <v>14.775499999999999</v>
      </c>
      <c r="K2007" s="4">
        <v>15.404199999999999</v>
      </c>
      <c r="L2007" s="4">
        <v>11.007</v>
      </c>
      <c r="M2007" s="4">
        <f t="shared" si="125"/>
        <v>13.728899999999998</v>
      </c>
      <c r="Q2007" s="43" t="s">
        <v>3950</v>
      </c>
      <c r="R2007" s="4">
        <v>13.5672055099839</v>
      </c>
      <c r="S2007" s="4">
        <v>13.4552457862944</v>
      </c>
      <c r="T2007" s="4">
        <v>13.617437952569301</v>
      </c>
      <c r="U2007" s="4">
        <f t="shared" si="126"/>
        <v>13.546629749615866</v>
      </c>
      <c r="X2007" s="43" t="s">
        <v>4613</v>
      </c>
      <c r="Y2007" s="4">
        <v>13.9275478198964</v>
      </c>
      <c r="Z2007" s="4">
        <v>13.758867711143701</v>
      </c>
      <c r="AA2007" s="4">
        <v>13.414835289132</v>
      </c>
      <c r="AB2007" s="4">
        <f t="shared" si="127"/>
        <v>13.700416940057366</v>
      </c>
    </row>
    <row r="2008" spans="2:28" x14ac:dyDescent="0.2">
      <c r="B2008" s="4" t="s">
        <v>3324</v>
      </c>
      <c r="C2008" s="4">
        <v>13.977</v>
      </c>
      <c r="D2008" s="4">
        <v>13.242599999999999</v>
      </c>
      <c r="E2008" s="4">
        <v>13.9916</v>
      </c>
      <c r="F2008" s="4">
        <f t="shared" si="124"/>
        <v>13.737066666666665</v>
      </c>
      <c r="I2008" s="4" t="s">
        <v>251</v>
      </c>
      <c r="J2008" s="4">
        <v>14.256399999999999</v>
      </c>
      <c r="K2008" s="4">
        <v>12.519399999999999</v>
      </c>
      <c r="L2008" s="4">
        <v>14.4108</v>
      </c>
      <c r="M2008" s="4">
        <f t="shared" si="125"/>
        <v>13.728866666666667</v>
      </c>
      <c r="Q2008" s="43" t="s">
        <v>4105</v>
      </c>
      <c r="R2008" s="4">
        <v>13.499568703648601</v>
      </c>
      <c r="S2008" s="4">
        <v>13.516874584052299</v>
      </c>
      <c r="T2008" s="4">
        <v>13.6101276242723</v>
      </c>
      <c r="U2008" s="4">
        <f t="shared" si="126"/>
        <v>13.542190303991068</v>
      </c>
      <c r="X2008" s="43" t="s">
        <v>2683</v>
      </c>
      <c r="Y2008" s="4">
        <v>13.377183540391</v>
      </c>
      <c r="Z2008" s="4">
        <v>13.9835997565045</v>
      </c>
      <c r="AA2008" s="4">
        <v>13.740002210839499</v>
      </c>
      <c r="AB2008" s="4">
        <f t="shared" si="127"/>
        <v>13.700261835911666</v>
      </c>
    </row>
    <row r="2009" spans="2:28" x14ac:dyDescent="0.2">
      <c r="B2009" s="4" t="s">
        <v>243</v>
      </c>
      <c r="C2009" s="4">
        <v>13.770200000000001</v>
      </c>
      <c r="D2009" s="4">
        <v>13.6027</v>
      </c>
      <c r="E2009" s="4">
        <v>13.833299999999999</v>
      </c>
      <c r="F2009" s="4">
        <f t="shared" si="124"/>
        <v>13.7354</v>
      </c>
      <c r="I2009" s="4" t="s">
        <v>2363</v>
      </c>
      <c r="J2009" s="4">
        <v>14.223699999999999</v>
      </c>
      <c r="K2009" s="4">
        <v>13.1515</v>
      </c>
      <c r="L2009" s="4">
        <v>13.808400000000001</v>
      </c>
      <c r="M2009" s="4">
        <f t="shared" si="125"/>
        <v>13.727866666666666</v>
      </c>
      <c r="Q2009" s="43" t="s">
        <v>1363</v>
      </c>
      <c r="R2009" s="4">
        <v>13.609307372368599</v>
      </c>
      <c r="S2009" s="4">
        <v>13.3961289788286</v>
      </c>
      <c r="T2009" s="4">
        <v>13.6168998929998</v>
      </c>
      <c r="U2009" s="4">
        <f t="shared" si="126"/>
        <v>13.540778748065668</v>
      </c>
      <c r="X2009" s="43" t="s">
        <v>2807</v>
      </c>
      <c r="Y2009" s="4">
        <v>13.713610076828701</v>
      </c>
      <c r="Z2009" s="4">
        <v>13.6253409584819</v>
      </c>
      <c r="AA2009" s="4">
        <v>13.7599881027046</v>
      </c>
      <c r="AB2009" s="4">
        <f t="shared" si="127"/>
        <v>13.699646379338398</v>
      </c>
    </row>
    <row r="2010" spans="2:28" x14ac:dyDescent="0.2">
      <c r="B2010" s="4" t="s">
        <v>1215</v>
      </c>
      <c r="C2010" s="4">
        <v>13.765499999999999</v>
      </c>
      <c r="D2010" s="4">
        <v>13.5259</v>
      </c>
      <c r="E2010" s="4">
        <v>13.913600000000001</v>
      </c>
      <c r="F2010" s="4">
        <f t="shared" si="124"/>
        <v>13.734999999999999</v>
      </c>
      <c r="I2010" s="4" t="s">
        <v>1358</v>
      </c>
      <c r="J2010" s="4">
        <v>14.155900000000001</v>
      </c>
      <c r="K2010" s="4">
        <v>13.0197</v>
      </c>
      <c r="L2010" s="4">
        <v>14.0055</v>
      </c>
      <c r="M2010" s="4">
        <f t="shared" si="125"/>
        <v>13.727033333333333</v>
      </c>
      <c r="Q2010" s="43" t="s">
        <v>3864</v>
      </c>
      <c r="R2010" s="4">
        <v>13.1880644113391</v>
      </c>
      <c r="S2010" s="4">
        <v>13.612681168589299</v>
      </c>
      <c r="T2010" s="4">
        <v>13.8164973739738</v>
      </c>
      <c r="U2010" s="4">
        <f t="shared" si="126"/>
        <v>13.539080984634067</v>
      </c>
      <c r="X2010" s="43" t="s">
        <v>343</v>
      </c>
      <c r="Y2010" s="4">
        <v>13.627095303675899</v>
      </c>
      <c r="Z2010" s="4">
        <v>13.788642888722601</v>
      </c>
      <c r="AA2010" s="4">
        <v>13.672706879710701</v>
      </c>
      <c r="AB2010" s="4">
        <f t="shared" si="127"/>
        <v>13.696148357369735</v>
      </c>
    </row>
    <row r="2011" spans="2:28" x14ac:dyDescent="0.2">
      <c r="B2011" s="4" t="s">
        <v>1200</v>
      </c>
      <c r="C2011" s="4">
        <v>13.82</v>
      </c>
      <c r="D2011" s="4">
        <v>13.5602</v>
      </c>
      <c r="E2011" s="4">
        <v>13.8165</v>
      </c>
      <c r="F2011" s="4">
        <f t="shared" si="124"/>
        <v>13.732233333333333</v>
      </c>
      <c r="I2011" s="4" t="s">
        <v>2161</v>
      </c>
      <c r="J2011" s="4">
        <v>13.956300000000001</v>
      </c>
      <c r="K2011" s="4">
        <v>13.462899999999999</v>
      </c>
      <c r="L2011" s="4">
        <v>13.7597</v>
      </c>
      <c r="M2011" s="4">
        <f t="shared" si="125"/>
        <v>13.7263</v>
      </c>
      <c r="Q2011" s="43" t="s">
        <v>1683</v>
      </c>
      <c r="R2011" s="4">
        <v>14.089473704742399</v>
      </c>
      <c r="S2011" s="4">
        <v>13.548887509007599</v>
      </c>
      <c r="T2011" s="4">
        <v>12.975591579417801</v>
      </c>
      <c r="U2011" s="4">
        <f t="shared" si="126"/>
        <v>13.537984264389266</v>
      </c>
      <c r="X2011" s="43" t="s">
        <v>1500</v>
      </c>
      <c r="Y2011" s="4">
        <v>13.6994534210029</v>
      </c>
      <c r="Z2011" s="4">
        <v>13.749526981789</v>
      </c>
      <c r="AA2011" s="4">
        <v>13.6366563478394</v>
      </c>
      <c r="AB2011" s="4">
        <f t="shared" si="127"/>
        <v>13.695212250210433</v>
      </c>
    </row>
    <row r="2012" spans="2:28" x14ac:dyDescent="0.2">
      <c r="B2012" s="4" t="s">
        <v>2398</v>
      </c>
      <c r="C2012" s="4">
        <v>13.6691</v>
      </c>
      <c r="D2012" s="4">
        <v>13.8706</v>
      </c>
      <c r="E2012" s="4">
        <v>13.6396</v>
      </c>
      <c r="F2012" s="4">
        <f t="shared" si="124"/>
        <v>13.726433333333333</v>
      </c>
      <c r="I2012" s="4" t="s">
        <v>974</v>
      </c>
      <c r="J2012" s="4">
        <v>13.6228</v>
      </c>
      <c r="K2012" s="4">
        <v>13.996499999999999</v>
      </c>
      <c r="L2012" s="4">
        <v>13.555099999999999</v>
      </c>
      <c r="M2012" s="4">
        <f t="shared" si="125"/>
        <v>13.7248</v>
      </c>
      <c r="Q2012" s="43" t="s">
        <v>1301</v>
      </c>
      <c r="R2012" s="4">
        <v>13.501053316367701</v>
      </c>
      <c r="S2012" s="4">
        <v>13.6459300400451</v>
      </c>
      <c r="T2012" s="4">
        <v>13.4667923929967</v>
      </c>
      <c r="U2012" s="4">
        <f t="shared" si="126"/>
        <v>13.537925249803166</v>
      </c>
      <c r="X2012" s="43" t="s">
        <v>2450</v>
      </c>
      <c r="Y2012" s="4">
        <v>13.778762806439699</v>
      </c>
      <c r="Z2012" s="4">
        <v>13.718743045593</v>
      </c>
      <c r="AA2012" s="4">
        <v>13.586242972930901</v>
      </c>
      <c r="AB2012" s="4">
        <f t="shared" si="127"/>
        <v>13.694582941654533</v>
      </c>
    </row>
    <row r="2013" spans="2:28" x14ac:dyDescent="0.2">
      <c r="B2013" s="4" t="s">
        <v>3089</v>
      </c>
      <c r="C2013" s="4">
        <v>14.019500000000001</v>
      </c>
      <c r="D2013" s="4">
        <v>13.6715</v>
      </c>
      <c r="E2013" s="4">
        <v>13.4839</v>
      </c>
      <c r="F2013" s="4">
        <f t="shared" si="124"/>
        <v>13.724966666666667</v>
      </c>
      <c r="I2013" s="4" t="s">
        <v>780</v>
      </c>
      <c r="J2013" s="4">
        <v>13.349</v>
      </c>
      <c r="K2013" s="4">
        <v>14.3377</v>
      </c>
      <c r="L2013" s="4">
        <v>13.4861</v>
      </c>
      <c r="M2013" s="4">
        <f t="shared" si="125"/>
        <v>13.724266666666667</v>
      </c>
      <c r="Q2013" s="43" t="s">
        <v>3509</v>
      </c>
      <c r="R2013" s="4">
        <v>13.6106547205273</v>
      </c>
      <c r="S2013" s="4">
        <v>13.719108415975001</v>
      </c>
      <c r="T2013" s="4">
        <v>13.282143962074</v>
      </c>
      <c r="U2013" s="4">
        <f t="shared" si="126"/>
        <v>13.537302366192101</v>
      </c>
      <c r="X2013" s="43" t="s">
        <v>3914</v>
      </c>
      <c r="Y2013" s="4">
        <v>13.810058644434299</v>
      </c>
      <c r="Z2013" s="4">
        <v>13.6450164347266</v>
      </c>
      <c r="AA2013" s="4">
        <v>13.627871046260401</v>
      </c>
      <c r="AB2013" s="4">
        <f t="shared" si="127"/>
        <v>13.694315375140434</v>
      </c>
    </row>
    <row r="2014" spans="2:28" x14ac:dyDescent="0.2">
      <c r="B2014" s="4" t="s">
        <v>2704</v>
      </c>
      <c r="C2014" s="4">
        <v>13.729699999999999</v>
      </c>
      <c r="D2014" s="4">
        <v>13.257400000000001</v>
      </c>
      <c r="E2014" s="4">
        <v>14.1876</v>
      </c>
      <c r="F2014" s="4">
        <f t="shared" si="124"/>
        <v>13.7249</v>
      </c>
      <c r="I2014" s="4" t="s">
        <v>1652</v>
      </c>
      <c r="J2014" s="4">
        <v>13.919</v>
      </c>
      <c r="K2014" s="4">
        <v>13.1867</v>
      </c>
      <c r="L2014" s="4">
        <v>14.0669</v>
      </c>
      <c r="M2014" s="4">
        <f t="shared" si="125"/>
        <v>13.724200000000002</v>
      </c>
      <c r="Q2014" s="43" t="s">
        <v>2504</v>
      </c>
      <c r="R2014" s="4">
        <v>13.4087780425668</v>
      </c>
      <c r="S2014" s="4">
        <v>13.678319408546299</v>
      </c>
      <c r="T2014" s="4">
        <v>13.523286039800601</v>
      </c>
      <c r="U2014" s="4">
        <f t="shared" si="126"/>
        <v>13.536794496971233</v>
      </c>
      <c r="X2014" s="43" t="s">
        <v>3000</v>
      </c>
      <c r="Y2014" s="4">
        <v>13.706712002113299</v>
      </c>
      <c r="Z2014" s="4">
        <v>13.5888961387423</v>
      </c>
      <c r="AA2014" s="4">
        <v>13.784904122512501</v>
      </c>
      <c r="AB2014" s="4">
        <f t="shared" si="127"/>
        <v>13.693504087789366</v>
      </c>
    </row>
    <row r="2015" spans="2:28" x14ac:dyDescent="0.2">
      <c r="B2015" s="4" t="s">
        <v>3403</v>
      </c>
      <c r="C2015" s="4">
        <v>13.7064</v>
      </c>
      <c r="D2015" s="4">
        <v>13.8834</v>
      </c>
      <c r="E2015" s="4">
        <v>13.5837</v>
      </c>
      <c r="F2015" s="4">
        <f t="shared" si="124"/>
        <v>13.724500000000001</v>
      </c>
      <c r="I2015" s="4" t="s">
        <v>3449</v>
      </c>
      <c r="J2015" s="4">
        <v>13.967599999999999</v>
      </c>
      <c r="K2015" s="4">
        <v>13.117900000000001</v>
      </c>
      <c r="L2015" s="4">
        <v>14.084099999999999</v>
      </c>
      <c r="M2015" s="4">
        <f t="shared" si="125"/>
        <v>13.7232</v>
      </c>
      <c r="Q2015" s="43" t="s">
        <v>3670</v>
      </c>
      <c r="R2015" s="4">
        <v>12.833212446218401</v>
      </c>
      <c r="S2015" s="4">
        <v>14.7942440356061</v>
      </c>
      <c r="T2015" s="4">
        <v>12.979348166878699</v>
      </c>
      <c r="U2015" s="4">
        <f t="shared" si="126"/>
        <v>13.535601549567735</v>
      </c>
      <c r="X2015" s="43" t="s">
        <v>1894</v>
      </c>
      <c r="Y2015" s="4">
        <v>13.238315928387401</v>
      </c>
      <c r="Z2015" s="4">
        <v>13.872969255088</v>
      </c>
      <c r="AA2015" s="4">
        <v>13.9637120977733</v>
      </c>
      <c r="AB2015" s="4">
        <f t="shared" si="127"/>
        <v>13.691665760416234</v>
      </c>
    </row>
    <row r="2016" spans="2:28" x14ac:dyDescent="0.2">
      <c r="B2016" s="4" t="s">
        <v>1630</v>
      </c>
      <c r="C2016" s="4">
        <v>13.7355</v>
      </c>
      <c r="D2016" s="4">
        <v>13.805199999999999</v>
      </c>
      <c r="E2016" s="4">
        <v>13.627800000000001</v>
      </c>
      <c r="F2016" s="4">
        <f t="shared" si="124"/>
        <v>13.722833333333334</v>
      </c>
      <c r="I2016" s="4" t="s">
        <v>777</v>
      </c>
      <c r="J2016" s="4">
        <v>13.113300000000001</v>
      </c>
      <c r="K2016" s="4">
        <v>15.322100000000001</v>
      </c>
      <c r="L2016" s="4">
        <v>12.7301</v>
      </c>
      <c r="M2016" s="4">
        <f t="shared" si="125"/>
        <v>13.721833333333334</v>
      </c>
      <c r="Q2016" s="43" t="s">
        <v>412</v>
      </c>
      <c r="R2016" s="4">
        <v>13.6412278695633</v>
      </c>
      <c r="S2016" s="4">
        <v>13.400120568972801</v>
      </c>
      <c r="T2016" s="4">
        <v>13.5638089262939</v>
      </c>
      <c r="U2016" s="4">
        <f t="shared" si="126"/>
        <v>13.535052454943333</v>
      </c>
      <c r="X2016" s="43" t="s">
        <v>1282</v>
      </c>
      <c r="Y2016" s="4">
        <v>13.8133530352797</v>
      </c>
      <c r="Z2016" s="4">
        <v>14.198208053133101</v>
      </c>
      <c r="AA2016" s="4">
        <v>13.0625876563613</v>
      </c>
      <c r="AB2016" s="4">
        <f t="shared" si="127"/>
        <v>13.6913829149247</v>
      </c>
    </row>
    <row r="2017" spans="2:28" x14ac:dyDescent="0.2">
      <c r="B2017" s="4" t="s">
        <v>2746</v>
      </c>
      <c r="C2017" s="4">
        <v>13.8674</v>
      </c>
      <c r="D2017" s="4">
        <v>13.8561</v>
      </c>
      <c r="E2017" s="4">
        <v>13.443899999999999</v>
      </c>
      <c r="F2017" s="4">
        <f t="shared" si="124"/>
        <v>13.722466666666667</v>
      </c>
      <c r="I2017" s="4" t="s">
        <v>325</v>
      </c>
      <c r="J2017" s="4">
        <v>13.9444</v>
      </c>
      <c r="K2017" s="4">
        <v>13.1934</v>
      </c>
      <c r="L2017" s="4">
        <v>14.0189</v>
      </c>
      <c r="M2017" s="4">
        <f t="shared" si="125"/>
        <v>13.7189</v>
      </c>
      <c r="Q2017" s="43" t="s">
        <v>3521</v>
      </c>
      <c r="R2017" s="4">
        <v>13.4446068036496</v>
      </c>
      <c r="S2017" s="4">
        <v>13.5770211464467</v>
      </c>
      <c r="T2017" s="4">
        <v>13.5808948065837</v>
      </c>
      <c r="U2017" s="4">
        <f t="shared" si="126"/>
        <v>13.534174252226668</v>
      </c>
      <c r="X2017" s="43" t="s">
        <v>1828</v>
      </c>
      <c r="Y2017" s="4">
        <v>13.838663281799301</v>
      </c>
      <c r="Z2017" s="4">
        <v>13.6728262854698</v>
      </c>
      <c r="AA2017" s="4">
        <v>13.5611794333132</v>
      </c>
      <c r="AB2017" s="4">
        <f t="shared" si="127"/>
        <v>13.690889666860768</v>
      </c>
    </row>
    <row r="2018" spans="2:28" x14ac:dyDescent="0.2">
      <c r="B2018" s="4" t="s">
        <v>2840</v>
      </c>
      <c r="C2018" s="4">
        <v>13.8469</v>
      </c>
      <c r="D2018" s="4">
        <v>13.689</v>
      </c>
      <c r="E2018" s="4">
        <v>13.63</v>
      </c>
      <c r="F2018" s="4">
        <f t="shared" si="124"/>
        <v>13.721966666666667</v>
      </c>
      <c r="I2018" s="4" t="s">
        <v>3545</v>
      </c>
      <c r="J2018" s="4">
        <v>13.2864</v>
      </c>
      <c r="K2018" s="4">
        <v>14.205399999999999</v>
      </c>
      <c r="L2018" s="4">
        <v>13.648999999999999</v>
      </c>
      <c r="M2018" s="4">
        <f t="shared" si="125"/>
        <v>13.7136</v>
      </c>
      <c r="Q2018" s="43" t="s">
        <v>3894</v>
      </c>
      <c r="R2018" s="4">
        <v>13.684878890539601</v>
      </c>
      <c r="S2018" s="4">
        <v>13.5676714745419</v>
      </c>
      <c r="T2018" s="4">
        <v>13.3485161048216</v>
      </c>
      <c r="U2018" s="4">
        <f t="shared" si="126"/>
        <v>13.533688823301034</v>
      </c>
      <c r="X2018" s="43" t="s">
        <v>181</v>
      </c>
      <c r="Y2018" s="4">
        <v>13.589937592153101</v>
      </c>
      <c r="Z2018" s="4">
        <v>13.7247759335621</v>
      </c>
      <c r="AA2018" s="4">
        <v>13.757094180881101</v>
      </c>
      <c r="AB2018" s="4">
        <f t="shared" si="127"/>
        <v>13.690602568865435</v>
      </c>
    </row>
    <row r="2019" spans="2:28" x14ac:dyDescent="0.2">
      <c r="B2019" s="4" t="s">
        <v>3126</v>
      </c>
      <c r="C2019" s="4">
        <v>13.817600000000001</v>
      </c>
      <c r="D2019" s="4">
        <v>13.4717</v>
      </c>
      <c r="E2019" s="4">
        <v>13.8703</v>
      </c>
      <c r="F2019" s="4">
        <f t="shared" si="124"/>
        <v>13.719866666666666</v>
      </c>
      <c r="I2019" s="4" t="s">
        <v>2733</v>
      </c>
      <c r="J2019" s="4">
        <v>13.5025</v>
      </c>
      <c r="K2019" s="4">
        <v>14.601699999999999</v>
      </c>
      <c r="L2019" s="4">
        <v>13.0343</v>
      </c>
      <c r="M2019" s="4">
        <f t="shared" si="125"/>
        <v>13.712833333333334</v>
      </c>
      <c r="Q2019" s="43" t="s">
        <v>2666</v>
      </c>
      <c r="R2019" s="4">
        <v>13.965473131957699</v>
      </c>
      <c r="S2019" s="4">
        <v>13.2076983581735</v>
      </c>
      <c r="T2019" s="4">
        <v>13.4220618883811</v>
      </c>
      <c r="U2019" s="4">
        <f t="shared" si="126"/>
        <v>13.531744459504099</v>
      </c>
      <c r="X2019" s="43" t="s">
        <v>193</v>
      </c>
      <c r="Y2019" s="4">
        <v>13.669893913083699</v>
      </c>
      <c r="Z2019" s="4">
        <v>13.7093598562747</v>
      </c>
      <c r="AA2019" s="4">
        <v>13.689460576718901</v>
      </c>
      <c r="AB2019" s="4">
        <f t="shared" si="127"/>
        <v>13.689571448692433</v>
      </c>
    </row>
    <row r="2020" spans="2:28" x14ac:dyDescent="0.2">
      <c r="B2020" s="4" t="s">
        <v>2985</v>
      </c>
      <c r="C2020" s="4">
        <v>13.1045</v>
      </c>
      <c r="D2020" s="4">
        <v>14.3514</v>
      </c>
      <c r="E2020" s="4">
        <v>13.698700000000001</v>
      </c>
      <c r="F2020" s="4">
        <f t="shared" si="124"/>
        <v>13.718200000000001</v>
      </c>
      <c r="I2020" s="4" t="s">
        <v>75</v>
      </c>
      <c r="J2020" s="4">
        <v>13.4734</v>
      </c>
      <c r="K2020" s="4">
        <v>14.0809</v>
      </c>
      <c r="L2020" s="4">
        <v>13.5817</v>
      </c>
      <c r="M2020" s="4">
        <f t="shared" si="125"/>
        <v>13.711999999999998</v>
      </c>
      <c r="Q2020" s="43" t="s">
        <v>3829</v>
      </c>
      <c r="R2020" s="4">
        <v>13.8571487722838</v>
      </c>
      <c r="S2020" s="4">
        <v>13.3258503081546</v>
      </c>
      <c r="T2020" s="4">
        <v>13.4095534799039</v>
      </c>
      <c r="U2020" s="4">
        <f t="shared" si="126"/>
        <v>13.530850853447433</v>
      </c>
      <c r="X2020" s="43" t="s">
        <v>1572</v>
      </c>
      <c r="Y2020" s="4">
        <v>13.799946580068999</v>
      </c>
      <c r="Z2020" s="4">
        <v>13.6225992071408</v>
      </c>
      <c r="AA2020" s="4">
        <v>13.644174997338901</v>
      </c>
      <c r="AB2020" s="4">
        <f t="shared" si="127"/>
        <v>13.688906928182901</v>
      </c>
    </row>
    <row r="2021" spans="2:28" x14ac:dyDescent="0.2">
      <c r="B2021" s="4" t="s">
        <v>1292</v>
      </c>
      <c r="C2021" s="4">
        <v>13.8169</v>
      </c>
      <c r="D2021" s="4">
        <v>13.609500000000001</v>
      </c>
      <c r="E2021" s="4">
        <v>13.725199999999999</v>
      </c>
      <c r="F2021" s="4">
        <f t="shared" si="124"/>
        <v>13.7172</v>
      </c>
      <c r="I2021" s="4" t="s">
        <v>2823</v>
      </c>
      <c r="J2021" s="4">
        <v>13.6289</v>
      </c>
      <c r="K2021" s="4">
        <v>13.685499999999999</v>
      </c>
      <c r="L2021" s="4">
        <v>13.821400000000001</v>
      </c>
      <c r="M2021" s="4">
        <f t="shared" si="125"/>
        <v>13.711933333333334</v>
      </c>
      <c r="Q2021" s="43" t="s">
        <v>2700</v>
      </c>
      <c r="R2021" s="4">
        <v>13.8382422506595</v>
      </c>
      <c r="S2021" s="4">
        <v>13.7250064046865</v>
      </c>
      <c r="T2021" s="4">
        <v>13.025100938621399</v>
      </c>
      <c r="U2021" s="4">
        <f t="shared" si="126"/>
        <v>13.529449864655801</v>
      </c>
      <c r="X2021" s="43" t="s">
        <v>449</v>
      </c>
      <c r="Y2021" s="4">
        <v>13.536391777454201</v>
      </c>
      <c r="Z2021" s="4">
        <v>13.734172572105001</v>
      </c>
      <c r="AA2021" s="4">
        <v>13.790897073504899</v>
      </c>
      <c r="AB2021" s="4">
        <f t="shared" si="127"/>
        <v>13.687153807688034</v>
      </c>
    </row>
    <row r="2022" spans="2:28" x14ac:dyDescent="0.2">
      <c r="B2022" s="4" t="s">
        <v>687</v>
      </c>
      <c r="C2022" s="4">
        <v>13.1609</v>
      </c>
      <c r="D2022" s="4">
        <v>14.286</v>
      </c>
      <c r="E2022" s="4">
        <v>13.6943</v>
      </c>
      <c r="F2022" s="4">
        <f t="shared" si="124"/>
        <v>13.713733333333332</v>
      </c>
      <c r="I2022" s="4" t="s">
        <v>1074</v>
      </c>
      <c r="J2022" s="4">
        <v>13.0936</v>
      </c>
      <c r="K2022" s="4">
        <v>15.5663</v>
      </c>
      <c r="L2022" s="4">
        <v>12.4671</v>
      </c>
      <c r="M2022" s="4">
        <f t="shared" si="125"/>
        <v>13.709000000000001</v>
      </c>
      <c r="Q2022" s="43" t="s">
        <v>57</v>
      </c>
      <c r="R2022" s="4">
        <v>13.9147323739653</v>
      </c>
      <c r="S2022" s="4">
        <v>13.3086832461924</v>
      </c>
      <c r="T2022" s="4">
        <v>13.357704536696501</v>
      </c>
      <c r="U2022" s="4">
        <f t="shared" si="126"/>
        <v>13.527040052284734</v>
      </c>
      <c r="X2022" s="43" t="s">
        <v>3832</v>
      </c>
      <c r="Y2022" s="4">
        <v>13.825265100117401</v>
      </c>
      <c r="Z2022" s="4">
        <v>13.4771568181381</v>
      </c>
      <c r="AA2022" s="4">
        <v>13.7553301844194</v>
      </c>
      <c r="AB2022" s="4">
        <f t="shared" si="127"/>
        <v>13.685917367558298</v>
      </c>
    </row>
    <row r="2023" spans="2:28" x14ac:dyDescent="0.2">
      <c r="B2023" s="4" t="s">
        <v>117</v>
      </c>
      <c r="C2023" s="4">
        <v>13.271599999999999</v>
      </c>
      <c r="D2023" s="4">
        <v>13.7037</v>
      </c>
      <c r="E2023" s="4">
        <v>14.152699999999999</v>
      </c>
      <c r="F2023" s="4">
        <f t="shared" si="124"/>
        <v>13.709333333333333</v>
      </c>
      <c r="I2023" s="4" t="s">
        <v>3838</v>
      </c>
      <c r="J2023" s="4">
        <v>13.775</v>
      </c>
      <c r="K2023" s="4">
        <v>13.718999999999999</v>
      </c>
      <c r="L2023" s="4">
        <v>13.6286</v>
      </c>
      <c r="M2023" s="4">
        <f t="shared" si="125"/>
        <v>13.707533333333332</v>
      </c>
      <c r="Q2023" s="43" t="s">
        <v>1857</v>
      </c>
      <c r="R2023" s="4">
        <v>13.309289161026401</v>
      </c>
      <c r="S2023" s="4">
        <v>13.650549055714601</v>
      </c>
      <c r="T2023" s="4">
        <v>13.6166188265546</v>
      </c>
      <c r="U2023" s="4">
        <f t="shared" si="126"/>
        <v>13.525485681098536</v>
      </c>
      <c r="X2023" s="43" t="s">
        <v>4203</v>
      </c>
      <c r="Y2023" s="4">
        <v>13.6294333765142</v>
      </c>
      <c r="Z2023" s="4">
        <v>13.2632906288516</v>
      </c>
      <c r="AA2023" s="4">
        <v>14.163268503829499</v>
      </c>
      <c r="AB2023" s="4">
        <f t="shared" si="127"/>
        <v>13.685330836398434</v>
      </c>
    </row>
    <row r="2024" spans="2:28" x14ac:dyDescent="0.2">
      <c r="B2024" s="4" t="s">
        <v>3035</v>
      </c>
      <c r="C2024" s="4">
        <v>13.5657</v>
      </c>
      <c r="D2024" s="4">
        <v>13.7829</v>
      </c>
      <c r="E2024" s="4">
        <v>13.7768</v>
      </c>
      <c r="F2024" s="4">
        <f t="shared" si="124"/>
        <v>13.708466666666666</v>
      </c>
      <c r="I2024" s="4" t="s">
        <v>1421</v>
      </c>
      <c r="J2024" s="4">
        <v>13.524699999999999</v>
      </c>
      <c r="K2024" s="4">
        <v>14.6053</v>
      </c>
      <c r="L2024" s="4">
        <v>12.9923</v>
      </c>
      <c r="M2024" s="4">
        <f t="shared" si="125"/>
        <v>13.707433333333332</v>
      </c>
      <c r="Q2024" s="43" t="s">
        <v>2320</v>
      </c>
      <c r="R2024" s="4">
        <v>13.1410122494575</v>
      </c>
      <c r="S2024" s="4">
        <v>13.7762010316928</v>
      </c>
      <c r="T2024" s="4">
        <v>13.654262078289801</v>
      </c>
      <c r="U2024" s="4">
        <f t="shared" si="126"/>
        <v>13.523825119813367</v>
      </c>
      <c r="X2024" s="43" t="s">
        <v>3731</v>
      </c>
      <c r="Y2024" s="4">
        <v>13.702266757360899</v>
      </c>
      <c r="Z2024" s="4">
        <v>13.673041887687599</v>
      </c>
      <c r="AA2024" s="4">
        <v>13.678919091404</v>
      </c>
      <c r="AB2024" s="4">
        <f t="shared" si="127"/>
        <v>13.684742578817499</v>
      </c>
    </row>
    <row r="2025" spans="2:28" x14ac:dyDescent="0.2">
      <c r="B2025" s="4" t="s">
        <v>2011</v>
      </c>
      <c r="C2025" s="4">
        <v>13.661099999999999</v>
      </c>
      <c r="D2025" s="4">
        <v>13.941599999999999</v>
      </c>
      <c r="E2025" s="4">
        <v>13.5177</v>
      </c>
      <c r="F2025" s="4">
        <f t="shared" si="124"/>
        <v>13.706799999999999</v>
      </c>
      <c r="I2025" s="4" t="s">
        <v>3171</v>
      </c>
      <c r="J2025" s="4">
        <v>14.2949</v>
      </c>
      <c r="K2025" s="4">
        <v>12.601100000000001</v>
      </c>
      <c r="L2025" s="4">
        <v>14.2037</v>
      </c>
      <c r="M2025" s="4">
        <f t="shared" si="125"/>
        <v>13.6999</v>
      </c>
      <c r="Q2025" s="43" t="s">
        <v>2766</v>
      </c>
      <c r="R2025" s="4">
        <v>13.493960094553399</v>
      </c>
      <c r="S2025" s="4">
        <v>13.464272584513299</v>
      </c>
      <c r="T2025" s="4">
        <v>13.612519804382901</v>
      </c>
      <c r="U2025" s="4">
        <f t="shared" si="126"/>
        <v>13.523584161149865</v>
      </c>
      <c r="X2025" s="43" t="s">
        <v>1754</v>
      </c>
      <c r="Y2025" s="4">
        <v>13.5497505420433</v>
      </c>
      <c r="Z2025" s="4">
        <v>13.9390451607738</v>
      </c>
      <c r="AA2025" s="4">
        <v>13.564958129588099</v>
      </c>
      <c r="AB2025" s="4">
        <f t="shared" si="127"/>
        <v>13.684584610801734</v>
      </c>
    </row>
    <row r="2026" spans="2:28" x14ac:dyDescent="0.2">
      <c r="B2026" s="4" t="s">
        <v>3951</v>
      </c>
      <c r="C2026" s="4">
        <v>13.6762</v>
      </c>
      <c r="D2026" s="4">
        <v>13.7217</v>
      </c>
      <c r="E2026" s="4">
        <v>13.7126</v>
      </c>
      <c r="F2026" s="4">
        <f t="shared" si="124"/>
        <v>13.7035</v>
      </c>
      <c r="I2026" s="4" t="s">
        <v>2011</v>
      </c>
      <c r="J2026" s="4">
        <v>12.393599999999999</v>
      </c>
      <c r="K2026" s="4">
        <v>16.4114</v>
      </c>
      <c r="L2026" s="4">
        <v>12.289199999999999</v>
      </c>
      <c r="M2026" s="4">
        <f t="shared" si="125"/>
        <v>13.698066666666668</v>
      </c>
      <c r="Q2026" s="43" t="s">
        <v>661</v>
      </c>
      <c r="R2026" s="4">
        <v>12.8804988832318</v>
      </c>
      <c r="S2026" s="4">
        <v>13.7428271779429</v>
      </c>
      <c r="T2026" s="4">
        <v>13.9421559726556</v>
      </c>
      <c r="U2026" s="4">
        <f t="shared" si="126"/>
        <v>13.5218273446101</v>
      </c>
      <c r="X2026" s="43" t="s">
        <v>3682</v>
      </c>
      <c r="Y2026" s="4">
        <v>13.6695224463221</v>
      </c>
      <c r="Z2026" s="4">
        <v>13.6843378357093</v>
      </c>
      <c r="AA2026" s="4">
        <v>13.6998227224526</v>
      </c>
      <c r="AB2026" s="4">
        <f t="shared" si="127"/>
        <v>13.684561001494666</v>
      </c>
    </row>
    <row r="2027" spans="2:28" x14ac:dyDescent="0.2">
      <c r="B2027" s="4" t="s">
        <v>3993</v>
      </c>
      <c r="C2027" s="4">
        <v>13.925800000000001</v>
      </c>
      <c r="D2027" s="4">
        <v>13.9352</v>
      </c>
      <c r="E2027" s="4">
        <v>13.2478</v>
      </c>
      <c r="F2027" s="4">
        <f t="shared" si="124"/>
        <v>13.702933333333334</v>
      </c>
      <c r="I2027" s="4" t="s">
        <v>3869</v>
      </c>
      <c r="J2027" s="4">
        <v>13.835699999999999</v>
      </c>
      <c r="K2027" s="4">
        <v>13.749700000000001</v>
      </c>
      <c r="L2027" s="4">
        <v>13.504200000000001</v>
      </c>
      <c r="M2027" s="4">
        <f t="shared" si="125"/>
        <v>13.696533333333335</v>
      </c>
      <c r="Q2027" s="43" t="s">
        <v>2461</v>
      </c>
      <c r="R2027" s="4">
        <v>13.4619378238366</v>
      </c>
      <c r="S2027" s="4">
        <v>13.5529374823221</v>
      </c>
      <c r="T2027" s="4">
        <v>13.5463063549417</v>
      </c>
      <c r="U2027" s="4">
        <f t="shared" si="126"/>
        <v>13.520393887033466</v>
      </c>
      <c r="X2027" s="43" t="s">
        <v>4036</v>
      </c>
      <c r="Y2027" s="4">
        <v>13.6545906774972</v>
      </c>
      <c r="Z2027" s="4">
        <v>13.577147985792299</v>
      </c>
      <c r="AA2027" s="4">
        <v>13.820100881348299</v>
      </c>
      <c r="AB2027" s="4">
        <f t="shared" si="127"/>
        <v>13.683946514879267</v>
      </c>
    </row>
    <row r="2028" spans="2:28" x14ac:dyDescent="0.2">
      <c r="B2028" s="4" t="s">
        <v>1625</v>
      </c>
      <c r="C2028" s="4">
        <v>13.857100000000001</v>
      </c>
      <c r="D2028" s="4">
        <v>13.678800000000001</v>
      </c>
      <c r="E2028" s="4">
        <v>13.5709</v>
      </c>
      <c r="F2028" s="4">
        <f t="shared" si="124"/>
        <v>13.702266666666667</v>
      </c>
      <c r="I2028" s="4" t="s">
        <v>2936</v>
      </c>
      <c r="J2028" s="4">
        <v>14.197100000000001</v>
      </c>
      <c r="K2028" s="4">
        <v>13.292</v>
      </c>
      <c r="L2028" s="4">
        <v>13.5977</v>
      </c>
      <c r="M2028" s="4">
        <f t="shared" si="125"/>
        <v>13.695599999999999</v>
      </c>
      <c r="Q2028" s="43" t="s">
        <v>3845</v>
      </c>
      <c r="R2028" s="4">
        <v>13.5698447752719</v>
      </c>
      <c r="S2028" s="4">
        <v>13.3632864155615</v>
      </c>
      <c r="T2028" s="4">
        <v>13.6261868808384</v>
      </c>
      <c r="U2028" s="4">
        <f t="shared" si="126"/>
        <v>13.519772690557266</v>
      </c>
      <c r="X2028" s="43" t="s">
        <v>1184</v>
      </c>
      <c r="Y2028" s="4">
        <v>13.6141361804768</v>
      </c>
      <c r="Z2028" s="4">
        <v>13.6807432571324</v>
      </c>
      <c r="AA2028" s="4">
        <v>13.7523037707195</v>
      </c>
      <c r="AB2028" s="4">
        <f t="shared" si="127"/>
        <v>13.682394402776234</v>
      </c>
    </row>
    <row r="2029" spans="2:28" x14ac:dyDescent="0.2">
      <c r="B2029" s="4" t="s">
        <v>1228</v>
      </c>
      <c r="C2029" s="4">
        <v>13.7826</v>
      </c>
      <c r="D2029" s="4">
        <v>13.2089</v>
      </c>
      <c r="E2029" s="4">
        <v>14.1098</v>
      </c>
      <c r="F2029" s="4">
        <f t="shared" si="124"/>
        <v>13.700433333333335</v>
      </c>
      <c r="I2029" s="4" t="s">
        <v>540</v>
      </c>
      <c r="J2029" s="4">
        <v>13.8653</v>
      </c>
      <c r="K2029" s="4">
        <v>12.9984</v>
      </c>
      <c r="L2029" s="4">
        <v>14.2151</v>
      </c>
      <c r="M2029" s="4">
        <f t="shared" si="125"/>
        <v>13.692933333333334</v>
      </c>
      <c r="Q2029" s="43" t="s">
        <v>4067</v>
      </c>
      <c r="R2029" s="4">
        <v>13.9077115798422</v>
      </c>
      <c r="S2029" s="4">
        <v>13.514531900188199</v>
      </c>
      <c r="T2029" s="4">
        <v>13.1355402575099</v>
      </c>
      <c r="U2029" s="4">
        <f t="shared" si="126"/>
        <v>13.519261245846765</v>
      </c>
      <c r="X2029" s="43" t="s">
        <v>2520</v>
      </c>
      <c r="Y2029" s="4">
        <v>13.602306086484701</v>
      </c>
      <c r="Z2029" s="4">
        <v>13.780071183608801</v>
      </c>
      <c r="AA2029" s="4">
        <v>13.658231310145601</v>
      </c>
      <c r="AB2029" s="4">
        <f t="shared" si="127"/>
        <v>13.680202860079701</v>
      </c>
    </row>
    <row r="2030" spans="2:28" x14ac:dyDescent="0.2">
      <c r="B2030" s="4" t="s">
        <v>968</v>
      </c>
      <c r="C2030" s="4">
        <v>13.974299999999999</v>
      </c>
      <c r="D2030" s="4">
        <v>13.476800000000001</v>
      </c>
      <c r="E2030" s="4">
        <v>13.6447</v>
      </c>
      <c r="F2030" s="4">
        <f t="shared" si="124"/>
        <v>13.698599999999999</v>
      </c>
      <c r="I2030" s="4" t="s">
        <v>2496</v>
      </c>
      <c r="J2030" s="4">
        <v>13.950799999999999</v>
      </c>
      <c r="K2030" s="4">
        <v>13.03</v>
      </c>
      <c r="L2030" s="4">
        <v>14.0967</v>
      </c>
      <c r="M2030" s="4">
        <f t="shared" si="125"/>
        <v>13.692500000000001</v>
      </c>
      <c r="Q2030" s="43" t="s">
        <v>2046</v>
      </c>
      <c r="R2030" s="4">
        <v>13.6032493315147</v>
      </c>
      <c r="S2030" s="4">
        <v>13.6646316485947</v>
      </c>
      <c r="T2030" s="4">
        <v>13.288744607585301</v>
      </c>
      <c r="U2030" s="4">
        <f t="shared" si="126"/>
        <v>13.518875195898232</v>
      </c>
      <c r="X2030" s="43" t="s">
        <v>2595</v>
      </c>
      <c r="Y2030" s="4">
        <v>13.6012449084715</v>
      </c>
      <c r="Z2030" s="4">
        <v>14.0319743548361</v>
      </c>
      <c r="AA2030" s="4">
        <v>13.405539442830101</v>
      </c>
      <c r="AB2030" s="4">
        <f t="shared" si="127"/>
        <v>13.679586235379233</v>
      </c>
    </row>
    <row r="2031" spans="2:28" x14ac:dyDescent="0.2">
      <c r="B2031" s="4" t="s">
        <v>1910</v>
      </c>
      <c r="C2031" s="4">
        <v>13.1813</v>
      </c>
      <c r="D2031" s="4">
        <v>13.946199999999999</v>
      </c>
      <c r="E2031" s="4">
        <v>13.9659</v>
      </c>
      <c r="F2031" s="4">
        <f t="shared" si="124"/>
        <v>13.697799999999999</v>
      </c>
      <c r="I2031" s="4" t="s">
        <v>2433</v>
      </c>
      <c r="J2031" s="4">
        <v>13.615600000000001</v>
      </c>
      <c r="K2031" s="4">
        <v>13.7705</v>
      </c>
      <c r="L2031" s="4">
        <v>13.689299999999999</v>
      </c>
      <c r="M2031" s="4">
        <f t="shared" si="125"/>
        <v>13.691800000000001</v>
      </c>
      <c r="Q2031" s="43" t="s">
        <v>1894</v>
      </c>
      <c r="R2031" s="4">
        <v>13.3454637046498</v>
      </c>
      <c r="S2031" s="4">
        <v>13.8142658196222</v>
      </c>
      <c r="T2031" s="4">
        <v>13.3964382111508</v>
      </c>
      <c r="U2031" s="4">
        <f t="shared" si="126"/>
        <v>13.518722578474268</v>
      </c>
      <c r="X2031" s="43" t="s">
        <v>3287</v>
      </c>
      <c r="Y2031" s="4">
        <v>13.657236000804399</v>
      </c>
      <c r="Z2031" s="4">
        <v>13.6704371753461</v>
      </c>
      <c r="AA2031" s="4">
        <v>13.706187315019401</v>
      </c>
      <c r="AB2031" s="4">
        <f t="shared" si="127"/>
        <v>13.677953497056633</v>
      </c>
    </row>
    <row r="2032" spans="2:28" x14ac:dyDescent="0.2">
      <c r="B2032" s="4" t="s">
        <v>2967</v>
      </c>
      <c r="C2032" s="4">
        <v>13.700900000000001</v>
      </c>
      <c r="D2032" s="4">
        <v>13.4598</v>
      </c>
      <c r="E2032" s="4">
        <v>13.9291</v>
      </c>
      <c r="F2032" s="4">
        <f t="shared" si="124"/>
        <v>13.696599999999998</v>
      </c>
      <c r="I2032" s="4" t="s">
        <v>2824</v>
      </c>
      <c r="J2032" s="4">
        <v>13.4621</v>
      </c>
      <c r="K2032" s="4">
        <v>13.762700000000001</v>
      </c>
      <c r="L2032" s="4">
        <v>13.850199999999999</v>
      </c>
      <c r="M2032" s="4">
        <f t="shared" si="125"/>
        <v>13.691666666666668</v>
      </c>
      <c r="Q2032" s="43" t="s">
        <v>3848</v>
      </c>
      <c r="R2032" s="4">
        <v>13.4789109069524</v>
      </c>
      <c r="S2032" s="4">
        <v>13.6420248881251</v>
      </c>
      <c r="T2032" s="4">
        <v>13.433338872537</v>
      </c>
      <c r="U2032" s="4">
        <f t="shared" si="126"/>
        <v>13.5180915558715</v>
      </c>
      <c r="X2032" s="43" t="s">
        <v>3876</v>
      </c>
      <c r="Y2032" s="4">
        <v>13.552071959665399</v>
      </c>
      <c r="Z2032" s="4">
        <v>13.748470453480101</v>
      </c>
      <c r="AA2032" s="4">
        <v>13.732836577174799</v>
      </c>
      <c r="AB2032" s="4">
        <f t="shared" si="127"/>
        <v>13.677792996773434</v>
      </c>
    </row>
    <row r="2033" spans="2:28" x14ac:dyDescent="0.2">
      <c r="B2033" s="4" t="s">
        <v>76</v>
      </c>
      <c r="C2033" s="4">
        <v>14.0136</v>
      </c>
      <c r="D2033" s="4">
        <v>13.4071</v>
      </c>
      <c r="E2033" s="4">
        <v>13.667899999999999</v>
      </c>
      <c r="F2033" s="4">
        <f t="shared" si="124"/>
        <v>13.696199999999999</v>
      </c>
      <c r="I2033" s="4" t="s">
        <v>369</v>
      </c>
      <c r="J2033" s="4">
        <v>13.2561</v>
      </c>
      <c r="K2033" s="4">
        <v>14.564500000000001</v>
      </c>
      <c r="L2033" s="4">
        <v>13.2501</v>
      </c>
      <c r="M2033" s="4">
        <f t="shared" si="125"/>
        <v>13.690233333333333</v>
      </c>
      <c r="Q2033" s="43" t="s">
        <v>408</v>
      </c>
      <c r="R2033" s="4">
        <v>13.462772028012701</v>
      </c>
      <c r="S2033" s="4">
        <v>13.5344149727378</v>
      </c>
      <c r="T2033" s="4">
        <v>13.556791216760301</v>
      </c>
      <c r="U2033" s="4">
        <f t="shared" si="126"/>
        <v>13.517992739170268</v>
      </c>
      <c r="X2033" s="43" t="s">
        <v>3293</v>
      </c>
      <c r="Y2033" s="4">
        <v>13.7457916239822</v>
      </c>
      <c r="Z2033" s="4">
        <v>13.6618651999812</v>
      </c>
      <c r="AA2033" s="4">
        <v>13.608792263510599</v>
      </c>
      <c r="AB2033" s="4">
        <f t="shared" si="127"/>
        <v>13.672149695824666</v>
      </c>
    </row>
    <row r="2034" spans="2:28" x14ac:dyDescent="0.2">
      <c r="B2034" s="4" t="s">
        <v>3454</v>
      </c>
      <c r="C2034" s="4">
        <v>13.6355</v>
      </c>
      <c r="D2034" s="4">
        <v>13.904999999999999</v>
      </c>
      <c r="E2034" s="4">
        <v>13.5465</v>
      </c>
      <c r="F2034" s="4">
        <f t="shared" si="124"/>
        <v>13.695666666666668</v>
      </c>
      <c r="I2034" s="4" t="s">
        <v>1002</v>
      </c>
      <c r="J2034" s="4">
        <v>13.770200000000001</v>
      </c>
      <c r="K2034" s="4">
        <v>13.350199999999999</v>
      </c>
      <c r="L2034" s="4">
        <v>13.949</v>
      </c>
      <c r="M2034" s="4">
        <f t="shared" si="125"/>
        <v>13.6898</v>
      </c>
      <c r="Q2034" s="43" t="s">
        <v>2785</v>
      </c>
      <c r="R2034" s="4">
        <v>13.646419992276099</v>
      </c>
      <c r="S2034" s="4">
        <v>13.607554096285501</v>
      </c>
      <c r="T2034" s="4">
        <v>13.296333107054499</v>
      </c>
      <c r="U2034" s="4">
        <f t="shared" si="126"/>
        <v>13.516769065205366</v>
      </c>
      <c r="X2034" s="43" t="s">
        <v>1747</v>
      </c>
      <c r="Y2034" s="4">
        <v>13.626020919748999</v>
      </c>
      <c r="Z2034" s="4">
        <v>13.852987693785799</v>
      </c>
      <c r="AA2034" s="4">
        <v>13.5348200276668</v>
      </c>
      <c r="AB2034" s="4">
        <f t="shared" si="127"/>
        <v>13.671276213733867</v>
      </c>
    </row>
    <row r="2035" spans="2:28" x14ac:dyDescent="0.2">
      <c r="B2035" s="4" t="s">
        <v>840</v>
      </c>
      <c r="C2035" s="4">
        <v>13.6517</v>
      </c>
      <c r="D2035" s="4">
        <v>13.650499999999999</v>
      </c>
      <c r="E2035" s="4">
        <v>13.782999999999999</v>
      </c>
      <c r="F2035" s="4">
        <f t="shared" si="124"/>
        <v>13.695066666666667</v>
      </c>
      <c r="I2035" s="4" t="s">
        <v>2905</v>
      </c>
      <c r="J2035" s="4">
        <v>13.681900000000001</v>
      </c>
      <c r="K2035" s="4">
        <v>13.345800000000001</v>
      </c>
      <c r="L2035" s="4">
        <v>14.031000000000001</v>
      </c>
      <c r="M2035" s="4">
        <f t="shared" si="125"/>
        <v>13.686233333333334</v>
      </c>
      <c r="Q2035" s="43" t="s">
        <v>287</v>
      </c>
      <c r="R2035" s="4">
        <v>13.7254290233313</v>
      </c>
      <c r="S2035" s="4">
        <v>13.457354187030001</v>
      </c>
      <c r="T2035" s="4">
        <v>13.3641036481852</v>
      </c>
      <c r="U2035" s="4">
        <f t="shared" si="126"/>
        <v>13.515628952848834</v>
      </c>
      <c r="X2035" s="43" t="s">
        <v>468</v>
      </c>
      <c r="Y2035" s="4">
        <v>13.7768927218087</v>
      </c>
      <c r="Z2035" s="4">
        <v>13.697791679890299</v>
      </c>
      <c r="AA2035" s="4">
        <v>13.537752999207299</v>
      </c>
      <c r="AB2035" s="4">
        <f t="shared" si="127"/>
        <v>13.670812466968767</v>
      </c>
    </row>
    <row r="2036" spans="2:28" x14ac:dyDescent="0.2">
      <c r="B2036" s="4" t="s">
        <v>1460</v>
      </c>
      <c r="C2036" s="4">
        <v>13.8043</v>
      </c>
      <c r="D2036" s="4">
        <v>13.1083</v>
      </c>
      <c r="E2036" s="4">
        <v>14.170400000000001</v>
      </c>
      <c r="F2036" s="4">
        <f t="shared" si="124"/>
        <v>13.694333333333333</v>
      </c>
      <c r="I2036" s="4" t="s">
        <v>2569</v>
      </c>
      <c r="J2036" s="4">
        <v>13.812200000000001</v>
      </c>
      <c r="K2036" s="4">
        <v>13.131</v>
      </c>
      <c r="L2036" s="4">
        <v>14.1099</v>
      </c>
      <c r="M2036" s="4">
        <f t="shared" si="125"/>
        <v>13.684366666666667</v>
      </c>
      <c r="Q2036" s="43" t="s">
        <v>4398</v>
      </c>
      <c r="R2036" s="4">
        <v>13.361335952559701</v>
      </c>
      <c r="S2036" s="4">
        <v>13.6690753756475</v>
      </c>
      <c r="T2036" s="4">
        <v>13.5161483929204</v>
      </c>
      <c r="U2036" s="4">
        <f t="shared" si="126"/>
        <v>13.515519907042533</v>
      </c>
      <c r="X2036" s="43" t="s">
        <v>4142</v>
      </c>
      <c r="Y2036" s="4">
        <v>13.593404159195099</v>
      </c>
      <c r="Z2036" s="4">
        <v>13.7740373954469</v>
      </c>
      <c r="AA2036" s="4">
        <v>13.640628635772799</v>
      </c>
      <c r="AB2036" s="4">
        <f t="shared" si="127"/>
        <v>13.669356730138267</v>
      </c>
    </row>
    <row r="2037" spans="2:28" x14ac:dyDescent="0.2">
      <c r="B2037" s="4" t="s">
        <v>2818</v>
      </c>
      <c r="C2037" s="4">
        <v>13.7029</v>
      </c>
      <c r="D2037" s="4">
        <v>13.6501</v>
      </c>
      <c r="E2037" s="4">
        <v>13.726900000000001</v>
      </c>
      <c r="F2037" s="4">
        <f t="shared" si="124"/>
        <v>13.693300000000001</v>
      </c>
      <c r="I2037" s="4" t="s">
        <v>1318</v>
      </c>
      <c r="J2037" s="4">
        <v>13.874499999999999</v>
      </c>
      <c r="K2037" s="4">
        <v>13.149900000000001</v>
      </c>
      <c r="L2037" s="4">
        <v>14.026300000000001</v>
      </c>
      <c r="M2037" s="4">
        <f t="shared" si="125"/>
        <v>13.683566666666666</v>
      </c>
      <c r="Q2037" s="43" t="s">
        <v>2480</v>
      </c>
      <c r="R2037" s="4">
        <v>13.602405041086801</v>
      </c>
      <c r="S2037" s="4">
        <v>13.4700805256529</v>
      </c>
      <c r="T2037" s="4">
        <v>13.4596682844751</v>
      </c>
      <c r="U2037" s="4">
        <f t="shared" si="126"/>
        <v>13.510717950404933</v>
      </c>
      <c r="X2037" s="43" t="s">
        <v>4427</v>
      </c>
      <c r="Y2037" s="4">
        <v>13.952416396019499</v>
      </c>
      <c r="Z2037" s="4">
        <v>13.5260416066058</v>
      </c>
      <c r="AA2037" s="4">
        <v>13.5292518368105</v>
      </c>
      <c r="AB2037" s="4">
        <f t="shared" si="127"/>
        <v>13.669236613145266</v>
      </c>
    </row>
    <row r="2038" spans="2:28" x14ac:dyDescent="0.2">
      <c r="B2038" s="4" t="s">
        <v>2761</v>
      </c>
      <c r="C2038" s="4">
        <v>13.5374</v>
      </c>
      <c r="D2038" s="4">
        <v>13.8757</v>
      </c>
      <c r="E2038" s="4">
        <v>13.6631</v>
      </c>
      <c r="F2038" s="4">
        <f t="shared" si="124"/>
        <v>13.692066666666667</v>
      </c>
      <c r="I2038" s="4" t="s">
        <v>2996</v>
      </c>
      <c r="J2038" s="4">
        <v>13.8741</v>
      </c>
      <c r="K2038" s="4">
        <v>13.154299999999999</v>
      </c>
      <c r="L2038" s="4">
        <v>14.0212</v>
      </c>
      <c r="M2038" s="4">
        <f t="shared" si="125"/>
        <v>13.683199999999999</v>
      </c>
      <c r="Q2038" s="43" t="s">
        <v>596</v>
      </c>
      <c r="R2038" s="4">
        <v>13.4449752007157</v>
      </c>
      <c r="S2038" s="4">
        <v>13.5645065481397</v>
      </c>
      <c r="T2038" s="4">
        <v>13.520127892237999</v>
      </c>
      <c r="U2038" s="4">
        <f t="shared" si="126"/>
        <v>13.509869880364468</v>
      </c>
      <c r="X2038" s="43" t="s">
        <v>807</v>
      </c>
      <c r="Y2038" s="4">
        <v>13.6660396859342</v>
      </c>
      <c r="Z2038" s="4">
        <v>13.5311856553271</v>
      </c>
      <c r="AA2038" s="4">
        <v>13.8041108159013</v>
      </c>
      <c r="AB2038" s="4">
        <f t="shared" si="127"/>
        <v>13.667112052387532</v>
      </c>
    </row>
    <row r="2039" spans="2:28" x14ac:dyDescent="0.2">
      <c r="B2039" s="4" t="s">
        <v>2350</v>
      </c>
      <c r="C2039" s="4">
        <v>13.763</v>
      </c>
      <c r="D2039" s="4">
        <v>13.6739</v>
      </c>
      <c r="E2039" s="4">
        <v>13.6374</v>
      </c>
      <c r="F2039" s="4">
        <f t="shared" si="124"/>
        <v>13.691433333333334</v>
      </c>
      <c r="I2039" s="4" t="s">
        <v>2908</v>
      </c>
      <c r="J2039" s="4">
        <v>13.5124</v>
      </c>
      <c r="K2039" s="4">
        <v>13.718999999999999</v>
      </c>
      <c r="L2039" s="4">
        <v>13.817299999999999</v>
      </c>
      <c r="M2039" s="4">
        <f t="shared" si="125"/>
        <v>13.682899999999998</v>
      </c>
      <c r="Q2039" s="43" t="s">
        <v>2716</v>
      </c>
      <c r="R2039" s="4">
        <v>13.286461550502001</v>
      </c>
      <c r="S2039" s="4">
        <v>13.755858680112199</v>
      </c>
      <c r="T2039" s="4">
        <v>13.482599936386199</v>
      </c>
      <c r="U2039" s="4">
        <f t="shared" si="126"/>
        <v>13.508306722333467</v>
      </c>
      <c r="X2039" s="43" t="s">
        <v>357</v>
      </c>
      <c r="Y2039" s="4">
        <v>13.5224709600586</v>
      </c>
      <c r="Z2039" s="4">
        <v>13.714444511106899</v>
      </c>
      <c r="AA2039" s="4">
        <v>13.7631276914094</v>
      </c>
      <c r="AB2039" s="4">
        <f t="shared" si="127"/>
        <v>13.666681054191633</v>
      </c>
    </row>
    <row r="2040" spans="2:28" x14ac:dyDescent="0.2">
      <c r="B2040" s="4" t="s">
        <v>159</v>
      </c>
      <c r="C2040" s="4">
        <v>13.892099999999999</v>
      </c>
      <c r="D2040" s="4">
        <v>13.7453</v>
      </c>
      <c r="E2040" s="4">
        <v>13.4369</v>
      </c>
      <c r="F2040" s="4">
        <f t="shared" si="124"/>
        <v>13.691433333333334</v>
      </c>
      <c r="I2040" s="4" t="s">
        <v>1433</v>
      </c>
      <c r="J2040" s="4">
        <v>13.0967</v>
      </c>
      <c r="K2040" s="4">
        <v>14.7796</v>
      </c>
      <c r="L2040" s="4">
        <v>13.1724</v>
      </c>
      <c r="M2040" s="4">
        <f t="shared" si="125"/>
        <v>13.682899999999998</v>
      </c>
      <c r="Q2040" s="43" t="s">
        <v>3075</v>
      </c>
      <c r="R2040" s="4">
        <v>13.220352134338</v>
      </c>
      <c r="S2040" s="4">
        <v>13.495984365164601</v>
      </c>
      <c r="T2040" s="4">
        <v>13.8065243766917</v>
      </c>
      <c r="U2040" s="4">
        <f t="shared" si="126"/>
        <v>13.507620292064766</v>
      </c>
      <c r="X2040" s="43" t="s">
        <v>846</v>
      </c>
      <c r="Y2040" s="4">
        <v>13.728103800253299</v>
      </c>
      <c r="Z2040" s="4">
        <v>13.6307378469679</v>
      </c>
      <c r="AA2040" s="4">
        <v>13.641137207699501</v>
      </c>
      <c r="AB2040" s="4">
        <f t="shared" si="127"/>
        <v>13.6666596183069</v>
      </c>
    </row>
    <row r="2041" spans="2:28" x14ac:dyDescent="0.2">
      <c r="B2041" s="4" t="s">
        <v>2777</v>
      </c>
      <c r="C2041" s="4">
        <v>13.1732</v>
      </c>
      <c r="D2041" s="4">
        <v>13.719099999999999</v>
      </c>
      <c r="E2041" s="4">
        <v>14.170199999999999</v>
      </c>
      <c r="F2041" s="4">
        <f t="shared" si="124"/>
        <v>13.6875</v>
      </c>
      <c r="I2041" s="4" t="s">
        <v>3826</v>
      </c>
      <c r="J2041" s="4">
        <v>13.857100000000001</v>
      </c>
      <c r="K2041" s="4">
        <v>13.7768</v>
      </c>
      <c r="L2041" s="4">
        <v>13.410500000000001</v>
      </c>
      <c r="M2041" s="4">
        <f t="shared" si="125"/>
        <v>13.681466666666667</v>
      </c>
      <c r="Q2041" s="43" t="s">
        <v>2658</v>
      </c>
      <c r="R2041" s="4">
        <v>13.707802920556601</v>
      </c>
      <c r="S2041" s="4">
        <v>13.162950828866199</v>
      </c>
      <c r="T2041" s="4">
        <v>13.6500104955234</v>
      </c>
      <c r="U2041" s="4">
        <f t="shared" si="126"/>
        <v>13.506921414982067</v>
      </c>
      <c r="X2041" s="43" t="s">
        <v>725</v>
      </c>
      <c r="Y2041" s="4">
        <v>14.070586842223801</v>
      </c>
      <c r="Z2041" s="4">
        <v>13.648820267144901</v>
      </c>
      <c r="AA2041" s="4">
        <v>13.2738348579211</v>
      </c>
      <c r="AB2041" s="4">
        <f t="shared" si="127"/>
        <v>13.664413989096602</v>
      </c>
    </row>
    <row r="2042" spans="2:28" x14ac:dyDescent="0.2">
      <c r="B2042" s="4" t="s">
        <v>2161</v>
      </c>
      <c r="C2042" s="4">
        <v>13.570399999999999</v>
      </c>
      <c r="D2042" s="4">
        <v>13.8512</v>
      </c>
      <c r="E2042" s="4">
        <v>13.637</v>
      </c>
      <c r="F2042" s="4">
        <f t="shared" si="124"/>
        <v>13.686199999999999</v>
      </c>
      <c r="I2042" s="4" t="s">
        <v>2091</v>
      </c>
      <c r="J2042" s="4">
        <v>13.322100000000001</v>
      </c>
      <c r="K2042" s="4">
        <v>14.385</v>
      </c>
      <c r="L2042" s="4">
        <v>13.3332</v>
      </c>
      <c r="M2042" s="4">
        <f t="shared" si="125"/>
        <v>13.680100000000001</v>
      </c>
      <c r="Q2042" s="43" t="s">
        <v>783</v>
      </c>
      <c r="R2042" s="4">
        <v>13.2546855605604</v>
      </c>
      <c r="S2042" s="4">
        <v>13.5533427731326</v>
      </c>
      <c r="T2042" s="4">
        <v>13.709874725239301</v>
      </c>
      <c r="U2042" s="4">
        <f t="shared" si="126"/>
        <v>13.505967686310768</v>
      </c>
      <c r="X2042" s="43" t="s">
        <v>2854</v>
      </c>
      <c r="Y2042" s="4">
        <v>13.849221377022801</v>
      </c>
      <c r="Z2042" s="4">
        <v>13.6660574347611</v>
      </c>
      <c r="AA2042" s="4">
        <v>13.476228034044301</v>
      </c>
      <c r="AB2042" s="4">
        <f t="shared" si="127"/>
        <v>13.663835615276065</v>
      </c>
    </row>
    <row r="2043" spans="2:28" x14ac:dyDescent="0.2">
      <c r="B2043" s="4" t="s">
        <v>3372</v>
      </c>
      <c r="C2043" s="4">
        <v>14.070499999999999</v>
      </c>
      <c r="D2043" s="4">
        <v>13.9786</v>
      </c>
      <c r="E2043" s="4">
        <v>13.001899999999999</v>
      </c>
      <c r="F2043" s="4">
        <f t="shared" si="124"/>
        <v>13.683666666666667</v>
      </c>
      <c r="I2043" s="4" t="s">
        <v>2654</v>
      </c>
      <c r="J2043" s="4">
        <v>13.812799999999999</v>
      </c>
      <c r="K2043" s="4">
        <v>13.219099999999999</v>
      </c>
      <c r="L2043" s="4">
        <v>14.005000000000001</v>
      </c>
      <c r="M2043" s="4">
        <f t="shared" si="125"/>
        <v>13.678966666666668</v>
      </c>
      <c r="Q2043" s="43" t="s">
        <v>1927</v>
      </c>
      <c r="R2043" s="4">
        <v>13.388239786845199</v>
      </c>
      <c r="S2043" s="4">
        <v>13.6584213117563</v>
      </c>
      <c r="T2043" s="4">
        <v>13.4710313766731</v>
      </c>
      <c r="U2043" s="4">
        <f t="shared" si="126"/>
        <v>13.5058974917582</v>
      </c>
      <c r="X2043" s="43" t="s">
        <v>4250</v>
      </c>
      <c r="Y2043" s="4">
        <v>13.5926250609962</v>
      </c>
      <c r="Z2043" s="4">
        <v>13.624276207753301</v>
      </c>
      <c r="AA2043" s="4">
        <v>13.7743476224313</v>
      </c>
      <c r="AB2043" s="4">
        <f t="shared" si="127"/>
        <v>13.663749630393601</v>
      </c>
    </row>
    <row r="2044" spans="2:28" x14ac:dyDescent="0.2">
      <c r="B2044" s="4" t="s">
        <v>778</v>
      </c>
      <c r="C2044" s="4">
        <v>12.6907</v>
      </c>
      <c r="D2044" s="4">
        <v>14.0786</v>
      </c>
      <c r="E2044" s="4">
        <v>14.28</v>
      </c>
      <c r="F2044" s="4">
        <f t="shared" si="124"/>
        <v>13.683100000000001</v>
      </c>
      <c r="I2044" s="4" t="s">
        <v>3207</v>
      </c>
      <c r="J2044" s="4">
        <v>13.821300000000001</v>
      </c>
      <c r="K2044" s="4">
        <v>13.042999999999999</v>
      </c>
      <c r="L2044" s="4">
        <v>14.171200000000001</v>
      </c>
      <c r="M2044" s="4">
        <f t="shared" si="125"/>
        <v>13.6785</v>
      </c>
      <c r="Q2044" s="43" t="s">
        <v>2316</v>
      </c>
      <c r="R2044" s="4">
        <v>13.663356049636899</v>
      </c>
      <c r="S2044" s="4">
        <v>13.292126012967801</v>
      </c>
      <c r="T2044" s="4">
        <v>13.561721422531599</v>
      </c>
      <c r="U2044" s="4">
        <f t="shared" si="126"/>
        <v>13.505734495045433</v>
      </c>
      <c r="X2044" s="43" t="s">
        <v>3519</v>
      </c>
      <c r="Y2044" s="4">
        <v>13.5167803498653</v>
      </c>
      <c r="Z2044" s="4">
        <v>13.4433726701689</v>
      </c>
      <c r="AA2044" s="4">
        <v>14.0308319224887</v>
      </c>
      <c r="AB2044" s="4">
        <f t="shared" si="127"/>
        <v>13.663661647507633</v>
      </c>
    </row>
    <row r="2045" spans="2:28" x14ac:dyDescent="0.2">
      <c r="B2045" s="4" t="s">
        <v>1410</v>
      </c>
      <c r="C2045" s="4">
        <v>13.672499999999999</v>
      </c>
      <c r="D2045" s="4">
        <v>13.767799999999999</v>
      </c>
      <c r="E2045" s="4">
        <v>13.608000000000001</v>
      </c>
      <c r="F2045" s="4">
        <f t="shared" si="124"/>
        <v>13.682766666666666</v>
      </c>
      <c r="I2045" s="4" t="s">
        <v>2929</v>
      </c>
      <c r="J2045" s="4">
        <v>12.626099999999999</v>
      </c>
      <c r="K2045" s="4">
        <v>14.986499999999999</v>
      </c>
      <c r="L2045" s="4">
        <v>13.415699999999999</v>
      </c>
      <c r="M2045" s="4">
        <f t="shared" si="125"/>
        <v>13.6761</v>
      </c>
      <c r="Q2045" s="43" t="s">
        <v>738</v>
      </c>
      <c r="R2045" s="4">
        <v>13.4903750553362</v>
      </c>
      <c r="S2045" s="4">
        <v>13.374318694234899</v>
      </c>
      <c r="T2045" s="4">
        <v>13.6509624422172</v>
      </c>
      <c r="U2045" s="4">
        <f t="shared" si="126"/>
        <v>13.505218730596098</v>
      </c>
      <c r="X2045" s="43" t="s">
        <v>2046</v>
      </c>
      <c r="Y2045" s="4">
        <v>13.708147711427401</v>
      </c>
      <c r="Z2045" s="4">
        <v>13.913823474180701</v>
      </c>
      <c r="AA2045" s="4">
        <v>13.3648421708182</v>
      </c>
      <c r="AB2045" s="4">
        <f t="shared" si="127"/>
        <v>13.662271118808768</v>
      </c>
    </row>
    <row r="2046" spans="2:28" x14ac:dyDescent="0.2">
      <c r="B2046" s="4" t="s">
        <v>1032</v>
      </c>
      <c r="C2046" s="4">
        <v>13.9329</v>
      </c>
      <c r="D2046" s="4">
        <v>13.581300000000001</v>
      </c>
      <c r="E2046" s="4">
        <v>13.5307</v>
      </c>
      <c r="F2046" s="4">
        <f t="shared" si="124"/>
        <v>13.681633333333332</v>
      </c>
      <c r="I2046" s="4" t="s">
        <v>3357</v>
      </c>
      <c r="J2046" s="4">
        <v>13.530900000000001</v>
      </c>
      <c r="K2046" s="4">
        <v>13.559200000000001</v>
      </c>
      <c r="L2046" s="4">
        <v>13.9358</v>
      </c>
      <c r="M2046" s="4">
        <f t="shared" si="125"/>
        <v>13.6753</v>
      </c>
      <c r="Q2046" s="43" t="s">
        <v>4069</v>
      </c>
      <c r="R2046" s="4">
        <v>13.606976410955699</v>
      </c>
      <c r="S2046" s="4">
        <v>13.5359624929985</v>
      </c>
      <c r="T2046" s="4">
        <v>13.3701900309007</v>
      </c>
      <c r="U2046" s="4">
        <f t="shared" si="126"/>
        <v>13.5043763116183</v>
      </c>
      <c r="X2046" s="43" t="s">
        <v>131</v>
      </c>
      <c r="Y2046" s="4">
        <v>14.068378593254099</v>
      </c>
      <c r="Z2046" s="4">
        <v>14.482576295462</v>
      </c>
      <c r="AA2046" s="4">
        <v>12.4325275292636</v>
      </c>
      <c r="AB2046" s="4">
        <f t="shared" si="127"/>
        <v>13.661160805993234</v>
      </c>
    </row>
    <row r="2047" spans="2:28" x14ac:dyDescent="0.2">
      <c r="B2047" s="4" t="s">
        <v>4009</v>
      </c>
      <c r="C2047" s="4">
        <v>13.687099999999999</v>
      </c>
      <c r="D2047" s="4">
        <v>13.6835</v>
      </c>
      <c r="E2047" s="4">
        <v>13.6633</v>
      </c>
      <c r="F2047" s="4">
        <f t="shared" si="124"/>
        <v>13.677966666666668</v>
      </c>
      <c r="I2047" s="4" t="s">
        <v>624</v>
      </c>
      <c r="J2047" s="4">
        <v>12.5708</v>
      </c>
      <c r="K2047" s="4">
        <v>16.114999999999998</v>
      </c>
      <c r="L2047" s="4">
        <v>12.3354</v>
      </c>
      <c r="M2047" s="4">
        <f t="shared" si="125"/>
        <v>13.673733333333333</v>
      </c>
      <c r="Q2047" s="43" t="s">
        <v>3963</v>
      </c>
      <c r="R2047" s="4">
        <v>13.4787129687813</v>
      </c>
      <c r="S2047" s="4">
        <v>13.399501204842901</v>
      </c>
      <c r="T2047" s="4">
        <v>13.630114693553001</v>
      </c>
      <c r="U2047" s="4">
        <f t="shared" si="126"/>
        <v>13.502776289059065</v>
      </c>
      <c r="X2047" s="43" t="s">
        <v>4349</v>
      </c>
      <c r="Y2047" s="4">
        <v>14.137979174308001</v>
      </c>
      <c r="Z2047" s="4">
        <v>13.1265269135537</v>
      </c>
      <c r="AA2047" s="4">
        <v>13.7171986205012</v>
      </c>
      <c r="AB2047" s="4">
        <f t="shared" si="127"/>
        <v>13.660568236120966</v>
      </c>
    </row>
    <row r="2048" spans="2:28" x14ac:dyDescent="0.2">
      <c r="B2048" s="4" t="s">
        <v>2710</v>
      </c>
      <c r="C2048" s="4">
        <v>13.0335</v>
      </c>
      <c r="D2048" s="4">
        <v>13.720499999999999</v>
      </c>
      <c r="E2048" s="4">
        <v>14.273199999999999</v>
      </c>
      <c r="F2048" s="4">
        <f t="shared" si="124"/>
        <v>13.675733333333332</v>
      </c>
      <c r="I2048" s="4" t="s">
        <v>3484</v>
      </c>
      <c r="J2048" s="4">
        <v>13.9451</v>
      </c>
      <c r="K2048" s="4">
        <v>12.6982</v>
      </c>
      <c r="L2048" s="4">
        <v>14.372999999999999</v>
      </c>
      <c r="M2048" s="4">
        <f t="shared" si="125"/>
        <v>13.6721</v>
      </c>
      <c r="Q2048" s="43" t="s">
        <v>538</v>
      </c>
      <c r="R2048" s="4">
        <v>13.423398548404499</v>
      </c>
      <c r="S2048" s="4">
        <v>13.4037432467819</v>
      </c>
      <c r="T2048" s="4">
        <v>13.6796197911244</v>
      </c>
      <c r="U2048" s="4">
        <f t="shared" si="126"/>
        <v>13.502253862103601</v>
      </c>
      <c r="X2048" s="43" t="s">
        <v>136</v>
      </c>
      <c r="Y2048" s="4">
        <v>13.7745776314827</v>
      </c>
      <c r="Z2048" s="4">
        <v>13.529442295525801</v>
      </c>
      <c r="AA2048" s="4">
        <v>13.6764620824662</v>
      </c>
      <c r="AB2048" s="4">
        <f t="shared" si="127"/>
        <v>13.660160669824899</v>
      </c>
    </row>
    <row r="2049" spans="2:28" x14ac:dyDescent="0.2">
      <c r="B2049" s="4" t="s">
        <v>1728</v>
      </c>
      <c r="C2049" s="4">
        <v>14.064399999999999</v>
      </c>
      <c r="D2049" s="4">
        <v>13.8957</v>
      </c>
      <c r="E2049" s="4">
        <v>13.0656</v>
      </c>
      <c r="F2049" s="4">
        <f t="shared" si="124"/>
        <v>13.675233333333333</v>
      </c>
      <c r="I2049" s="4" t="s">
        <v>943</v>
      </c>
      <c r="J2049" s="4">
        <v>13.8843</v>
      </c>
      <c r="K2049" s="4">
        <v>13.5383</v>
      </c>
      <c r="L2049" s="4">
        <v>13.583399999999999</v>
      </c>
      <c r="M2049" s="4">
        <f t="shared" si="125"/>
        <v>13.668666666666667</v>
      </c>
      <c r="Q2049" s="43" t="s">
        <v>1029</v>
      </c>
      <c r="R2049" s="4">
        <v>13.609145570239599</v>
      </c>
      <c r="S2049" s="4">
        <v>13.2807023331208</v>
      </c>
      <c r="T2049" s="4">
        <v>13.6152126723794</v>
      </c>
      <c r="U2049" s="4">
        <f t="shared" si="126"/>
        <v>13.501686858579932</v>
      </c>
      <c r="X2049" s="43" t="s">
        <v>597</v>
      </c>
      <c r="Y2049" s="4">
        <v>13.7432920395755</v>
      </c>
      <c r="Z2049" s="4">
        <v>13.2816825360566</v>
      </c>
      <c r="AA2049" s="4">
        <v>13.952260601715</v>
      </c>
      <c r="AB2049" s="4">
        <f t="shared" si="127"/>
        <v>13.659078392449032</v>
      </c>
    </row>
    <row r="2050" spans="2:28" x14ac:dyDescent="0.2">
      <c r="B2050" s="4" t="s">
        <v>268</v>
      </c>
      <c r="C2050" s="4">
        <v>13.6875</v>
      </c>
      <c r="D2050" s="4">
        <v>13.383599999999999</v>
      </c>
      <c r="E2050" s="4">
        <v>13.950100000000001</v>
      </c>
      <c r="F2050" s="4">
        <f t="shared" ref="F2050:F2113" si="128">(C2050+D2050+E2050)/3</f>
        <v>13.673733333333333</v>
      </c>
      <c r="I2050" s="4" t="s">
        <v>2968</v>
      </c>
      <c r="J2050" s="4">
        <v>13.555899999999999</v>
      </c>
      <c r="K2050" s="4">
        <v>13.595000000000001</v>
      </c>
      <c r="L2050" s="4">
        <v>13.8544</v>
      </c>
      <c r="M2050" s="4">
        <f t="shared" ref="M2050:M2113" si="129">(J2050+K2050+L2050)/3</f>
        <v>13.668433333333333</v>
      </c>
      <c r="Q2050" s="43" t="s">
        <v>971</v>
      </c>
      <c r="R2050" s="4">
        <v>13.491386721056999</v>
      </c>
      <c r="S2050" s="4">
        <v>13.325093387050901</v>
      </c>
      <c r="T2050" s="4">
        <v>13.688267546842701</v>
      </c>
      <c r="U2050" s="4">
        <f t="shared" ref="U2050:U2113" si="130">(R2050+S2050+T2050)/3</f>
        <v>13.5015825516502</v>
      </c>
      <c r="X2050" s="43" t="s">
        <v>331</v>
      </c>
      <c r="Y2050" s="4">
        <v>13.414744106261599</v>
      </c>
      <c r="Z2050" s="4">
        <v>13.9041128603697</v>
      </c>
      <c r="AA2050" s="4">
        <v>13.6577438347718</v>
      </c>
      <c r="AB2050" s="4">
        <f t="shared" ref="AB2050:AB2113" si="131">(Y2050+Z2050+AA2050)/3</f>
        <v>13.658866933801034</v>
      </c>
    </row>
    <row r="2051" spans="2:28" x14ac:dyDescent="0.2">
      <c r="B2051" s="4" t="s">
        <v>3728</v>
      </c>
      <c r="C2051" s="4">
        <v>13.734</v>
      </c>
      <c r="D2051" s="4">
        <v>13.549099999999999</v>
      </c>
      <c r="E2051" s="4">
        <v>13.7371</v>
      </c>
      <c r="F2051" s="4">
        <f t="shared" si="128"/>
        <v>13.673399999999999</v>
      </c>
      <c r="I2051" s="4" t="s">
        <v>432</v>
      </c>
      <c r="J2051" s="4">
        <v>13.0535</v>
      </c>
      <c r="K2051" s="4">
        <v>14.772600000000001</v>
      </c>
      <c r="L2051" s="4">
        <v>13.174200000000001</v>
      </c>
      <c r="M2051" s="4">
        <f t="shared" si="129"/>
        <v>13.666766666666668</v>
      </c>
      <c r="Q2051" s="43" t="s">
        <v>2833</v>
      </c>
      <c r="R2051" s="4">
        <v>13.6238723624642</v>
      </c>
      <c r="S2051" s="4">
        <v>13.3514822684783</v>
      </c>
      <c r="T2051" s="4">
        <v>13.528793939542901</v>
      </c>
      <c r="U2051" s="4">
        <f t="shared" si="130"/>
        <v>13.501382856828466</v>
      </c>
      <c r="X2051" s="43" t="s">
        <v>2418</v>
      </c>
      <c r="Y2051" s="4">
        <v>13.4942839389743</v>
      </c>
      <c r="Z2051" s="4">
        <v>13.727067534583</v>
      </c>
      <c r="AA2051" s="4">
        <v>13.753191163413099</v>
      </c>
      <c r="AB2051" s="4">
        <f t="shared" si="131"/>
        <v>13.658180878990132</v>
      </c>
    </row>
    <row r="2052" spans="2:28" x14ac:dyDescent="0.2">
      <c r="B2052" s="4" t="s">
        <v>2492</v>
      </c>
      <c r="C2052" s="4">
        <v>13.6569</v>
      </c>
      <c r="D2052" s="4">
        <v>13.5586</v>
      </c>
      <c r="E2052" s="4">
        <v>13.8024</v>
      </c>
      <c r="F2052" s="4">
        <f t="shared" si="128"/>
        <v>13.672633333333332</v>
      </c>
      <c r="I2052" s="4" t="s">
        <v>4004</v>
      </c>
      <c r="J2052" s="4">
        <v>13.6249</v>
      </c>
      <c r="K2052" s="4">
        <v>13.933299999999999</v>
      </c>
      <c r="L2052" s="4">
        <v>13.4368</v>
      </c>
      <c r="M2052" s="4">
        <f t="shared" si="129"/>
        <v>13.664999999999999</v>
      </c>
      <c r="Q2052" s="43" t="s">
        <v>1265</v>
      </c>
      <c r="R2052" s="4">
        <v>13.526435305828899</v>
      </c>
      <c r="S2052" s="4">
        <v>13.6035192385666</v>
      </c>
      <c r="T2052" s="4">
        <v>13.3700735543738</v>
      </c>
      <c r="U2052" s="4">
        <f t="shared" si="130"/>
        <v>13.500009366256434</v>
      </c>
      <c r="X2052" s="43" t="s">
        <v>722</v>
      </c>
      <c r="Y2052" s="4">
        <v>13.949285702530499</v>
      </c>
      <c r="Z2052" s="4">
        <v>13.8935661665256</v>
      </c>
      <c r="AA2052" s="4">
        <v>13.1315366710711</v>
      </c>
      <c r="AB2052" s="4">
        <f t="shared" si="131"/>
        <v>13.658129513375732</v>
      </c>
    </row>
    <row r="2053" spans="2:28" x14ac:dyDescent="0.2">
      <c r="B2053" s="4" t="s">
        <v>1372</v>
      </c>
      <c r="C2053" s="4">
        <v>13.749700000000001</v>
      </c>
      <c r="D2053" s="4">
        <v>13.667999999999999</v>
      </c>
      <c r="E2053" s="4">
        <v>13.5952</v>
      </c>
      <c r="F2053" s="4">
        <f t="shared" si="128"/>
        <v>13.670966666666667</v>
      </c>
      <c r="I2053" s="4" t="s">
        <v>2239</v>
      </c>
      <c r="J2053" s="4">
        <v>13.881399999999999</v>
      </c>
      <c r="K2053" s="4">
        <v>13.1241</v>
      </c>
      <c r="L2053" s="4">
        <v>13.984500000000001</v>
      </c>
      <c r="M2053" s="4">
        <f t="shared" si="129"/>
        <v>13.663333333333332</v>
      </c>
      <c r="Q2053" s="43" t="s">
        <v>3485</v>
      </c>
      <c r="R2053" s="4">
        <v>12.905041665822299</v>
      </c>
      <c r="S2053" s="4">
        <v>13.7695364166996</v>
      </c>
      <c r="T2053" s="4">
        <v>13.8249163631175</v>
      </c>
      <c r="U2053" s="4">
        <f t="shared" si="130"/>
        <v>13.4998314818798</v>
      </c>
      <c r="X2053" s="43" t="s">
        <v>170</v>
      </c>
      <c r="Y2053" s="4">
        <v>13.9053095119157</v>
      </c>
      <c r="Z2053" s="4">
        <v>13.9505554593492</v>
      </c>
      <c r="AA2053" s="4">
        <v>13.116019232971199</v>
      </c>
      <c r="AB2053" s="4">
        <f t="shared" si="131"/>
        <v>13.657294734745365</v>
      </c>
    </row>
    <row r="2054" spans="2:28" x14ac:dyDescent="0.2">
      <c r="B2054" s="4" t="s">
        <v>2498</v>
      </c>
      <c r="C2054" s="4">
        <v>13.670500000000001</v>
      </c>
      <c r="D2054" s="4">
        <v>13.775399999999999</v>
      </c>
      <c r="E2054" s="4">
        <v>13.5655</v>
      </c>
      <c r="F2054" s="4">
        <f t="shared" si="128"/>
        <v>13.670466666666668</v>
      </c>
      <c r="I2054" s="4" t="s">
        <v>2403</v>
      </c>
      <c r="J2054" s="4">
        <v>13.656000000000001</v>
      </c>
      <c r="K2054" s="4">
        <v>14.1981</v>
      </c>
      <c r="L2054" s="4">
        <v>13.119199999999999</v>
      </c>
      <c r="M2054" s="4">
        <f t="shared" si="129"/>
        <v>13.657766666666667</v>
      </c>
      <c r="Q2054" s="43" t="s">
        <v>1616</v>
      </c>
      <c r="R2054" s="4">
        <v>13.5606775446292</v>
      </c>
      <c r="S2054" s="4">
        <v>13.461759983265299</v>
      </c>
      <c r="T2054" s="4">
        <v>13.4735961200976</v>
      </c>
      <c r="U2054" s="4">
        <f t="shared" si="130"/>
        <v>13.498677882664033</v>
      </c>
      <c r="X2054" s="43" t="s">
        <v>3384</v>
      </c>
      <c r="Y2054" s="4">
        <v>13.762078134234001</v>
      </c>
      <c r="Z2054" s="4">
        <v>13.525498265449601</v>
      </c>
      <c r="AA2054" s="4">
        <v>13.6829277735738</v>
      </c>
      <c r="AB2054" s="4">
        <f t="shared" si="131"/>
        <v>13.656834724419134</v>
      </c>
    </row>
    <row r="2055" spans="2:28" x14ac:dyDescent="0.2">
      <c r="B2055" s="4" t="s">
        <v>2310</v>
      </c>
      <c r="C2055" s="4">
        <v>13.872</v>
      </c>
      <c r="D2055" s="4">
        <v>13.324999999999999</v>
      </c>
      <c r="E2055" s="4">
        <v>13.814399999999999</v>
      </c>
      <c r="F2055" s="4">
        <f t="shared" si="128"/>
        <v>13.670466666666664</v>
      </c>
      <c r="I2055" s="4" t="s">
        <v>3040</v>
      </c>
      <c r="J2055" s="4">
        <v>13.6594</v>
      </c>
      <c r="K2055" s="4">
        <v>13.7156</v>
      </c>
      <c r="L2055" s="4">
        <v>13.5968</v>
      </c>
      <c r="M2055" s="4">
        <f t="shared" si="129"/>
        <v>13.657266666666667</v>
      </c>
      <c r="Q2055" s="43" t="s">
        <v>3016</v>
      </c>
      <c r="R2055" s="4">
        <v>13.4476381990082</v>
      </c>
      <c r="S2055" s="4">
        <v>13.4813987509903</v>
      </c>
      <c r="T2055" s="4">
        <v>13.5635739937139</v>
      </c>
      <c r="U2055" s="4">
        <f t="shared" si="130"/>
        <v>13.497536981237467</v>
      </c>
      <c r="X2055" s="43" t="s">
        <v>2378</v>
      </c>
      <c r="Y2055" s="4">
        <v>13.7617212919093</v>
      </c>
      <c r="Z2055" s="4">
        <v>13.769751281424201</v>
      </c>
      <c r="AA2055" s="4">
        <v>13.432059847057999</v>
      </c>
      <c r="AB2055" s="4">
        <f t="shared" si="131"/>
        <v>13.654510806797168</v>
      </c>
    </row>
    <row r="2056" spans="2:28" x14ac:dyDescent="0.2">
      <c r="B2056" s="4" t="s">
        <v>547</v>
      </c>
      <c r="C2056" s="4">
        <v>14.043900000000001</v>
      </c>
      <c r="D2056" s="4">
        <v>13.824</v>
      </c>
      <c r="E2056" s="4">
        <v>13.1378</v>
      </c>
      <c r="F2056" s="4">
        <f t="shared" si="128"/>
        <v>13.668566666666665</v>
      </c>
      <c r="I2056" s="4" t="s">
        <v>56</v>
      </c>
      <c r="J2056" s="4">
        <v>13.5787</v>
      </c>
      <c r="K2056" s="4">
        <v>13.4254</v>
      </c>
      <c r="L2056" s="4">
        <v>13.9596</v>
      </c>
      <c r="M2056" s="4">
        <f t="shared" si="129"/>
        <v>13.654566666666668</v>
      </c>
      <c r="Q2056" s="43" t="s">
        <v>3258</v>
      </c>
      <c r="R2056" s="4">
        <v>13.610426209243</v>
      </c>
      <c r="S2056" s="4">
        <v>13.0861012443355</v>
      </c>
      <c r="T2056" s="4">
        <v>13.7908017127753</v>
      </c>
      <c r="U2056" s="4">
        <f t="shared" si="130"/>
        <v>13.4957763887846</v>
      </c>
      <c r="X2056" s="43" t="s">
        <v>2369</v>
      </c>
      <c r="Y2056" s="4">
        <v>13.676141731912301</v>
      </c>
      <c r="Z2056" s="4">
        <v>13.5404463137015</v>
      </c>
      <c r="AA2056" s="4">
        <v>13.746641478691</v>
      </c>
      <c r="AB2056" s="4">
        <f t="shared" si="131"/>
        <v>13.654409841434934</v>
      </c>
    </row>
    <row r="2057" spans="2:28" x14ac:dyDescent="0.2">
      <c r="B2057" s="4" t="s">
        <v>3855</v>
      </c>
      <c r="C2057" s="4">
        <v>13.5967</v>
      </c>
      <c r="D2057" s="4">
        <v>13.664099999999999</v>
      </c>
      <c r="E2057" s="4">
        <v>13.7448</v>
      </c>
      <c r="F2057" s="4">
        <f t="shared" si="128"/>
        <v>13.668533333333334</v>
      </c>
      <c r="I2057" s="4" t="s">
        <v>365</v>
      </c>
      <c r="J2057" s="4">
        <v>13.7515</v>
      </c>
      <c r="K2057" s="4">
        <v>13.2583</v>
      </c>
      <c r="L2057" s="4">
        <v>13.9537</v>
      </c>
      <c r="M2057" s="4">
        <f t="shared" si="129"/>
        <v>13.654499999999999</v>
      </c>
      <c r="Q2057" s="43" t="s">
        <v>575</v>
      </c>
      <c r="R2057" s="4">
        <v>13.440094257711699</v>
      </c>
      <c r="S2057" s="4">
        <v>13.6240919841898</v>
      </c>
      <c r="T2057" s="4">
        <v>13.4229913696708</v>
      </c>
      <c r="U2057" s="4">
        <f t="shared" si="130"/>
        <v>13.495725870524099</v>
      </c>
      <c r="X2057" s="43" t="s">
        <v>755</v>
      </c>
      <c r="Y2057" s="4">
        <v>13.636516850426499</v>
      </c>
      <c r="Z2057" s="4">
        <v>13.868632572877701</v>
      </c>
      <c r="AA2057" s="4">
        <v>13.457339347846199</v>
      </c>
      <c r="AB2057" s="4">
        <f t="shared" si="131"/>
        <v>13.654162923716799</v>
      </c>
    </row>
    <row r="2058" spans="2:28" x14ac:dyDescent="0.2">
      <c r="B2058" s="4" t="s">
        <v>2899</v>
      </c>
      <c r="C2058" s="4">
        <v>13.715400000000001</v>
      </c>
      <c r="D2058" s="4">
        <v>13.8932</v>
      </c>
      <c r="E2058" s="4">
        <v>13.3926</v>
      </c>
      <c r="F2058" s="4">
        <f t="shared" si="128"/>
        <v>13.667066666666669</v>
      </c>
      <c r="I2058" s="4" t="s">
        <v>3749</v>
      </c>
      <c r="J2058" s="4">
        <v>12.7081</v>
      </c>
      <c r="K2058" s="4">
        <v>14.6144</v>
      </c>
      <c r="L2058" s="4">
        <v>13.6348</v>
      </c>
      <c r="M2058" s="4">
        <f t="shared" si="129"/>
        <v>13.652433333333333</v>
      </c>
      <c r="Q2058" s="43" t="s">
        <v>4577</v>
      </c>
      <c r="R2058" s="4">
        <v>13.2009792508755</v>
      </c>
      <c r="S2058" s="4">
        <v>13.534525299212699</v>
      </c>
      <c r="T2058" s="4">
        <v>13.7509163950138</v>
      </c>
      <c r="U2058" s="4">
        <f t="shared" si="130"/>
        <v>13.495473648367332</v>
      </c>
      <c r="X2058" s="43" t="s">
        <v>4516</v>
      </c>
      <c r="Y2058" s="4">
        <v>13.4715725973013</v>
      </c>
      <c r="Z2058" s="4">
        <v>13.8447835710248</v>
      </c>
      <c r="AA2058" s="4">
        <v>13.6361865128597</v>
      </c>
      <c r="AB2058" s="4">
        <f t="shared" si="131"/>
        <v>13.650847560395269</v>
      </c>
    </row>
    <row r="2059" spans="2:28" x14ac:dyDescent="0.2">
      <c r="B2059" s="4" t="s">
        <v>2806</v>
      </c>
      <c r="C2059" s="4">
        <v>13.517300000000001</v>
      </c>
      <c r="D2059" s="4">
        <v>13.680300000000001</v>
      </c>
      <c r="E2059" s="4">
        <v>13.788500000000001</v>
      </c>
      <c r="F2059" s="4">
        <f t="shared" si="128"/>
        <v>13.662033333333333</v>
      </c>
      <c r="I2059" s="4" t="s">
        <v>719</v>
      </c>
      <c r="J2059" s="4">
        <v>13.2377</v>
      </c>
      <c r="K2059" s="4">
        <v>14.463900000000001</v>
      </c>
      <c r="L2059" s="4">
        <v>13.254099999999999</v>
      </c>
      <c r="M2059" s="4">
        <f t="shared" si="129"/>
        <v>13.651899999999999</v>
      </c>
      <c r="Q2059" s="43" t="s">
        <v>3683</v>
      </c>
      <c r="R2059" s="4">
        <v>13.2441012590378</v>
      </c>
      <c r="S2059" s="4">
        <v>13.6800997689817</v>
      </c>
      <c r="T2059" s="4">
        <v>13.558346268534599</v>
      </c>
      <c r="U2059" s="4">
        <f t="shared" si="130"/>
        <v>13.494182432184701</v>
      </c>
      <c r="X2059" s="43" t="s">
        <v>4032</v>
      </c>
      <c r="Y2059" s="4">
        <v>13.6358547280559</v>
      </c>
      <c r="Z2059" s="4">
        <v>13.7631364427727</v>
      </c>
      <c r="AA2059" s="4">
        <v>13.553022548833299</v>
      </c>
      <c r="AB2059" s="4">
        <f t="shared" si="131"/>
        <v>13.6506712398873</v>
      </c>
    </row>
    <row r="2060" spans="2:28" x14ac:dyDescent="0.2">
      <c r="B2060" s="4" t="s">
        <v>4042</v>
      </c>
      <c r="C2060" s="4">
        <v>12.911899999999999</v>
      </c>
      <c r="D2060" s="4">
        <v>13.8545</v>
      </c>
      <c r="E2060" s="4">
        <v>14.2103</v>
      </c>
      <c r="F2060" s="4">
        <f t="shared" si="128"/>
        <v>13.658899999999997</v>
      </c>
      <c r="I2060" s="4" t="s">
        <v>1285</v>
      </c>
      <c r="J2060" s="4">
        <v>13.1934</v>
      </c>
      <c r="K2060" s="4">
        <v>14.7529</v>
      </c>
      <c r="L2060" s="4">
        <v>13</v>
      </c>
      <c r="M2060" s="4">
        <f t="shared" si="129"/>
        <v>13.648766666666667</v>
      </c>
      <c r="Q2060" s="43" t="s">
        <v>3566</v>
      </c>
      <c r="R2060" s="4">
        <v>13.1763157648162</v>
      </c>
      <c r="S2060" s="4">
        <v>13.619474504771199</v>
      </c>
      <c r="T2060" s="4">
        <v>13.6860227119492</v>
      </c>
      <c r="U2060" s="4">
        <f t="shared" si="130"/>
        <v>13.4939376605122</v>
      </c>
      <c r="X2060" s="43" t="s">
        <v>3301</v>
      </c>
      <c r="Y2060" s="4">
        <v>13.839835648238701</v>
      </c>
      <c r="Z2060" s="4">
        <v>13.693694319236901</v>
      </c>
      <c r="AA2060" s="4">
        <v>13.4182650778897</v>
      </c>
      <c r="AB2060" s="4">
        <f t="shared" si="131"/>
        <v>13.6505983484551</v>
      </c>
    </row>
    <row r="2061" spans="2:28" x14ac:dyDescent="0.2">
      <c r="B2061" s="4" t="s">
        <v>3109</v>
      </c>
      <c r="C2061" s="4">
        <v>13.257300000000001</v>
      </c>
      <c r="D2061" s="4">
        <v>13.8231</v>
      </c>
      <c r="E2061" s="4">
        <v>13.8924</v>
      </c>
      <c r="F2061" s="4">
        <f t="shared" si="128"/>
        <v>13.6576</v>
      </c>
      <c r="I2061" s="4" t="s">
        <v>3431</v>
      </c>
      <c r="J2061" s="4">
        <v>13.400499999999999</v>
      </c>
      <c r="K2061" s="4">
        <v>14.5908</v>
      </c>
      <c r="L2061" s="4">
        <v>12.9514</v>
      </c>
      <c r="M2061" s="4">
        <f t="shared" si="129"/>
        <v>13.647566666666668</v>
      </c>
      <c r="Q2061" s="43" t="s">
        <v>603</v>
      </c>
      <c r="R2061" s="4">
        <v>13.3898016538918</v>
      </c>
      <c r="S2061" s="4">
        <v>13.5115156159285</v>
      </c>
      <c r="T2061" s="4">
        <v>13.576382230066899</v>
      </c>
      <c r="U2061" s="4">
        <f t="shared" si="130"/>
        <v>13.4925664999624</v>
      </c>
      <c r="X2061" s="43" t="s">
        <v>2233</v>
      </c>
      <c r="Y2061" s="4">
        <v>13.618293627677801</v>
      </c>
      <c r="Z2061" s="4">
        <v>13.6292061990879</v>
      </c>
      <c r="AA2061" s="4">
        <v>13.7032852327388</v>
      </c>
      <c r="AB2061" s="4">
        <f t="shared" si="131"/>
        <v>13.6502616865015</v>
      </c>
    </row>
    <row r="2062" spans="2:28" x14ac:dyDescent="0.2">
      <c r="B2062" s="4" t="s">
        <v>752</v>
      </c>
      <c r="C2062" s="4">
        <v>13.766299999999999</v>
      </c>
      <c r="D2062" s="4">
        <v>13.661300000000001</v>
      </c>
      <c r="E2062" s="4">
        <v>13.5388</v>
      </c>
      <c r="F2062" s="4">
        <f t="shared" si="128"/>
        <v>13.655466666666667</v>
      </c>
      <c r="I2062" s="4" t="s">
        <v>3696</v>
      </c>
      <c r="J2062" s="4">
        <v>13.7531</v>
      </c>
      <c r="K2062" s="4">
        <v>13.6922</v>
      </c>
      <c r="L2062" s="4">
        <v>13.495100000000001</v>
      </c>
      <c r="M2062" s="4">
        <f t="shared" si="129"/>
        <v>13.646799999999999</v>
      </c>
      <c r="Q2062" s="43" t="s">
        <v>3229</v>
      </c>
      <c r="R2062" s="4">
        <v>13.2857373409489</v>
      </c>
      <c r="S2062" s="4">
        <v>13.6293546949003</v>
      </c>
      <c r="T2062" s="4">
        <v>13.560934785956301</v>
      </c>
      <c r="U2062" s="4">
        <f t="shared" si="130"/>
        <v>13.492008940601833</v>
      </c>
      <c r="X2062" s="43" t="s">
        <v>1243</v>
      </c>
      <c r="Y2062" s="4">
        <v>13.7457932800955</v>
      </c>
      <c r="Z2062" s="4">
        <v>13.499336702714</v>
      </c>
      <c r="AA2062" s="4">
        <v>13.703005862832899</v>
      </c>
      <c r="AB2062" s="4">
        <f t="shared" si="131"/>
        <v>13.649378615214133</v>
      </c>
    </row>
    <row r="2063" spans="2:28" x14ac:dyDescent="0.2">
      <c r="B2063" s="4" t="s">
        <v>3616</v>
      </c>
      <c r="C2063" s="4">
        <v>14.2065</v>
      </c>
      <c r="D2063" s="4">
        <v>13.37</v>
      </c>
      <c r="E2063" s="4">
        <v>13.388400000000001</v>
      </c>
      <c r="F2063" s="4">
        <f t="shared" si="128"/>
        <v>13.654966666666667</v>
      </c>
      <c r="I2063" s="4" t="s">
        <v>3304</v>
      </c>
      <c r="J2063" s="4">
        <v>13.694599999999999</v>
      </c>
      <c r="K2063" s="4">
        <v>13.0055</v>
      </c>
      <c r="L2063" s="4">
        <v>14.2338</v>
      </c>
      <c r="M2063" s="4">
        <f t="shared" si="129"/>
        <v>13.644633333333333</v>
      </c>
      <c r="Q2063" s="43" t="s">
        <v>4217</v>
      </c>
      <c r="R2063" s="4">
        <v>13.916925613087599</v>
      </c>
      <c r="S2063" s="4">
        <v>13.2284995523641</v>
      </c>
      <c r="T2063" s="4">
        <v>13.304893791699101</v>
      </c>
      <c r="U2063" s="4">
        <f t="shared" si="130"/>
        <v>13.4834396523836</v>
      </c>
      <c r="X2063" s="43" t="s">
        <v>4379</v>
      </c>
      <c r="Y2063" s="4">
        <v>13.856519379139</v>
      </c>
      <c r="Z2063" s="4">
        <v>13.4199227095497</v>
      </c>
      <c r="AA2063" s="4">
        <v>13.671503797710701</v>
      </c>
      <c r="AB2063" s="4">
        <f t="shared" si="131"/>
        <v>13.649315295466467</v>
      </c>
    </row>
    <row r="2064" spans="2:28" x14ac:dyDescent="0.2">
      <c r="B2064" s="4" t="s">
        <v>2051</v>
      </c>
      <c r="C2064" s="4">
        <v>13.590400000000001</v>
      </c>
      <c r="D2064" s="4">
        <v>13.6172</v>
      </c>
      <c r="E2064" s="4">
        <v>13.757099999999999</v>
      </c>
      <c r="F2064" s="4">
        <f t="shared" si="128"/>
        <v>13.6549</v>
      </c>
      <c r="I2064" s="4" t="s">
        <v>521</v>
      </c>
      <c r="J2064" s="4">
        <v>13.359500000000001</v>
      </c>
      <c r="K2064" s="4">
        <v>14.055199999999999</v>
      </c>
      <c r="L2064" s="4">
        <v>13.5184</v>
      </c>
      <c r="M2064" s="4">
        <f t="shared" si="129"/>
        <v>13.644366666666665</v>
      </c>
      <c r="Q2064" s="43" t="s">
        <v>3941</v>
      </c>
      <c r="R2064" s="4">
        <v>13.581682647560701</v>
      </c>
      <c r="S2064" s="4">
        <v>13.440264604691301</v>
      </c>
      <c r="T2064" s="4">
        <v>13.4237550551486</v>
      </c>
      <c r="U2064" s="4">
        <f t="shared" si="130"/>
        <v>13.481900769133533</v>
      </c>
      <c r="X2064" s="43" t="s">
        <v>2394</v>
      </c>
      <c r="Y2064" s="4">
        <v>13.730380983768001</v>
      </c>
      <c r="Z2064" s="4">
        <v>13.593956580505401</v>
      </c>
      <c r="AA2064" s="4">
        <v>13.620738611149701</v>
      </c>
      <c r="AB2064" s="4">
        <f t="shared" si="131"/>
        <v>13.648358725141032</v>
      </c>
    </row>
    <row r="2065" spans="2:28" x14ac:dyDescent="0.2">
      <c r="B2065" s="4" t="s">
        <v>588</v>
      </c>
      <c r="C2065" s="4">
        <v>13.334099999999999</v>
      </c>
      <c r="D2065" s="4">
        <v>13.894299999999999</v>
      </c>
      <c r="E2065" s="4">
        <v>13.733499999999999</v>
      </c>
      <c r="F2065" s="4">
        <f t="shared" si="128"/>
        <v>13.653966666666667</v>
      </c>
      <c r="I2065" s="4" t="s">
        <v>2398</v>
      </c>
      <c r="J2065" s="4">
        <v>13.706</v>
      </c>
      <c r="K2065" s="4">
        <v>13.705</v>
      </c>
      <c r="L2065" s="4">
        <v>13.52</v>
      </c>
      <c r="M2065" s="4">
        <f t="shared" si="129"/>
        <v>13.643666666666666</v>
      </c>
      <c r="Q2065" s="43" t="s">
        <v>1508</v>
      </c>
      <c r="R2065" s="4">
        <v>14.3230451174081</v>
      </c>
      <c r="S2065" s="4">
        <v>13.2189637267413</v>
      </c>
      <c r="T2065" s="4">
        <v>12.8972737548543</v>
      </c>
      <c r="U2065" s="4">
        <f t="shared" si="130"/>
        <v>13.479760866334567</v>
      </c>
      <c r="X2065" s="43" t="s">
        <v>93</v>
      </c>
      <c r="Y2065" s="4">
        <v>13.9368755686172</v>
      </c>
      <c r="Z2065" s="4">
        <v>13.657930538817601</v>
      </c>
      <c r="AA2065" s="4">
        <v>13.3415535956622</v>
      </c>
      <c r="AB2065" s="4">
        <f t="shared" si="131"/>
        <v>13.645453234365666</v>
      </c>
    </row>
    <row r="2066" spans="2:28" x14ac:dyDescent="0.2">
      <c r="B2066" s="4" t="s">
        <v>1524</v>
      </c>
      <c r="C2066" s="4">
        <v>13.098000000000001</v>
      </c>
      <c r="D2066" s="4">
        <v>13.4727</v>
      </c>
      <c r="E2066" s="4">
        <v>14.388299999999999</v>
      </c>
      <c r="F2066" s="4">
        <f t="shared" si="128"/>
        <v>13.653</v>
      </c>
      <c r="I2066" s="4" t="s">
        <v>1507</v>
      </c>
      <c r="J2066" s="4">
        <v>13.0144</v>
      </c>
      <c r="K2066" s="4">
        <v>14.459899999999999</v>
      </c>
      <c r="L2066" s="4">
        <v>13.453799999999999</v>
      </c>
      <c r="M2066" s="4">
        <f t="shared" si="129"/>
        <v>13.6427</v>
      </c>
      <c r="Q2066" s="43" t="s">
        <v>2090</v>
      </c>
      <c r="R2066" s="4">
        <v>13.346141847454099</v>
      </c>
      <c r="S2066" s="4">
        <v>13.5485077986738</v>
      </c>
      <c r="T2066" s="4">
        <v>13.542797546546501</v>
      </c>
      <c r="U2066" s="4">
        <f t="shared" si="130"/>
        <v>13.479149064224799</v>
      </c>
      <c r="X2066" s="43" t="s">
        <v>349</v>
      </c>
      <c r="Y2066" s="4">
        <v>13.5477016278476</v>
      </c>
      <c r="Z2066" s="4">
        <v>13.505139042660399</v>
      </c>
      <c r="AA2066" s="4">
        <v>13.882041481499799</v>
      </c>
      <c r="AB2066" s="4">
        <f t="shared" si="131"/>
        <v>13.644960717335932</v>
      </c>
    </row>
    <row r="2067" spans="2:28" x14ac:dyDescent="0.2">
      <c r="B2067" s="4" t="s">
        <v>1853</v>
      </c>
      <c r="C2067" s="4">
        <v>14.042999999999999</v>
      </c>
      <c r="D2067" s="4">
        <v>13.6922</v>
      </c>
      <c r="E2067" s="4">
        <v>13.2171</v>
      </c>
      <c r="F2067" s="4">
        <f t="shared" si="128"/>
        <v>13.650766666666668</v>
      </c>
      <c r="I2067" s="4" t="s">
        <v>434</v>
      </c>
      <c r="J2067" s="4">
        <v>13.6287</v>
      </c>
      <c r="K2067" s="4">
        <v>13.903600000000001</v>
      </c>
      <c r="L2067" s="4">
        <v>13.395099999999999</v>
      </c>
      <c r="M2067" s="4">
        <f t="shared" si="129"/>
        <v>13.642466666666666</v>
      </c>
      <c r="Q2067" s="43" t="s">
        <v>3301</v>
      </c>
      <c r="R2067" s="4">
        <v>13.4550820779818</v>
      </c>
      <c r="S2067" s="4">
        <v>13.824397431623</v>
      </c>
      <c r="T2067" s="4">
        <v>13.1564781838205</v>
      </c>
      <c r="U2067" s="4">
        <f t="shared" si="130"/>
        <v>13.478652564475098</v>
      </c>
      <c r="X2067" s="43" t="s">
        <v>16</v>
      </c>
      <c r="Y2067" s="4">
        <v>13.717630416273099</v>
      </c>
      <c r="Z2067" s="4">
        <v>13.633071171136599</v>
      </c>
      <c r="AA2067" s="4">
        <v>13.5828355669065</v>
      </c>
      <c r="AB2067" s="4">
        <f t="shared" si="131"/>
        <v>13.644512384772066</v>
      </c>
    </row>
    <row r="2068" spans="2:28" x14ac:dyDescent="0.2">
      <c r="B2068" s="4" t="s">
        <v>1243</v>
      </c>
      <c r="C2068" s="4">
        <v>13.8109</v>
      </c>
      <c r="D2068" s="4">
        <v>13.6317</v>
      </c>
      <c r="E2068" s="4">
        <v>13.5091</v>
      </c>
      <c r="F2068" s="4">
        <f t="shared" si="128"/>
        <v>13.650566666666668</v>
      </c>
      <c r="I2068" s="4" t="s">
        <v>2051</v>
      </c>
      <c r="J2068" s="4">
        <v>13.626099999999999</v>
      </c>
      <c r="K2068" s="4">
        <v>13.442</v>
      </c>
      <c r="L2068" s="4">
        <v>13.857900000000001</v>
      </c>
      <c r="M2068" s="4">
        <f t="shared" si="129"/>
        <v>13.642000000000001</v>
      </c>
      <c r="Q2068" s="43" t="s">
        <v>3786</v>
      </c>
      <c r="R2068" s="4">
        <v>13.634387582255901</v>
      </c>
      <c r="S2068" s="4">
        <v>13.3004904056735</v>
      </c>
      <c r="T2068" s="4">
        <v>13.496283500718899</v>
      </c>
      <c r="U2068" s="4">
        <f t="shared" si="130"/>
        <v>13.477053829549433</v>
      </c>
      <c r="X2068" s="43" t="s">
        <v>1815</v>
      </c>
      <c r="Y2068" s="4">
        <v>13.6761523531611</v>
      </c>
      <c r="Z2068" s="4">
        <v>13.5986606878387</v>
      </c>
      <c r="AA2068" s="4">
        <v>13.655225246682701</v>
      </c>
      <c r="AB2068" s="4">
        <f t="shared" si="131"/>
        <v>13.643346095894168</v>
      </c>
    </row>
    <row r="2069" spans="2:28" x14ac:dyDescent="0.2">
      <c r="B2069" s="4" t="s">
        <v>3828</v>
      </c>
      <c r="C2069" s="4">
        <v>13.510400000000001</v>
      </c>
      <c r="D2069" s="4">
        <v>13.5976</v>
      </c>
      <c r="E2069" s="4">
        <v>13.843</v>
      </c>
      <c r="F2069" s="4">
        <f t="shared" si="128"/>
        <v>13.650333333333334</v>
      </c>
      <c r="I2069" s="4" t="s">
        <v>516</v>
      </c>
      <c r="J2069" s="4">
        <v>13.559699999999999</v>
      </c>
      <c r="K2069" s="4">
        <v>13.7317</v>
      </c>
      <c r="L2069" s="4">
        <v>13.629099999999999</v>
      </c>
      <c r="M2069" s="4">
        <f t="shared" si="129"/>
        <v>13.640166666666666</v>
      </c>
      <c r="Q2069" s="43" t="s">
        <v>3770</v>
      </c>
      <c r="R2069" s="4">
        <v>13.8037176035019</v>
      </c>
      <c r="S2069" s="4">
        <v>13.3840155169285</v>
      </c>
      <c r="T2069" s="4">
        <v>13.2416102310134</v>
      </c>
      <c r="U2069" s="4">
        <f t="shared" si="130"/>
        <v>13.476447783814601</v>
      </c>
      <c r="X2069" s="43" t="s">
        <v>3135</v>
      </c>
      <c r="Y2069" s="4">
        <v>13.6175914118595</v>
      </c>
      <c r="Z2069" s="4">
        <v>13.670563618506799</v>
      </c>
      <c r="AA2069" s="4">
        <v>13.6350960765681</v>
      </c>
      <c r="AB2069" s="4">
        <f t="shared" si="131"/>
        <v>13.641083702311468</v>
      </c>
    </row>
    <row r="2070" spans="2:28" x14ac:dyDescent="0.2">
      <c r="B2070" s="4" t="s">
        <v>2561</v>
      </c>
      <c r="C2070" s="4">
        <v>13.5441</v>
      </c>
      <c r="D2070" s="4">
        <v>13.640599999999999</v>
      </c>
      <c r="E2070" s="4">
        <v>13.7592</v>
      </c>
      <c r="F2070" s="4">
        <f t="shared" si="128"/>
        <v>13.647966666666667</v>
      </c>
      <c r="I2070" s="4" t="s">
        <v>3566</v>
      </c>
      <c r="J2070" s="4">
        <v>13.6225</v>
      </c>
      <c r="K2070" s="4">
        <v>13.5268</v>
      </c>
      <c r="L2070" s="4">
        <v>13.7704</v>
      </c>
      <c r="M2070" s="4">
        <f t="shared" si="129"/>
        <v>13.639899999999999</v>
      </c>
      <c r="Q2070" s="43" t="s">
        <v>4074</v>
      </c>
      <c r="R2070" s="4">
        <v>13.4381766436732</v>
      </c>
      <c r="S2070" s="4">
        <v>13.480084289606699</v>
      </c>
      <c r="T2070" s="4">
        <v>13.5083688542954</v>
      </c>
      <c r="U2070" s="4">
        <f t="shared" si="130"/>
        <v>13.4755432625251</v>
      </c>
      <c r="X2070" s="43" t="s">
        <v>3292</v>
      </c>
      <c r="Y2070" s="4">
        <v>13.697676695083199</v>
      </c>
      <c r="Z2070" s="4">
        <v>13.843008421428401</v>
      </c>
      <c r="AA2070" s="4">
        <v>13.381624156830799</v>
      </c>
      <c r="AB2070" s="4">
        <f t="shared" si="131"/>
        <v>13.6407697577808</v>
      </c>
    </row>
    <row r="2071" spans="2:28" x14ac:dyDescent="0.2">
      <c r="B2071" s="4" t="s">
        <v>3815</v>
      </c>
      <c r="C2071" s="4">
        <v>13.716799999999999</v>
      </c>
      <c r="D2071" s="4">
        <v>13.738799999999999</v>
      </c>
      <c r="E2071" s="4">
        <v>13.4864</v>
      </c>
      <c r="F2071" s="4">
        <f t="shared" si="128"/>
        <v>13.64733333333333</v>
      </c>
      <c r="I2071" s="4" t="s">
        <v>1828</v>
      </c>
      <c r="J2071" s="4">
        <v>13.837199999999999</v>
      </c>
      <c r="K2071" s="4">
        <v>13.3514</v>
      </c>
      <c r="L2071" s="4">
        <v>13.7202</v>
      </c>
      <c r="M2071" s="4">
        <f t="shared" si="129"/>
        <v>13.636266666666666</v>
      </c>
      <c r="Q2071" s="43" t="s">
        <v>4178</v>
      </c>
      <c r="R2071" s="4">
        <v>13.513912345475999</v>
      </c>
      <c r="S2071" s="4">
        <v>13.577248562212899</v>
      </c>
      <c r="T2071" s="4">
        <v>13.3330303544152</v>
      </c>
      <c r="U2071" s="4">
        <f t="shared" si="130"/>
        <v>13.474730420701368</v>
      </c>
      <c r="X2071" s="43" t="s">
        <v>3335</v>
      </c>
      <c r="Y2071" s="4">
        <v>13.4395523130102</v>
      </c>
      <c r="Z2071" s="4">
        <v>13.5618421982273</v>
      </c>
      <c r="AA2071" s="4">
        <v>13.918967819623701</v>
      </c>
      <c r="AB2071" s="4">
        <f t="shared" si="131"/>
        <v>13.640120776953735</v>
      </c>
    </row>
    <row r="2072" spans="2:28" x14ac:dyDescent="0.2">
      <c r="B2072" s="4" t="s">
        <v>3199</v>
      </c>
      <c r="C2072" s="4">
        <v>13.4643</v>
      </c>
      <c r="D2072" s="4">
        <v>13.340400000000001</v>
      </c>
      <c r="E2072" s="4">
        <v>14.129899999999999</v>
      </c>
      <c r="F2072" s="4">
        <f t="shared" si="128"/>
        <v>13.644866666666667</v>
      </c>
      <c r="I2072" s="4" t="s">
        <v>560</v>
      </c>
      <c r="J2072" s="4">
        <v>13.8248</v>
      </c>
      <c r="K2072" s="4">
        <v>13.291700000000001</v>
      </c>
      <c r="L2072" s="4">
        <v>13.792199999999999</v>
      </c>
      <c r="M2072" s="4">
        <f t="shared" si="129"/>
        <v>13.636233333333335</v>
      </c>
      <c r="Q2072" s="43" t="s">
        <v>4119</v>
      </c>
      <c r="R2072" s="4">
        <v>13.5535715805217</v>
      </c>
      <c r="S2072" s="4">
        <v>13.5346902070022</v>
      </c>
      <c r="T2072" s="4">
        <v>13.3323235511078</v>
      </c>
      <c r="U2072" s="4">
        <f t="shared" si="130"/>
        <v>13.473528446210565</v>
      </c>
      <c r="X2072" s="43" t="s">
        <v>1667</v>
      </c>
      <c r="Y2072" s="4">
        <v>13.5911943404688</v>
      </c>
      <c r="Z2072" s="4">
        <v>13.667529684931701</v>
      </c>
      <c r="AA2072" s="4">
        <v>13.6568599180902</v>
      </c>
      <c r="AB2072" s="4">
        <f t="shared" si="131"/>
        <v>13.638527981163568</v>
      </c>
    </row>
    <row r="2073" spans="2:28" x14ac:dyDescent="0.2">
      <c r="B2073" s="4" t="s">
        <v>2741</v>
      </c>
      <c r="C2073" s="4">
        <v>13.500500000000001</v>
      </c>
      <c r="D2073" s="4">
        <v>13.648400000000001</v>
      </c>
      <c r="E2073" s="4">
        <v>13.7849</v>
      </c>
      <c r="F2073" s="4">
        <f t="shared" si="128"/>
        <v>13.644600000000002</v>
      </c>
      <c r="I2073" s="4" t="s">
        <v>4046</v>
      </c>
      <c r="J2073" s="4">
        <v>13.9991</v>
      </c>
      <c r="K2073" s="4">
        <v>13.209899999999999</v>
      </c>
      <c r="L2073" s="4">
        <v>13.699299999999999</v>
      </c>
      <c r="M2073" s="4">
        <f t="shared" si="129"/>
        <v>13.636099999999999</v>
      </c>
      <c r="Q2073" s="43" t="s">
        <v>3123</v>
      </c>
      <c r="R2073" s="4">
        <v>13.4191412258778</v>
      </c>
      <c r="S2073" s="4">
        <v>13.3355480131557</v>
      </c>
      <c r="T2073" s="4">
        <v>13.662777558475099</v>
      </c>
      <c r="U2073" s="4">
        <f t="shared" si="130"/>
        <v>13.472488932502865</v>
      </c>
      <c r="X2073" s="43" t="s">
        <v>1523</v>
      </c>
      <c r="Y2073" s="4">
        <v>13.732865328095199</v>
      </c>
      <c r="Z2073" s="4">
        <v>13.731718292244899</v>
      </c>
      <c r="AA2073" s="4">
        <v>13.4503511146906</v>
      </c>
      <c r="AB2073" s="4">
        <f t="shared" si="131"/>
        <v>13.638311578343567</v>
      </c>
    </row>
    <row r="2074" spans="2:28" x14ac:dyDescent="0.2">
      <c r="B2074" s="4" t="s">
        <v>4076</v>
      </c>
      <c r="C2074" s="4">
        <v>13.930099999999999</v>
      </c>
      <c r="D2074" s="4">
        <v>13.7027</v>
      </c>
      <c r="E2074" s="4">
        <v>13.2942</v>
      </c>
      <c r="F2074" s="4">
        <f t="shared" si="128"/>
        <v>13.642333333333333</v>
      </c>
      <c r="I2074" s="4" t="s">
        <v>2962</v>
      </c>
      <c r="J2074" s="4">
        <v>13.4971</v>
      </c>
      <c r="K2074" s="4">
        <v>14.2601</v>
      </c>
      <c r="L2074" s="4">
        <v>13.150600000000001</v>
      </c>
      <c r="M2074" s="4">
        <f t="shared" si="129"/>
        <v>13.635933333333332</v>
      </c>
      <c r="Q2074" s="43" t="s">
        <v>4583</v>
      </c>
      <c r="R2074" s="4">
        <v>13.454806936251201</v>
      </c>
      <c r="S2074" s="4">
        <v>13.3629400176508</v>
      </c>
      <c r="T2074" s="4">
        <v>13.597777371756401</v>
      </c>
      <c r="U2074" s="4">
        <f t="shared" si="130"/>
        <v>13.471841441886134</v>
      </c>
      <c r="X2074" s="43" t="s">
        <v>2191</v>
      </c>
      <c r="Y2074" s="4">
        <v>13.515030971662499</v>
      </c>
      <c r="Z2074" s="4">
        <v>13.7843394739466</v>
      </c>
      <c r="AA2074" s="4">
        <v>13.608353114757501</v>
      </c>
      <c r="AB2074" s="4">
        <f t="shared" si="131"/>
        <v>13.635907853455533</v>
      </c>
    </row>
    <row r="2075" spans="2:28" x14ac:dyDescent="0.2">
      <c r="B2075" s="4" t="s">
        <v>2091</v>
      </c>
      <c r="C2075" s="4">
        <v>13.546799999999999</v>
      </c>
      <c r="D2075" s="4">
        <v>13.520799999999999</v>
      </c>
      <c r="E2075" s="4">
        <v>13.8566</v>
      </c>
      <c r="F2075" s="4">
        <f t="shared" si="128"/>
        <v>13.641399999999999</v>
      </c>
      <c r="I2075" s="4" t="s">
        <v>1445</v>
      </c>
      <c r="J2075" s="4">
        <v>13.539199999999999</v>
      </c>
      <c r="K2075" s="4">
        <v>13.8405</v>
      </c>
      <c r="L2075" s="4">
        <v>13.5266</v>
      </c>
      <c r="M2075" s="4">
        <f t="shared" si="129"/>
        <v>13.635433333333333</v>
      </c>
      <c r="Q2075" s="43" t="s">
        <v>1609</v>
      </c>
      <c r="R2075" s="4">
        <v>13.874378670100601</v>
      </c>
      <c r="S2075" s="4">
        <v>13.4420727758586</v>
      </c>
      <c r="T2075" s="4">
        <v>13.096062631065299</v>
      </c>
      <c r="U2075" s="4">
        <f t="shared" si="130"/>
        <v>13.470838025674835</v>
      </c>
      <c r="X2075" s="43" t="s">
        <v>4302</v>
      </c>
      <c r="Y2075" s="4">
        <v>13.2047811023167</v>
      </c>
      <c r="Z2075" s="4">
        <v>13.739663445094701</v>
      </c>
      <c r="AA2075" s="4">
        <v>13.9615854224594</v>
      </c>
      <c r="AB2075" s="4">
        <f t="shared" si="131"/>
        <v>13.635343323290266</v>
      </c>
    </row>
    <row r="2076" spans="2:28" x14ac:dyDescent="0.2">
      <c r="B2076" s="4" t="s">
        <v>3735</v>
      </c>
      <c r="C2076" s="4">
        <v>14.677899999999999</v>
      </c>
      <c r="D2076" s="4">
        <v>12.917899999999999</v>
      </c>
      <c r="E2076" s="4">
        <v>13.3276</v>
      </c>
      <c r="F2076" s="4">
        <f t="shared" si="128"/>
        <v>13.641133333333334</v>
      </c>
      <c r="I2076" s="4" t="s">
        <v>1302</v>
      </c>
      <c r="J2076" s="4">
        <v>14.055999999999999</v>
      </c>
      <c r="K2076" s="4">
        <v>12.6235</v>
      </c>
      <c r="L2076" s="4">
        <v>14.2264</v>
      </c>
      <c r="M2076" s="4">
        <f t="shared" si="129"/>
        <v>13.635299999999999</v>
      </c>
      <c r="Q2076" s="43" t="s">
        <v>2925</v>
      </c>
      <c r="R2076" s="4">
        <v>13.2096874205399</v>
      </c>
      <c r="S2076" s="4">
        <v>13.513888551494601</v>
      </c>
      <c r="T2076" s="4">
        <v>13.6885932223186</v>
      </c>
      <c r="U2076" s="4">
        <f t="shared" si="130"/>
        <v>13.470723064784368</v>
      </c>
      <c r="X2076" s="43" t="s">
        <v>693</v>
      </c>
      <c r="Y2076" s="4">
        <v>13.716524042685</v>
      </c>
      <c r="Z2076" s="4">
        <v>13.9125899762166</v>
      </c>
      <c r="AA2076" s="4">
        <v>13.271527896993</v>
      </c>
      <c r="AB2076" s="4">
        <f t="shared" si="131"/>
        <v>13.633547305298199</v>
      </c>
    </row>
    <row r="2077" spans="2:28" x14ac:dyDescent="0.2">
      <c r="B2077" s="4" t="s">
        <v>2955</v>
      </c>
      <c r="C2077" s="4">
        <v>14.008599999999999</v>
      </c>
      <c r="D2077" s="4">
        <v>13.4405</v>
      </c>
      <c r="E2077" s="4">
        <v>13.4559</v>
      </c>
      <c r="F2077" s="4">
        <f t="shared" si="128"/>
        <v>13.635</v>
      </c>
      <c r="I2077" s="4" t="s">
        <v>3017</v>
      </c>
      <c r="J2077" s="4">
        <v>13.445499999999999</v>
      </c>
      <c r="K2077" s="4">
        <v>14.015599999999999</v>
      </c>
      <c r="L2077" s="4">
        <v>13.442399999999999</v>
      </c>
      <c r="M2077" s="4">
        <f t="shared" si="129"/>
        <v>13.634499999999997</v>
      </c>
      <c r="Q2077" s="43" t="s">
        <v>3197</v>
      </c>
      <c r="R2077" s="4">
        <v>13.3057832245581</v>
      </c>
      <c r="S2077" s="4">
        <v>13.4751829440756</v>
      </c>
      <c r="T2077" s="4">
        <v>13.630321956075599</v>
      </c>
      <c r="U2077" s="4">
        <f t="shared" si="130"/>
        <v>13.4704293749031</v>
      </c>
      <c r="X2077" s="43" t="s">
        <v>704</v>
      </c>
      <c r="Y2077" s="4">
        <v>13.682664271337501</v>
      </c>
      <c r="Z2077" s="4">
        <v>13.636457219073201</v>
      </c>
      <c r="AA2077" s="4">
        <v>13.5672629775127</v>
      </c>
      <c r="AB2077" s="4">
        <f t="shared" si="131"/>
        <v>13.628794822641133</v>
      </c>
    </row>
    <row r="2078" spans="2:28" x14ac:dyDescent="0.2">
      <c r="B2078" s="4" t="s">
        <v>1481</v>
      </c>
      <c r="C2078" s="4">
        <v>13.1066</v>
      </c>
      <c r="D2078" s="4">
        <v>13.5868</v>
      </c>
      <c r="E2078" s="4">
        <v>14.2105</v>
      </c>
      <c r="F2078" s="4">
        <f t="shared" si="128"/>
        <v>13.634633333333333</v>
      </c>
      <c r="I2078" s="4" t="s">
        <v>3890</v>
      </c>
      <c r="J2078" s="4">
        <v>13.728999999999999</v>
      </c>
      <c r="K2078" s="4">
        <v>13.216799999999999</v>
      </c>
      <c r="L2078" s="4">
        <v>13.9574</v>
      </c>
      <c r="M2078" s="4">
        <f t="shared" si="129"/>
        <v>13.634399999999999</v>
      </c>
      <c r="Q2078" s="43" t="s">
        <v>1071</v>
      </c>
      <c r="R2078" s="4">
        <v>13.087960779866499</v>
      </c>
      <c r="S2078" s="4">
        <v>13.5317401299103</v>
      </c>
      <c r="T2078" s="4">
        <v>13.7911636934602</v>
      </c>
      <c r="U2078" s="4">
        <f t="shared" si="130"/>
        <v>13.470288201079001</v>
      </c>
      <c r="X2078" s="43" t="s">
        <v>4381</v>
      </c>
      <c r="Y2078" s="4">
        <v>13.825320217591299</v>
      </c>
      <c r="Z2078" s="4">
        <v>13.750213333698699</v>
      </c>
      <c r="AA2078" s="4">
        <v>13.3041978263364</v>
      </c>
      <c r="AB2078" s="4">
        <f t="shared" si="131"/>
        <v>13.626577125875466</v>
      </c>
    </row>
    <row r="2079" spans="2:28" x14ac:dyDescent="0.2">
      <c r="B2079" s="4" t="s">
        <v>3187</v>
      </c>
      <c r="C2079" s="4">
        <v>13.3673</v>
      </c>
      <c r="D2079" s="4">
        <v>14.1258</v>
      </c>
      <c r="E2079" s="4">
        <v>13.4049</v>
      </c>
      <c r="F2079" s="4">
        <f t="shared" si="128"/>
        <v>13.632666666666665</v>
      </c>
      <c r="I2079" s="4" t="s">
        <v>931</v>
      </c>
      <c r="J2079" s="4">
        <v>13.786</v>
      </c>
      <c r="K2079" s="4">
        <v>13.1751</v>
      </c>
      <c r="L2079" s="4">
        <v>13.9382</v>
      </c>
      <c r="M2079" s="4">
        <f t="shared" si="129"/>
        <v>13.633100000000001</v>
      </c>
      <c r="Q2079" s="43" t="s">
        <v>54</v>
      </c>
      <c r="R2079" s="4">
        <v>13.2974136605886</v>
      </c>
      <c r="S2079" s="4">
        <v>13.346906655707301</v>
      </c>
      <c r="T2079" s="4">
        <v>13.763529109147701</v>
      </c>
      <c r="U2079" s="4">
        <f t="shared" si="130"/>
        <v>13.469283141814534</v>
      </c>
      <c r="X2079" s="43" t="s">
        <v>2401</v>
      </c>
      <c r="Y2079" s="4">
        <v>13.661961308861899</v>
      </c>
      <c r="Z2079" s="4">
        <v>13.5262346208949</v>
      </c>
      <c r="AA2079" s="4">
        <v>13.6872224658829</v>
      </c>
      <c r="AB2079" s="4">
        <f t="shared" si="131"/>
        <v>13.625139465213232</v>
      </c>
    </row>
    <row r="2080" spans="2:28" x14ac:dyDescent="0.2">
      <c r="B2080" s="4" t="s">
        <v>2809</v>
      </c>
      <c r="C2080" s="4">
        <v>14.220499999999999</v>
      </c>
      <c r="D2080" s="4">
        <v>13.561299999999999</v>
      </c>
      <c r="E2080" s="4">
        <v>13.113</v>
      </c>
      <c r="F2080" s="4">
        <f t="shared" si="128"/>
        <v>13.631599999999999</v>
      </c>
      <c r="I2080" s="4" t="s">
        <v>3366</v>
      </c>
      <c r="J2080" s="4">
        <v>13.8813</v>
      </c>
      <c r="K2080" s="4">
        <v>13.063599999999999</v>
      </c>
      <c r="L2080" s="4">
        <v>13.9519</v>
      </c>
      <c r="M2080" s="4">
        <f t="shared" si="129"/>
        <v>13.632266666666666</v>
      </c>
      <c r="Q2080" s="43" t="s">
        <v>4023</v>
      </c>
      <c r="R2080" s="4">
        <v>13.873572852710399</v>
      </c>
      <c r="S2080" s="4">
        <v>13.3629355539217</v>
      </c>
      <c r="T2080" s="4">
        <v>13.170337865362299</v>
      </c>
      <c r="U2080" s="4">
        <f t="shared" si="130"/>
        <v>13.468948757331466</v>
      </c>
      <c r="X2080" s="43" t="s">
        <v>3096</v>
      </c>
      <c r="Y2080" s="4">
        <v>13.7194001817297</v>
      </c>
      <c r="Z2080" s="4">
        <v>13.6477837469335</v>
      </c>
      <c r="AA2080" s="4">
        <v>13.502568887216899</v>
      </c>
      <c r="AB2080" s="4">
        <f t="shared" si="131"/>
        <v>13.623250938626702</v>
      </c>
    </row>
    <row r="2081" spans="2:28" x14ac:dyDescent="0.2">
      <c r="B2081" s="4" t="s">
        <v>3535</v>
      </c>
      <c r="C2081" s="4">
        <v>13.5608</v>
      </c>
      <c r="D2081" s="4">
        <v>13.762700000000001</v>
      </c>
      <c r="E2081" s="4">
        <v>13.5701</v>
      </c>
      <c r="F2081" s="4">
        <f t="shared" si="128"/>
        <v>13.631200000000002</v>
      </c>
      <c r="I2081" s="4" t="s">
        <v>962</v>
      </c>
      <c r="J2081" s="4">
        <v>14.19</v>
      </c>
      <c r="K2081" s="4">
        <v>13.1938</v>
      </c>
      <c r="L2081" s="4">
        <v>13.5129</v>
      </c>
      <c r="M2081" s="4">
        <f t="shared" si="129"/>
        <v>13.632233333333334</v>
      </c>
      <c r="Q2081" s="43" t="s">
        <v>4381</v>
      </c>
      <c r="R2081" s="4">
        <v>12.994921878204</v>
      </c>
      <c r="S2081" s="4">
        <v>13.8050040339914</v>
      </c>
      <c r="T2081" s="4">
        <v>13.6047683352496</v>
      </c>
      <c r="U2081" s="4">
        <f t="shared" si="130"/>
        <v>13.468231415815</v>
      </c>
      <c r="X2081" s="43" t="s">
        <v>1614</v>
      </c>
      <c r="Y2081" s="4">
        <v>13.779118335927</v>
      </c>
      <c r="Z2081" s="4">
        <v>13.712420955535499</v>
      </c>
      <c r="AA2081" s="4">
        <v>13.3762644825709</v>
      </c>
      <c r="AB2081" s="4">
        <f t="shared" si="131"/>
        <v>13.622601258011136</v>
      </c>
    </row>
    <row r="2082" spans="2:28" x14ac:dyDescent="0.2">
      <c r="B2082" s="4" t="s">
        <v>1509</v>
      </c>
      <c r="C2082" s="4">
        <v>13.793799999999999</v>
      </c>
      <c r="D2082" s="4">
        <v>13.742900000000001</v>
      </c>
      <c r="E2082" s="4">
        <v>13.355600000000001</v>
      </c>
      <c r="F2082" s="4">
        <f t="shared" si="128"/>
        <v>13.630766666666666</v>
      </c>
      <c r="I2082" s="4" t="s">
        <v>2263</v>
      </c>
      <c r="J2082" s="4">
        <v>13.789</v>
      </c>
      <c r="K2082" s="4">
        <v>13.310499999999999</v>
      </c>
      <c r="L2082" s="4">
        <v>13.7791</v>
      </c>
      <c r="M2082" s="4">
        <f t="shared" si="129"/>
        <v>13.626199999999999</v>
      </c>
      <c r="Q2082" s="43" t="s">
        <v>2746</v>
      </c>
      <c r="R2082" s="4">
        <v>13.350620704728</v>
      </c>
      <c r="S2082" s="4">
        <v>13.4052108474059</v>
      </c>
      <c r="T2082" s="4">
        <v>13.6477593319064</v>
      </c>
      <c r="U2082" s="4">
        <f t="shared" si="130"/>
        <v>13.467863628013433</v>
      </c>
      <c r="X2082" s="43" t="s">
        <v>4572</v>
      </c>
      <c r="Y2082" s="4">
        <v>12.823130654587199</v>
      </c>
      <c r="Z2082" s="4">
        <v>14.5012567143974</v>
      </c>
      <c r="AA2082" s="4">
        <v>13.5418104283726</v>
      </c>
      <c r="AB2082" s="4">
        <f t="shared" si="131"/>
        <v>13.622065932452401</v>
      </c>
    </row>
    <row r="2083" spans="2:28" x14ac:dyDescent="0.2">
      <c r="B2083" s="4" t="s">
        <v>1503</v>
      </c>
      <c r="C2083" s="4">
        <v>12.834199999999999</v>
      </c>
      <c r="D2083" s="4">
        <v>14.007199999999999</v>
      </c>
      <c r="E2083" s="4">
        <v>14.0433</v>
      </c>
      <c r="F2083" s="4">
        <f t="shared" si="128"/>
        <v>13.628233333333334</v>
      </c>
      <c r="I2083" s="4" t="s">
        <v>287</v>
      </c>
      <c r="J2083" s="4">
        <v>13.799300000000001</v>
      </c>
      <c r="K2083" s="4">
        <v>13.2934</v>
      </c>
      <c r="L2083" s="4">
        <v>13.7822</v>
      </c>
      <c r="M2083" s="4">
        <f t="shared" si="129"/>
        <v>13.624966666666666</v>
      </c>
      <c r="Q2083" s="43" t="s">
        <v>137</v>
      </c>
      <c r="R2083" s="4">
        <v>13.444383773234399</v>
      </c>
      <c r="S2083" s="4">
        <v>13.548076228377001</v>
      </c>
      <c r="T2083" s="4">
        <v>13.409823507107401</v>
      </c>
      <c r="U2083" s="4">
        <f t="shared" si="130"/>
        <v>13.467427836239599</v>
      </c>
      <c r="X2083" s="43" t="s">
        <v>238</v>
      </c>
      <c r="Y2083" s="4">
        <v>13.850223800548999</v>
      </c>
      <c r="Z2083" s="4">
        <v>13.4990592002352</v>
      </c>
      <c r="AA2083" s="4">
        <v>13.5115831564485</v>
      </c>
      <c r="AB2083" s="4">
        <f t="shared" si="131"/>
        <v>13.620288719077566</v>
      </c>
    </row>
    <row r="2084" spans="2:28" x14ac:dyDescent="0.2">
      <c r="B2084" s="4" t="s">
        <v>1558</v>
      </c>
      <c r="C2084" s="4">
        <v>13.0762</v>
      </c>
      <c r="D2084" s="4">
        <v>13.6938</v>
      </c>
      <c r="E2084" s="4">
        <v>14.113099999999999</v>
      </c>
      <c r="F2084" s="4">
        <f t="shared" si="128"/>
        <v>13.627699999999999</v>
      </c>
      <c r="I2084" s="4" t="s">
        <v>450</v>
      </c>
      <c r="J2084" s="4">
        <v>13.5075</v>
      </c>
      <c r="K2084" s="4">
        <v>13.973100000000001</v>
      </c>
      <c r="L2084" s="4">
        <v>13.3925</v>
      </c>
      <c r="M2084" s="4">
        <f t="shared" si="129"/>
        <v>13.624366666666667</v>
      </c>
      <c r="Q2084" s="43" t="s">
        <v>2383</v>
      </c>
      <c r="R2084" s="4">
        <v>13.2897688303321</v>
      </c>
      <c r="S2084" s="4">
        <v>13.417078534038801</v>
      </c>
      <c r="T2084" s="4">
        <v>13.684905590696101</v>
      </c>
      <c r="U2084" s="4">
        <f t="shared" si="130"/>
        <v>13.463917651689002</v>
      </c>
      <c r="X2084" s="43" t="s">
        <v>4208</v>
      </c>
      <c r="Y2084" s="4">
        <v>13.8171490333319</v>
      </c>
      <c r="Z2084" s="4">
        <v>13.4576880096329</v>
      </c>
      <c r="AA2084" s="4">
        <v>13.5849611372363</v>
      </c>
      <c r="AB2084" s="4">
        <f t="shared" si="131"/>
        <v>13.619932726733699</v>
      </c>
    </row>
    <row r="2085" spans="2:28" x14ac:dyDescent="0.2">
      <c r="B2085" s="4" t="s">
        <v>1494</v>
      </c>
      <c r="C2085" s="4">
        <v>13.458500000000001</v>
      </c>
      <c r="D2085" s="4">
        <v>13.572699999999999</v>
      </c>
      <c r="E2085" s="4">
        <v>13.851599999999999</v>
      </c>
      <c r="F2085" s="4">
        <f t="shared" si="128"/>
        <v>13.627599999999999</v>
      </c>
      <c r="I2085" s="4" t="s">
        <v>1052</v>
      </c>
      <c r="J2085" s="4">
        <v>13.7102</v>
      </c>
      <c r="K2085" s="4">
        <v>14.755000000000001</v>
      </c>
      <c r="L2085" s="4">
        <v>12.3973</v>
      </c>
      <c r="M2085" s="4">
        <f t="shared" si="129"/>
        <v>13.620833333333335</v>
      </c>
      <c r="Q2085" s="43" t="s">
        <v>1764</v>
      </c>
      <c r="R2085" s="4">
        <v>13.5390604664557</v>
      </c>
      <c r="S2085" s="4">
        <v>13.4381383250757</v>
      </c>
      <c r="T2085" s="4">
        <v>13.411341483497599</v>
      </c>
      <c r="U2085" s="4">
        <f t="shared" si="130"/>
        <v>13.462846758343</v>
      </c>
      <c r="X2085" s="43" t="s">
        <v>4574</v>
      </c>
      <c r="Y2085" s="4">
        <v>13.5377501217438</v>
      </c>
      <c r="Z2085" s="4">
        <v>14.157132282974599</v>
      </c>
      <c r="AA2085" s="4">
        <v>13.164172390658299</v>
      </c>
      <c r="AB2085" s="4">
        <f t="shared" si="131"/>
        <v>13.619684931792234</v>
      </c>
    </row>
    <row r="2086" spans="2:28" x14ac:dyDescent="0.2">
      <c r="B2086" s="4" t="s">
        <v>3574</v>
      </c>
      <c r="C2086" s="4">
        <v>13.3089</v>
      </c>
      <c r="D2086" s="4">
        <v>13.9651</v>
      </c>
      <c r="E2086" s="4">
        <v>13.603400000000001</v>
      </c>
      <c r="F2086" s="4">
        <f t="shared" si="128"/>
        <v>13.6258</v>
      </c>
      <c r="I2086" s="4" t="s">
        <v>1524</v>
      </c>
      <c r="J2086" s="4">
        <v>13.1469</v>
      </c>
      <c r="K2086" s="4">
        <v>14.2934</v>
      </c>
      <c r="L2086" s="4">
        <v>13.4217</v>
      </c>
      <c r="M2086" s="4">
        <f t="shared" si="129"/>
        <v>13.620666666666667</v>
      </c>
      <c r="Q2086" s="43" t="s">
        <v>1344</v>
      </c>
      <c r="R2086" s="4">
        <v>13.528063581729601</v>
      </c>
      <c r="S2086" s="4">
        <v>13.598634893440799</v>
      </c>
      <c r="T2086" s="4">
        <v>13.2614313888065</v>
      </c>
      <c r="U2086" s="4">
        <f t="shared" si="130"/>
        <v>13.462709954658967</v>
      </c>
      <c r="X2086" s="43" t="s">
        <v>926</v>
      </c>
      <c r="Y2086" s="4">
        <v>13.4554874207819</v>
      </c>
      <c r="Z2086" s="4">
        <v>13.701699034569801</v>
      </c>
      <c r="AA2086" s="4">
        <v>13.701768467663801</v>
      </c>
      <c r="AB2086" s="4">
        <f t="shared" si="131"/>
        <v>13.619651641005168</v>
      </c>
    </row>
    <row r="2087" spans="2:28" x14ac:dyDescent="0.2">
      <c r="B2087" s="4" t="s">
        <v>1606</v>
      </c>
      <c r="C2087" s="4">
        <v>13.6027</v>
      </c>
      <c r="D2087" s="4">
        <v>13.767200000000001</v>
      </c>
      <c r="E2087" s="4">
        <v>13.507099999999999</v>
      </c>
      <c r="F2087" s="4">
        <f t="shared" si="128"/>
        <v>13.625666666666667</v>
      </c>
      <c r="I2087" s="4" t="s">
        <v>281</v>
      </c>
      <c r="J2087" s="4">
        <v>13.642099999999999</v>
      </c>
      <c r="K2087" s="4">
        <v>13.974</v>
      </c>
      <c r="L2087" s="4">
        <v>13.2439</v>
      </c>
      <c r="M2087" s="4">
        <f t="shared" si="129"/>
        <v>13.62</v>
      </c>
      <c r="Q2087" s="43" t="s">
        <v>4018</v>
      </c>
      <c r="R2087" s="4">
        <v>13.5615522796503</v>
      </c>
      <c r="S2087" s="4">
        <v>13.410564681893501</v>
      </c>
      <c r="T2087" s="4">
        <v>13.4156321973116</v>
      </c>
      <c r="U2087" s="4">
        <f t="shared" si="130"/>
        <v>13.4625830529518</v>
      </c>
      <c r="X2087" s="43" t="s">
        <v>253</v>
      </c>
      <c r="Y2087" s="4">
        <v>13.9112913125132</v>
      </c>
      <c r="Z2087" s="4">
        <v>13.4420035758633</v>
      </c>
      <c r="AA2087" s="4">
        <v>13.5017283522774</v>
      </c>
      <c r="AB2087" s="4">
        <f t="shared" si="131"/>
        <v>13.618341080217967</v>
      </c>
    </row>
    <row r="2088" spans="2:28" x14ac:dyDescent="0.2">
      <c r="B2088" s="4" t="s">
        <v>3961</v>
      </c>
      <c r="C2088" s="4">
        <v>14.027100000000001</v>
      </c>
      <c r="D2088" s="4">
        <v>14.0451</v>
      </c>
      <c r="E2088" s="4">
        <v>12.7963</v>
      </c>
      <c r="F2088" s="4">
        <f t="shared" si="128"/>
        <v>13.622833333333334</v>
      </c>
      <c r="I2088" s="4" t="s">
        <v>2468</v>
      </c>
      <c r="J2088" s="4">
        <v>14.0573</v>
      </c>
      <c r="K2088" s="4">
        <v>13.373200000000001</v>
      </c>
      <c r="L2088" s="4">
        <v>13.4284</v>
      </c>
      <c r="M2088" s="4">
        <f t="shared" si="129"/>
        <v>13.619633333333335</v>
      </c>
      <c r="Q2088" s="43" t="s">
        <v>1541</v>
      </c>
      <c r="R2088" s="4">
        <v>13.655105127331399</v>
      </c>
      <c r="S2088" s="4">
        <v>13.323255341042</v>
      </c>
      <c r="T2088" s="4">
        <v>13.4069676580826</v>
      </c>
      <c r="U2088" s="4">
        <f t="shared" si="130"/>
        <v>13.461776042152001</v>
      </c>
      <c r="X2088" s="43" t="s">
        <v>541</v>
      </c>
      <c r="Y2088" s="4">
        <v>13.682401643208999</v>
      </c>
      <c r="Z2088" s="4">
        <v>13.470074174378301</v>
      </c>
      <c r="AA2088" s="4">
        <v>13.696895364114599</v>
      </c>
      <c r="AB2088" s="4">
        <f t="shared" si="131"/>
        <v>13.616457060567299</v>
      </c>
    </row>
    <row r="2089" spans="2:28" x14ac:dyDescent="0.2">
      <c r="B2089" s="4" t="s">
        <v>3277</v>
      </c>
      <c r="C2089" s="4">
        <v>13.7898</v>
      </c>
      <c r="D2089" s="4">
        <v>13.6699</v>
      </c>
      <c r="E2089" s="4">
        <v>13.407400000000001</v>
      </c>
      <c r="F2089" s="4">
        <f t="shared" si="128"/>
        <v>13.622366666666666</v>
      </c>
      <c r="I2089" s="4" t="s">
        <v>4078</v>
      </c>
      <c r="J2089" s="4">
        <v>13.3507</v>
      </c>
      <c r="K2089" s="4">
        <v>13.959199999999999</v>
      </c>
      <c r="L2089" s="4">
        <v>13.545999999999999</v>
      </c>
      <c r="M2089" s="4">
        <f t="shared" si="129"/>
        <v>13.618633333333333</v>
      </c>
      <c r="Q2089" s="43" t="s">
        <v>2030</v>
      </c>
      <c r="R2089" s="4">
        <v>13.5279945464051</v>
      </c>
      <c r="S2089" s="4">
        <v>13.3948607998156</v>
      </c>
      <c r="T2089" s="4">
        <v>13.4550146970466</v>
      </c>
      <c r="U2089" s="4">
        <f t="shared" si="130"/>
        <v>13.459290014422434</v>
      </c>
      <c r="X2089" s="43" t="s">
        <v>3071</v>
      </c>
      <c r="Y2089" s="4">
        <v>13.8292134235215</v>
      </c>
      <c r="Z2089" s="4">
        <v>13.5473253823598</v>
      </c>
      <c r="AA2089" s="4">
        <v>13.471378264997099</v>
      </c>
      <c r="AB2089" s="4">
        <f t="shared" si="131"/>
        <v>13.615972356959466</v>
      </c>
    </row>
    <row r="2090" spans="2:28" x14ac:dyDescent="0.2">
      <c r="B2090" s="4" t="s">
        <v>3623</v>
      </c>
      <c r="C2090" s="4">
        <v>13.554399999999999</v>
      </c>
      <c r="D2090" s="4">
        <v>13.6661</v>
      </c>
      <c r="E2090" s="4">
        <v>13.6427</v>
      </c>
      <c r="F2090" s="4">
        <f t="shared" si="128"/>
        <v>13.621066666666666</v>
      </c>
      <c r="I2090" s="4" t="s">
        <v>3352</v>
      </c>
      <c r="J2090" s="4">
        <v>12.4961</v>
      </c>
      <c r="K2090" s="4">
        <v>15.564299999999999</v>
      </c>
      <c r="L2090" s="4">
        <v>12.791700000000001</v>
      </c>
      <c r="M2090" s="4">
        <f t="shared" si="129"/>
        <v>13.617366666666667</v>
      </c>
      <c r="Q2090" s="43" t="s">
        <v>791</v>
      </c>
      <c r="R2090" s="4">
        <v>12.714612738627199</v>
      </c>
      <c r="S2090" s="4">
        <v>13.6322300979036</v>
      </c>
      <c r="T2090" s="4">
        <v>14.0261809650834</v>
      </c>
      <c r="U2090" s="4">
        <f t="shared" si="130"/>
        <v>13.457674600538065</v>
      </c>
      <c r="X2090" s="43" t="s">
        <v>1868</v>
      </c>
      <c r="Y2090" s="4">
        <v>13.7351990605081</v>
      </c>
      <c r="Z2090" s="4">
        <v>13.6634451593963</v>
      </c>
      <c r="AA2090" s="4">
        <v>13.446705149983501</v>
      </c>
      <c r="AB2090" s="4">
        <f t="shared" si="131"/>
        <v>13.6151164566293</v>
      </c>
    </row>
    <row r="2091" spans="2:28" x14ac:dyDescent="0.2">
      <c r="B2091" s="4" t="s">
        <v>1602</v>
      </c>
      <c r="C2091" s="4">
        <v>13.0298</v>
      </c>
      <c r="D2091" s="4">
        <v>13.3263</v>
      </c>
      <c r="E2091" s="4">
        <v>14.501300000000001</v>
      </c>
      <c r="F2091" s="4">
        <f t="shared" si="128"/>
        <v>13.619133333333332</v>
      </c>
      <c r="I2091" s="4" t="s">
        <v>751</v>
      </c>
      <c r="J2091" s="4">
        <v>13.1075</v>
      </c>
      <c r="K2091" s="4">
        <v>14.213200000000001</v>
      </c>
      <c r="L2091" s="4">
        <v>13.530200000000001</v>
      </c>
      <c r="M2091" s="4">
        <f t="shared" si="129"/>
        <v>13.616966666666668</v>
      </c>
      <c r="Q2091" s="43" t="s">
        <v>2145</v>
      </c>
      <c r="R2091" s="4">
        <v>13.5422215750276</v>
      </c>
      <c r="S2091" s="4">
        <v>13.6319414091917</v>
      </c>
      <c r="T2091" s="4">
        <v>13.1958203544171</v>
      </c>
      <c r="U2091" s="4">
        <f t="shared" si="130"/>
        <v>13.4566611128788</v>
      </c>
      <c r="X2091" s="43" t="s">
        <v>2471</v>
      </c>
      <c r="Y2091" s="4">
        <v>13.5912661303803</v>
      </c>
      <c r="Z2091" s="4">
        <v>13.4561457630126</v>
      </c>
      <c r="AA2091" s="4">
        <v>13.794749057273901</v>
      </c>
      <c r="AB2091" s="4">
        <f t="shared" si="131"/>
        <v>13.614053650222266</v>
      </c>
    </row>
    <row r="2092" spans="2:28" x14ac:dyDescent="0.2">
      <c r="B2092" s="4" t="s">
        <v>1172</v>
      </c>
      <c r="C2092" s="4">
        <v>13.2765</v>
      </c>
      <c r="D2092" s="4">
        <v>13.5945</v>
      </c>
      <c r="E2092" s="4">
        <v>13.983599999999999</v>
      </c>
      <c r="F2092" s="4">
        <f t="shared" si="128"/>
        <v>13.618200000000002</v>
      </c>
      <c r="I2092" s="4" t="s">
        <v>3554</v>
      </c>
      <c r="J2092" s="4">
        <v>13.529</v>
      </c>
      <c r="K2092" s="4">
        <v>13.7507</v>
      </c>
      <c r="L2092" s="4">
        <v>13.571099999999999</v>
      </c>
      <c r="M2092" s="4">
        <f t="shared" si="129"/>
        <v>13.616933333333334</v>
      </c>
      <c r="Q2092" s="43" t="s">
        <v>2778</v>
      </c>
      <c r="R2092" s="4">
        <v>13.445039309942199</v>
      </c>
      <c r="S2092" s="4">
        <v>13.645453932808101</v>
      </c>
      <c r="T2092" s="4">
        <v>13.277898814496499</v>
      </c>
      <c r="U2092" s="4">
        <f t="shared" si="130"/>
        <v>13.456130685748931</v>
      </c>
      <c r="X2092" s="43" t="s">
        <v>707</v>
      </c>
      <c r="Y2092" s="4">
        <v>13.580025761147001</v>
      </c>
      <c r="Z2092" s="4">
        <v>13.792686165908</v>
      </c>
      <c r="AA2092" s="4">
        <v>13.469383827672299</v>
      </c>
      <c r="AB2092" s="4">
        <f t="shared" si="131"/>
        <v>13.614031918242432</v>
      </c>
    </row>
    <row r="2093" spans="2:28" x14ac:dyDescent="0.2">
      <c r="B2093" s="4" t="s">
        <v>3740</v>
      </c>
      <c r="C2093" s="4">
        <v>13.5488</v>
      </c>
      <c r="D2093" s="4">
        <v>13.702999999999999</v>
      </c>
      <c r="E2093" s="4">
        <v>13.601699999999999</v>
      </c>
      <c r="F2093" s="4">
        <f t="shared" si="128"/>
        <v>13.617833333333332</v>
      </c>
      <c r="I2093" s="4" t="s">
        <v>150</v>
      </c>
      <c r="J2093" s="4">
        <v>13.828900000000001</v>
      </c>
      <c r="K2093" s="4">
        <v>12.9663</v>
      </c>
      <c r="L2093" s="4">
        <v>14.054</v>
      </c>
      <c r="M2093" s="4">
        <f t="shared" si="129"/>
        <v>13.616400000000001</v>
      </c>
      <c r="Q2093" s="43" t="s">
        <v>2394</v>
      </c>
      <c r="R2093" s="4">
        <v>13.4536355756616</v>
      </c>
      <c r="S2093" s="4">
        <v>13.7405031631901</v>
      </c>
      <c r="T2093" s="4">
        <v>13.172459899490899</v>
      </c>
      <c r="U2093" s="4">
        <f t="shared" si="130"/>
        <v>13.455532879447532</v>
      </c>
      <c r="X2093" s="43" t="s">
        <v>3880</v>
      </c>
      <c r="Y2093" s="4">
        <v>13.559882616862801</v>
      </c>
      <c r="Z2093" s="4">
        <v>13.596451227427799</v>
      </c>
      <c r="AA2093" s="4">
        <v>13.6852585451434</v>
      </c>
      <c r="AB2093" s="4">
        <f t="shared" si="131"/>
        <v>13.613864129811333</v>
      </c>
    </row>
    <row r="2094" spans="2:28" x14ac:dyDescent="0.2">
      <c r="B2094" s="4" t="s">
        <v>2490</v>
      </c>
      <c r="C2094" s="4">
        <v>13.3277</v>
      </c>
      <c r="D2094" s="4">
        <v>13.642200000000001</v>
      </c>
      <c r="E2094" s="4">
        <v>13.875999999999999</v>
      </c>
      <c r="F2094" s="4">
        <f t="shared" si="128"/>
        <v>13.6153</v>
      </c>
      <c r="I2094" s="4" t="s">
        <v>3816</v>
      </c>
      <c r="J2094" s="4">
        <v>13.764699999999999</v>
      </c>
      <c r="K2094" s="4">
        <v>13.411899999999999</v>
      </c>
      <c r="L2094" s="4">
        <v>13.672000000000001</v>
      </c>
      <c r="M2094" s="4">
        <f t="shared" si="129"/>
        <v>13.616200000000001</v>
      </c>
      <c r="Q2094" s="43" t="s">
        <v>4501</v>
      </c>
      <c r="R2094" s="4">
        <v>13.3298270772643</v>
      </c>
      <c r="S2094" s="4">
        <v>13.592743999050301</v>
      </c>
      <c r="T2094" s="4">
        <v>13.438429268255</v>
      </c>
      <c r="U2094" s="4">
        <f t="shared" si="130"/>
        <v>13.453666781523202</v>
      </c>
      <c r="X2094" s="43" t="s">
        <v>751</v>
      </c>
      <c r="Y2094" s="4">
        <v>13.9142036370006</v>
      </c>
      <c r="Z2094" s="4">
        <v>13.557894383904101</v>
      </c>
      <c r="AA2094" s="4">
        <v>13.3661124184875</v>
      </c>
      <c r="AB2094" s="4">
        <f t="shared" si="131"/>
        <v>13.612736813130732</v>
      </c>
    </row>
    <row r="2095" spans="2:28" x14ac:dyDescent="0.2">
      <c r="B2095" s="4" t="s">
        <v>943</v>
      </c>
      <c r="C2095" s="4">
        <v>13.860900000000001</v>
      </c>
      <c r="D2095" s="4">
        <v>13.645899999999999</v>
      </c>
      <c r="E2095" s="4">
        <v>13.338699999999999</v>
      </c>
      <c r="F2095" s="4">
        <f t="shared" si="128"/>
        <v>13.615166666666667</v>
      </c>
      <c r="I2095" s="4" t="s">
        <v>835</v>
      </c>
      <c r="J2095" s="4">
        <v>14.0578</v>
      </c>
      <c r="K2095" s="4">
        <v>12.5914</v>
      </c>
      <c r="L2095" s="4">
        <v>14.1912</v>
      </c>
      <c r="M2095" s="4">
        <f t="shared" si="129"/>
        <v>13.613466666666667</v>
      </c>
      <c r="Q2095" s="43" t="s">
        <v>4522</v>
      </c>
      <c r="R2095" s="4">
        <v>13.246939499459099</v>
      </c>
      <c r="S2095" s="4">
        <v>13.8808032095553</v>
      </c>
      <c r="T2095" s="4">
        <v>13.232174288580801</v>
      </c>
      <c r="U2095" s="4">
        <f t="shared" si="130"/>
        <v>13.453305665865066</v>
      </c>
      <c r="X2095" s="43" t="s">
        <v>102</v>
      </c>
      <c r="Y2095" s="4">
        <v>13.6815191047622</v>
      </c>
      <c r="Z2095" s="4">
        <v>13.686145669783899</v>
      </c>
      <c r="AA2095" s="4">
        <v>13.4696998725972</v>
      </c>
      <c r="AB2095" s="4">
        <f t="shared" si="131"/>
        <v>13.612454882381101</v>
      </c>
    </row>
    <row r="2096" spans="2:28" x14ac:dyDescent="0.2">
      <c r="B2096" s="4" t="s">
        <v>868</v>
      </c>
      <c r="C2096" s="4">
        <v>13.4823</v>
      </c>
      <c r="D2096" s="4">
        <v>13.706300000000001</v>
      </c>
      <c r="E2096" s="4">
        <v>13.6562</v>
      </c>
      <c r="F2096" s="4">
        <f t="shared" si="128"/>
        <v>13.614933333333333</v>
      </c>
      <c r="I2096" s="4" t="s">
        <v>3601</v>
      </c>
      <c r="J2096" s="4">
        <v>13.8911</v>
      </c>
      <c r="K2096" s="4">
        <v>13.245200000000001</v>
      </c>
      <c r="L2096" s="4">
        <v>13.6953</v>
      </c>
      <c r="M2096" s="4">
        <f t="shared" si="129"/>
        <v>13.610533333333331</v>
      </c>
      <c r="Q2096" s="43" t="s">
        <v>1757</v>
      </c>
      <c r="R2096" s="4">
        <v>13.2935839121449</v>
      </c>
      <c r="S2096" s="4">
        <v>13.381211356169199</v>
      </c>
      <c r="T2096" s="4">
        <v>13.6757238062588</v>
      </c>
      <c r="U2096" s="4">
        <f t="shared" si="130"/>
        <v>13.450173024857634</v>
      </c>
      <c r="X2096" s="43" t="s">
        <v>491</v>
      </c>
      <c r="Y2096" s="4">
        <v>13.585692257985</v>
      </c>
      <c r="Z2096" s="4">
        <v>13.5147819810997</v>
      </c>
      <c r="AA2096" s="4">
        <v>13.731072162233501</v>
      </c>
      <c r="AB2096" s="4">
        <f t="shared" si="131"/>
        <v>13.610515467106067</v>
      </c>
    </row>
    <row r="2097" spans="2:28" x14ac:dyDescent="0.2">
      <c r="B2097" s="4" t="s">
        <v>3922</v>
      </c>
      <c r="C2097" s="4">
        <v>13.555199999999999</v>
      </c>
      <c r="D2097" s="4">
        <v>13.6578</v>
      </c>
      <c r="E2097" s="4">
        <v>13.6302</v>
      </c>
      <c r="F2097" s="4">
        <f t="shared" si="128"/>
        <v>13.614400000000002</v>
      </c>
      <c r="I2097" s="4" t="s">
        <v>2236</v>
      </c>
      <c r="J2097" s="4">
        <v>13.0543</v>
      </c>
      <c r="K2097" s="4">
        <v>15.597</v>
      </c>
      <c r="L2097" s="4">
        <v>12.180099999999999</v>
      </c>
      <c r="M2097" s="4">
        <f t="shared" si="129"/>
        <v>13.610466666666667</v>
      </c>
      <c r="Q2097" s="43" t="s">
        <v>2463</v>
      </c>
      <c r="R2097" s="4">
        <v>13.164423203800199</v>
      </c>
      <c r="S2097" s="4">
        <v>13.629853708726801</v>
      </c>
      <c r="T2097" s="4">
        <v>13.5433912255455</v>
      </c>
      <c r="U2097" s="4">
        <f t="shared" si="130"/>
        <v>13.445889379357501</v>
      </c>
      <c r="X2097" s="43" t="s">
        <v>4064</v>
      </c>
      <c r="Y2097" s="4">
        <v>13.7782041586477</v>
      </c>
      <c r="Z2097" s="4">
        <v>13.469600784568</v>
      </c>
      <c r="AA2097" s="4">
        <v>13.5815199312592</v>
      </c>
      <c r="AB2097" s="4">
        <f t="shared" si="131"/>
        <v>13.609774958158299</v>
      </c>
    </row>
    <row r="2098" spans="2:28" x14ac:dyDescent="0.2">
      <c r="B2098" s="4" t="s">
        <v>1445</v>
      </c>
      <c r="C2098" s="4">
        <v>13.6737</v>
      </c>
      <c r="D2098" s="4">
        <v>13.559900000000001</v>
      </c>
      <c r="E2098" s="4">
        <v>13.5939</v>
      </c>
      <c r="F2098" s="4">
        <f t="shared" si="128"/>
        <v>13.609166666666667</v>
      </c>
      <c r="I2098" s="4" t="s">
        <v>3096</v>
      </c>
      <c r="J2098" s="4">
        <v>13.7559</v>
      </c>
      <c r="K2098" s="4">
        <v>13.283200000000001</v>
      </c>
      <c r="L2098" s="4">
        <v>13.79</v>
      </c>
      <c r="M2098" s="4">
        <f t="shared" si="129"/>
        <v>13.609699999999998</v>
      </c>
      <c r="Q2098" s="43" t="s">
        <v>3139</v>
      </c>
      <c r="R2098" s="4">
        <v>13.556195872460499</v>
      </c>
      <c r="S2098" s="4">
        <v>13.598509168295699</v>
      </c>
      <c r="T2098" s="4">
        <v>13.1793111432263</v>
      </c>
      <c r="U2098" s="4">
        <f t="shared" si="130"/>
        <v>13.4446720613275</v>
      </c>
      <c r="X2098" s="43" t="s">
        <v>855</v>
      </c>
      <c r="Y2098" s="4">
        <v>13.913938110642601</v>
      </c>
      <c r="Z2098" s="4">
        <v>13.542830440360699</v>
      </c>
      <c r="AA2098" s="4">
        <v>13.371049640435899</v>
      </c>
      <c r="AB2098" s="4">
        <f t="shared" si="131"/>
        <v>13.609272730479733</v>
      </c>
    </row>
    <row r="2099" spans="2:28" x14ac:dyDescent="0.2">
      <c r="B2099" s="4" t="s">
        <v>3718</v>
      </c>
      <c r="C2099" s="4">
        <v>13.445399999999999</v>
      </c>
      <c r="D2099" s="4">
        <v>13.598100000000001</v>
      </c>
      <c r="E2099" s="4">
        <v>13.7826</v>
      </c>
      <c r="F2099" s="4">
        <f t="shared" si="128"/>
        <v>13.608700000000001</v>
      </c>
      <c r="I2099" s="4" t="s">
        <v>3576</v>
      </c>
      <c r="J2099" s="4">
        <v>13.8111</v>
      </c>
      <c r="K2099" s="4">
        <v>13.316599999999999</v>
      </c>
      <c r="L2099" s="4">
        <v>13.700200000000001</v>
      </c>
      <c r="M2099" s="4">
        <f t="shared" si="129"/>
        <v>13.609299999999999</v>
      </c>
      <c r="Q2099" s="43" t="s">
        <v>2336</v>
      </c>
      <c r="R2099" s="4">
        <v>13.5258352217626</v>
      </c>
      <c r="S2099" s="4">
        <v>13.4798634581356</v>
      </c>
      <c r="T2099" s="4">
        <v>13.326807366772099</v>
      </c>
      <c r="U2099" s="4">
        <f t="shared" si="130"/>
        <v>13.444168682223435</v>
      </c>
      <c r="X2099" s="43" t="s">
        <v>774</v>
      </c>
      <c r="Y2099" s="4">
        <v>13.760538768877201</v>
      </c>
      <c r="Z2099" s="4">
        <v>13.4446710232532</v>
      </c>
      <c r="AA2099" s="4">
        <v>13.6210460414674</v>
      </c>
      <c r="AB2099" s="4">
        <f t="shared" si="131"/>
        <v>13.6087519445326</v>
      </c>
    </row>
    <row r="2100" spans="2:28" x14ac:dyDescent="0.2">
      <c r="B2100" s="4" t="s">
        <v>3568</v>
      </c>
      <c r="C2100" s="4">
        <v>12.8163</v>
      </c>
      <c r="D2100" s="4">
        <v>14.1122</v>
      </c>
      <c r="E2100" s="4">
        <v>13.893800000000001</v>
      </c>
      <c r="F2100" s="4">
        <f t="shared" si="128"/>
        <v>13.607433333333333</v>
      </c>
      <c r="I2100" s="4" t="s">
        <v>4032</v>
      </c>
      <c r="J2100" s="4">
        <v>13.627800000000001</v>
      </c>
      <c r="K2100" s="4">
        <v>13.635400000000001</v>
      </c>
      <c r="L2100" s="4">
        <v>13.5627</v>
      </c>
      <c r="M2100" s="4">
        <f t="shared" si="129"/>
        <v>13.608633333333335</v>
      </c>
      <c r="Q2100" s="43" t="s">
        <v>4444</v>
      </c>
      <c r="R2100" s="4">
        <v>13.680383233609</v>
      </c>
      <c r="S2100" s="4">
        <v>13.3119470785239</v>
      </c>
      <c r="T2100" s="4">
        <v>13.339876671744101</v>
      </c>
      <c r="U2100" s="4">
        <f t="shared" si="130"/>
        <v>13.444068994625667</v>
      </c>
      <c r="X2100" s="43" t="s">
        <v>3040</v>
      </c>
      <c r="Y2100" s="4">
        <v>13.6472235723146</v>
      </c>
      <c r="Z2100" s="4">
        <v>13.654445248752401</v>
      </c>
      <c r="AA2100" s="4">
        <v>13.5240422511578</v>
      </c>
      <c r="AB2100" s="4">
        <f t="shared" si="131"/>
        <v>13.608570357408267</v>
      </c>
    </row>
    <row r="2101" spans="2:28" x14ac:dyDescent="0.2">
      <c r="B2101" s="4" t="s">
        <v>3238</v>
      </c>
      <c r="C2101" s="4">
        <v>13.6707</v>
      </c>
      <c r="D2101" s="4">
        <v>13.2773</v>
      </c>
      <c r="E2101" s="4">
        <v>13.870200000000001</v>
      </c>
      <c r="F2101" s="4">
        <f t="shared" si="128"/>
        <v>13.606066666666669</v>
      </c>
      <c r="I2101" s="4" t="s">
        <v>3589</v>
      </c>
      <c r="J2101" s="4">
        <v>13.7561</v>
      </c>
      <c r="K2101" s="4">
        <v>13.180400000000001</v>
      </c>
      <c r="L2101" s="4">
        <v>13.877700000000001</v>
      </c>
      <c r="M2101" s="4">
        <f t="shared" si="129"/>
        <v>13.604733333333334</v>
      </c>
      <c r="Q2101" s="43" t="s">
        <v>3341</v>
      </c>
      <c r="R2101" s="4">
        <v>13.8010220936251</v>
      </c>
      <c r="S2101" s="4">
        <v>13.130860372955301</v>
      </c>
      <c r="T2101" s="4">
        <v>13.3965525785324</v>
      </c>
      <c r="U2101" s="4">
        <f t="shared" si="130"/>
        <v>13.442811681704265</v>
      </c>
      <c r="X2101" s="43" t="s">
        <v>2619</v>
      </c>
      <c r="Y2101" s="4">
        <v>13.5730310666217</v>
      </c>
      <c r="Z2101" s="4">
        <v>13.5959188910102</v>
      </c>
      <c r="AA2101" s="4">
        <v>13.6550579503772</v>
      </c>
      <c r="AB2101" s="4">
        <f t="shared" si="131"/>
        <v>13.608002636003034</v>
      </c>
    </row>
    <row r="2102" spans="2:28" x14ac:dyDescent="0.2">
      <c r="B2102" s="4" t="s">
        <v>3217</v>
      </c>
      <c r="C2102" s="4">
        <v>14.456899999999999</v>
      </c>
      <c r="D2102" s="4">
        <v>13.255599999999999</v>
      </c>
      <c r="E2102" s="4">
        <v>13.1053</v>
      </c>
      <c r="F2102" s="4">
        <f t="shared" si="128"/>
        <v>13.605933333333333</v>
      </c>
      <c r="I2102" s="4" t="s">
        <v>826</v>
      </c>
      <c r="J2102" s="4">
        <v>13.4711</v>
      </c>
      <c r="K2102" s="4">
        <v>13.8515</v>
      </c>
      <c r="L2102" s="4">
        <v>13.491199999999999</v>
      </c>
      <c r="M2102" s="4">
        <f t="shared" si="129"/>
        <v>13.6046</v>
      </c>
      <c r="Q2102" s="43" t="s">
        <v>2165</v>
      </c>
      <c r="R2102" s="4">
        <v>13.4879912750049</v>
      </c>
      <c r="S2102" s="4">
        <v>13.4389840970112</v>
      </c>
      <c r="T2102" s="4">
        <v>13.391077632721499</v>
      </c>
      <c r="U2102" s="4">
        <f t="shared" si="130"/>
        <v>13.439351001579199</v>
      </c>
      <c r="X2102" s="43" t="s">
        <v>4402</v>
      </c>
      <c r="Y2102" s="4">
        <v>13.7831686342497</v>
      </c>
      <c r="Z2102" s="4">
        <v>13.622431332255699</v>
      </c>
      <c r="AA2102" s="4">
        <v>13.4132868396385</v>
      </c>
      <c r="AB2102" s="4">
        <f t="shared" si="131"/>
        <v>13.606295602047966</v>
      </c>
    </row>
    <row r="2103" spans="2:28" x14ac:dyDescent="0.2">
      <c r="B2103" s="4" t="s">
        <v>3349</v>
      </c>
      <c r="C2103" s="4">
        <v>13.343299999999999</v>
      </c>
      <c r="D2103" s="4">
        <v>13.9383</v>
      </c>
      <c r="E2103" s="4">
        <v>13.533899999999999</v>
      </c>
      <c r="F2103" s="4">
        <f t="shared" si="128"/>
        <v>13.605166666666667</v>
      </c>
      <c r="I2103" s="4" t="s">
        <v>3822</v>
      </c>
      <c r="J2103" s="4">
        <v>13.737</v>
      </c>
      <c r="K2103" s="4">
        <v>13.2295</v>
      </c>
      <c r="L2103" s="4">
        <v>13.8466</v>
      </c>
      <c r="M2103" s="4">
        <f t="shared" si="129"/>
        <v>13.604366666666666</v>
      </c>
      <c r="Q2103" s="43" t="s">
        <v>3287</v>
      </c>
      <c r="R2103" s="4">
        <v>13.2414288136458</v>
      </c>
      <c r="S2103" s="4">
        <v>13.6709988157737</v>
      </c>
      <c r="T2103" s="4">
        <v>13.405129210559201</v>
      </c>
      <c r="U2103" s="4">
        <f t="shared" si="130"/>
        <v>13.439185613326233</v>
      </c>
      <c r="X2103" s="43" t="s">
        <v>3993</v>
      </c>
      <c r="Y2103" s="4">
        <v>13.3888785202554</v>
      </c>
      <c r="Z2103" s="4">
        <v>13.828823193259099</v>
      </c>
      <c r="AA2103" s="4">
        <v>13.5958936534965</v>
      </c>
      <c r="AB2103" s="4">
        <f t="shared" si="131"/>
        <v>13.604531789003667</v>
      </c>
    </row>
    <row r="2104" spans="2:28" x14ac:dyDescent="0.2">
      <c r="B2104" s="4" t="s">
        <v>2877</v>
      </c>
      <c r="C2104" s="4">
        <v>13.442500000000001</v>
      </c>
      <c r="D2104" s="4">
        <v>13.665900000000001</v>
      </c>
      <c r="E2104" s="4">
        <v>13.7042</v>
      </c>
      <c r="F2104" s="4">
        <f t="shared" si="128"/>
        <v>13.604200000000001</v>
      </c>
      <c r="I2104" s="4" t="s">
        <v>902</v>
      </c>
      <c r="J2104" s="4">
        <v>13.8908</v>
      </c>
      <c r="K2104" s="4">
        <v>12.9885</v>
      </c>
      <c r="L2104" s="4">
        <v>13.9331</v>
      </c>
      <c r="M2104" s="4">
        <f t="shared" si="129"/>
        <v>13.604133333333332</v>
      </c>
      <c r="Q2104" s="43" t="s">
        <v>4207</v>
      </c>
      <c r="R2104" s="4">
        <v>13.211937471353</v>
      </c>
      <c r="S2104" s="4">
        <v>13.4683827577659</v>
      </c>
      <c r="T2104" s="4">
        <v>13.6372219121212</v>
      </c>
      <c r="U2104" s="4">
        <f t="shared" si="130"/>
        <v>13.439180713746699</v>
      </c>
      <c r="X2104" s="43" t="s">
        <v>3813</v>
      </c>
      <c r="Y2104" s="4">
        <v>13.4279535294987</v>
      </c>
      <c r="Z2104" s="4">
        <v>13.5008735430439</v>
      </c>
      <c r="AA2104" s="4">
        <v>13.882413533262699</v>
      </c>
      <c r="AB2104" s="4">
        <f t="shared" si="131"/>
        <v>13.603746868601766</v>
      </c>
    </row>
    <row r="2105" spans="2:28" x14ac:dyDescent="0.2">
      <c r="B2105" s="4" t="s">
        <v>1002</v>
      </c>
      <c r="C2105" s="4">
        <v>13.520099999999999</v>
      </c>
      <c r="D2105" s="4">
        <v>13.655200000000001</v>
      </c>
      <c r="E2105" s="4">
        <v>13.634</v>
      </c>
      <c r="F2105" s="4">
        <f t="shared" si="128"/>
        <v>13.6031</v>
      </c>
      <c r="I2105" s="4" t="s">
        <v>554</v>
      </c>
      <c r="J2105" s="4">
        <v>13.6685</v>
      </c>
      <c r="K2105" s="4">
        <v>13.8116</v>
      </c>
      <c r="L2105" s="4">
        <v>13.3276</v>
      </c>
      <c r="M2105" s="4">
        <f t="shared" si="129"/>
        <v>13.602566666666666</v>
      </c>
      <c r="Q2105" s="43" t="s">
        <v>803</v>
      </c>
      <c r="R2105" s="4">
        <v>13.292853251902001</v>
      </c>
      <c r="S2105" s="4">
        <v>13.416012961981499</v>
      </c>
      <c r="T2105" s="4">
        <v>13.5996809697115</v>
      </c>
      <c r="U2105" s="4">
        <f t="shared" si="130"/>
        <v>13.436182394531665</v>
      </c>
      <c r="X2105" s="43" t="s">
        <v>4405</v>
      </c>
      <c r="Y2105" s="4">
        <v>13.7415084491246</v>
      </c>
      <c r="Z2105" s="4">
        <v>13.635680570716399</v>
      </c>
      <c r="AA2105" s="4">
        <v>13.4324611297928</v>
      </c>
      <c r="AB2105" s="4">
        <f t="shared" si="131"/>
        <v>13.603216716544599</v>
      </c>
    </row>
    <row r="2106" spans="2:28" x14ac:dyDescent="0.2">
      <c r="B2106" s="4" t="s">
        <v>370</v>
      </c>
      <c r="C2106" s="4">
        <v>13.048999999999999</v>
      </c>
      <c r="D2106" s="4">
        <v>12.8986</v>
      </c>
      <c r="E2106" s="4">
        <v>14.851000000000001</v>
      </c>
      <c r="F2106" s="4">
        <f t="shared" si="128"/>
        <v>13.599533333333333</v>
      </c>
      <c r="I2106" s="4" t="s">
        <v>2431</v>
      </c>
      <c r="J2106" s="4">
        <v>12.5084</v>
      </c>
      <c r="K2106" s="4">
        <v>15.3934</v>
      </c>
      <c r="L2106" s="4">
        <v>12.9041</v>
      </c>
      <c r="M2106" s="4">
        <f t="shared" si="129"/>
        <v>13.601966666666668</v>
      </c>
      <c r="Q2106" s="43" t="s">
        <v>2623</v>
      </c>
      <c r="R2106" s="4">
        <v>13.116517191803499</v>
      </c>
      <c r="S2106" s="4">
        <v>13.472913753610399</v>
      </c>
      <c r="T2106" s="4">
        <v>13.7179147799335</v>
      </c>
      <c r="U2106" s="4">
        <f t="shared" si="130"/>
        <v>13.435781908449131</v>
      </c>
      <c r="X2106" s="43" t="s">
        <v>719</v>
      </c>
      <c r="Y2106" s="4">
        <v>13.800768265829101</v>
      </c>
      <c r="Z2106" s="4">
        <v>13.354862918221</v>
      </c>
      <c r="AA2106" s="4">
        <v>13.6529914422659</v>
      </c>
      <c r="AB2106" s="4">
        <f t="shared" si="131"/>
        <v>13.602874208772</v>
      </c>
    </row>
    <row r="2107" spans="2:28" x14ac:dyDescent="0.2">
      <c r="B2107" s="4" t="s">
        <v>2390</v>
      </c>
      <c r="C2107" s="4">
        <v>13.0345</v>
      </c>
      <c r="D2107" s="4">
        <v>13.673500000000001</v>
      </c>
      <c r="E2107" s="4">
        <v>14.086600000000001</v>
      </c>
      <c r="F2107" s="4">
        <f t="shared" si="128"/>
        <v>13.5982</v>
      </c>
      <c r="I2107" s="4" t="s">
        <v>2826</v>
      </c>
      <c r="J2107" s="4">
        <v>13.744899999999999</v>
      </c>
      <c r="K2107" s="4">
        <v>13.3499</v>
      </c>
      <c r="L2107" s="4">
        <v>13.707800000000001</v>
      </c>
      <c r="M2107" s="4">
        <f t="shared" si="129"/>
        <v>13.600866666666667</v>
      </c>
      <c r="Q2107" s="43" t="s">
        <v>597</v>
      </c>
      <c r="R2107" s="4">
        <v>13.437114724566699</v>
      </c>
      <c r="S2107" s="4">
        <v>13.5265737311852</v>
      </c>
      <c r="T2107" s="4">
        <v>13.3380410952138</v>
      </c>
      <c r="U2107" s="4">
        <f t="shared" si="130"/>
        <v>13.433909850321902</v>
      </c>
      <c r="X2107" s="43" t="s">
        <v>2999</v>
      </c>
      <c r="Y2107" s="4">
        <v>13.5741312258244</v>
      </c>
      <c r="Z2107" s="4">
        <v>13.5413299021342</v>
      </c>
      <c r="AA2107" s="4">
        <v>13.6928334505991</v>
      </c>
      <c r="AB2107" s="4">
        <f t="shared" si="131"/>
        <v>13.602764859519233</v>
      </c>
    </row>
    <row r="2108" spans="2:28" x14ac:dyDescent="0.2">
      <c r="B2108" s="4" t="s">
        <v>2433</v>
      </c>
      <c r="C2108" s="4">
        <v>13.440099999999999</v>
      </c>
      <c r="D2108" s="4">
        <v>13.5846</v>
      </c>
      <c r="E2108" s="4">
        <v>13.769500000000001</v>
      </c>
      <c r="F2108" s="4">
        <f t="shared" si="128"/>
        <v>13.598066666666668</v>
      </c>
      <c r="I2108" s="4" t="s">
        <v>2441</v>
      </c>
      <c r="J2108" s="4">
        <v>13.772399999999999</v>
      </c>
      <c r="K2108" s="4">
        <v>13.2538</v>
      </c>
      <c r="L2108" s="4">
        <v>13.7721</v>
      </c>
      <c r="M2108" s="4">
        <f t="shared" si="129"/>
        <v>13.599433333333332</v>
      </c>
      <c r="Q2108" s="43" t="s">
        <v>3618</v>
      </c>
      <c r="R2108" s="4">
        <v>13.640335033698801</v>
      </c>
      <c r="S2108" s="4">
        <v>13.2918331087469</v>
      </c>
      <c r="T2108" s="4">
        <v>13.3683069251991</v>
      </c>
      <c r="U2108" s="4">
        <f t="shared" si="130"/>
        <v>13.433491689214932</v>
      </c>
      <c r="X2108" s="43" t="s">
        <v>3669</v>
      </c>
      <c r="Y2108" s="4">
        <v>13.585956544372401</v>
      </c>
      <c r="Z2108" s="4">
        <v>13.5455739064478</v>
      </c>
      <c r="AA2108" s="4">
        <v>13.673733580060301</v>
      </c>
      <c r="AB2108" s="4">
        <f t="shared" si="131"/>
        <v>13.601754676960168</v>
      </c>
    </row>
    <row r="2109" spans="2:28" x14ac:dyDescent="0.2">
      <c r="B2109" s="4" t="s">
        <v>314</v>
      </c>
      <c r="C2109" s="4">
        <v>13.9818</v>
      </c>
      <c r="D2109" s="4">
        <v>13.4895</v>
      </c>
      <c r="E2109" s="4">
        <v>13.3172</v>
      </c>
      <c r="F2109" s="4">
        <f t="shared" si="128"/>
        <v>13.596166666666667</v>
      </c>
      <c r="I2109" s="4" t="s">
        <v>4035</v>
      </c>
      <c r="J2109" s="4">
        <v>13.5472</v>
      </c>
      <c r="K2109" s="4">
        <v>13.616</v>
      </c>
      <c r="L2109" s="4">
        <v>13.635</v>
      </c>
      <c r="M2109" s="4">
        <f t="shared" si="129"/>
        <v>13.599400000000001</v>
      </c>
      <c r="Q2109" s="43" t="s">
        <v>3313</v>
      </c>
      <c r="R2109" s="4">
        <v>13.425955914854701</v>
      </c>
      <c r="S2109" s="4">
        <v>13.5397254075675</v>
      </c>
      <c r="T2109" s="4">
        <v>13.3341367090534</v>
      </c>
      <c r="U2109" s="4">
        <f t="shared" si="130"/>
        <v>13.433272677158532</v>
      </c>
      <c r="X2109" s="43" t="s">
        <v>1061</v>
      </c>
      <c r="Y2109" s="4">
        <v>14.111724540886</v>
      </c>
      <c r="Z2109" s="4">
        <v>16.034602750542401</v>
      </c>
      <c r="AA2109" s="4">
        <v>10.656360562517801</v>
      </c>
      <c r="AB2109" s="4">
        <f t="shared" si="131"/>
        <v>13.600895951315399</v>
      </c>
    </row>
    <row r="2110" spans="2:28" x14ac:dyDescent="0.2">
      <c r="B2110" s="4" t="s">
        <v>3593</v>
      </c>
      <c r="C2110" s="4">
        <v>13.5543</v>
      </c>
      <c r="D2110" s="4">
        <v>13.6935</v>
      </c>
      <c r="E2110" s="4">
        <v>13.5359</v>
      </c>
      <c r="F2110" s="4">
        <f t="shared" si="128"/>
        <v>13.594566666666665</v>
      </c>
      <c r="I2110" s="4" t="s">
        <v>790</v>
      </c>
      <c r="J2110" s="4">
        <v>13.694100000000001</v>
      </c>
      <c r="K2110" s="4">
        <v>13.310700000000001</v>
      </c>
      <c r="L2110" s="4">
        <v>13.79</v>
      </c>
      <c r="M2110" s="4">
        <f t="shared" si="129"/>
        <v>13.598266666666667</v>
      </c>
      <c r="Q2110" s="43" t="s">
        <v>1497</v>
      </c>
      <c r="R2110" s="4">
        <v>13.478885327487999</v>
      </c>
      <c r="S2110" s="4">
        <v>13.1861429326663</v>
      </c>
      <c r="T2110" s="4">
        <v>13.626594388666099</v>
      </c>
      <c r="U2110" s="4">
        <f t="shared" si="130"/>
        <v>13.430540882940134</v>
      </c>
      <c r="X2110" s="43" t="s">
        <v>2525</v>
      </c>
      <c r="Y2110" s="4">
        <v>13.609524081214101</v>
      </c>
      <c r="Z2110" s="4">
        <v>13.4714646269996</v>
      </c>
      <c r="AA2110" s="4">
        <v>13.715348309906</v>
      </c>
      <c r="AB2110" s="4">
        <f t="shared" si="131"/>
        <v>13.5987790060399</v>
      </c>
    </row>
    <row r="2111" spans="2:28" x14ac:dyDescent="0.2">
      <c r="B2111" s="4" t="s">
        <v>1522</v>
      </c>
      <c r="C2111" s="4">
        <v>12.720499999999999</v>
      </c>
      <c r="D2111" s="4">
        <v>13.4543</v>
      </c>
      <c r="E2111" s="4">
        <v>14.5969</v>
      </c>
      <c r="F2111" s="4">
        <f t="shared" si="128"/>
        <v>13.590566666666666</v>
      </c>
      <c r="I2111" s="4" t="s">
        <v>2220</v>
      </c>
      <c r="J2111" s="4">
        <v>13.432399999999999</v>
      </c>
      <c r="K2111" s="4">
        <v>13.312099999999999</v>
      </c>
      <c r="L2111" s="4">
        <v>14.047499999999999</v>
      </c>
      <c r="M2111" s="4">
        <f t="shared" si="129"/>
        <v>13.597333333333333</v>
      </c>
      <c r="Q2111" s="43" t="s">
        <v>1261</v>
      </c>
      <c r="R2111" s="4">
        <v>13.239026264226901</v>
      </c>
      <c r="S2111" s="4">
        <v>13.4583559035683</v>
      </c>
      <c r="T2111" s="4">
        <v>13.593055182765401</v>
      </c>
      <c r="U2111" s="4">
        <f t="shared" si="130"/>
        <v>13.430145783520201</v>
      </c>
      <c r="X2111" s="43" t="s">
        <v>2465</v>
      </c>
      <c r="Y2111" s="4">
        <v>13.5148195603755</v>
      </c>
      <c r="Z2111" s="4">
        <v>13.4602802448755</v>
      </c>
      <c r="AA2111" s="4">
        <v>13.8198488257242</v>
      </c>
      <c r="AB2111" s="4">
        <f t="shared" si="131"/>
        <v>13.598316210325066</v>
      </c>
    </row>
    <row r="2112" spans="2:28" x14ac:dyDescent="0.2">
      <c r="B2112" s="4" t="s">
        <v>4057</v>
      </c>
      <c r="C2112" s="4">
        <v>13.4322</v>
      </c>
      <c r="D2112" s="4">
        <v>13.671799999999999</v>
      </c>
      <c r="E2112" s="4">
        <v>13.6637</v>
      </c>
      <c r="F2112" s="4">
        <f t="shared" si="128"/>
        <v>13.589233333333333</v>
      </c>
      <c r="I2112" s="4" t="s">
        <v>2813</v>
      </c>
      <c r="J2112" s="4">
        <v>12.7286</v>
      </c>
      <c r="K2112" s="4">
        <v>14.3264</v>
      </c>
      <c r="L2112" s="4">
        <v>13.730399999999999</v>
      </c>
      <c r="M2112" s="4">
        <f t="shared" si="129"/>
        <v>13.595133333333331</v>
      </c>
      <c r="Q2112" s="43" t="s">
        <v>1886</v>
      </c>
      <c r="R2112" s="4">
        <v>13.1191330159724</v>
      </c>
      <c r="S2112" s="4">
        <v>13.598526654418</v>
      </c>
      <c r="T2112" s="4">
        <v>13.5725817344366</v>
      </c>
      <c r="U2112" s="4">
        <f t="shared" si="130"/>
        <v>13.430080468275667</v>
      </c>
      <c r="X2112" s="43" t="s">
        <v>2934</v>
      </c>
      <c r="Y2112" s="4">
        <v>13.5476158150072</v>
      </c>
      <c r="Z2112" s="4">
        <v>13.4749036643232</v>
      </c>
      <c r="AA2112" s="4">
        <v>13.770894056732899</v>
      </c>
      <c r="AB2112" s="4">
        <f t="shared" si="131"/>
        <v>13.597804512021099</v>
      </c>
    </row>
    <row r="2113" spans="2:28" x14ac:dyDescent="0.2">
      <c r="B2113" s="4" t="s">
        <v>2025</v>
      </c>
      <c r="C2113" s="4">
        <v>13.6609</v>
      </c>
      <c r="D2113" s="4">
        <v>13.4999</v>
      </c>
      <c r="E2113" s="4">
        <v>13.598000000000001</v>
      </c>
      <c r="F2113" s="4">
        <f t="shared" si="128"/>
        <v>13.586266666666667</v>
      </c>
      <c r="I2113" s="4" t="s">
        <v>2167</v>
      </c>
      <c r="J2113" s="4">
        <v>12.624499999999999</v>
      </c>
      <c r="K2113" s="4">
        <v>15.372999999999999</v>
      </c>
      <c r="L2113" s="4">
        <v>12.7828</v>
      </c>
      <c r="M2113" s="4">
        <f t="shared" si="129"/>
        <v>13.593433333333332</v>
      </c>
      <c r="Q2113" s="43" t="s">
        <v>1281</v>
      </c>
      <c r="R2113" s="4">
        <v>13.0289385579566</v>
      </c>
      <c r="S2113" s="4">
        <v>13.658605675787101</v>
      </c>
      <c r="T2113" s="4">
        <v>13.602395873056899</v>
      </c>
      <c r="U2113" s="4">
        <f t="shared" si="130"/>
        <v>13.429980035600201</v>
      </c>
      <c r="X2113" s="43" t="s">
        <v>789</v>
      </c>
      <c r="Y2113" s="4">
        <v>13.332992991609</v>
      </c>
      <c r="Z2113" s="4">
        <v>13.654116976073199</v>
      </c>
      <c r="AA2113" s="4">
        <v>13.8058335335362</v>
      </c>
      <c r="AB2113" s="4">
        <f t="shared" si="131"/>
        <v>13.597647833739467</v>
      </c>
    </row>
    <row r="2114" spans="2:28" x14ac:dyDescent="0.2">
      <c r="B2114" s="4" t="s">
        <v>2752</v>
      </c>
      <c r="C2114" s="4">
        <v>13.583299999999999</v>
      </c>
      <c r="D2114" s="4">
        <v>13.221500000000001</v>
      </c>
      <c r="E2114" s="4">
        <v>13.952299999999999</v>
      </c>
      <c r="F2114" s="4">
        <f t="shared" ref="F2114:F2177" si="132">(C2114+D2114+E2114)/3</f>
        <v>13.585700000000001</v>
      </c>
      <c r="I2114" s="4" t="s">
        <v>4028</v>
      </c>
      <c r="J2114" s="4">
        <v>13.465299999999999</v>
      </c>
      <c r="K2114" s="4">
        <v>13.562799999999999</v>
      </c>
      <c r="L2114" s="4">
        <v>13.7521</v>
      </c>
      <c r="M2114" s="4">
        <f t="shared" ref="M2114:M2177" si="133">(J2114+K2114+L2114)/3</f>
        <v>13.593400000000001</v>
      </c>
      <c r="Q2114" s="43" t="s">
        <v>4012</v>
      </c>
      <c r="R2114" s="4">
        <v>13.638538317415099</v>
      </c>
      <c r="S2114" s="4">
        <v>13.229090392831401</v>
      </c>
      <c r="T2114" s="4">
        <v>13.4212324785695</v>
      </c>
      <c r="U2114" s="4">
        <f t="shared" ref="U2114:U2177" si="134">(R2114+S2114+T2114)/3</f>
        <v>13.429620396272</v>
      </c>
      <c r="X2114" s="43" t="s">
        <v>1180</v>
      </c>
      <c r="Y2114" s="4">
        <v>13.715601071636501</v>
      </c>
      <c r="Z2114" s="4">
        <v>13.512982232183701</v>
      </c>
      <c r="AA2114" s="4">
        <v>13.563628769200299</v>
      </c>
      <c r="AB2114" s="4">
        <f t="shared" ref="AB2114:AB2177" si="135">(Y2114+Z2114+AA2114)/3</f>
        <v>13.597404024340166</v>
      </c>
    </row>
    <row r="2115" spans="2:28" x14ac:dyDescent="0.2">
      <c r="B2115" s="4" t="s">
        <v>430</v>
      </c>
      <c r="C2115" s="4">
        <v>13.653499999999999</v>
      </c>
      <c r="D2115" s="4">
        <v>13.383100000000001</v>
      </c>
      <c r="E2115" s="4">
        <v>13.7194</v>
      </c>
      <c r="F2115" s="4">
        <f t="shared" si="132"/>
        <v>13.585333333333333</v>
      </c>
      <c r="I2115" s="4" t="s">
        <v>2025</v>
      </c>
      <c r="J2115" s="4">
        <v>13.488899999999999</v>
      </c>
      <c r="K2115" s="4">
        <v>13.699</v>
      </c>
      <c r="L2115" s="4">
        <v>13.5883</v>
      </c>
      <c r="M2115" s="4">
        <f t="shared" si="133"/>
        <v>13.592066666666668</v>
      </c>
      <c r="Q2115" s="43" t="s">
        <v>2225</v>
      </c>
      <c r="R2115" s="4">
        <v>13.6671785646099</v>
      </c>
      <c r="S2115" s="4">
        <v>13.493390877033899</v>
      </c>
      <c r="T2115" s="4">
        <v>13.1281786353176</v>
      </c>
      <c r="U2115" s="4">
        <f t="shared" si="134"/>
        <v>13.429582692320466</v>
      </c>
      <c r="X2115" s="43" t="s">
        <v>1363</v>
      </c>
      <c r="Y2115" s="4">
        <v>13.454099113084601</v>
      </c>
      <c r="Z2115" s="4">
        <v>13.603087285870901</v>
      </c>
      <c r="AA2115" s="4">
        <v>13.7321596554946</v>
      </c>
      <c r="AB2115" s="4">
        <f t="shared" si="135"/>
        <v>13.5964486848167</v>
      </c>
    </row>
    <row r="2116" spans="2:28" x14ac:dyDescent="0.2">
      <c r="B2116" s="4" t="s">
        <v>2363</v>
      </c>
      <c r="C2116" s="4">
        <v>14.032299999999999</v>
      </c>
      <c r="D2116" s="4">
        <v>13.430300000000001</v>
      </c>
      <c r="E2116" s="4">
        <v>13.2905</v>
      </c>
      <c r="F2116" s="4">
        <f t="shared" si="132"/>
        <v>13.584366666666668</v>
      </c>
      <c r="I2116" s="4" t="s">
        <v>1535</v>
      </c>
      <c r="J2116" s="4">
        <v>13.034599999999999</v>
      </c>
      <c r="K2116" s="4">
        <v>14.0846</v>
      </c>
      <c r="L2116" s="4">
        <v>13.6563</v>
      </c>
      <c r="M2116" s="4">
        <f t="shared" si="133"/>
        <v>13.591833333333334</v>
      </c>
      <c r="Q2116" s="43" t="s">
        <v>604</v>
      </c>
      <c r="R2116" s="4">
        <v>13.3284485211608</v>
      </c>
      <c r="S2116" s="4">
        <v>13.413871275795</v>
      </c>
      <c r="T2116" s="4">
        <v>13.5456681199445</v>
      </c>
      <c r="U2116" s="4">
        <f t="shared" si="134"/>
        <v>13.429329305633432</v>
      </c>
      <c r="X2116" s="43" t="s">
        <v>4040</v>
      </c>
      <c r="Y2116" s="4">
        <v>13.6067726045196</v>
      </c>
      <c r="Z2116" s="4">
        <v>13.545395310227599</v>
      </c>
      <c r="AA2116" s="4">
        <v>13.637165186772499</v>
      </c>
      <c r="AB2116" s="4">
        <f t="shared" si="135"/>
        <v>13.596444367173234</v>
      </c>
    </row>
    <row r="2117" spans="2:28" x14ac:dyDescent="0.2">
      <c r="B2117" s="4" t="s">
        <v>3166</v>
      </c>
      <c r="C2117" s="4">
        <v>13.8443</v>
      </c>
      <c r="D2117" s="4">
        <v>13.584099999999999</v>
      </c>
      <c r="E2117" s="4">
        <v>13.323600000000001</v>
      </c>
      <c r="F2117" s="4">
        <f t="shared" si="132"/>
        <v>13.584000000000001</v>
      </c>
      <c r="I2117" s="4" t="s">
        <v>2616</v>
      </c>
      <c r="J2117" s="4">
        <v>13.3786</v>
      </c>
      <c r="K2117" s="4">
        <v>13.8245</v>
      </c>
      <c r="L2117" s="4">
        <v>13.5723</v>
      </c>
      <c r="M2117" s="4">
        <f t="shared" si="133"/>
        <v>13.591799999999999</v>
      </c>
      <c r="Q2117" s="43" t="s">
        <v>2826</v>
      </c>
      <c r="R2117" s="4">
        <v>13.3548066522775</v>
      </c>
      <c r="S2117" s="4">
        <v>13.3263723298447</v>
      </c>
      <c r="T2117" s="4">
        <v>13.603938864682901</v>
      </c>
      <c r="U2117" s="4">
        <f t="shared" si="134"/>
        <v>13.428372615601701</v>
      </c>
      <c r="X2117" s="43" t="s">
        <v>1836</v>
      </c>
      <c r="Y2117" s="4">
        <v>13.7739889396485</v>
      </c>
      <c r="Z2117" s="4">
        <v>13.5332860133193</v>
      </c>
      <c r="AA2117" s="4">
        <v>13.4814147743982</v>
      </c>
      <c r="AB2117" s="4">
        <f t="shared" si="135"/>
        <v>13.596229909122002</v>
      </c>
    </row>
    <row r="2118" spans="2:28" x14ac:dyDescent="0.2">
      <c r="B2118" s="4" t="s">
        <v>21</v>
      </c>
      <c r="C2118" s="4">
        <v>13.0265</v>
      </c>
      <c r="D2118" s="4">
        <v>13.751300000000001</v>
      </c>
      <c r="E2118" s="4">
        <v>13.97</v>
      </c>
      <c r="F2118" s="4">
        <f t="shared" si="132"/>
        <v>13.582599999999999</v>
      </c>
      <c r="I2118" s="4" t="s">
        <v>2956</v>
      </c>
      <c r="J2118" s="4">
        <v>13.885999999999999</v>
      </c>
      <c r="K2118" s="4">
        <v>13.5997</v>
      </c>
      <c r="L2118" s="4">
        <v>13.2857</v>
      </c>
      <c r="M2118" s="4">
        <f t="shared" si="133"/>
        <v>13.590466666666666</v>
      </c>
      <c r="Q2118" s="43" t="s">
        <v>1796</v>
      </c>
      <c r="R2118" s="4">
        <v>13.4620099520598</v>
      </c>
      <c r="S2118" s="4">
        <v>13.4202337658113</v>
      </c>
      <c r="T2118" s="4">
        <v>13.3952207107245</v>
      </c>
      <c r="U2118" s="4">
        <f t="shared" si="134"/>
        <v>13.425821476198534</v>
      </c>
      <c r="X2118" s="43" t="s">
        <v>2938</v>
      </c>
      <c r="Y2118" s="4">
        <v>13.5963733916855</v>
      </c>
      <c r="Z2118" s="4">
        <v>13.828981133264</v>
      </c>
      <c r="AA2118" s="4">
        <v>13.358507833665399</v>
      </c>
      <c r="AB2118" s="4">
        <f t="shared" si="135"/>
        <v>13.594620786204965</v>
      </c>
    </row>
    <row r="2119" spans="2:28" x14ac:dyDescent="0.2">
      <c r="B2119" s="4" t="s">
        <v>434</v>
      </c>
      <c r="C2119" s="4">
        <v>13.6563</v>
      </c>
      <c r="D2119" s="4">
        <v>13.324400000000001</v>
      </c>
      <c r="E2119" s="4">
        <v>13.7652</v>
      </c>
      <c r="F2119" s="4">
        <f t="shared" si="132"/>
        <v>13.581966666666666</v>
      </c>
      <c r="I2119" s="4" t="s">
        <v>1396</v>
      </c>
      <c r="J2119" s="4">
        <v>12.1897</v>
      </c>
      <c r="K2119" s="4">
        <v>15.722200000000001</v>
      </c>
      <c r="L2119" s="4">
        <v>12.849399999999999</v>
      </c>
      <c r="M2119" s="4">
        <f t="shared" si="133"/>
        <v>13.587100000000001</v>
      </c>
      <c r="Q2119" s="43" t="s">
        <v>2977</v>
      </c>
      <c r="R2119" s="4">
        <v>13.4478952885075</v>
      </c>
      <c r="S2119" s="4">
        <v>13.4287307680117</v>
      </c>
      <c r="T2119" s="4">
        <v>13.390201757841499</v>
      </c>
      <c r="U2119" s="4">
        <f t="shared" si="134"/>
        <v>13.422275938120231</v>
      </c>
      <c r="X2119" s="43" t="s">
        <v>1205</v>
      </c>
      <c r="Y2119" s="4">
        <v>13.539042205693301</v>
      </c>
      <c r="Z2119" s="4">
        <v>13.6784549661858</v>
      </c>
      <c r="AA2119" s="4">
        <v>13.5651176142973</v>
      </c>
      <c r="AB2119" s="4">
        <f t="shared" si="135"/>
        <v>13.594204928725468</v>
      </c>
    </row>
    <row r="2120" spans="2:28" x14ac:dyDescent="0.2">
      <c r="B2120" s="4" t="s">
        <v>3642</v>
      </c>
      <c r="C2120" s="4">
        <v>13.385400000000001</v>
      </c>
      <c r="D2120" s="4">
        <v>13.7498</v>
      </c>
      <c r="E2120" s="4">
        <v>13.6038</v>
      </c>
      <c r="F2120" s="4">
        <f t="shared" si="132"/>
        <v>13.579666666666668</v>
      </c>
      <c r="I2120" s="4" t="s">
        <v>3794</v>
      </c>
      <c r="J2120" s="4">
        <v>13.575699999999999</v>
      </c>
      <c r="K2120" s="4">
        <v>13.582800000000001</v>
      </c>
      <c r="L2120" s="4">
        <v>13.5937</v>
      </c>
      <c r="M2120" s="4">
        <f t="shared" si="133"/>
        <v>13.584066666666667</v>
      </c>
      <c r="Q2120" s="43" t="s">
        <v>758</v>
      </c>
      <c r="R2120" s="4">
        <v>12.6282493601451</v>
      </c>
      <c r="S2120" s="4">
        <v>13.857895815453199</v>
      </c>
      <c r="T2120" s="4">
        <v>13.7786332659204</v>
      </c>
      <c r="U2120" s="4">
        <f t="shared" si="134"/>
        <v>13.421592813839567</v>
      </c>
      <c r="X2120" s="43" t="s">
        <v>1706</v>
      </c>
      <c r="Y2120" s="4">
        <v>13.7691545033724</v>
      </c>
      <c r="Z2120" s="4">
        <v>13.4369367893161</v>
      </c>
      <c r="AA2120" s="4">
        <v>13.5760872961811</v>
      </c>
      <c r="AB2120" s="4">
        <f t="shared" si="135"/>
        <v>13.5940595296232</v>
      </c>
    </row>
    <row r="2121" spans="2:28" x14ac:dyDescent="0.2">
      <c r="B2121" s="4" t="s">
        <v>2587</v>
      </c>
      <c r="C2121" s="4">
        <v>13.151999999999999</v>
      </c>
      <c r="D2121" s="4">
        <v>13.9428</v>
      </c>
      <c r="E2121" s="4">
        <v>13.6403</v>
      </c>
      <c r="F2121" s="4">
        <f t="shared" si="132"/>
        <v>13.578366666666668</v>
      </c>
      <c r="I2121" s="4" t="s">
        <v>2640</v>
      </c>
      <c r="J2121" s="4">
        <v>13.950799999999999</v>
      </c>
      <c r="K2121" s="4">
        <v>12.6455</v>
      </c>
      <c r="L2121" s="4">
        <v>14.1547</v>
      </c>
      <c r="M2121" s="4">
        <f t="shared" si="133"/>
        <v>13.583666666666666</v>
      </c>
      <c r="Q2121" s="43" t="s">
        <v>2018</v>
      </c>
      <c r="R2121" s="4">
        <v>13.149940056760601</v>
      </c>
      <c r="S2121" s="4">
        <v>13.4600990599662</v>
      </c>
      <c r="T2121" s="4">
        <v>13.6516361268925</v>
      </c>
      <c r="U2121" s="4">
        <f t="shared" si="134"/>
        <v>13.420558414539768</v>
      </c>
      <c r="X2121" s="43" t="s">
        <v>4158</v>
      </c>
      <c r="Y2121" s="4">
        <v>13.784640527950099</v>
      </c>
      <c r="Z2121" s="4">
        <v>13.680596614084999</v>
      </c>
      <c r="AA2121" s="4">
        <v>13.314125921174099</v>
      </c>
      <c r="AB2121" s="4">
        <f t="shared" si="135"/>
        <v>13.593121021069734</v>
      </c>
    </row>
    <row r="2122" spans="2:28" x14ac:dyDescent="0.2">
      <c r="B2122" s="4" t="s">
        <v>3989</v>
      </c>
      <c r="C2122" s="4">
        <v>13.5029</v>
      </c>
      <c r="D2122" s="4">
        <v>13.606400000000001</v>
      </c>
      <c r="E2122" s="4">
        <v>13.624499999999999</v>
      </c>
      <c r="F2122" s="4">
        <f t="shared" si="132"/>
        <v>13.577933333333334</v>
      </c>
      <c r="I2122" s="4" t="s">
        <v>107</v>
      </c>
      <c r="J2122" s="4">
        <v>13.6395</v>
      </c>
      <c r="K2122" s="4">
        <v>13.4415</v>
      </c>
      <c r="L2122" s="4">
        <v>13.6691</v>
      </c>
      <c r="M2122" s="4">
        <f t="shared" si="133"/>
        <v>13.583366666666668</v>
      </c>
      <c r="Q2122" s="43" t="s">
        <v>760</v>
      </c>
      <c r="R2122" s="4">
        <v>13.2549123397333</v>
      </c>
      <c r="S2122" s="4">
        <v>13.4610803202178</v>
      </c>
      <c r="T2122" s="4">
        <v>13.543607972874</v>
      </c>
      <c r="U2122" s="4">
        <f t="shared" si="134"/>
        <v>13.419866877608365</v>
      </c>
      <c r="X2122" s="43" t="s">
        <v>32</v>
      </c>
      <c r="Y2122" s="4">
        <v>13.3004317890362</v>
      </c>
      <c r="Z2122" s="4">
        <v>13.5699263690045</v>
      </c>
      <c r="AA2122" s="4">
        <v>13.907273024175201</v>
      </c>
      <c r="AB2122" s="4">
        <f t="shared" si="135"/>
        <v>13.5925437274053</v>
      </c>
    </row>
    <row r="2123" spans="2:28" x14ac:dyDescent="0.2">
      <c r="B2123" s="4" t="s">
        <v>4033</v>
      </c>
      <c r="C2123" s="4">
        <v>13.4398</v>
      </c>
      <c r="D2123" s="4">
        <v>13.836600000000001</v>
      </c>
      <c r="E2123" s="4">
        <v>13.454599999999999</v>
      </c>
      <c r="F2123" s="4">
        <f t="shared" si="132"/>
        <v>13.577</v>
      </c>
      <c r="I2123" s="4" t="s">
        <v>3409</v>
      </c>
      <c r="J2123" s="4">
        <v>13.2126</v>
      </c>
      <c r="K2123" s="4">
        <v>14.4693</v>
      </c>
      <c r="L2123" s="4">
        <v>13.068</v>
      </c>
      <c r="M2123" s="4">
        <f t="shared" si="133"/>
        <v>13.583299999999999</v>
      </c>
      <c r="Q2123" s="43" t="s">
        <v>788</v>
      </c>
      <c r="R2123" s="4">
        <v>13.396587467326899</v>
      </c>
      <c r="S2123" s="4">
        <v>13.4058213104235</v>
      </c>
      <c r="T2123" s="4">
        <v>13.453502051302801</v>
      </c>
      <c r="U2123" s="4">
        <f t="shared" si="134"/>
        <v>13.418636943017733</v>
      </c>
      <c r="X2123" s="43" t="s">
        <v>3628</v>
      </c>
      <c r="Y2123" s="4">
        <v>13.5718349930952</v>
      </c>
      <c r="Z2123" s="4">
        <v>13.6659645191063</v>
      </c>
      <c r="AA2123" s="4">
        <v>13.5356271995736</v>
      </c>
      <c r="AB2123" s="4">
        <f t="shared" si="135"/>
        <v>13.591142237258367</v>
      </c>
    </row>
    <row r="2124" spans="2:28" x14ac:dyDescent="0.2">
      <c r="B2124" s="4" t="s">
        <v>1507</v>
      </c>
      <c r="C2124" s="4">
        <v>11.9976</v>
      </c>
      <c r="D2124" s="4">
        <v>14.1166</v>
      </c>
      <c r="E2124" s="4">
        <v>14.616199999999999</v>
      </c>
      <c r="F2124" s="4">
        <f t="shared" si="132"/>
        <v>13.5768</v>
      </c>
      <c r="I2124" s="4" t="s">
        <v>3708</v>
      </c>
      <c r="J2124" s="4">
        <v>13.324299999999999</v>
      </c>
      <c r="K2124" s="4">
        <v>14.251300000000001</v>
      </c>
      <c r="L2124" s="4">
        <v>13.172599999999999</v>
      </c>
      <c r="M2124" s="4">
        <f t="shared" si="133"/>
        <v>13.582733333333332</v>
      </c>
      <c r="Q2124" s="43" t="s">
        <v>2904</v>
      </c>
      <c r="R2124" s="4">
        <v>13.5174109969931</v>
      </c>
      <c r="S2124" s="4">
        <v>13.089250207706501</v>
      </c>
      <c r="T2124" s="4">
        <v>13.644920367188201</v>
      </c>
      <c r="U2124" s="4">
        <f t="shared" si="134"/>
        <v>13.417193857295933</v>
      </c>
      <c r="X2124" s="43" t="s">
        <v>2792</v>
      </c>
      <c r="Y2124" s="4">
        <v>13.6290164263518</v>
      </c>
      <c r="Z2124" s="4">
        <v>13.679827791931199</v>
      </c>
      <c r="AA2124" s="4">
        <v>13.4635554631251</v>
      </c>
      <c r="AB2124" s="4">
        <f t="shared" si="135"/>
        <v>13.590799893802702</v>
      </c>
    </row>
    <row r="2125" spans="2:28" x14ac:dyDescent="0.2">
      <c r="B2125" s="4" t="s">
        <v>1336</v>
      </c>
      <c r="C2125" s="4">
        <v>13.433199999999999</v>
      </c>
      <c r="D2125" s="4">
        <v>13.993600000000001</v>
      </c>
      <c r="E2125" s="4">
        <v>13.301299999999999</v>
      </c>
      <c r="F2125" s="4">
        <f t="shared" si="132"/>
        <v>13.576033333333333</v>
      </c>
      <c r="I2125" s="4" t="s">
        <v>1769</v>
      </c>
      <c r="J2125" s="4">
        <v>13.703799999999999</v>
      </c>
      <c r="K2125" s="4">
        <v>13.614800000000001</v>
      </c>
      <c r="L2125" s="4">
        <v>13.4255</v>
      </c>
      <c r="M2125" s="4">
        <f t="shared" si="133"/>
        <v>13.581366666666668</v>
      </c>
      <c r="Q2125" s="43" t="s">
        <v>4014</v>
      </c>
      <c r="R2125" s="4">
        <v>13.6438545684357</v>
      </c>
      <c r="S2125" s="4">
        <v>13.170402637387999</v>
      </c>
      <c r="T2125" s="4">
        <v>13.436984023416301</v>
      </c>
      <c r="U2125" s="4">
        <f t="shared" si="134"/>
        <v>13.417080409746667</v>
      </c>
      <c r="X2125" s="43" t="s">
        <v>3593</v>
      </c>
      <c r="Y2125" s="4">
        <v>13.564784000801801</v>
      </c>
      <c r="Z2125" s="4">
        <v>13.355816255035</v>
      </c>
      <c r="AA2125" s="4">
        <v>13.8481185561857</v>
      </c>
      <c r="AB2125" s="4">
        <f t="shared" si="135"/>
        <v>13.589572937340833</v>
      </c>
    </row>
    <row r="2126" spans="2:28" x14ac:dyDescent="0.2">
      <c r="B2126" s="4" t="s">
        <v>816</v>
      </c>
      <c r="C2126" s="4">
        <v>13.7296</v>
      </c>
      <c r="D2126" s="4">
        <v>13.654</v>
      </c>
      <c r="E2126" s="4">
        <v>13.3375</v>
      </c>
      <c r="F2126" s="4">
        <f t="shared" si="132"/>
        <v>13.573700000000001</v>
      </c>
      <c r="I2126" s="4" t="s">
        <v>3474</v>
      </c>
      <c r="J2126" s="4">
        <v>13.6713</v>
      </c>
      <c r="K2126" s="4">
        <v>13.3125</v>
      </c>
      <c r="L2126" s="4">
        <v>13.745200000000001</v>
      </c>
      <c r="M2126" s="4">
        <f t="shared" si="133"/>
        <v>13.576333333333332</v>
      </c>
      <c r="Q2126" s="43" t="s">
        <v>3241</v>
      </c>
      <c r="R2126" s="4">
        <v>13.645408567954499</v>
      </c>
      <c r="S2126" s="4">
        <v>13.121121405122301</v>
      </c>
      <c r="T2126" s="4">
        <v>13.483551136850499</v>
      </c>
      <c r="U2126" s="4">
        <f t="shared" si="134"/>
        <v>13.4166937033091</v>
      </c>
      <c r="X2126" s="43" t="s">
        <v>1288</v>
      </c>
      <c r="Y2126" s="4">
        <v>13.466989028031801</v>
      </c>
      <c r="Z2126" s="4">
        <v>13.9603124185175</v>
      </c>
      <c r="AA2126" s="4">
        <v>13.340304055787399</v>
      </c>
      <c r="AB2126" s="4">
        <f t="shared" si="135"/>
        <v>13.589201834112233</v>
      </c>
    </row>
    <row r="2127" spans="2:28" x14ac:dyDescent="0.2">
      <c r="B2127" s="4" t="s">
        <v>3137</v>
      </c>
      <c r="C2127" s="4">
        <v>13.1744</v>
      </c>
      <c r="D2127" s="4">
        <v>13.863</v>
      </c>
      <c r="E2127" s="4">
        <v>13.6777</v>
      </c>
      <c r="F2127" s="4">
        <f t="shared" si="132"/>
        <v>13.5717</v>
      </c>
      <c r="I2127" s="4" t="s">
        <v>3706</v>
      </c>
      <c r="J2127" s="4">
        <v>13.721399999999999</v>
      </c>
      <c r="K2127" s="4">
        <v>13.3596</v>
      </c>
      <c r="L2127" s="4">
        <v>13.6472</v>
      </c>
      <c r="M2127" s="4">
        <f t="shared" si="133"/>
        <v>13.576066666666668</v>
      </c>
      <c r="Q2127" s="43" t="s">
        <v>2147</v>
      </c>
      <c r="R2127" s="4">
        <v>13.0180077902713</v>
      </c>
      <c r="S2127" s="4">
        <v>13.4978810466885</v>
      </c>
      <c r="T2127" s="4">
        <v>13.728391379412701</v>
      </c>
      <c r="U2127" s="4">
        <f t="shared" si="134"/>
        <v>13.414760072124167</v>
      </c>
      <c r="X2127" s="43" t="s">
        <v>264</v>
      </c>
      <c r="Y2127" s="4">
        <v>13.5538123352899</v>
      </c>
      <c r="Z2127" s="4">
        <v>13.5952130489352</v>
      </c>
      <c r="AA2127" s="4">
        <v>13.6180721062105</v>
      </c>
      <c r="AB2127" s="4">
        <f t="shared" si="135"/>
        <v>13.589032496811866</v>
      </c>
    </row>
    <row r="2128" spans="2:28" x14ac:dyDescent="0.2">
      <c r="B2128" s="4" t="s">
        <v>2230</v>
      </c>
      <c r="C2128" s="4">
        <v>13.9175</v>
      </c>
      <c r="D2128" s="4">
        <v>13.3908</v>
      </c>
      <c r="E2128" s="4">
        <v>13.406000000000001</v>
      </c>
      <c r="F2128" s="4">
        <f t="shared" si="132"/>
        <v>13.571433333333333</v>
      </c>
      <c r="I2128" s="4" t="s">
        <v>3245</v>
      </c>
      <c r="J2128" s="4">
        <v>13.5284</v>
      </c>
      <c r="K2128" s="4">
        <v>13.576700000000001</v>
      </c>
      <c r="L2128" s="4">
        <v>13.595599999999999</v>
      </c>
      <c r="M2128" s="4">
        <f t="shared" si="133"/>
        <v>13.566899999999999</v>
      </c>
      <c r="Q2128" s="43" t="s">
        <v>50</v>
      </c>
      <c r="R2128" s="4">
        <v>13.2455269516878</v>
      </c>
      <c r="S2128" s="4">
        <v>13.738781666851599</v>
      </c>
      <c r="T2128" s="4">
        <v>13.2591742033768</v>
      </c>
      <c r="U2128" s="4">
        <f t="shared" si="134"/>
        <v>13.414494273972068</v>
      </c>
      <c r="X2128" s="43" t="s">
        <v>2746</v>
      </c>
      <c r="Y2128" s="4">
        <v>13.479791348359701</v>
      </c>
      <c r="Z2128" s="4">
        <v>13.646234214352299</v>
      </c>
      <c r="AA2128" s="4">
        <v>13.6402210639519</v>
      </c>
      <c r="AB2128" s="4">
        <f t="shared" si="135"/>
        <v>13.588748875554634</v>
      </c>
    </row>
    <row r="2129" spans="2:28" x14ac:dyDescent="0.2">
      <c r="B2129" s="4" t="s">
        <v>1325</v>
      </c>
      <c r="C2129" s="4">
        <v>13.6183</v>
      </c>
      <c r="D2129" s="4">
        <v>13.518599999999999</v>
      </c>
      <c r="E2129" s="4">
        <v>13.5771</v>
      </c>
      <c r="F2129" s="4">
        <f t="shared" si="132"/>
        <v>13.571333333333333</v>
      </c>
      <c r="I2129" s="4" t="s">
        <v>104</v>
      </c>
      <c r="J2129" s="4">
        <v>12.782999999999999</v>
      </c>
      <c r="K2129" s="4">
        <v>14.68</v>
      </c>
      <c r="L2129" s="4">
        <v>13.236700000000001</v>
      </c>
      <c r="M2129" s="4">
        <f t="shared" si="133"/>
        <v>13.566566666666667</v>
      </c>
      <c r="Q2129" s="43" t="s">
        <v>517</v>
      </c>
      <c r="R2129" s="4">
        <v>13.1496475165177</v>
      </c>
      <c r="S2129" s="4">
        <v>13.817419870558799</v>
      </c>
      <c r="T2129" s="4">
        <v>13.2762262030071</v>
      </c>
      <c r="U2129" s="4">
        <f t="shared" si="134"/>
        <v>13.414431196694531</v>
      </c>
      <c r="X2129" s="43" t="s">
        <v>1893</v>
      </c>
      <c r="Y2129" s="4">
        <v>13.6129212600499</v>
      </c>
      <c r="Z2129" s="4">
        <v>13.5504610796677</v>
      </c>
      <c r="AA2129" s="4">
        <v>13.602176904163599</v>
      </c>
      <c r="AB2129" s="4">
        <f t="shared" si="135"/>
        <v>13.588519747960399</v>
      </c>
    </row>
    <row r="2130" spans="2:28" x14ac:dyDescent="0.2">
      <c r="B2130" s="4" t="s">
        <v>165</v>
      </c>
      <c r="C2130" s="4">
        <v>13.2171</v>
      </c>
      <c r="D2130" s="4">
        <v>13.528600000000001</v>
      </c>
      <c r="E2130" s="4">
        <v>13.9682</v>
      </c>
      <c r="F2130" s="4">
        <f t="shared" si="132"/>
        <v>13.571299999999999</v>
      </c>
      <c r="I2130" s="4" t="s">
        <v>2904</v>
      </c>
      <c r="J2130" s="4">
        <v>13.247199999999999</v>
      </c>
      <c r="K2130" s="4">
        <v>15.0291</v>
      </c>
      <c r="L2130" s="4">
        <v>12.421900000000001</v>
      </c>
      <c r="M2130" s="4">
        <f t="shared" si="133"/>
        <v>13.566066666666666</v>
      </c>
      <c r="Q2130" s="43" t="s">
        <v>112</v>
      </c>
      <c r="R2130" s="4">
        <v>13.3647751172792</v>
      </c>
      <c r="S2130" s="4">
        <v>13.406770367149401</v>
      </c>
      <c r="T2130" s="4">
        <v>13.4693342086209</v>
      </c>
      <c r="U2130" s="4">
        <f t="shared" si="134"/>
        <v>13.413626564349833</v>
      </c>
      <c r="X2130" s="43" t="s">
        <v>4184</v>
      </c>
      <c r="Y2130" s="4">
        <v>13.565390513104999</v>
      </c>
      <c r="Z2130" s="4">
        <v>13.5355292545488</v>
      </c>
      <c r="AA2130" s="4">
        <v>13.663243329398901</v>
      </c>
      <c r="AB2130" s="4">
        <f t="shared" si="135"/>
        <v>13.588054365684235</v>
      </c>
    </row>
    <row r="2131" spans="2:28" x14ac:dyDescent="0.2">
      <c r="B2131" s="4" t="s">
        <v>174</v>
      </c>
      <c r="C2131" s="4">
        <v>13.525600000000001</v>
      </c>
      <c r="D2131" s="4">
        <v>13.3948</v>
      </c>
      <c r="E2131" s="4">
        <v>13.792299999999999</v>
      </c>
      <c r="F2131" s="4">
        <f t="shared" si="132"/>
        <v>13.5709</v>
      </c>
      <c r="I2131" s="4" t="s">
        <v>1680</v>
      </c>
      <c r="J2131" s="4">
        <v>12.827400000000001</v>
      </c>
      <c r="K2131" s="4">
        <v>14.784700000000001</v>
      </c>
      <c r="L2131" s="4">
        <v>13.083399999999999</v>
      </c>
      <c r="M2131" s="4">
        <f t="shared" si="133"/>
        <v>13.565166666666668</v>
      </c>
      <c r="Q2131" s="43" t="s">
        <v>230</v>
      </c>
      <c r="R2131" s="4">
        <v>13.4985012626189</v>
      </c>
      <c r="S2131" s="4">
        <v>13.448553790931401</v>
      </c>
      <c r="T2131" s="4">
        <v>13.2932637324332</v>
      </c>
      <c r="U2131" s="4">
        <f t="shared" si="134"/>
        <v>13.413439595327835</v>
      </c>
      <c r="X2131" s="43" t="s">
        <v>545</v>
      </c>
      <c r="Y2131" s="4">
        <v>13.4590592652883</v>
      </c>
      <c r="Z2131" s="4">
        <v>13.7520845691514</v>
      </c>
      <c r="AA2131" s="4">
        <v>13.5507331803159</v>
      </c>
      <c r="AB2131" s="4">
        <f t="shared" si="135"/>
        <v>13.587292338251865</v>
      </c>
    </row>
    <row r="2132" spans="2:28" x14ac:dyDescent="0.2">
      <c r="B2132" s="4" t="s">
        <v>3692</v>
      </c>
      <c r="C2132" s="4">
        <v>13.0771</v>
      </c>
      <c r="D2132" s="4">
        <v>13.741</v>
      </c>
      <c r="E2132" s="4">
        <v>13.8942</v>
      </c>
      <c r="F2132" s="4">
        <f t="shared" si="132"/>
        <v>13.570766666666666</v>
      </c>
      <c r="I2132" s="4" t="s">
        <v>1602</v>
      </c>
      <c r="J2132" s="4">
        <v>13.002599999999999</v>
      </c>
      <c r="K2132" s="4">
        <v>14.6768</v>
      </c>
      <c r="L2132" s="4">
        <v>13.015499999999999</v>
      </c>
      <c r="M2132" s="4">
        <f t="shared" si="133"/>
        <v>13.564966666666669</v>
      </c>
      <c r="Q2132" s="43" t="s">
        <v>1228</v>
      </c>
      <c r="R2132" s="4">
        <v>13.593647779142101</v>
      </c>
      <c r="S2132" s="4">
        <v>13.256132302924501</v>
      </c>
      <c r="T2132" s="4">
        <v>13.3867015817109</v>
      </c>
      <c r="U2132" s="4">
        <f t="shared" si="134"/>
        <v>13.412160554592502</v>
      </c>
      <c r="X2132" s="43" t="s">
        <v>3312</v>
      </c>
      <c r="Y2132" s="4">
        <v>13.554308014354699</v>
      </c>
      <c r="Z2132" s="4">
        <v>13.5806161509849</v>
      </c>
      <c r="AA2132" s="4">
        <v>13.626029240420801</v>
      </c>
      <c r="AB2132" s="4">
        <f t="shared" si="135"/>
        <v>13.586984468586799</v>
      </c>
    </row>
    <row r="2133" spans="2:28" x14ac:dyDescent="0.2">
      <c r="B2133" s="4" t="s">
        <v>1023</v>
      </c>
      <c r="C2133" s="4">
        <v>13.1851</v>
      </c>
      <c r="D2133" s="4">
        <v>13.9123</v>
      </c>
      <c r="E2133" s="4">
        <v>13.605399999999999</v>
      </c>
      <c r="F2133" s="4">
        <f t="shared" si="132"/>
        <v>13.567599999999999</v>
      </c>
      <c r="I2133" s="4" t="s">
        <v>2607</v>
      </c>
      <c r="J2133" s="4">
        <v>13.7849</v>
      </c>
      <c r="K2133" s="4">
        <v>13.4114</v>
      </c>
      <c r="L2133" s="4">
        <v>13.4933</v>
      </c>
      <c r="M2133" s="4">
        <f t="shared" si="133"/>
        <v>13.5632</v>
      </c>
      <c r="Q2133" s="43" t="s">
        <v>925</v>
      </c>
      <c r="R2133" s="4">
        <v>12.6773886274114</v>
      </c>
      <c r="S2133" s="4">
        <v>13.687140093762601</v>
      </c>
      <c r="T2133" s="4">
        <v>13.8679699964121</v>
      </c>
      <c r="U2133" s="4">
        <f t="shared" si="134"/>
        <v>13.410832905862032</v>
      </c>
      <c r="X2133" s="43" t="s">
        <v>2666</v>
      </c>
      <c r="Y2133" s="4">
        <v>13.061517228507499</v>
      </c>
      <c r="Z2133" s="4">
        <v>14.0960444090974</v>
      </c>
      <c r="AA2133" s="4">
        <v>13.599607186719799</v>
      </c>
      <c r="AB2133" s="4">
        <f t="shared" si="135"/>
        <v>13.585722941441567</v>
      </c>
    </row>
    <row r="2134" spans="2:28" x14ac:dyDescent="0.2">
      <c r="B2134" s="4" t="s">
        <v>152</v>
      </c>
      <c r="C2134" s="4">
        <v>13.653</v>
      </c>
      <c r="D2134" s="4">
        <v>13.503500000000001</v>
      </c>
      <c r="E2134" s="4">
        <v>13.541399999999999</v>
      </c>
      <c r="F2134" s="4">
        <f t="shared" si="132"/>
        <v>13.565966666666668</v>
      </c>
      <c r="I2134" s="4" t="s">
        <v>4030</v>
      </c>
      <c r="J2134" s="4">
        <v>13.6968</v>
      </c>
      <c r="K2134" s="4">
        <v>13.351100000000001</v>
      </c>
      <c r="L2134" s="4">
        <v>13.6342</v>
      </c>
      <c r="M2134" s="4">
        <f t="shared" si="133"/>
        <v>13.560699999999999</v>
      </c>
      <c r="Q2134" s="43" t="s">
        <v>4203</v>
      </c>
      <c r="R2134" s="4">
        <v>13.2359771421521</v>
      </c>
      <c r="S2134" s="4">
        <v>13.5317604702333</v>
      </c>
      <c r="T2134" s="4">
        <v>13.4643860026114</v>
      </c>
      <c r="U2134" s="4">
        <f t="shared" si="134"/>
        <v>13.410707871665601</v>
      </c>
      <c r="X2134" s="43" t="s">
        <v>4074</v>
      </c>
      <c r="Y2134" s="4">
        <v>13.753350442454201</v>
      </c>
      <c r="Z2134" s="4">
        <v>13.4258374826529</v>
      </c>
      <c r="AA2134" s="4">
        <v>13.5763351358442</v>
      </c>
      <c r="AB2134" s="4">
        <f t="shared" si="135"/>
        <v>13.585174353650435</v>
      </c>
    </row>
    <row r="2135" spans="2:28" x14ac:dyDescent="0.2">
      <c r="B2135" s="4" t="s">
        <v>8</v>
      </c>
      <c r="C2135" s="4">
        <v>13.414899999999999</v>
      </c>
      <c r="D2135" s="4">
        <v>13.6967</v>
      </c>
      <c r="E2135" s="4">
        <v>13.5845</v>
      </c>
      <c r="F2135" s="4">
        <f t="shared" si="132"/>
        <v>13.565366666666668</v>
      </c>
      <c r="I2135" s="4" t="s">
        <v>1211</v>
      </c>
      <c r="J2135" s="4">
        <v>13.581799999999999</v>
      </c>
      <c r="K2135" s="4">
        <v>13.9514</v>
      </c>
      <c r="L2135" s="4">
        <v>13.1472</v>
      </c>
      <c r="M2135" s="4">
        <f t="shared" si="133"/>
        <v>13.560133333333333</v>
      </c>
      <c r="Q2135" s="43" t="s">
        <v>2929</v>
      </c>
      <c r="R2135" s="4">
        <v>13.3640169821303</v>
      </c>
      <c r="S2135" s="4">
        <v>13.363699925605101</v>
      </c>
      <c r="T2135" s="4">
        <v>13.5001408890764</v>
      </c>
      <c r="U2135" s="4">
        <f t="shared" si="134"/>
        <v>13.409285932270599</v>
      </c>
      <c r="X2135" s="43" t="s">
        <v>152</v>
      </c>
      <c r="Y2135" s="4">
        <v>13.571375203823999</v>
      </c>
      <c r="Z2135" s="4">
        <v>13.503155145561699</v>
      </c>
      <c r="AA2135" s="4">
        <v>13.6782929597583</v>
      </c>
      <c r="AB2135" s="4">
        <f t="shared" si="135"/>
        <v>13.584274436381333</v>
      </c>
    </row>
    <row r="2136" spans="2:28" x14ac:dyDescent="0.2">
      <c r="B2136" s="4" t="s">
        <v>2123</v>
      </c>
      <c r="C2136" s="4">
        <v>13.081300000000001</v>
      </c>
      <c r="D2136" s="4">
        <v>13.5395</v>
      </c>
      <c r="E2136" s="4">
        <v>14.073499999999999</v>
      </c>
      <c r="F2136" s="4">
        <f t="shared" si="132"/>
        <v>13.564766666666666</v>
      </c>
      <c r="I2136" s="4" t="s">
        <v>2328</v>
      </c>
      <c r="J2136" s="4">
        <v>12.227</v>
      </c>
      <c r="K2136" s="4">
        <v>16.0273</v>
      </c>
      <c r="L2136" s="4">
        <v>12.4238</v>
      </c>
      <c r="M2136" s="4">
        <f t="shared" si="133"/>
        <v>13.559366666666667</v>
      </c>
      <c r="Q2136" s="43" t="s">
        <v>974</v>
      </c>
      <c r="R2136" s="4">
        <v>13.4789096489566</v>
      </c>
      <c r="S2136" s="4">
        <v>13.292832623252</v>
      </c>
      <c r="T2136" s="4">
        <v>13.449303856781899</v>
      </c>
      <c r="U2136" s="4">
        <f t="shared" si="134"/>
        <v>13.407015376330165</v>
      </c>
      <c r="X2136" s="43" t="s">
        <v>4058</v>
      </c>
      <c r="Y2136" s="4">
        <v>13.765667393177299</v>
      </c>
      <c r="Z2136" s="4">
        <v>13.3381919681306</v>
      </c>
      <c r="AA2136" s="4">
        <v>13.648744914076</v>
      </c>
      <c r="AB2136" s="4">
        <f t="shared" si="135"/>
        <v>13.584201425127965</v>
      </c>
    </row>
    <row r="2137" spans="2:28" x14ac:dyDescent="0.2">
      <c r="B2137" s="4" t="s">
        <v>3941</v>
      </c>
      <c r="C2137" s="4">
        <v>13.474299999999999</v>
      </c>
      <c r="D2137" s="4">
        <v>13.9231</v>
      </c>
      <c r="E2137" s="4">
        <v>13.288399999999999</v>
      </c>
      <c r="F2137" s="4">
        <f t="shared" si="132"/>
        <v>13.561933333333334</v>
      </c>
      <c r="I2137" s="4" t="s">
        <v>1290</v>
      </c>
      <c r="J2137" s="4">
        <v>13.6676</v>
      </c>
      <c r="K2137" s="4">
        <v>13.397</v>
      </c>
      <c r="L2137" s="4">
        <v>13.609500000000001</v>
      </c>
      <c r="M2137" s="4">
        <f t="shared" si="133"/>
        <v>13.558033333333332</v>
      </c>
      <c r="Q2137" s="43" t="s">
        <v>698</v>
      </c>
      <c r="R2137" s="4">
        <v>13.107529017328</v>
      </c>
      <c r="S2137" s="4">
        <v>13.5340167080908</v>
      </c>
      <c r="T2137" s="4">
        <v>13.5786381847534</v>
      </c>
      <c r="U2137" s="4">
        <f t="shared" si="134"/>
        <v>13.406727970057402</v>
      </c>
      <c r="X2137" s="43" t="s">
        <v>4392</v>
      </c>
      <c r="Y2137" s="4">
        <v>13.5630697676882</v>
      </c>
      <c r="Z2137" s="4">
        <v>13.334328783441601</v>
      </c>
      <c r="AA2137" s="4">
        <v>13.853770690514899</v>
      </c>
      <c r="AB2137" s="4">
        <f t="shared" si="135"/>
        <v>13.583723080548234</v>
      </c>
    </row>
    <row r="2138" spans="2:28" x14ac:dyDescent="0.2">
      <c r="B2138" s="4" t="s">
        <v>685</v>
      </c>
      <c r="C2138" s="4">
        <v>13.966799999999999</v>
      </c>
      <c r="D2138" s="4">
        <v>13.6448</v>
      </c>
      <c r="E2138" s="4">
        <v>13.0687</v>
      </c>
      <c r="F2138" s="4">
        <f t="shared" si="132"/>
        <v>13.5601</v>
      </c>
      <c r="I2138" s="4" t="s">
        <v>1522</v>
      </c>
      <c r="J2138" s="4">
        <v>13.4581</v>
      </c>
      <c r="K2138" s="4">
        <v>13.6492</v>
      </c>
      <c r="L2138" s="4">
        <v>13.564299999999999</v>
      </c>
      <c r="M2138" s="4">
        <f t="shared" si="133"/>
        <v>13.5572</v>
      </c>
      <c r="Q2138" s="43" t="s">
        <v>2999</v>
      </c>
      <c r="R2138" s="4">
        <v>13.2506017670574</v>
      </c>
      <c r="S2138" s="4">
        <v>13.4774264405547</v>
      </c>
      <c r="T2138" s="4">
        <v>13.4904633790507</v>
      </c>
      <c r="U2138" s="4">
        <f t="shared" si="134"/>
        <v>13.406163862220934</v>
      </c>
      <c r="X2138" s="43" t="s">
        <v>2454</v>
      </c>
      <c r="Y2138" s="4">
        <v>13.9198444376583</v>
      </c>
      <c r="Z2138" s="4">
        <v>13.4224391024804</v>
      </c>
      <c r="AA2138" s="4">
        <v>13.4057117860769</v>
      </c>
      <c r="AB2138" s="4">
        <f t="shared" si="135"/>
        <v>13.582665108738533</v>
      </c>
    </row>
    <row r="2139" spans="2:28" x14ac:dyDescent="0.2">
      <c r="B2139" s="4" t="s">
        <v>2289</v>
      </c>
      <c r="C2139" s="4">
        <v>14.007899999999999</v>
      </c>
      <c r="D2139" s="4">
        <v>12.942600000000001</v>
      </c>
      <c r="E2139" s="4">
        <v>13.725300000000001</v>
      </c>
      <c r="F2139" s="4">
        <f t="shared" si="132"/>
        <v>13.558599999999998</v>
      </c>
      <c r="I2139" s="4" t="s">
        <v>2516</v>
      </c>
      <c r="J2139" s="4">
        <v>13.812900000000001</v>
      </c>
      <c r="K2139" s="4">
        <v>13.045400000000001</v>
      </c>
      <c r="L2139" s="4">
        <v>13.8123</v>
      </c>
      <c r="M2139" s="4">
        <f t="shared" si="133"/>
        <v>13.556866666666666</v>
      </c>
      <c r="Q2139" s="43" t="s">
        <v>231</v>
      </c>
      <c r="R2139" s="4">
        <v>13.591927256335</v>
      </c>
      <c r="S2139" s="4">
        <v>13.3590764621361</v>
      </c>
      <c r="T2139" s="4">
        <v>13.2597736480549</v>
      </c>
      <c r="U2139" s="4">
        <f t="shared" si="134"/>
        <v>13.403592455508667</v>
      </c>
      <c r="X2139" s="43" t="s">
        <v>48</v>
      </c>
      <c r="Y2139" s="4">
        <v>13.603395528336</v>
      </c>
      <c r="Z2139" s="4">
        <v>13.499453960671399</v>
      </c>
      <c r="AA2139" s="4">
        <v>13.6440810603315</v>
      </c>
      <c r="AB2139" s="4">
        <f t="shared" si="135"/>
        <v>13.582310183112966</v>
      </c>
    </row>
    <row r="2140" spans="2:28" x14ac:dyDescent="0.2">
      <c r="B2140" s="4" t="s">
        <v>1401</v>
      </c>
      <c r="C2140" s="4">
        <v>13.7157</v>
      </c>
      <c r="D2140" s="4">
        <v>13.399800000000001</v>
      </c>
      <c r="E2140" s="4">
        <v>13.559200000000001</v>
      </c>
      <c r="F2140" s="4">
        <f t="shared" si="132"/>
        <v>13.558233333333334</v>
      </c>
      <c r="I2140" s="4" t="s">
        <v>359</v>
      </c>
      <c r="J2140" s="4">
        <v>13.696199999999999</v>
      </c>
      <c r="K2140" s="4">
        <v>13.0526</v>
      </c>
      <c r="L2140" s="4">
        <v>13.9194</v>
      </c>
      <c r="M2140" s="4">
        <f t="shared" si="133"/>
        <v>13.556066666666666</v>
      </c>
      <c r="Q2140" s="43" t="s">
        <v>1821</v>
      </c>
      <c r="R2140" s="4">
        <v>13.0968397137583</v>
      </c>
      <c r="S2140" s="4">
        <v>13.5260074114685</v>
      </c>
      <c r="T2140" s="4">
        <v>13.586766540978999</v>
      </c>
      <c r="U2140" s="4">
        <f t="shared" si="134"/>
        <v>13.403204555401933</v>
      </c>
      <c r="X2140" s="43" t="s">
        <v>3585</v>
      </c>
      <c r="Y2140" s="4">
        <v>13.675204533420599</v>
      </c>
      <c r="Z2140" s="4">
        <v>13.593258136386099</v>
      </c>
      <c r="AA2140" s="4">
        <v>13.4771220203683</v>
      </c>
      <c r="AB2140" s="4">
        <f t="shared" si="135"/>
        <v>13.581861563391668</v>
      </c>
    </row>
    <row r="2141" spans="2:28" x14ac:dyDescent="0.2">
      <c r="B2141" s="4" t="s">
        <v>335</v>
      </c>
      <c r="C2141" s="4">
        <v>13.458399999999999</v>
      </c>
      <c r="D2141" s="4">
        <v>13.7758</v>
      </c>
      <c r="E2141" s="4">
        <v>13.4383</v>
      </c>
      <c r="F2141" s="4">
        <f t="shared" si="132"/>
        <v>13.557499999999999</v>
      </c>
      <c r="I2141" s="4" t="s">
        <v>1767</v>
      </c>
      <c r="J2141" s="4">
        <v>13.4034</v>
      </c>
      <c r="K2141" s="4">
        <v>14.0814</v>
      </c>
      <c r="L2141" s="4">
        <v>13.1812</v>
      </c>
      <c r="M2141" s="4">
        <f t="shared" si="133"/>
        <v>13.555333333333332</v>
      </c>
      <c r="Q2141" s="43" t="s">
        <v>4597</v>
      </c>
      <c r="R2141" s="4">
        <v>13.6767685267835</v>
      </c>
      <c r="S2141" s="4">
        <v>13.1422883993504</v>
      </c>
      <c r="T2141" s="4">
        <v>13.3891216001189</v>
      </c>
      <c r="U2141" s="4">
        <f t="shared" si="134"/>
        <v>13.4027261754176</v>
      </c>
      <c r="X2141" s="43" t="s">
        <v>4614</v>
      </c>
      <c r="Y2141" s="4">
        <v>13.509836062881</v>
      </c>
      <c r="Z2141" s="4">
        <v>13.507393336583901</v>
      </c>
      <c r="AA2141" s="4">
        <v>13.7269789252978</v>
      </c>
      <c r="AB2141" s="4">
        <f t="shared" si="135"/>
        <v>13.581402774920901</v>
      </c>
    </row>
    <row r="2142" spans="2:28" x14ac:dyDescent="0.2">
      <c r="B2142" s="4" t="s">
        <v>2885</v>
      </c>
      <c r="C2142" s="4">
        <v>14.7537</v>
      </c>
      <c r="D2142" s="4">
        <v>11.3635</v>
      </c>
      <c r="E2142" s="4">
        <v>14.548500000000001</v>
      </c>
      <c r="F2142" s="4">
        <f t="shared" si="132"/>
        <v>13.555233333333334</v>
      </c>
      <c r="I2142" s="4" t="s">
        <v>2926</v>
      </c>
      <c r="J2142" s="4">
        <v>13.6181</v>
      </c>
      <c r="K2142" s="4">
        <v>13.525</v>
      </c>
      <c r="L2142" s="4">
        <v>13.52</v>
      </c>
      <c r="M2142" s="4">
        <f t="shared" si="133"/>
        <v>13.554366666666667</v>
      </c>
      <c r="Q2142" s="43" t="s">
        <v>211</v>
      </c>
      <c r="R2142" s="4">
        <v>13.513438593486301</v>
      </c>
      <c r="S2142" s="4">
        <v>13.276376403942299</v>
      </c>
      <c r="T2142" s="4">
        <v>13.4143532722051</v>
      </c>
      <c r="U2142" s="4">
        <f t="shared" si="134"/>
        <v>13.401389423211233</v>
      </c>
      <c r="X2142" s="43" t="s">
        <v>2688</v>
      </c>
      <c r="Y2142" s="4">
        <v>13.484703570451099</v>
      </c>
      <c r="Z2142" s="4">
        <v>13.687083137124199</v>
      </c>
      <c r="AA2142" s="4">
        <v>13.5722023357315</v>
      </c>
      <c r="AB2142" s="4">
        <f t="shared" si="135"/>
        <v>13.581329681102266</v>
      </c>
    </row>
    <row r="2143" spans="2:28" x14ac:dyDescent="0.2">
      <c r="B2143" s="4" t="s">
        <v>2860</v>
      </c>
      <c r="C2143" s="4">
        <v>13.847099999999999</v>
      </c>
      <c r="D2143" s="4">
        <v>13.3231</v>
      </c>
      <c r="E2143" s="4">
        <v>13.4953</v>
      </c>
      <c r="F2143" s="4">
        <f t="shared" si="132"/>
        <v>13.555166666666667</v>
      </c>
      <c r="I2143" s="4" t="s">
        <v>804</v>
      </c>
      <c r="J2143" s="4">
        <v>13.100099999999999</v>
      </c>
      <c r="K2143" s="4">
        <v>14.0229</v>
      </c>
      <c r="L2143" s="4">
        <v>13.5396</v>
      </c>
      <c r="M2143" s="4">
        <f t="shared" si="133"/>
        <v>13.5542</v>
      </c>
      <c r="Q2143" s="43" t="s">
        <v>158</v>
      </c>
      <c r="R2143" s="4">
        <v>13.246955997426101</v>
      </c>
      <c r="S2143" s="4">
        <v>13.570945488369</v>
      </c>
      <c r="T2143" s="4">
        <v>13.385107004329701</v>
      </c>
      <c r="U2143" s="4">
        <f t="shared" si="134"/>
        <v>13.4010028300416</v>
      </c>
      <c r="X2143" s="43" t="s">
        <v>4160</v>
      </c>
      <c r="Y2143" s="4">
        <v>13.714446503343201</v>
      </c>
      <c r="Z2143" s="4">
        <v>13.4407032020488</v>
      </c>
      <c r="AA2143" s="4">
        <v>13.5848696390253</v>
      </c>
      <c r="AB2143" s="4">
        <f t="shared" si="135"/>
        <v>13.5800064481391</v>
      </c>
    </row>
    <row r="2144" spans="2:28" x14ac:dyDescent="0.2">
      <c r="B2144" s="4" t="s">
        <v>1817</v>
      </c>
      <c r="C2144" s="4">
        <v>13.583399999999999</v>
      </c>
      <c r="D2144" s="4">
        <v>13.995900000000001</v>
      </c>
      <c r="E2144" s="4">
        <v>13.085599999999999</v>
      </c>
      <c r="F2144" s="4">
        <f t="shared" si="132"/>
        <v>13.554966666666667</v>
      </c>
      <c r="I2144" s="4" t="s">
        <v>2672</v>
      </c>
      <c r="J2144" s="4">
        <v>13.955500000000001</v>
      </c>
      <c r="K2144" s="4">
        <v>12.9587</v>
      </c>
      <c r="L2144" s="4">
        <v>13.7361</v>
      </c>
      <c r="M2144" s="4">
        <f t="shared" si="133"/>
        <v>13.5501</v>
      </c>
      <c r="Q2144" s="43" t="s">
        <v>3520</v>
      </c>
      <c r="R2144" s="4">
        <v>13.514782623012801</v>
      </c>
      <c r="S2144" s="4">
        <v>13.356983609219601</v>
      </c>
      <c r="T2144" s="4">
        <v>13.3268269853289</v>
      </c>
      <c r="U2144" s="4">
        <f t="shared" si="134"/>
        <v>13.399531072520434</v>
      </c>
      <c r="X2144" s="43" t="s">
        <v>2649</v>
      </c>
      <c r="Y2144" s="4">
        <v>13.6312326599729</v>
      </c>
      <c r="Z2144" s="4">
        <v>13.550247841512</v>
      </c>
      <c r="AA2144" s="4">
        <v>13.5555988575746</v>
      </c>
      <c r="AB2144" s="4">
        <f t="shared" si="135"/>
        <v>13.579026453019834</v>
      </c>
    </row>
    <row r="2145" spans="2:28" x14ac:dyDescent="0.2">
      <c r="B2145" s="4" t="s">
        <v>1633</v>
      </c>
      <c r="C2145" s="4">
        <v>12.8108</v>
      </c>
      <c r="D2145" s="4">
        <v>13.743</v>
      </c>
      <c r="E2145" s="4">
        <v>14.108700000000001</v>
      </c>
      <c r="F2145" s="4">
        <f t="shared" si="132"/>
        <v>13.554166666666667</v>
      </c>
      <c r="I2145" s="4" t="s">
        <v>3605</v>
      </c>
      <c r="J2145" s="4">
        <v>13.3399</v>
      </c>
      <c r="K2145" s="4">
        <v>13.677300000000001</v>
      </c>
      <c r="L2145" s="4">
        <v>13.6249</v>
      </c>
      <c r="M2145" s="4">
        <f t="shared" si="133"/>
        <v>13.547366666666667</v>
      </c>
      <c r="Q2145" s="43" t="s">
        <v>240</v>
      </c>
      <c r="R2145" s="4">
        <v>13.544356263367201</v>
      </c>
      <c r="S2145" s="4">
        <v>13.152236034400101</v>
      </c>
      <c r="T2145" s="4">
        <v>13.501318264107599</v>
      </c>
      <c r="U2145" s="4">
        <f t="shared" si="134"/>
        <v>13.399303520624969</v>
      </c>
      <c r="X2145" s="43" t="s">
        <v>3601</v>
      </c>
      <c r="Y2145" s="4">
        <v>13.6527305161987</v>
      </c>
      <c r="Z2145" s="4">
        <v>13.443290540104099</v>
      </c>
      <c r="AA2145" s="4">
        <v>13.6344290243857</v>
      </c>
      <c r="AB2145" s="4">
        <f t="shared" si="135"/>
        <v>13.576816693562833</v>
      </c>
    </row>
    <row r="2146" spans="2:28" x14ac:dyDescent="0.2">
      <c r="B2146" s="4" t="s">
        <v>4108</v>
      </c>
      <c r="C2146" s="4">
        <v>13.3672</v>
      </c>
      <c r="D2146" s="4">
        <v>13.7385</v>
      </c>
      <c r="E2146" s="4">
        <v>13.554600000000001</v>
      </c>
      <c r="F2146" s="4">
        <f t="shared" si="132"/>
        <v>13.553433333333333</v>
      </c>
      <c r="I2146" s="4" t="s">
        <v>1170</v>
      </c>
      <c r="J2146" s="4">
        <v>13.8925</v>
      </c>
      <c r="K2146" s="4">
        <v>12.8245</v>
      </c>
      <c r="L2146" s="4">
        <v>13.924099999999999</v>
      </c>
      <c r="M2146" s="4">
        <f t="shared" si="133"/>
        <v>13.547033333333331</v>
      </c>
      <c r="Q2146" s="43" t="s">
        <v>1439</v>
      </c>
      <c r="R2146" s="4">
        <v>13.381215138767301</v>
      </c>
      <c r="S2146" s="4">
        <v>13.3794233031622</v>
      </c>
      <c r="T2146" s="4">
        <v>13.4355328089583</v>
      </c>
      <c r="U2146" s="4">
        <f t="shared" si="134"/>
        <v>13.398723750295934</v>
      </c>
      <c r="X2146" s="43" t="s">
        <v>634</v>
      </c>
      <c r="Y2146" s="4">
        <v>13.396886667176901</v>
      </c>
      <c r="Z2146" s="4">
        <v>13.7371832443154</v>
      </c>
      <c r="AA2146" s="4">
        <v>13.5957011310214</v>
      </c>
      <c r="AB2146" s="4">
        <f t="shared" si="135"/>
        <v>13.576590347504569</v>
      </c>
    </row>
    <row r="2147" spans="2:28" x14ac:dyDescent="0.2">
      <c r="B2147" s="4" t="s">
        <v>2263</v>
      </c>
      <c r="C2147" s="4">
        <v>13.886699999999999</v>
      </c>
      <c r="D2147" s="4">
        <v>13.475099999999999</v>
      </c>
      <c r="E2147" s="4">
        <v>13.291399999999999</v>
      </c>
      <c r="F2147" s="4">
        <f t="shared" si="132"/>
        <v>13.551066666666665</v>
      </c>
      <c r="I2147" s="4" t="s">
        <v>2350</v>
      </c>
      <c r="J2147" s="4">
        <v>13.8322</v>
      </c>
      <c r="K2147" s="4">
        <v>12.7331</v>
      </c>
      <c r="L2147" s="4">
        <v>14.0718</v>
      </c>
      <c r="M2147" s="4">
        <f t="shared" si="133"/>
        <v>13.545700000000002</v>
      </c>
      <c r="Q2147" s="43" t="s">
        <v>4063</v>
      </c>
      <c r="R2147" s="4">
        <v>13.3199960139863</v>
      </c>
      <c r="S2147" s="4">
        <v>13.377563506019101</v>
      </c>
      <c r="T2147" s="4">
        <v>13.495025340120501</v>
      </c>
      <c r="U2147" s="4">
        <f t="shared" si="134"/>
        <v>13.397528286708633</v>
      </c>
      <c r="X2147" s="43" t="s">
        <v>3212</v>
      </c>
      <c r="Y2147" s="4">
        <v>13.5041556719539</v>
      </c>
      <c r="Z2147" s="4">
        <v>13.635708518569899</v>
      </c>
      <c r="AA2147" s="4">
        <v>13.585460499476399</v>
      </c>
      <c r="AB2147" s="4">
        <f t="shared" si="135"/>
        <v>13.575108230000067</v>
      </c>
    </row>
    <row r="2148" spans="2:28" x14ac:dyDescent="0.2">
      <c r="B2148" s="4" t="s">
        <v>757</v>
      </c>
      <c r="C2148" s="4">
        <v>13.5641</v>
      </c>
      <c r="D2148" s="4">
        <v>13.250999999999999</v>
      </c>
      <c r="E2148" s="4">
        <v>13.837</v>
      </c>
      <c r="F2148" s="4">
        <f t="shared" si="132"/>
        <v>13.550700000000001</v>
      </c>
      <c r="I2148" s="4" t="s">
        <v>3204</v>
      </c>
      <c r="J2148" s="4">
        <v>13.2035</v>
      </c>
      <c r="K2148" s="4">
        <v>15.1265</v>
      </c>
      <c r="L2148" s="4">
        <v>12.304500000000001</v>
      </c>
      <c r="M2148" s="4">
        <f t="shared" si="133"/>
        <v>13.544833333333335</v>
      </c>
      <c r="Q2148" s="43" t="s">
        <v>4515</v>
      </c>
      <c r="R2148" s="4">
        <v>13.3329335323218</v>
      </c>
      <c r="S2148" s="4">
        <v>13.493752259348099</v>
      </c>
      <c r="T2148" s="4">
        <v>13.361821695043</v>
      </c>
      <c r="U2148" s="4">
        <f t="shared" si="134"/>
        <v>13.396169162237634</v>
      </c>
      <c r="X2148" s="43" t="s">
        <v>3255</v>
      </c>
      <c r="Y2148" s="4">
        <v>13.2519721502034</v>
      </c>
      <c r="Z2148" s="4">
        <v>13.4246463351241</v>
      </c>
      <c r="AA2148" s="4">
        <v>14.047719836675499</v>
      </c>
      <c r="AB2148" s="4">
        <f t="shared" si="135"/>
        <v>13.574779440667667</v>
      </c>
    </row>
    <row r="2149" spans="2:28" x14ac:dyDescent="0.2">
      <c r="B2149" s="4" t="s">
        <v>1761</v>
      </c>
      <c r="C2149" s="4">
        <v>13.7729</v>
      </c>
      <c r="D2149" s="4">
        <v>13.7102</v>
      </c>
      <c r="E2149" s="4">
        <v>13.1685</v>
      </c>
      <c r="F2149" s="4">
        <f t="shared" si="132"/>
        <v>13.550533333333334</v>
      </c>
      <c r="I2149" s="4" t="s">
        <v>2090</v>
      </c>
      <c r="J2149" s="4">
        <v>13.444000000000001</v>
      </c>
      <c r="K2149" s="4">
        <v>13.385300000000001</v>
      </c>
      <c r="L2149" s="4">
        <v>13.8034</v>
      </c>
      <c r="M2149" s="4">
        <f t="shared" si="133"/>
        <v>13.544233333333333</v>
      </c>
      <c r="Q2149" s="43" t="s">
        <v>3385</v>
      </c>
      <c r="R2149" s="4">
        <v>13.014772304049201</v>
      </c>
      <c r="S2149" s="4">
        <v>13.5745475705387</v>
      </c>
      <c r="T2149" s="4">
        <v>13.591650912364701</v>
      </c>
      <c r="U2149" s="4">
        <f t="shared" si="134"/>
        <v>13.3936569289842</v>
      </c>
      <c r="X2149" s="43" t="s">
        <v>568</v>
      </c>
      <c r="Y2149" s="4">
        <v>13.622556079660001</v>
      </c>
      <c r="Z2149" s="4">
        <v>13.5391503347767</v>
      </c>
      <c r="AA2149" s="4">
        <v>13.560891682983801</v>
      </c>
      <c r="AB2149" s="4">
        <f t="shared" si="135"/>
        <v>13.574199365806834</v>
      </c>
    </row>
    <row r="2150" spans="2:28" x14ac:dyDescent="0.2">
      <c r="B2150" s="4" t="s">
        <v>1186</v>
      </c>
      <c r="C2150" s="4">
        <v>13.7363</v>
      </c>
      <c r="D2150" s="4">
        <v>13.6449</v>
      </c>
      <c r="E2150" s="4">
        <v>13.27</v>
      </c>
      <c r="F2150" s="4">
        <f t="shared" si="132"/>
        <v>13.550400000000002</v>
      </c>
      <c r="I2150" s="4" t="s">
        <v>4014</v>
      </c>
      <c r="J2150" s="4">
        <v>13.628</v>
      </c>
      <c r="K2150" s="4">
        <v>13.582000000000001</v>
      </c>
      <c r="L2150" s="4">
        <v>13.4185</v>
      </c>
      <c r="M2150" s="4">
        <f t="shared" si="133"/>
        <v>13.542833333333334</v>
      </c>
      <c r="Q2150" s="43" t="s">
        <v>3979</v>
      </c>
      <c r="R2150" s="4">
        <v>13.045849409950799</v>
      </c>
      <c r="S2150" s="4">
        <v>13.563515111983101</v>
      </c>
      <c r="T2150" s="4">
        <v>13.569137564349999</v>
      </c>
      <c r="U2150" s="4">
        <f t="shared" si="134"/>
        <v>13.3928340287613</v>
      </c>
      <c r="X2150" s="43" t="s">
        <v>290</v>
      </c>
      <c r="Y2150" s="4">
        <v>13.6657109920026</v>
      </c>
      <c r="Z2150" s="4">
        <v>13.4429957321068</v>
      </c>
      <c r="AA2150" s="4">
        <v>13.606441569851199</v>
      </c>
      <c r="AB2150" s="4">
        <f t="shared" si="135"/>
        <v>13.571716097986865</v>
      </c>
    </row>
    <row r="2151" spans="2:28" x14ac:dyDescent="0.2">
      <c r="B2151" s="4" t="s">
        <v>2556</v>
      </c>
      <c r="C2151" s="4">
        <v>12.9816</v>
      </c>
      <c r="D2151" s="4">
        <v>14.026</v>
      </c>
      <c r="E2151" s="4">
        <v>13.6425</v>
      </c>
      <c r="F2151" s="4">
        <f t="shared" si="132"/>
        <v>13.550033333333333</v>
      </c>
      <c r="I2151" s="4" t="s">
        <v>3936</v>
      </c>
      <c r="J2151" s="4">
        <v>13.5847</v>
      </c>
      <c r="K2151" s="4">
        <v>13.665900000000001</v>
      </c>
      <c r="L2151" s="4">
        <v>13.3771</v>
      </c>
      <c r="M2151" s="4">
        <f t="shared" si="133"/>
        <v>13.542566666666666</v>
      </c>
      <c r="Q2151" s="43" t="s">
        <v>2662</v>
      </c>
      <c r="R2151" s="4">
        <v>13.293209089602501</v>
      </c>
      <c r="S2151" s="4">
        <v>13.266558391158201</v>
      </c>
      <c r="T2151" s="4">
        <v>13.6166993646651</v>
      </c>
      <c r="U2151" s="4">
        <f t="shared" si="134"/>
        <v>13.392155615141933</v>
      </c>
      <c r="X2151" s="43" t="s">
        <v>3441</v>
      </c>
      <c r="Y2151" s="4">
        <v>13.612441282256301</v>
      </c>
      <c r="Z2151" s="4">
        <v>13.417048221255399</v>
      </c>
      <c r="AA2151" s="4">
        <v>13.680047978009</v>
      </c>
      <c r="AB2151" s="4">
        <f t="shared" si="135"/>
        <v>13.569845827173566</v>
      </c>
    </row>
    <row r="2152" spans="2:28" x14ac:dyDescent="0.2">
      <c r="B2152" s="4" t="s">
        <v>3834</v>
      </c>
      <c r="C2152" s="4">
        <v>13.398199999999999</v>
      </c>
      <c r="D2152" s="4">
        <v>13.601100000000001</v>
      </c>
      <c r="E2152" s="4">
        <v>13.6455</v>
      </c>
      <c r="F2152" s="4">
        <f t="shared" si="132"/>
        <v>13.548266666666665</v>
      </c>
      <c r="I2152" s="4" t="s">
        <v>3201</v>
      </c>
      <c r="J2152" s="4">
        <v>13.444599999999999</v>
      </c>
      <c r="K2152" s="4">
        <v>13.2948</v>
      </c>
      <c r="L2152" s="4">
        <v>13.885899999999999</v>
      </c>
      <c r="M2152" s="4">
        <f t="shared" si="133"/>
        <v>13.541766666666666</v>
      </c>
      <c r="Q2152" s="43" t="s">
        <v>1897</v>
      </c>
      <c r="R2152" s="4">
        <v>13.666608618490599</v>
      </c>
      <c r="S2152" s="4">
        <v>13.242138683587299</v>
      </c>
      <c r="T2152" s="4">
        <v>13.267694928300701</v>
      </c>
      <c r="U2152" s="4">
        <f t="shared" si="134"/>
        <v>13.392147410126199</v>
      </c>
      <c r="X2152" s="43" t="s">
        <v>790</v>
      </c>
      <c r="Y2152" s="4">
        <v>13.733912213173999</v>
      </c>
      <c r="Z2152" s="4">
        <v>13.316269979941501</v>
      </c>
      <c r="AA2152" s="4">
        <v>13.6556700614661</v>
      </c>
      <c r="AB2152" s="4">
        <f t="shared" si="135"/>
        <v>13.568617418193867</v>
      </c>
    </row>
    <row r="2153" spans="2:28" x14ac:dyDescent="0.2">
      <c r="B2153" s="4" t="s">
        <v>1480</v>
      </c>
      <c r="C2153" s="4">
        <v>13.2417</v>
      </c>
      <c r="D2153" s="4">
        <v>13.5311</v>
      </c>
      <c r="E2153" s="4">
        <v>13.850199999999999</v>
      </c>
      <c r="F2153" s="4">
        <f t="shared" si="132"/>
        <v>13.540999999999999</v>
      </c>
      <c r="I2153" s="4" t="s">
        <v>3151</v>
      </c>
      <c r="J2153" s="4">
        <v>13.5527</v>
      </c>
      <c r="K2153" s="4">
        <v>13.225099999999999</v>
      </c>
      <c r="L2153" s="4">
        <v>13.8466</v>
      </c>
      <c r="M2153" s="4">
        <f t="shared" si="133"/>
        <v>13.541466666666667</v>
      </c>
      <c r="Q2153" s="43" t="s">
        <v>864</v>
      </c>
      <c r="R2153" s="4">
        <v>13.1088629932456</v>
      </c>
      <c r="S2153" s="4">
        <v>13.713428447242</v>
      </c>
      <c r="T2153" s="4">
        <v>13.3532060567432</v>
      </c>
      <c r="U2153" s="4">
        <f t="shared" si="134"/>
        <v>13.391832499076934</v>
      </c>
      <c r="X2153" s="43" t="s">
        <v>633</v>
      </c>
      <c r="Y2153" s="4">
        <v>13.427461343589799</v>
      </c>
      <c r="Z2153" s="4">
        <v>13.739089204621999</v>
      </c>
      <c r="AA2153" s="4">
        <v>13.5372868164044</v>
      </c>
      <c r="AB2153" s="4">
        <f t="shared" si="135"/>
        <v>13.5679457882054</v>
      </c>
    </row>
    <row r="2154" spans="2:28" x14ac:dyDescent="0.2">
      <c r="B2154" s="4" t="s">
        <v>3158</v>
      </c>
      <c r="C2154" s="4">
        <v>13.545400000000001</v>
      </c>
      <c r="D2154" s="4">
        <v>13.309100000000001</v>
      </c>
      <c r="E2154" s="4">
        <v>13.7682</v>
      </c>
      <c r="F2154" s="4">
        <f t="shared" si="132"/>
        <v>13.540900000000001</v>
      </c>
      <c r="I2154" s="4" t="s">
        <v>202</v>
      </c>
      <c r="J2154" s="4">
        <v>13.1014</v>
      </c>
      <c r="K2154" s="4">
        <v>13.137600000000001</v>
      </c>
      <c r="L2154" s="4">
        <v>14.378</v>
      </c>
      <c r="M2154" s="4">
        <f t="shared" si="133"/>
        <v>13.539000000000001</v>
      </c>
      <c r="Q2154" s="43" t="s">
        <v>2987</v>
      </c>
      <c r="R2154" s="4">
        <v>13.289685324310099</v>
      </c>
      <c r="S2154" s="4">
        <v>13.508781716833701</v>
      </c>
      <c r="T2154" s="4">
        <v>13.375676699982799</v>
      </c>
      <c r="U2154" s="4">
        <f t="shared" si="134"/>
        <v>13.391381247042199</v>
      </c>
      <c r="X2154" s="43" t="s">
        <v>2408</v>
      </c>
      <c r="Y2154" s="4">
        <v>13.485656222346501</v>
      </c>
      <c r="Z2154" s="4">
        <v>13.641043491947601</v>
      </c>
      <c r="AA2154" s="4">
        <v>13.5718632393846</v>
      </c>
      <c r="AB2154" s="4">
        <f t="shared" si="135"/>
        <v>13.566187651226235</v>
      </c>
    </row>
    <row r="2155" spans="2:28" x14ac:dyDescent="0.2">
      <c r="B2155" s="4" t="s">
        <v>3093</v>
      </c>
      <c r="C2155" s="4">
        <v>13.470599999999999</v>
      </c>
      <c r="D2155" s="4">
        <v>14.167400000000001</v>
      </c>
      <c r="E2155" s="4">
        <v>12.977399999999999</v>
      </c>
      <c r="F2155" s="4">
        <f t="shared" si="132"/>
        <v>13.538466666666665</v>
      </c>
      <c r="I2155" s="4" t="s">
        <v>2492</v>
      </c>
      <c r="J2155" s="4">
        <v>13.321899999999999</v>
      </c>
      <c r="K2155" s="4">
        <v>13.9482</v>
      </c>
      <c r="L2155" s="4">
        <v>13.3421</v>
      </c>
      <c r="M2155" s="4">
        <f t="shared" si="133"/>
        <v>13.5374</v>
      </c>
      <c r="Q2155" s="43" t="s">
        <v>2739</v>
      </c>
      <c r="R2155" s="4">
        <v>13.285025878120001</v>
      </c>
      <c r="S2155" s="4">
        <v>13.355955815596101</v>
      </c>
      <c r="T2155" s="4">
        <v>13.532003591770099</v>
      </c>
      <c r="U2155" s="4">
        <f t="shared" si="134"/>
        <v>13.390995095162067</v>
      </c>
      <c r="X2155" s="43" t="s">
        <v>861</v>
      </c>
      <c r="Y2155" s="4">
        <v>13.6064554588738</v>
      </c>
      <c r="Z2155" s="4">
        <v>13.623932476832</v>
      </c>
      <c r="AA2155" s="4">
        <v>13.465552216013799</v>
      </c>
      <c r="AB2155" s="4">
        <f t="shared" si="135"/>
        <v>13.565313383906533</v>
      </c>
    </row>
    <row r="2156" spans="2:28" x14ac:dyDescent="0.2">
      <c r="B2156" s="4" t="s">
        <v>3532</v>
      </c>
      <c r="C2156" s="4">
        <v>13.701000000000001</v>
      </c>
      <c r="D2156" s="4">
        <v>13.556699999999999</v>
      </c>
      <c r="E2156" s="4">
        <v>13.357200000000001</v>
      </c>
      <c r="F2156" s="4">
        <f t="shared" si="132"/>
        <v>13.5383</v>
      </c>
      <c r="I2156" s="4" t="s">
        <v>883</v>
      </c>
      <c r="J2156" s="4">
        <v>13.6135</v>
      </c>
      <c r="K2156" s="4">
        <v>13.2117</v>
      </c>
      <c r="L2156" s="4">
        <v>13.786799999999999</v>
      </c>
      <c r="M2156" s="4">
        <f t="shared" si="133"/>
        <v>13.537333333333335</v>
      </c>
      <c r="Q2156" s="43" t="s">
        <v>3697</v>
      </c>
      <c r="R2156" s="4">
        <v>13.293572627561399</v>
      </c>
      <c r="S2156" s="4">
        <v>13.3820534914821</v>
      </c>
      <c r="T2156" s="4">
        <v>13.495341853399999</v>
      </c>
      <c r="U2156" s="4">
        <f t="shared" si="134"/>
        <v>13.390322657481166</v>
      </c>
      <c r="X2156" s="43" t="s">
        <v>1188</v>
      </c>
      <c r="Y2156" s="4">
        <v>13.271838473422299</v>
      </c>
      <c r="Z2156" s="4">
        <v>13.712483793305701</v>
      </c>
      <c r="AA2156" s="4">
        <v>13.707687735060899</v>
      </c>
      <c r="AB2156" s="4">
        <f t="shared" si="135"/>
        <v>13.564003333929634</v>
      </c>
    </row>
    <row r="2157" spans="2:28" x14ac:dyDescent="0.2">
      <c r="B2157" s="4" t="s">
        <v>2550</v>
      </c>
      <c r="C2157" s="4">
        <v>14.091200000000001</v>
      </c>
      <c r="D2157" s="4">
        <v>13.3476</v>
      </c>
      <c r="E2157" s="4">
        <v>13.1715</v>
      </c>
      <c r="F2157" s="4">
        <f t="shared" si="132"/>
        <v>13.536766666666667</v>
      </c>
      <c r="I2157" s="4" t="s">
        <v>236</v>
      </c>
      <c r="J2157" s="4">
        <v>13.995100000000001</v>
      </c>
      <c r="K2157" s="4">
        <v>12.7469</v>
      </c>
      <c r="L2157" s="4">
        <v>13.866899999999999</v>
      </c>
      <c r="M2157" s="4">
        <f t="shared" si="133"/>
        <v>13.536299999999999</v>
      </c>
      <c r="Q2157" s="43" t="s">
        <v>943</v>
      </c>
      <c r="R2157" s="4">
        <v>12.936236355451699</v>
      </c>
      <c r="S2157" s="4">
        <v>13.684182764969</v>
      </c>
      <c r="T2157" s="4">
        <v>13.550175982163401</v>
      </c>
      <c r="U2157" s="4">
        <f t="shared" si="134"/>
        <v>13.390198367528034</v>
      </c>
      <c r="X2157" s="43" t="s">
        <v>3532</v>
      </c>
      <c r="Y2157" s="4">
        <v>13.516207635907699</v>
      </c>
      <c r="Z2157" s="4">
        <v>13.695293455989299</v>
      </c>
      <c r="AA2157" s="4">
        <v>13.477489095155599</v>
      </c>
      <c r="AB2157" s="4">
        <f t="shared" si="135"/>
        <v>13.562996729017533</v>
      </c>
    </row>
    <row r="2158" spans="2:28" x14ac:dyDescent="0.2">
      <c r="B2158" s="4" t="s">
        <v>1641</v>
      </c>
      <c r="C2158" s="4">
        <v>13.425800000000001</v>
      </c>
      <c r="D2158" s="4">
        <v>13.4376</v>
      </c>
      <c r="E2158" s="4">
        <v>13.746700000000001</v>
      </c>
      <c r="F2158" s="4">
        <f t="shared" si="132"/>
        <v>13.536700000000002</v>
      </c>
      <c r="I2158" s="4" t="s">
        <v>196</v>
      </c>
      <c r="J2158" s="4">
        <v>13.7254</v>
      </c>
      <c r="K2158" s="4">
        <v>13.3049</v>
      </c>
      <c r="L2158" s="4">
        <v>13.5731</v>
      </c>
      <c r="M2158" s="4">
        <f t="shared" si="133"/>
        <v>13.534466666666667</v>
      </c>
      <c r="Q2158" s="43" t="s">
        <v>851</v>
      </c>
      <c r="R2158" s="4">
        <v>13.1217825993118</v>
      </c>
      <c r="S2158" s="4">
        <v>13.513715996994501</v>
      </c>
      <c r="T2158" s="4">
        <v>13.533084706332099</v>
      </c>
      <c r="U2158" s="4">
        <f t="shared" si="134"/>
        <v>13.389527767546133</v>
      </c>
      <c r="X2158" s="43" t="s">
        <v>4332</v>
      </c>
      <c r="Y2158" s="4">
        <v>13.531160508405</v>
      </c>
      <c r="Z2158" s="4">
        <v>13.604908837949999</v>
      </c>
      <c r="AA2158" s="4">
        <v>13.5511729535003</v>
      </c>
      <c r="AB2158" s="4">
        <f t="shared" si="135"/>
        <v>13.562414099951766</v>
      </c>
    </row>
    <row r="2159" spans="2:28" x14ac:dyDescent="0.2">
      <c r="B2159" s="4" t="s">
        <v>3596</v>
      </c>
      <c r="C2159" s="4">
        <v>13.5512</v>
      </c>
      <c r="D2159" s="4">
        <v>13.715299999999999</v>
      </c>
      <c r="E2159" s="4">
        <v>13.342000000000001</v>
      </c>
      <c r="F2159" s="4">
        <f t="shared" si="132"/>
        <v>13.536166666666666</v>
      </c>
      <c r="I2159" s="4" t="s">
        <v>793</v>
      </c>
      <c r="J2159" s="4">
        <v>12.9381</v>
      </c>
      <c r="K2159" s="4">
        <v>14.079599999999999</v>
      </c>
      <c r="L2159" s="4">
        <v>13.5853</v>
      </c>
      <c r="M2159" s="4">
        <f t="shared" si="133"/>
        <v>13.534333333333331</v>
      </c>
      <c r="Q2159" s="43" t="s">
        <v>3311</v>
      </c>
      <c r="R2159" s="4">
        <v>13.734210865095299</v>
      </c>
      <c r="S2159" s="4">
        <v>13.3339070172234</v>
      </c>
      <c r="T2159" s="4">
        <v>13.100166032259899</v>
      </c>
      <c r="U2159" s="4">
        <f t="shared" si="134"/>
        <v>13.389427971526198</v>
      </c>
      <c r="X2159" s="43" t="s">
        <v>1210</v>
      </c>
      <c r="Y2159" s="4">
        <v>13.742139044461499</v>
      </c>
      <c r="Z2159" s="4">
        <v>13.1160571739668</v>
      </c>
      <c r="AA2159" s="4">
        <v>13.8234564797218</v>
      </c>
      <c r="AB2159" s="4">
        <f t="shared" si="135"/>
        <v>13.560550899383365</v>
      </c>
    </row>
    <row r="2160" spans="2:28" x14ac:dyDescent="0.2">
      <c r="B2160" s="4" t="s">
        <v>2815</v>
      </c>
      <c r="C2160" s="4">
        <v>13.5787</v>
      </c>
      <c r="D2160" s="4">
        <v>13.440300000000001</v>
      </c>
      <c r="E2160" s="4">
        <v>13.588200000000001</v>
      </c>
      <c r="F2160" s="4">
        <f t="shared" si="132"/>
        <v>13.535733333333333</v>
      </c>
      <c r="I2160" s="4" t="s">
        <v>4019</v>
      </c>
      <c r="J2160" s="4">
        <v>13.8292</v>
      </c>
      <c r="K2160" s="4">
        <v>13.133599999999999</v>
      </c>
      <c r="L2160" s="4">
        <v>13.632300000000001</v>
      </c>
      <c r="M2160" s="4">
        <f t="shared" si="133"/>
        <v>13.531700000000001</v>
      </c>
      <c r="Q2160" s="43" t="s">
        <v>2283</v>
      </c>
      <c r="R2160" s="4">
        <v>13.4398400826105</v>
      </c>
      <c r="S2160" s="4">
        <v>13.3575309728039</v>
      </c>
      <c r="T2160" s="4">
        <v>13.3676163698432</v>
      </c>
      <c r="U2160" s="4">
        <f t="shared" si="134"/>
        <v>13.388329141752534</v>
      </c>
      <c r="X2160" s="43" t="s">
        <v>2463</v>
      </c>
      <c r="Y2160" s="4">
        <v>13.7892614973393</v>
      </c>
      <c r="Z2160" s="4">
        <v>13.615638245998699</v>
      </c>
      <c r="AA2160" s="4">
        <v>13.274095933314699</v>
      </c>
      <c r="AB2160" s="4">
        <f t="shared" si="135"/>
        <v>13.5596652255509</v>
      </c>
    </row>
    <row r="2161" spans="2:28" x14ac:dyDescent="0.2">
      <c r="B2161" s="4" t="s">
        <v>1209</v>
      </c>
      <c r="C2161" s="4">
        <v>13.8407</v>
      </c>
      <c r="D2161" s="4">
        <v>13.463800000000001</v>
      </c>
      <c r="E2161" s="4">
        <v>13.299899999999999</v>
      </c>
      <c r="F2161" s="4">
        <f t="shared" si="132"/>
        <v>13.534799999999999</v>
      </c>
      <c r="I2161" s="4" t="s">
        <v>2895</v>
      </c>
      <c r="J2161" s="4">
        <v>13.7287</v>
      </c>
      <c r="K2161" s="4">
        <v>12.9428</v>
      </c>
      <c r="L2161" s="4">
        <v>13.9209</v>
      </c>
      <c r="M2161" s="4">
        <f t="shared" si="133"/>
        <v>13.530799999999999</v>
      </c>
      <c r="Q2161" s="43" t="s">
        <v>4321</v>
      </c>
      <c r="R2161" s="4">
        <v>13.6653915300036</v>
      </c>
      <c r="S2161" s="4">
        <v>13.2760537747084</v>
      </c>
      <c r="T2161" s="4">
        <v>13.2232558058809</v>
      </c>
      <c r="U2161" s="4">
        <f t="shared" si="134"/>
        <v>13.388233703530966</v>
      </c>
      <c r="X2161" s="43" t="s">
        <v>447</v>
      </c>
      <c r="Y2161" s="4">
        <v>13.5204661597186</v>
      </c>
      <c r="Z2161" s="4">
        <v>13.552638795385199</v>
      </c>
      <c r="AA2161" s="4">
        <v>13.5954762618329</v>
      </c>
      <c r="AB2161" s="4">
        <f t="shared" si="135"/>
        <v>13.5561937389789</v>
      </c>
    </row>
    <row r="2162" spans="2:28" x14ac:dyDescent="0.2">
      <c r="B2162" s="4" t="s">
        <v>3780</v>
      </c>
      <c r="C2162" s="4">
        <v>13.992800000000001</v>
      </c>
      <c r="D2162" s="4">
        <v>13.5693</v>
      </c>
      <c r="E2162" s="4">
        <v>13.036799999999999</v>
      </c>
      <c r="F2162" s="4">
        <f t="shared" si="132"/>
        <v>13.532966666666667</v>
      </c>
      <c r="I2162" s="4" t="s">
        <v>412</v>
      </c>
      <c r="J2162" s="4">
        <v>13.497400000000001</v>
      </c>
      <c r="K2162" s="4">
        <v>13.5326</v>
      </c>
      <c r="L2162" s="4">
        <v>13.559100000000001</v>
      </c>
      <c r="M2162" s="4">
        <f t="shared" si="133"/>
        <v>13.5297</v>
      </c>
      <c r="Q2162" s="43" t="s">
        <v>1079</v>
      </c>
      <c r="R2162" s="4">
        <v>13.6489471945369</v>
      </c>
      <c r="S2162" s="4">
        <v>13.413542003915801</v>
      </c>
      <c r="T2162" s="4">
        <v>13.100971405480101</v>
      </c>
      <c r="U2162" s="4">
        <f t="shared" si="134"/>
        <v>13.387820201310936</v>
      </c>
      <c r="X2162" s="43" t="s">
        <v>3215</v>
      </c>
      <c r="Y2162" s="4">
        <v>13.557259959200801</v>
      </c>
      <c r="Z2162" s="4">
        <v>13.552458235002099</v>
      </c>
      <c r="AA2162" s="4">
        <v>13.551554784758601</v>
      </c>
      <c r="AB2162" s="4">
        <f t="shared" si="135"/>
        <v>13.553757659653833</v>
      </c>
    </row>
    <row r="2163" spans="2:28" x14ac:dyDescent="0.2">
      <c r="B2163" s="4" t="s">
        <v>1288</v>
      </c>
      <c r="C2163" s="4">
        <v>13.8835</v>
      </c>
      <c r="D2163" s="4">
        <v>13.5001</v>
      </c>
      <c r="E2163" s="4">
        <v>13.2135</v>
      </c>
      <c r="F2163" s="4">
        <f t="shared" si="132"/>
        <v>13.532366666666666</v>
      </c>
      <c r="I2163" s="4" t="s">
        <v>3462</v>
      </c>
      <c r="J2163" s="4">
        <v>13.690799999999999</v>
      </c>
      <c r="K2163" s="4">
        <v>13.408899999999999</v>
      </c>
      <c r="L2163" s="4">
        <v>13.4892</v>
      </c>
      <c r="M2163" s="4">
        <f t="shared" si="133"/>
        <v>13.529633333333331</v>
      </c>
      <c r="Q2163" s="43" t="s">
        <v>4270</v>
      </c>
      <c r="R2163" s="4">
        <v>13.854120457393501</v>
      </c>
      <c r="S2163" s="4">
        <v>13.143074975617701</v>
      </c>
      <c r="T2163" s="4">
        <v>13.163785441204</v>
      </c>
      <c r="U2163" s="4">
        <f t="shared" si="134"/>
        <v>13.3869936247384</v>
      </c>
      <c r="X2163" s="43" t="s">
        <v>21</v>
      </c>
      <c r="Y2163" s="4">
        <v>13.4411702676865</v>
      </c>
      <c r="Z2163" s="4">
        <v>13.6425118297156</v>
      </c>
      <c r="AA2163" s="4">
        <v>13.5747388235758</v>
      </c>
      <c r="AB2163" s="4">
        <f t="shared" si="135"/>
        <v>13.552806973659301</v>
      </c>
    </row>
    <row r="2164" spans="2:28" x14ac:dyDescent="0.2">
      <c r="B2164" s="4" t="s">
        <v>3813</v>
      </c>
      <c r="C2164" s="4">
        <v>13.2333</v>
      </c>
      <c r="D2164" s="4">
        <v>13.7499</v>
      </c>
      <c r="E2164" s="4">
        <v>13.6008</v>
      </c>
      <c r="F2164" s="4">
        <f t="shared" si="132"/>
        <v>13.528</v>
      </c>
      <c r="I2164" s="4" t="s">
        <v>2505</v>
      </c>
      <c r="J2164" s="4">
        <v>13.491400000000001</v>
      </c>
      <c r="K2164" s="4">
        <v>13.905900000000001</v>
      </c>
      <c r="L2164" s="4">
        <v>13.190300000000001</v>
      </c>
      <c r="M2164" s="4">
        <f t="shared" si="133"/>
        <v>13.529200000000001</v>
      </c>
      <c r="Q2164" s="43" t="s">
        <v>2388</v>
      </c>
      <c r="R2164" s="4">
        <v>13.4941483450114</v>
      </c>
      <c r="S2164" s="4">
        <v>13.373583711864899</v>
      </c>
      <c r="T2164" s="4">
        <v>13.291970038726401</v>
      </c>
      <c r="U2164" s="4">
        <f t="shared" si="134"/>
        <v>13.386567365200898</v>
      </c>
      <c r="X2164" s="43" t="s">
        <v>794</v>
      </c>
      <c r="Y2164" s="4">
        <v>13.5188753430765</v>
      </c>
      <c r="Z2164" s="4">
        <v>13.413176016184799</v>
      </c>
      <c r="AA2164" s="4">
        <v>13.7254300305533</v>
      </c>
      <c r="AB2164" s="4">
        <f t="shared" si="135"/>
        <v>13.552493796604866</v>
      </c>
    </row>
    <row r="2165" spans="2:28" x14ac:dyDescent="0.2">
      <c r="B2165" s="4" t="s">
        <v>2220</v>
      </c>
      <c r="C2165" s="4">
        <v>13.2464</v>
      </c>
      <c r="D2165" s="4">
        <v>13.4786</v>
      </c>
      <c r="E2165" s="4">
        <v>13.848699999999999</v>
      </c>
      <c r="F2165" s="4">
        <f t="shared" si="132"/>
        <v>13.524566666666667</v>
      </c>
      <c r="I2165" s="4" t="s">
        <v>1597</v>
      </c>
      <c r="J2165" s="4">
        <v>13.584099999999999</v>
      </c>
      <c r="K2165" s="4">
        <v>13.922700000000001</v>
      </c>
      <c r="L2165" s="4">
        <v>13.075699999999999</v>
      </c>
      <c r="M2165" s="4">
        <f t="shared" si="133"/>
        <v>13.527499999999998</v>
      </c>
      <c r="Q2165" s="43" t="s">
        <v>2470</v>
      </c>
      <c r="R2165" s="4">
        <v>13.3144667413232</v>
      </c>
      <c r="S2165" s="4">
        <v>13.261135171299101</v>
      </c>
      <c r="T2165" s="4">
        <v>13.580944872796699</v>
      </c>
      <c r="U2165" s="4">
        <f t="shared" si="134"/>
        <v>13.385515595139665</v>
      </c>
      <c r="X2165" s="43" t="s">
        <v>1516</v>
      </c>
      <c r="Y2165" s="4">
        <v>13.768104716266899</v>
      </c>
      <c r="Z2165" s="4">
        <v>14.4607523768797</v>
      </c>
      <c r="AA2165" s="4">
        <v>12.4264602589082</v>
      </c>
      <c r="AB2165" s="4">
        <f t="shared" si="135"/>
        <v>13.551772450684934</v>
      </c>
    </row>
    <row r="2166" spans="2:28" x14ac:dyDescent="0.2">
      <c r="B2166" s="4" t="s">
        <v>3975</v>
      </c>
      <c r="C2166" s="4">
        <v>13.364000000000001</v>
      </c>
      <c r="D2166" s="4">
        <v>13.767099999999999</v>
      </c>
      <c r="E2166" s="4">
        <v>13.438700000000001</v>
      </c>
      <c r="F2166" s="4">
        <f t="shared" si="132"/>
        <v>13.523266666666666</v>
      </c>
      <c r="I2166" s="4" t="s">
        <v>2648</v>
      </c>
      <c r="J2166" s="4">
        <v>13.7895</v>
      </c>
      <c r="K2166" s="4">
        <v>12.790699999999999</v>
      </c>
      <c r="L2166" s="4">
        <v>13.9998</v>
      </c>
      <c r="M2166" s="4">
        <f t="shared" si="133"/>
        <v>13.526666666666666</v>
      </c>
      <c r="Q2166" s="43" t="s">
        <v>1426</v>
      </c>
      <c r="R2166" s="4">
        <v>13.5860036846196</v>
      </c>
      <c r="S2166" s="4">
        <v>13.207198956213199</v>
      </c>
      <c r="T2166" s="4">
        <v>13.363262566806901</v>
      </c>
      <c r="U2166" s="4">
        <f t="shared" si="134"/>
        <v>13.385488402546565</v>
      </c>
      <c r="X2166" s="43" t="s">
        <v>2499</v>
      </c>
      <c r="Y2166" s="4">
        <v>13.420944232259799</v>
      </c>
      <c r="Z2166" s="4">
        <v>13.702426891675</v>
      </c>
      <c r="AA2166" s="4">
        <v>13.5305704694402</v>
      </c>
      <c r="AB2166" s="4">
        <f t="shared" si="135"/>
        <v>13.551313864458331</v>
      </c>
    </row>
    <row r="2167" spans="2:28" x14ac:dyDescent="0.2">
      <c r="B2167" s="4" t="s">
        <v>2260</v>
      </c>
      <c r="C2167" s="4">
        <v>13.5329</v>
      </c>
      <c r="D2167" s="4">
        <v>13.1411</v>
      </c>
      <c r="E2167" s="4">
        <v>13.8933</v>
      </c>
      <c r="F2167" s="4">
        <f t="shared" si="132"/>
        <v>13.522433333333334</v>
      </c>
      <c r="I2167" s="4" t="s">
        <v>3258</v>
      </c>
      <c r="J2167" s="4">
        <v>13.9808</v>
      </c>
      <c r="K2167" s="4">
        <v>13.349399999999999</v>
      </c>
      <c r="L2167" s="4">
        <v>13.2462</v>
      </c>
      <c r="M2167" s="4">
        <f t="shared" si="133"/>
        <v>13.525466666666667</v>
      </c>
      <c r="Q2167" s="43" t="s">
        <v>1606</v>
      </c>
      <c r="R2167" s="4">
        <v>13.4098368234883</v>
      </c>
      <c r="S2167" s="4">
        <v>13.3725937417419</v>
      </c>
      <c r="T2167" s="4">
        <v>13.3670221874655</v>
      </c>
      <c r="U2167" s="4">
        <f t="shared" si="134"/>
        <v>13.383150917565233</v>
      </c>
      <c r="X2167" s="43" t="s">
        <v>1019</v>
      </c>
      <c r="Y2167" s="4">
        <v>13.523510742002699</v>
      </c>
      <c r="Z2167" s="4">
        <v>13.4915135583606</v>
      </c>
      <c r="AA2167" s="4">
        <v>13.6347811102429</v>
      </c>
      <c r="AB2167" s="4">
        <f t="shared" si="135"/>
        <v>13.549935136868733</v>
      </c>
    </row>
    <row r="2168" spans="2:28" x14ac:dyDescent="0.2">
      <c r="B2168" s="4" t="s">
        <v>3402</v>
      </c>
      <c r="C2168" s="4">
        <v>13.292400000000001</v>
      </c>
      <c r="D2168" s="4">
        <v>13.1637</v>
      </c>
      <c r="E2168" s="4">
        <v>14.1097</v>
      </c>
      <c r="F2168" s="4">
        <f t="shared" si="132"/>
        <v>13.521933333333331</v>
      </c>
      <c r="I2168" s="4" t="s">
        <v>1853</v>
      </c>
      <c r="J2168" s="4">
        <v>14.0505</v>
      </c>
      <c r="K2168" s="4">
        <v>12.934900000000001</v>
      </c>
      <c r="L2168" s="4">
        <v>13.5909</v>
      </c>
      <c r="M2168" s="4">
        <f t="shared" si="133"/>
        <v>13.525433333333332</v>
      </c>
      <c r="Q2168" s="43" t="s">
        <v>3652</v>
      </c>
      <c r="R2168" s="4">
        <v>13.6827813013451</v>
      </c>
      <c r="S2168" s="4">
        <v>13.251289302307899</v>
      </c>
      <c r="T2168" s="4">
        <v>13.213138286452599</v>
      </c>
      <c r="U2168" s="4">
        <f t="shared" si="134"/>
        <v>13.382402963368532</v>
      </c>
      <c r="X2168" s="43" t="s">
        <v>4254</v>
      </c>
      <c r="Y2168" s="4">
        <v>13.550623815633401</v>
      </c>
      <c r="Z2168" s="4">
        <v>13.5787951569756</v>
      </c>
      <c r="AA2168" s="4">
        <v>13.514505522447299</v>
      </c>
      <c r="AB2168" s="4">
        <f t="shared" si="135"/>
        <v>13.547974831685435</v>
      </c>
    </row>
    <row r="2169" spans="2:28" x14ac:dyDescent="0.2">
      <c r="B2169" s="4" t="s">
        <v>2923</v>
      </c>
      <c r="C2169" s="4">
        <v>12.4611</v>
      </c>
      <c r="D2169" s="4">
        <v>13.637</v>
      </c>
      <c r="E2169" s="4">
        <v>14.463900000000001</v>
      </c>
      <c r="F2169" s="4">
        <f t="shared" si="132"/>
        <v>13.520666666666669</v>
      </c>
      <c r="I2169" s="4" t="s">
        <v>3658</v>
      </c>
      <c r="J2169" s="4">
        <v>13.483700000000001</v>
      </c>
      <c r="K2169" s="4">
        <v>13.408099999999999</v>
      </c>
      <c r="L2169" s="4">
        <v>13.6805</v>
      </c>
      <c r="M2169" s="4">
        <f t="shared" si="133"/>
        <v>13.524099999999999</v>
      </c>
      <c r="Q2169" s="43" t="s">
        <v>1595</v>
      </c>
      <c r="R2169" s="4">
        <v>13.1802966619827</v>
      </c>
      <c r="S2169" s="4">
        <v>13.552240093312999</v>
      </c>
      <c r="T2169" s="4">
        <v>13.4101045256359</v>
      </c>
      <c r="U2169" s="4">
        <f t="shared" si="134"/>
        <v>13.3808804269772</v>
      </c>
      <c r="X2169" s="43" t="s">
        <v>3232</v>
      </c>
      <c r="Y2169" s="4">
        <v>13.7259939114322</v>
      </c>
      <c r="Z2169" s="4">
        <v>13.157577813803799</v>
      </c>
      <c r="AA2169" s="4">
        <v>13.7554161916976</v>
      </c>
      <c r="AB2169" s="4">
        <f t="shared" si="135"/>
        <v>13.546329305644534</v>
      </c>
    </row>
    <row r="2170" spans="2:28" x14ac:dyDescent="0.2">
      <c r="B2170" s="4" t="s">
        <v>3774</v>
      </c>
      <c r="C2170" s="4">
        <v>13.180999999999999</v>
      </c>
      <c r="D2170" s="4">
        <v>13.491099999999999</v>
      </c>
      <c r="E2170" s="4">
        <v>13.883800000000001</v>
      </c>
      <c r="F2170" s="4">
        <f t="shared" si="132"/>
        <v>13.518633333333334</v>
      </c>
      <c r="I2170" s="4" t="s">
        <v>1490</v>
      </c>
      <c r="J2170" s="4">
        <v>12.6837</v>
      </c>
      <c r="K2170" s="4">
        <v>15.246600000000001</v>
      </c>
      <c r="L2170" s="4">
        <v>12.6372</v>
      </c>
      <c r="M2170" s="4">
        <f t="shared" si="133"/>
        <v>13.522500000000001</v>
      </c>
      <c r="Q2170" s="43" t="s">
        <v>3539</v>
      </c>
      <c r="R2170" s="4">
        <v>13.4108246408233</v>
      </c>
      <c r="S2170" s="4">
        <v>13.3750460755638</v>
      </c>
      <c r="T2170" s="4">
        <v>13.3545710475805</v>
      </c>
      <c r="U2170" s="4">
        <f t="shared" si="134"/>
        <v>13.380147254655867</v>
      </c>
      <c r="X2170" s="43" t="s">
        <v>4477</v>
      </c>
      <c r="Y2170" s="4">
        <v>13.7579479427283</v>
      </c>
      <c r="Z2170" s="4">
        <v>13.3161000885075</v>
      </c>
      <c r="AA2170" s="4">
        <v>13.5647380634468</v>
      </c>
      <c r="AB2170" s="4">
        <f t="shared" si="135"/>
        <v>13.546262031560866</v>
      </c>
    </row>
    <row r="2171" spans="2:28" x14ac:dyDescent="0.2">
      <c r="B2171" s="4" t="s">
        <v>1811</v>
      </c>
      <c r="C2171" s="4">
        <v>14.7172</v>
      </c>
      <c r="D2171" s="4">
        <v>14.6722</v>
      </c>
      <c r="E2171" s="4">
        <v>11.1625</v>
      </c>
      <c r="F2171" s="4">
        <f t="shared" si="132"/>
        <v>13.517300000000001</v>
      </c>
      <c r="I2171" s="4" t="s">
        <v>1661</v>
      </c>
      <c r="J2171" s="4">
        <v>12.8607</v>
      </c>
      <c r="K2171" s="4">
        <v>14.6517</v>
      </c>
      <c r="L2171" s="4">
        <v>13.0456</v>
      </c>
      <c r="M2171" s="4">
        <f t="shared" si="133"/>
        <v>13.519333333333334</v>
      </c>
      <c r="Q2171" s="43" t="s">
        <v>3669</v>
      </c>
      <c r="R2171" s="4">
        <v>13.025909782254899</v>
      </c>
      <c r="S2171" s="4">
        <v>13.584237751539099</v>
      </c>
      <c r="T2171" s="4">
        <v>13.528759298330201</v>
      </c>
      <c r="U2171" s="4">
        <f t="shared" si="134"/>
        <v>13.379635610708066</v>
      </c>
      <c r="X2171" s="43" t="s">
        <v>756</v>
      </c>
      <c r="Y2171" s="4">
        <v>13.742914109913601</v>
      </c>
      <c r="Z2171" s="4">
        <v>13.406017374805399</v>
      </c>
      <c r="AA2171" s="4">
        <v>13.487101157792599</v>
      </c>
      <c r="AB2171" s="4">
        <f t="shared" si="135"/>
        <v>13.545344214170534</v>
      </c>
    </row>
    <row r="2172" spans="2:28" x14ac:dyDescent="0.2">
      <c r="B2172" s="4" t="s">
        <v>435</v>
      </c>
      <c r="C2172" s="4">
        <v>13.855600000000001</v>
      </c>
      <c r="D2172" s="4">
        <v>13.0731</v>
      </c>
      <c r="E2172" s="4">
        <v>13.6221</v>
      </c>
      <c r="F2172" s="4">
        <f t="shared" si="132"/>
        <v>13.516933333333332</v>
      </c>
      <c r="I2172" s="4" t="s">
        <v>328</v>
      </c>
      <c r="J2172" s="4">
        <v>13.939399999999999</v>
      </c>
      <c r="K2172" s="4">
        <v>13.3794</v>
      </c>
      <c r="L2172" s="4">
        <v>13.237399999999999</v>
      </c>
      <c r="M2172" s="4">
        <f t="shared" si="133"/>
        <v>13.518733333333332</v>
      </c>
      <c r="Q2172" s="43" t="s">
        <v>1747</v>
      </c>
      <c r="R2172" s="4">
        <v>13.2859890102348</v>
      </c>
      <c r="S2172" s="4">
        <v>13.607843093552599</v>
      </c>
      <c r="T2172" s="4">
        <v>13.243271143958999</v>
      </c>
      <c r="U2172" s="4">
        <f t="shared" si="134"/>
        <v>13.379034415915465</v>
      </c>
      <c r="X2172" s="43" t="s">
        <v>4492</v>
      </c>
      <c r="Y2172" s="4">
        <v>13.826954847040501</v>
      </c>
      <c r="Z2172" s="4">
        <v>13.2774281047048</v>
      </c>
      <c r="AA2172" s="4">
        <v>13.529934277532</v>
      </c>
      <c r="AB2172" s="4">
        <f t="shared" si="135"/>
        <v>13.5447724097591</v>
      </c>
    </row>
    <row r="2173" spans="2:28" x14ac:dyDescent="0.2">
      <c r="B2173" s="4" t="s">
        <v>2090</v>
      </c>
      <c r="C2173" s="4">
        <v>13.2369</v>
      </c>
      <c r="D2173" s="4">
        <v>13.8498</v>
      </c>
      <c r="E2173" s="4">
        <v>13.463100000000001</v>
      </c>
      <c r="F2173" s="4">
        <f t="shared" si="132"/>
        <v>13.516600000000002</v>
      </c>
      <c r="I2173" s="4" t="s">
        <v>2123</v>
      </c>
      <c r="J2173" s="4">
        <v>13.1823</v>
      </c>
      <c r="K2173" s="4">
        <v>13.838699999999999</v>
      </c>
      <c r="L2173" s="4">
        <v>13.533300000000001</v>
      </c>
      <c r="M2173" s="4">
        <f t="shared" si="133"/>
        <v>13.518099999999999</v>
      </c>
      <c r="Q2173" s="43" t="s">
        <v>4470</v>
      </c>
      <c r="R2173" s="4">
        <v>13.552517603527001</v>
      </c>
      <c r="S2173" s="4">
        <v>13.302568842793599</v>
      </c>
      <c r="T2173" s="4">
        <v>13.280747410401</v>
      </c>
      <c r="U2173" s="4">
        <f t="shared" si="134"/>
        <v>13.378611285573866</v>
      </c>
      <c r="X2173" s="43" t="s">
        <v>4063</v>
      </c>
      <c r="Y2173" s="4">
        <v>13.4187327942228</v>
      </c>
      <c r="Z2173" s="4">
        <v>13.589962093635</v>
      </c>
      <c r="AA2173" s="4">
        <v>13.6217779096137</v>
      </c>
      <c r="AB2173" s="4">
        <f t="shared" si="135"/>
        <v>13.543490932490499</v>
      </c>
    </row>
    <row r="2174" spans="2:28" x14ac:dyDescent="0.2">
      <c r="B2174" s="4" t="s">
        <v>2798</v>
      </c>
      <c r="C2174" s="4">
        <v>13.785</v>
      </c>
      <c r="D2174" s="4">
        <v>13.5352</v>
      </c>
      <c r="E2174" s="4">
        <v>13.228400000000001</v>
      </c>
      <c r="F2174" s="4">
        <f t="shared" si="132"/>
        <v>13.5162</v>
      </c>
      <c r="I2174" s="4" t="s">
        <v>114</v>
      </c>
      <c r="J2174" s="4">
        <v>13.875400000000001</v>
      </c>
      <c r="K2174" s="4">
        <v>12.891299999999999</v>
      </c>
      <c r="L2174" s="4">
        <v>13.780799999999999</v>
      </c>
      <c r="M2174" s="4">
        <f t="shared" si="133"/>
        <v>13.515833333333333</v>
      </c>
      <c r="Q2174" s="43" t="s">
        <v>2856</v>
      </c>
      <c r="R2174" s="4">
        <v>13.1065940835968</v>
      </c>
      <c r="S2174" s="4">
        <v>13.271617205533</v>
      </c>
      <c r="T2174" s="4">
        <v>13.7566201354312</v>
      </c>
      <c r="U2174" s="4">
        <f t="shared" si="134"/>
        <v>13.378277141520334</v>
      </c>
      <c r="X2174" s="43" t="s">
        <v>3943</v>
      </c>
      <c r="Y2174" s="4">
        <v>13.7249864411919</v>
      </c>
      <c r="Z2174" s="4">
        <v>13.4301257100522</v>
      </c>
      <c r="AA2174" s="4">
        <v>13.4742361649387</v>
      </c>
      <c r="AB2174" s="4">
        <f t="shared" si="135"/>
        <v>13.543116105394267</v>
      </c>
    </row>
    <row r="2175" spans="2:28" x14ac:dyDescent="0.2">
      <c r="B2175" s="4" t="s">
        <v>1475</v>
      </c>
      <c r="C2175" s="4">
        <v>12.9854</v>
      </c>
      <c r="D2175" s="4">
        <v>13.291700000000001</v>
      </c>
      <c r="E2175" s="4">
        <v>14.270899999999999</v>
      </c>
      <c r="F2175" s="4">
        <f t="shared" si="132"/>
        <v>13.516</v>
      </c>
      <c r="I2175" s="4" t="s">
        <v>3580</v>
      </c>
      <c r="J2175" s="4">
        <v>13.632400000000001</v>
      </c>
      <c r="K2175" s="4">
        <v>13.260899999999999</v>
      </c>
      <c r="L2175" s="4">
        <v>13.6524</v>
      </c>
      <c r="M2175" s="4">
        <f t="shared" si="133"/>
        <v>13.515233333333333</v>
      </c>
      <c r="Q2175" s="43" t="s">
        <v>507</v>
      </c>
      <c r="R2175" s="4">
        <v>13.0896087514722</v>
      </c>
      <c r="S2175" s="4">
        <v>13.421410564591699</v>
      </c>
      <c r="T2175" s="4">
        <v>13.6215975480676</v>
      </c>
      <c r="U2175" s="4">
        <f t="shared" si="134"/>
        <v>13.3775389547105</v>
      </c>
      <c r="X2175" s="43" t="s">
        <v>3282</v>
      </c>
      <c r="Y2175" s="4">
        <v>13.5971027361167</v>
      </c>
      <c r="Z2175" s="4">
        <v>13.646284552158299</v>
      </c>
      <c r="AA2175" s="4">
        <v>13.384009414248601</v>
      </c>
      <c r="AB2175" s="4">
        <f t="shared" si="135"/>
        <v>13.542465567507866</v>
      </c>
    </row>
    <row r="2176" spans="2:28" x14ac:dyDescent="0.2">
      <c r="B2176" s="4" t="s">
        <v>2988</v>
      </c>
      <c r="C2176" s="4">
        <v>13.9056</v>
      </c>
      <c r="D2176" s="4">
        <v>13.3935</v>
      </c>
      <c r="E2176" s="4">
        <v>13.2468</v>
      </c>
      <c r="F2176" s="4">
        <f t="shared" si="132"/>
        <v>13.515300000000002</v>
      </c>
      <c r="I2176" s="4" t="s">
        <v>1363</v>
      </c>
      <c r="J2176" s="4">
        <v>13.6191</v>
      </c>
      <c r="K2176" s="4">
        <v>13.333600000000001</v>
      </c>
      <c r="L2176" s="4">
        <v>13.591900000000001</v>
      </c>
      <c r="M2176" s="4">
        <f t="shared" si="133"/>
        <v>13.514866666666668</v>
      </c>
      <c r="Q2176" s="43" t="s">
        <v>717</v>
      </c>
      <c r="R2176" s="4">
        <v>13.8235860519182</v>
      </c>
      <c r="S2176" s="4">
        <v>13.476882161008101</v>
      </c>
      <c r="T2176" s="4">
        <v>12.822606978294401</v>
      </c>
      <c r="U2176" s="4">
        <f t="shared" si="134"/>
        <v>13.374358397073566</v>
      </c>
      <c r="X2176" s="43" t="s">
        <v>671</v>
      </c>
      <c r="Y2176" s="4">
        <v>13.720840082409699</v>
      </c>
      <c r="Z2176" s="4">
        <v>13.379277798694901</v>
      </c>
      <c r="AA2176" s="4">
        <v>13.520139732121701</v>
      </c>
      <c r="AB2176" s="4">
        <f t="shared" si="135"/>
        <v>13.540085871075433</v>
      </c>
    </row>
    <row r="2177" spans="2:28" x14ac:dyDescent="0.2">
      <c r="B2177" s="4" t="s">
        <v>2847</v>
      </c>
      <c r="C2177" s="4">
        <v>12.629200000000001</v>
      </c>
      <c r="D2177" s="4">
        <v>13.7631</v>
      </c>
      <c r="E2177" s="4">
        <v>14.1492</v>
      </c>
      <c r="F2177" s="4">
        <f t="shared" si="132"/>
        <v>13.513833333333332</v>
      </c>
      <c r="I2177" s="4" t="s">
        <v>3709</v>
      </c>
      <c r="J2177" s="4">
        <v>13.517300000000001</v>
      </c>
      <c r="K2177" s="4">
        <v>13.877000000000001</v>
      </c>
      <c r="L2177" s="4">
        <v>13.1478</v>
      </c>
      <c r="M2177" s="4">
        <f t="shared" si="133"/>
        <v>13.514033333333336</v>
      </c>
      <c r="Q2177" s="43" t="s">
        <v>4164</v>
      </c>
      <c r="R2177" s="4">
        <v>13.2952657582399</v>
      </c>
      <c r="S2177" s="4">
        <v>13.2087978129644</v>
      </c>
      <c r="T2177" s="4">
        <v>13.6176987396098</v>
      </c>
      <c r="U2177" s="4">
        <f t="shared" si="134"/>
        <v>13.373920770271367</v>
      </c>
      <c r="X2177" s="43" t="s">
        <v>2700</v>
      </c>
      <c r="Y2177" s="4">
        <v>13.789276138439</v>
      </c>
      <c r="Z2177" s="4">
        <v>13.532787899922701</v>
      </c>
      <c r="AA2177" s="4">
        <v>13.297582066873</v>
      </c>
      <c r="AB2177" s="4">
        <f t="shared" si="135"/>
        <v>13.539882035078234</v>
      </c>
    </row>
    <row r="2178" spans="2:28" x14ac:dyDescent="0.2">
      <c r="B2178" s="4" t="s">
        <v>399</v>
      </c>
      <c r="C2178" s="4">
        <v>13.5284</v>
      </c>
      <c r="D2178" s="4">
        <v>13.5792</v>
      </c>
      <c r="E2178" s="4">
        <v>13.4331</v>
      </c>
      <c r="F2178" s="4">
        <f t="shared" ref="F2178:F2241" si="136">(C2178+D2178+E2178)/3</f>
        <v>13.513566666666668</v>
      </c>
      <c r="I2178" s="4" t="s">
        <v>907</v>
      </c>
      <c r="J2178" s="4">
        <v>12.373900000000001</v>
      </c>
      <c r="K2178" s="4">
        <v>15.209099999999999</v>
      </c>
      <c r="L2178" s="4">
        <v>12.955</v>
      </c>
      <c r="M2178" s="4">
        <f t="shared" ref="M2178:M2241" si="137">(J2178+K2178+L2178)/3</f>
        <v>13.512666666666666</v>
      </c>
      <c r="Q2178" s="43" t="s">
        <v>238</v>
      </c>
      <c r="R2178" s="4">
        <v>13.2941369075126</v>
      </c>
      <c r="S2178" s="4">
        <v>13.4341671896115</v>
      </c>
      <c r="T2178" s="4">
        <v>13.3913672201215</v>
      </c>
      <c r="U2178" s="4">
        <f t="shared" ref="U2178:U2241" si="138">(R2178+S2178+T2178)/3</f>
        <v>13.373223772415201</v>
      </c>
      <c r="X2178" s="43" t="s">
        <v>79</v>
      </c>
      <c r="Y2178" s="4">
        <v>13.5800499118905</v>
      </c>
      <c r="Z2178" s="4">
        <v>13.5633469018311</v>
      </c>
      <c r="AA2178" s="4">
        <v>13.473985293314101</v>
      </c>
      <c r="AB2178" s="4">
        <f t="shared" ref="AB2178:AB2241" si="139">(Y2178+Z2178+AA2178)/3</f>
        <v>13.539127369011901</v>
      </c>
    </row>
    <row r="2179" spans="2:28" x14ac:dyDescent="0.2">
      <c r="B2179" s="4" t="s">
        <v>1275</v>
      </c>
      <c r="C2179" s="4">
        <v>13.573700000000001</v>
      </c>
      <c r="D2179" s="4">
        <v>13.5928</v>
      </c>
      <c r="E2179" s="4">
        <v>13.371</v>
      </c>
      <c r="F2179" s="4">
        <f t="shared" si="136"/>
        <v>13.512500000000001</v>
      </c>
      <c r="I2179" s="4" t="s">
        <v>935</v>
      </c>
      <c r="J2179" s="4">
        <v>13.054500000000001</v>
      </c>
      <c r="K2179" s="4">
        <v>14.183999999999999</v>
      </c>
      <c r="L2179" s="4">
        <v>13.295</v>
      </c>
      <c r="M2179" s="4">
        <f t="shared" si="137"/>
        <v>13.511166666666668</v>
      </c>
      <c r="Q2179" s="43" t="s">
        <v>2025</v>
      </c>
      <c r="R2179" s="4">
        <v>13.6024824100432</v>
      </c>
      <c r="S2179" s="4">
        <v>13.1698627656236</v>
      </c>
      <c r="T2179" s="4">
        <v>13.3462647666835</v>
      </c>
      <c r="U2179" s="4">
        <f t="shared" si="138"/>
        <v>13.372869980783435</v>
      </c>
      <c r="X2179" s="43" t="s">
        <v>2980</v>
      </c>
      <c r="Y2179" s="4">
        <v>13.204646692152201</v>
      </c>
      <c r="Z2179" s="4">
        <v>13.5562686065407</v>
      </c>
      <c r="AA2179" s="4">
        <v>13.8554366967522</v>
      </c>
      <c r="AB2179" s="4">
        <f t="shared" si="139"/>
        <v>13.5387839984817</v>
      </c>
    </row>
    <row r="2180" spans="2:28" x14ac:dyDescent="0.2">
      <c r="B2180" s="4" t="s">
        <v>26</v>
      </c>
      <c r="C2180" s="4">
        <v>13.131</v>
      </c>
      <c r="D2180" s="4">
        <v>13.6516</v>
      </c>
      <c r="E2180" s="4">
        <v>13.752700000000001</v>
      </c>
      <c r="F2180" s="4">
        <f t="shared" si="136"/>
        <v>13.511766666666668</v>
      </c>
      <c r="I2180" s="4" t="s">
        <v>603</v>
      </c>
      <c r="J2180" s="4">
        <v>13.169</v>
      </c>
      <c r="K2180" s="4">
        <v>14.0558</v>
      </c>
      <c r="L2180" s="4">
        <v>13.297700000000001</v>
      </c>
      <c r="M2180" s="4">
        <f t="shared" si="137"/>
        <v>13.5075</v>
      </c>
      <c r="Q2180" s="43" t="s">
        <v>3022</v>
      </c>
      <c r="R2180" s="4">
        <v>12.9081477745803</v>
      </c>
      <c r="S2180" s="4">
        <v>13.3872189996291</v>
      </c>
      <c r="T2180" s="4">
        <v>13.822186285718301</v>
      </c>
      <c r="U2180" s="4">
        <f t="shared" si="138"/>
        <v>13.372517686642567</v>
      </c>
      <c r="X2180" s="43" t="s">
        <v>452</v>
      </c>
      <c r="Y2180" s="4">
        <v>13.5614404812861</v>
      </c>
      <c r="Z2180" s="4">
        <v>13.299936704394</v>
      </c>
      <c r="AA2180" s="4">
        <v>13.7542020297963</v>
      </c>
      <c r="AB2180" s="4">
        <f t="shared" si="139"/>
        <v>13.5385264051588</v>
      </c>
    </row>
    <row r="2181" spans="2:28" x14ac:dyDescent="0.2">
      <c r="B2181" s="4" t="s">
        <v>2804</v>
      </c>
      <c r="C2181" s="4">
        <v>13.5778</v>
      </c>
      <c r="D2181" s="4">
        <v>13.5907</v>
      </c>
      <c r="E2181" s="4">
        <v>13.361599999999999</v>
      </c>
      <c r="F2181" s="4">
        <f t="shared" si="136"/>
        <v>13.510033333333334</v>
      </c>
      <c r="I2181" s="4" t="s">
        <v>2627</v>
      </c>
      <c r="J2181" s="4">
        <v>13.6473</v>
      </c>
      <c r="K2181" s="4">
        <v>13.233700000000001</v>
      </c>
      <c r="L2181" s="4">
        <v>13.641299999999999</v>
      </c>
      <c r="M2181" s="4">
        <f t="shared" si="137"/>
        <v>13.507433333333333</v>
      </c>
      <c r="Q2181" s="43" t="s">
        <v>755</v>
      </c>
      <c r="R2181" s="4">
        <v>12.7583444514494</v>
      </c>
      <c r="S2181" s="4">
        <v>13.692477518644299</v>
      </c>
      <c r="T2181" s="4">
        <v>13.665446830521001</v>
      </c>
      <c r="U2181" s="4">
        <f t="shared" si="138"/>
        <v>13.3720896002049</v>
      </c>
      <c r="X2181" s="43" t="s">
        <v>4092</v>
      </c>
      <c r="Y2181" s="4">
        <v>13.754770768798499</v>
      </c>
      <c r="Z2181" s="4">
        <v>13.7921662853905</v>
      </c>
      <c r="AA2181" s="4">
        <v>13.059566147563</v>
      </c>
      <c r="AB2181" s="4">
        <f t="shared" si="139"/>
        <v>13.535501067250669</v>
      </c>
    </row>
    <row r="2182" spans="2:28" x14ac:dyDescent="0.2">
      <c r="B2182" s="4" t="s">
        <v>1690</v>
      </c>
      <c r="C2182" s="4">
        <v>14.1846</v>
      </c>
      <c r="D2182" s="4">
        <v>13.3508</v>
      </c>
      <c r="E2182" s="4">
        <v>12.993499999999999</v>
      </c>
      <c r="F2182" s="4">
        <f t="shared" si="136"/>
        <v>13.509633333333333</v>
      </c>
      <c r="I2182" s="4" t="s">
        <v>33</v>
      </c>
      <c r="J2182" s="4">
        <v>13.4636</v>
      </c>
      <c r="K2182" s="4">
        <v>13.348599999999999</v>
      </c>
      <c r="L2182" s="4">
        <v>13.7057</v>
      </c>
      <c r="M2182" s="4">
        <f t="shared" si="137"/>
        <v>13.505966666666666</v>
      </c>
      <c r="Q2182" s="43" t="s">
        <v>4302</v>
      </c>
      <c r="R2182" s="4">
        <v>12.909918244461201</v>
      </c>
      <c r="S2182" s="4">
        <v>13.407089172331499</v>
      </c>
      <c r="T2182" s="4">
        <v>13.797102189778499</v>
      </c>
      <c r="U2182" s="4">
        <f t="shared" si="138"/>
        <v>13.371369868857066</v>
      </c>
      <c r="X2182" s="43" t="s">
        <v>3783</v>
      </c>
      <c r="Y2182" s="4">
        <v>13.489055418909601</v>
      </c>
      <c r="Z2182" s="4">
        <v>13.5186268807358</v>
      </c>
      <c r="AA2182" s="4">
        <v>13.589725140391501</v>
      </c>
      <c r="AB2182" s="4">
        <f t="shared" si="139"/>
        <v>13.532469146678968</v>
      </c>
    </row>
    <row r="2183" spans="2:28" x14ac:dyDescent="0.2">
      <c r="B2183" s="4" t="s">
        <v>2403</v>
      </c>
      <c r="C2183" s="4">
        <v>13.8484</v>
      </c>
      <c r="D2183" s="4">
        <v>13.406700000000001</v>
      </c>
      <c r="E2183" s="4">
        <v>13.2658</v>
      </c>
      <c r="F2183" s="4">
        <f t="shared" si="136"/>
        <v>13.506966666666665</v>
      </c>
      <c r="I2183" s="4" t="s">
        <v>2230</v>
      </c>
      <c r="J2183" s="4">
        <v>13.4186</v>
      </c>
      <c r="K2183" s="4">
        <v>13.286099999999999</v>
      </c>
      <c r="L2183" s="4">
        <v>13.807399999999999</v>
      </c>
      <c r="M2183" s="4">
        <f t="shared" si="137"/>
        <v>13.504033333333332</v>
      </c>
      <c r="Q2183" s="43" t="s">
        <v>4509</v>
      </c>
      <c r="R2183" s="4">
        <v>13.548473939679701</v>
      </c>
      <c r="S2183" s="4">
        <v>13.258289694358499</v>
      </c>
      <c r="T2183" s="4">
        <v>13.301640366349099</v>
      </c>
      <c r="U2183" s="4">
        <f t="shared" si="138"/>
        <v>13.369468000129098</v>
      </c>
      <c r="X2183" s="43" t="s">
        <v>1490</v>
      </c>
      <c r="Y2183" s="4">
        <v>13.266848400721999</v>
      </c>
      <c r="Z2183" s="4">
        <v>13.765071328162399</v>
      </c>
      <c r="AA2183" s="4">
        <v>13.559358639870601</v>
      </c>
      <c r="AB2183" s="4">
        <f t="shared" si="139"/>
        <v>13.530426122918334</v>
      </c>
    </row>
    <row r="2184" spans="2:28" x14ac:dyDescent="0.2">
      <c r="B2184" s="4" t="s">
        <v>3934</v>
      </c>
      <c r="C2184" s="4">
        <v>13.731400000000001</v>
      </c>
      <c r="D2184" s="4">
        <v>13.4419</v>
      </c>
      <c r="E2184" s="4">
        <v>13.3439</v>
      </c>
      <c r="F2184" s="4">
        <f t="shared" si="136"/>
        <v>13.505733333333334</v>
      </c>
      <c r="I2184" s="4" t="s">
        <v>545</v>
      </c>
      <c r="J2184" s="4">
        <v>13.6594</v>
      </c>
      <c r="K2184" s="4">
        <v>13.1122</v>
      </c>
      <c r="L2184" s="4">
        <v>13.734500000000001</v>
      </c>
      <c r="M2184" s="4">
        <f t="shared" si="137"/>
        <v>13.502033333333335</v>
      </c>
      <c r="Q2184" s="43" t="s">
        <v>4338</v>
      </c>
      <c r="R2184" s="4">
        <v>12.9780766960134</v>
      </c>
      <c r="S2184" s="4">
        <v>13.4718095814744</v>
      </c>
      <c r="T2184" s="4">
        <v>13.655357759084</v>
      </c>
      <c r="U2184" s="4">
        <f t="shared" si="138"/>
        <v>13.368414678857265</v>
      </c>
      <c r="X2184" s="43" t="s">
        <v>2530</v>
      </c>
      <c r="Y2184" s="4">
        <v>13.5138326005561</v>
      </c>
      <c r="Z2184" s="4">
        <v>13.582584003594899</v>
      </c>
      <c r="AA2184" s="4">
        <v>13.490731998922501</v>
      </c>
      <c r="AB2184" s="4">
        <f t="shared" si="139"/>
        <v>13.529049534357833</v>
      </c>
    </row>
    <row r="2185" spans="2:28" x14ac:dyDescent="0.2">
      <c r="B2185" s="4" t="s">
        <v>754</v>
      </c>
      <c r="C2185" s="4">
        <v>14.352600000000001</v>
      </c>
      <c r="D2185" s="4">
        <v>13.6363</v>
      </c>
      <c r="E2185" s="4">
        <v>12.528</v>
      </c>
      <c r="F2185" s="4">
        <f t="shared" si="136"/>
        <v>13.505633333333334</v>
      </c>
      <c r="I2185" s="4" t="s">
        <v>3662</v>
      </c>
      <c r="J2185" s="4">
        <v>13.2746</v>
      </c>
      <c r="K2185" s="4">
        <v>14.457100000000001</v>
      </c>
      <c r="L2185" s="4">
        <v>12.773</v>
      </c>
      <c r="M2185" s="4">
        <f t="shared" si="137"/>
        <v>13.501566666666667</v>
      </c>
      <c r="Q2185" s="43" t="s">
        <v>1084</v>
      </c>
      <c r="R2185" s="4">
        <v>13.576971136778599</v>
      </c>
      <c r="S2185" s="4">
        <v>13.233753929167101</v>
      </c>
      <c r="T2185" s="4">
        <v>13.294426916183999</v>
      </c>
      <c r="U2185" s="4">
        <f t="shared" si="138"/>
        <v>13.368383994043233</v>
      </c>
      <c r="X2185" s="43" t="s">
        <v>1649</v>
      </c>
      <c r="Y2185" s="4">
        <v>13.5778249022931</v>
      </c>
      <c r="Z2185" s="4">
        <v>13.4606456091936</v>
      </c>
      <c r="AA2185" s="4">
        <v>13.546435028033599</v>
      </c>
      <c r="AB2185" s="4">
        <f t="shared" si="139"/>
        <v>13.528301846506766</v>
      </c>
    </row>
    <row r="2186" spans="2:28" x14ac:dyDescent="0.2">
      <c r="B2186" s="4" t="s">
        <v>1021</v>
      </c>
      <c r="C2186" s="4">
        <v>13.4895</v>
      </c>
      <c r="D2186" s="4">
        <v>13.5616</v>
      </c>
      <c r="E2186" s="4">
        <v>13.4649</v>
      </c>
      <c r="F2186" s="4">
        <f t="shared" si="136"/>
        <v>13.505333333333333</v>
      </c>
      <c r="I2186" s="4" t="s">
        <v>35</v>
      </c>
      <c r="J2186" s="4">
        <v>12.8794</v>
      </c>
      <c r="K2186" s="4">
        <v>14.0738</v>
      </c>
      <c r="L2186" s="4">
        <v>13.5463</v>
      </c>
      <c r="M2186" s="4">
        <f t="shared" si="137"/>
        <v>13.499833333333335</v>
      </c>
      <c r="Q2186" s="43" t="s">
        <v>2612</v>
      </c>
      <c r="R2186" s="4">
        <v>12.678135261219801</v>
      </c>
      <c r="S2186" s="4">
        <v>13.9365767557039</v>
      </c>
      <c r="T2186" s="4">
        <v>13.4866297335453</v>
      </c>
      <c r="U2186" s="4">
        <f t="shared" si="138"/>
        <v>13.367113916823001</v>
      </c>
      <c r="X2186" s="43" t="s">
        <v>4414</v>
      </c>
      <c r="Y2186" s="4">
        <v>13.7095422736964</v>
      </c>
      <c r="Z2186" s="4">
        <v>13.250312947603</v>
      </c>
      <c r="AA2186" s="4">
        <v>13.6242182913929</v>
      </c>
      <c r="AB2186" s="4">
        <f t="shared" si="139"/>
        <v>13.528024504230766</v>
      </c>
    </row>
    <row r="2187" spans="2:28" x14ac:dyDescent="0.2">
      <c r="B2187" s="4" t="s">
        <v>1682</v>
      </c>
      <c r="C2187" s="4">
        <v>13.733700000000001</v>
      </c>
      <c r="D2187" s="4">
        <v>13.773199999999999</v>
      </c>
      <c r="E2187" s="4">
        <v>13.0077</v>
      </c>
      <c r="F2187" s="4">
        <f t="shared" si="136"/>
        <v>13.504866666666667</v>
      </c>
      <c r="I2187" s="4" t="s">
        <v>3717</v>
      </c>
      <c r="J2187" s="4">
        <v>12.8277</v>
      </c>
      <c r="K2187" s="4">
        <v>14.3522</v>
      </c>
      <c r="L2187" s="4">
        <v>13.319599999999999</v>
      </c>
      <c r="M2187" s="4">
        <f t="shared" si="137"/>
        <v>13.499833333333333</v>
      </c>
      <c r="Q2187" s="43" t="s">
        <v>1183</v>
      </c>
      <c r="R2187" s="4">
        <v>13.308563896906101</v>
      </c>
      <c r="S2187" s="4">
        <v>13.325906762143401</v>
      </c>
      <c r="T2187" s="4">
        <v>13.465149460703399</v>
      </c>
      <c r="U2187" s="4">
        <f t="shared" si="138"/>
        <v>13.366540039917632</v>
      </c>
      <c r="X2187" s="43" t="s">
        <v>3539</v>
      </c>
      <c r="Y2187" s="4">
        <v>13.502114346449</v>
      </c>
      <c r="Z2187" s="4">
        <v>13.5668355489905</v>
      </c>
      <c r="AA2187" s="4">
        <v>13.513552494799701</v>
      </c>
      <c r="AB2187" s="4">
        <f t="shared" si="139"/>
        <v>13.5275007967464</v>
      </c>
    </row>
    <row r="2188" spans="2:28" x14ac:dyDescent="0.2">
      <c r="B2188" s="4" t="s">
        <v>2952</v>
      </c>
      <c r="C2188" s="4">
        <v>13.3322</v>
      </c>
      <c r="D2188" s="4">
        <v>13.8102</v>
      </c>
      <c r="E2188" s="4">
        <v>13.3665</v>
      </c>
      <c r="F2188" s="4">
        <f t="shared" si="136"/>
        <v>13.502966666666667</v>
      </c>
      <c r="I2188" s="4" t="s">
        <v>2746</v>
      </c>
      <c r="J2188" s="4">
        <v>13.710900000000001</v>
      </c>
      <c r="K2188" s="4">
        <v>13.113</v>
      </c>
      <c r="L2188" s="4">
        <v>13.6721</v>
      </c>
      <c r="M2188" s="4">
        <f t="shared" si="137"/>
        <v>13.498666666666667</v>
      </c>
      <c r="Q2188" s="43" t="s">
        <v>420</v>
      </c>
      <c r="R2188" s="4">
        <v>13.088709025413999</v>
      </c>
      <c r="S2188" s="4">
        <v>13.2325639564363</v>
      </c>
      <c r="T2188" s="4">
        <v>13.7781149338582</v>
      </c>
      <c r="U2188" s="4">
        <f t="shared" si="138"/>
        <v>13.3664626385695</v>
      </c>
      <c r="X2188" s="43" t="s">
        <v>1016</v>
      </c>
      <c r="Y2188" s="4">
        <v>13.6281848595107</v>
      </c>
      <c r="Z2188" s="4">
        <v>14.068628091842299</v>
      </c>
      <c r="AA2188" s="4">
        <v>12.885154249832899</v>
      </c>
      <c r="AB2188" s="4">
        <f t="shared" si="139"/>
        <v>13.527322400395299</v>
      </c>
    </row>
    <row r="2189" spans="2:28" x14ac:dyDescent="0.2">
      <c r="B2189" s="4" t="s">
        <v>2095</v>
      </c>
      <c r="C2189" s="4">
        <v>13.386100000000001</v>
      </c>
      <c r="D2189" s="4">
        <v>13.4938</v>
      </c>
      <c r="E2189" s="4">
        <v>13.6286</v>
      </c>
      <c r="F2189" s="4">
        <f t="shared" si="136"/>
        <v>13.502833333333333</v>
      </c>
      <c r="I2189" s="4" t="s">
        <v>224</v>
      </c>
      <c r="J2189" s="4">
        <v>14.059900000000001</v>
      </c>
      <c r="K2189" s="4">
        <v>12.549899999999999</v>
      </c>
      <c r="L2189" s="4">
        <v>13.8682</v>
      </c>
      <c r="M2189" s="4">
        <f t="shared" si="137"/>
        <v>13.492666666666667</v>
      </c>
      <c r="Q2189" s="43" t="s">
        <v>1512</v>
      </c>
      <c r="R2189" s="4">
        <v>13.2619199970616</v>
      </c>
      <c r="S2189" s="4">
        <v>12.9673382720433</v>
      </c>
      <c r="T2189" s="4">
        <v>13.8696335560864</v>
      </c>
      <c r="U2189" s="4">
        <f t="shared" si="138"/>
        <v>13.366297275063767</v>
      </c>
      <c r="X2189" s="43" t="s">
        <v>3200</v>
      </c>
      <c r="Y2189" s="4">
        <v>13.457428675024</v>
      </c>
      <c r="Z2189" s="4">
        <v>13.380522262851599</v>
      </c>
      <c r="AA2189" s="4">
        <v>13.737151716713701</v>
      </c>
      <c r="AB2189" s="4">
        <f t="shared" si="139"/>
        <v>13.525034218196433</v>
      </c>
    </row>
    <row r="2190" spans="2:28" x14ac:dyDescent="0.2">
      <c r="B2190" s="4" t="s">
        <v>3990</v>
      </c>
      <c r="C2190" s="4">
        <v>13.3781</v>
      </c>
      <c r="D2190" s="4">
        <v>13.631500000000001</v>
      </c>
      <c r="E2190" s="4">
        <v>13.4986</v>
      </c>
      <c r="F2190" s="4">
        <f t="shared" si="136"/>
        <v>13.502733333333333</v>
      </c>
      <c r="I2190" s="4" t="s">
        <v>3687</v>
      </c>
      <c r="J2190" s="4">
        <v>13.131600000000001</v>
      </c>
      <c r="K2190" s="4">
        <v>13.508699999999999</v>
      </c>
      <c r="L2190" s="4">
        <v>13.833399999999999</v>
      </c>
      <c r="M2190" s="4">
        <f t="shared" si="137"/>
        <v>13.491233333333334</v>
      </c>
      <c r="Q2190" s="43" t="s">
        <v>2228</v>
      </c>
      <c r="R2190" s="4">
        <v>13.4477596080919</v>
      </c>
      <c r="S2190" s="4">
        <v>13.2855006238826</v>
      </c>
      <c r="T2190" s="4">
        <v>13.3637688660317</v>
      </c>
      <c r="U2190" s="4">
        <f t="shared" si="138"/>
        <v>13.365676366002065</v>
      </c>
      <c r="X2190" s="43" t="s">
        <v>157</v>
      </c>
      <c r="Y2190" s="4">
        <v>13.6266310113629</v>
      </c>
      <c r="Z2190" s="4">
        <v>13.214234988264399</v>
      </c>
      <c r="AA2190" s="4">
        <v>13.7336739233637</v>
      </c>
      <c r="AB2190" s="4">
        <f t="shared" si="139"/>
        <v>13.524846640996998</v>
      </c>
    </row>
    <row r="2191" spans="2:28" x14ac:dyDescent="0.2">
      <c r="B2191" s="4" t="s">
        <v>3292</v>
      </c>
      <c r="C2191" s="4">
        <v>13.0998</v>
      </c>
      <c r="D2191" s="4">
        <v>14.1074</v>
      </c>
      <c r="E2191" s="4">
        <v>13.2919</v>
      </c>
      <c r="F2191" s="4">
        <f t="shared" si="136"/>
        <v>13.499699999999999</v>
      </c>
      <c r="I2191" s="4" t="s">
        <v>4082</v>
      </c>
      <c r="J2191" s="4">
        <v>13.310700000000001</v>
      </c>
      <c r="K2191" s="4">
        <v>13.4023</v>
      </c>
      <c r="L2191" s="4">
        <v>13.7597</v>
      </c>
      <c r="M2191" s="4">
        <f t="shared" si="137"/>
        <v>13.490900000000002</v>
      </c>
      <c r="Q2191" s="43" t="s">
        <v>1584</v>
      </c>
      <c r="R2191" s="4">
        <v>13.4504347267707</v>
      </c>
      <c r="S2191" s="4">
        <v>13.4663067908042</v>
      </c>
      <c r="T2191" s="4">
        <v>13.178168014272099</v>
      </c>
      <c r="U2191" s="4">
        <f t="shared" si="138"/>
        <v>13.364969843948998</v>
      </c>
      <c r="X2191" s="43" t="s">
        <v>3386</v>
      </c>
      <c r="Y2191" s="4">
        <v>13.5739179359748</v>
      </c>
      <c r="Z2191" s="4">
        <v>13.8514808725538</v>
      </c>
      <c r="AA2191" s="4">
        <v>13.1471472344194</v>
      </c>
      <c r="AB2191" s="4">
        <f t="shared" si="139"/>
        <v>13.524182014315999</v>
      </c>
    </row>
    <row r="2192" spans="2:28" x14ac:dyDescent="0.2">
      <c r="B2192" s="4" t="s">
        <v>727</v>
      </c>
      <c r="C2192" s="4">
        <v>12.7194</v>
      </c>
      <c r="D2192" s="4">
        <v>13.6128</v>
      </c>
      <c r="E2192" s="4">
        <v>14.160399999999999</v>
      </c>
      <c r="F2192" s="4">
        <f t="shared" si="136"/>
        <v>13.497533333333331</v>
      </c>
      <c r="I2192" s="4" t="s">
        <v>635</v>
      </c>
      <c r="J2192" s="4">
        <v>13.107200000000001</v>
      </c>
      <c r="K2192" s="4">
        <v>14.9612</v>
      </c>
      <c r="L2192" s="4">
        <v>12.4016</v>
      </c>
      <c r="M2192" s="4">
        <f t="shared" si="137"/>
        <v>13.49</v>
      </c>
      <c r="Q2192" s="43" t="s">
        <v>2140</v>
      </c>
      <c r="R2192" s="4">
        <v>13.5186765471135</v>
      </c>
      <c r="S2192" s="4">
        <v>13.170234189927401</v>
      </c>
      <c r="T2192" s="4">
        <v>13.4050777339991</v>
      </c>
      <c r="U2192" s="4">
        <f t="shared" si="138"/>
        <v>13.36466282368</v>
      </c>
      <c r="X2192" s="43" t="s">
        <v>4595</v>
      </c>
      <c r="Y2192" s="4">
        <v>13.5688379674744</v>
      </c>
      <c r="Z2192" s="4">
        <v>13.783595764021101</v>
      </c>
      <c r="AA2192" s="4">
        <v>13.2126039436934</v>
      </c>
      <c r="AB2192" s="4">
        <f t="shared" si="139"/>
        <v>13.521679225062968</v>
      </c>
    </row>
    <row r="2193" spans="2:28" x14ac:dyDescent="0.2">
      <c r="B2193" s="4" t="s">
        <v>2569</v>
      </c>
      <c r="C2193" s="4">
        <v>13.574400000000001</v>
      </c>
      <c r="D2193" s="4">
        <v>13.572100000000001</v>
      </c>
      <c r="E2193" s="4">
        <v>13.335000000000001</v>
      </c>
      <c r="F2193" s="4">
        <f t="shared" si="136"/>
        <v>13.493833333333335</v>
      </c>
      <c r="I2193" s="4" t="s">
        <v>4037</v>
      </c>
      <c r="J2193" s="4">
        <v>13.392200000000001</v>
      </c>
      <c r="K2193" s="4">
        <v>13.174200000000001</v>
      </c>
      <c r="L2193" s="4">
        <v>13.9023</v>
      </c>
      <c r="M2193" s="4">
        <f t="shared" si="137"/>
        <v>13.489566666666667</v>
      </c>
      <c r="Q2193" s="43" t="s">
        <v>1246</v>
      </c>
      <c r="R2193" s="4">
        <v>13.186661035677201</v>
      </c>
      <c r="S2193" s="4">
        <v>13.431649853410899</v>
      </c>
      <c r="T2193" s="4">
        <v>13.4751046770645</v>
      </c>
      <c r="U2193" s="4">
        <f t="shared" si="138"/>
        <v>13.364471855384201</v>
      </c>
      <c r="X2193" s="43" t="s">
        <v>3972</v>
      </c>
      <c r="Y2193" s="4">
        <v>13.761533827892601</v>
      </c>
      <c r="Z2193" s="4">
        <v>13.3087353566501</v>
      </c>
      <c r="AA2193" s="4">
        <v>13.493778244278399</v>
      </c>
      <c r="AB2193" s="4">
        <f t="shared" si="139"/>
        <v>13.521349142940366</v>
      </c>
    </row>
    <row r="2194" spans="2:28" x14ac:dyDescent="0.2">
      <c r="B2194" s="4" t="s">
        <v>1268</v>
      </c>
      <c r="C2194" s="4">
        <v>13.619300000000001</v>
      </c>
      <c r="D2194" s="4">
        <v>13.5649</v>
      </c>
      <c r="E2194" s="4">
        <v>13.2874</v>
      </c>
      <c r="F2194" s="4">
        <f t="shared" si="136"/>
        <v>13.490533333333333</v>
      </c>
      <c r="I2194" s="4" t="s">
        <v>2612</v>
      </c>
      <c r="J2194" s="4">
        <v>13.327500000000001</v>
      </c>
      <c r="K2194" s="4">
        <v>13.76</v>
      </c>
      <c r="L2194" s="4">
        <v>13.3796</v>
      </c>
      <c r="M2194" s="4">
        <f t="shared" si="137"/>
        <v>13.489033333333333</v>
      </c>
      <c r="Q2194" s="43" t="s">
        <v>2790</v>
      </c>
      <c r="R2194" s="4">
        <v>12.9451792035483</v>
      </c>
      <c r="S2194" s="4">
        <v>13.477557535200701</v>
      </c>
      <c r="T2194" s="4">
        <v>13.669973721655801</v>
      </c>
      <c r="U2194" s="4">
        <f t="shared" si="138"/>
        <v>13.364236820134934</v>
      </c>
      <c r="X2194" s="43" t="s">
        <v>1405</v>
      </c>
      <c r="Y2194" s="4">
        <v>13.559123420648399</v>
      </c>
      <c r="Z2194" s="4">
        <v>13.4132546068181</v>
      </c>
      <c r="AA2194" s="4">
        <v>13.5884041334578</v>
      </c>
      <c r="AB2194" s="4">
        <f t="shared" si="139"/>
        <v>13.5202607203081</v>
      </c>
    </row>
    <row r="2195" spans="2:28" x14ac:dyDescent="0.2">
      <c r="B2195" s="4" t="s">
        <v>1084</v>
      </c>
      <c r="C2195" s="4">
        <v>13.5848</v>
      </c>
      <c r="D2195" s="4">
        <v>13.4054</v>
      </c>
      <c r="E2195" s="4">
        <v>13.479799999999999</v>
      </c>
      <c r="F2195" s="4">
        <f t="shared" si="136"/>
        <v>13.49</v>
      </c>
      <c r="I2195" s="4" t="s">
        <v>677</v>
      </c>
      <c r="J2195" s="4">
        <v>13.284700000000001</v>
      </c>
      <c r="K2195" s="4">
        <v>13.8817</v>
      </c>
      <c r="L2195" s="4">
        <v>13.298400000000001</v>
      </c>
      <c r="M2195" s="4">
        <f t="shared" si="137"/>
        <v>13.488266666666668</v>
      </c>
      <c r="Q2195" s="43" t="s">
        <v>1233</v>
      </c>
      <c r="R2195" s="4">
        <v>13.4019450787126</v>
      </c>
      <c r="S2195" s="4">
        <v>13.4945898389056</v>
      </c>
      <c r="T2195" s="4">
        <v>13.196072661068399</v>
      </c>
      <c r="U2195" s="4">
        <f t="shared" si="138"/>
        <v>13.364202526228866</v>
      </c>
      <c r="X2195" s="43" t="s">
        <v>517</v>
      </c>
      <c r="Y2195" s="4">
        <v>13.629750796283099</v>
      </c>
      <c r="Z2195" s="4">
        <v>13.3520042151168</v>
      </c>
      <c r="AA2195" s="4">
        <v>13.5733831580469</v>
      </c>
      <c r="AB2195" s="4">
        <f t="shared" si="139"/>
        <v>13.5183793898156</v>
      </c>
    </row>
    <row r="2196" spans="2:28" x14ac:dyDescent="0.2">
      <c r="B2196" s="4" t="s">
        <v>714</v>
      </c>
      <c r="C2196" s="4">
        <v>14.004200000000001</v>
      </c>
      <c r="D2196" s="4">
        <v>13.2051</v>
      </c>
      <c r="E2196" s="4">
        <v>13.2583</v>
      </c>
      <c r="F2196" s="4">
        <f t="shared" si="136"/>
        <v>13.489199999999999</v>
      </c>
      <c r="I2196" s="4" t="s">
        <v>3282</v>
      </c>
      <c r="J2196" s="4">
        <v>13.4107</v>
      </c>
      <c r="K2196" s="4">
        <v>13.3203</v>
      </c>
      <c r="L2196" s="4">
        <v>13.731400000000001</v>
      </c>
      <c r="M2196" s="4">
        <f t="shared" si="137"/>
        <v>13.487466666666668</v>
      </c>
      <c r="Q2196" s="43" t="s">
        <v>2220</v>
      </c>
      <c r="R2196" s="4">
        <v>13.4774287865523</v>
      </c>
      <c r="S2196" s="4">
        <v>13.430344111747999</v>
      </c>
      <c r="T2196" s="4">
        <v>13.183051638660499</v>
      </c>
      <c r="U2196" s="4">
        <f t="shared" si="138"/>
        <v>13.363608178986935</v>
      </c>
      <c r="X2196" s="43" t="s">
        <v>632</v>
      </c>
      <c r="Y2196" s="4">
        <v>13.197394911781499</v>
      </c>
      <c r="Z2196" s="4">
        <v>13.463289591650399</v>
      </c>
      <c r="AA2196" s="4">
        <v>13.8866035371456</v>
      </c>
      <c r="AB2196" s="4">
        <f t="shared" si="139"/>
        <v>13.5157626801925</v>
      </c>
    </row>
    <row r="2197" spans="2:28" x14ac:dyDescent="0.2">
      <c r="B2197" s="4" t="s">
        <v>718</v>
      </c>
      <c r="C2197" s="4">
        <v>13.636699999999999</v>
      </c>
      <c r="D2197" s="4">
        <v>13.7607</v>
      </c>
      <c r="E2197" s="4">
        <v>13.0648</v>
      </c>
      <c r="F2197" s="4">
        <f t="shared" si="136"/>
        <v>13.487399999999999</v>
      </c>
      <c r="I2197" s="4" t="s">
        <v>2641</v>
      </c>
      <c r="J2197" s="4">
        <v>13.223000000000001</v>
      </c>
      <c r="K2197" s="4">
        <v>13.5299</v>
      </c>
      <c r="L2197" s="4">
        <v>13.7019</v>
      </c>
      <c r="M2197" s="4">
        <f t="shared" si="137"/>
        <v>13.484933333333332</v>
      </c>
      <c r="Q2197" s="43" t="s">
        <v>1360</v>
      </c>
      <c r="R2197" s="4">
        <v>13.268833229644599</v>
      </c>
      <c r="S2197" s="4">
        <v>13.478814614230799</v>
      </c>
      <c r="T2197" s="4">
        <v>13.3404132130602</v>
      </c>
      <c r="U2197" s="4">
        <f t="shared" si="138"/>
        <v>13.362687018978534</v>
      </c>
      <c r="X2197" s="43" t="s">
        <v>114</v>
      </c>
      <c r="Y2197" s="4">
        <v>13.3593150680449</v>
      </c>
      <c r="Z2197" s="4">
        <v>13.774893943304701</v>
      </c>
      <c r="AA2197" s="4">
        <v>13.4044157088617</v>
      </c>
      <c r="AB2197" s="4">
        <f t="shared" si="139"/>
        <v>13.512874906737101</v>
      </c>
    </row>
    <row r="2198" spans="2:28" x14ac:dyDescent="0.2">
      <c r="B2198" s="4" t="s">
        <v>3863</v>
      </c>
      <c r="C2198" s="4">
        <v>13.570600000000001</v>
      </c>
      <c r="D2198" s="4">
        <v>13.2714</v>
      </c>
      <c r="E2198" s="4">
        <v>13.616</v>
      </c>
      <c r="F2198" s="4">
        <f t="shared" si="136"/>
        <v>13.485999999999999</v>
      </c>
      <c r="I2198" s="4" t="s">
        <v>2761</v>
      </c>
      <c r="J2198" s="4">
        <v>13.1309</v>
      </c>
      <c r="K2198" s="4">
        <v>13.716900000000001</v>
      </c>
      <c r="L2198" s="4">
        <v>13.6008</v>
      </c>
      <c r="M2198" s="4">
        <f t="shared" si="137"/>
        <v>13.482866666666666</v>
      </c>
      <c r="Q2198" s="43" t="s">
        <v>3064</v>
      </c>
      <c r="R2198" s="4">
        <v>12.9955561142769</v>
      </c>
      <c r="S2198" s="4">
        <v>13.489526845565299</v>
      </c>
      <c r="T2198" s="4">
        <v>13.597864724590501</v>
      </c>
      <c r="U2198" s="4">
        <f t="shared" si="138"/>
        <v>13.360982561477565</v>
      </c>
      <c r="X2198" s="43" t="s">
        <v>2971</v>
      </c>
      <c r="Y2198" s="4">
        <v>13.5918671411189</v>
      </c>
      <c r="Z2198" s="4">
        <v>13.435194797561801</v>
      </c>
      <c r="AA2198" s="4">
        <v>13.511282038413301</v>
      </c>
      <c r="AB2198" s="4">
        <f t="shared" si="139"/>
        <v>13.512781325698001</v>
      </c>
    </row>
    <row r="2199" spans="2:28" x14ac:dyDescent="0.2">
      <c r="B2199" s="4" t="s">
        <v>2468</v>
      </c>
      <c r="C2199" s="4">
        <v>13.4481</v>
      </c>
      <c r="D2199" s="4">
        <v>13.600300000000001</v>
      </c>
      <c r="E2199" s="4">
        <v>13.4093</v>
      </c>
      <c r="F2199" s="4">
        <f t="shared" si="136"/>
        <v>13.485900000000001</v>
      </c>
      <c r="I2199" s="4" t="s">
        <v>2840</v>
      </c>
      <c r="J2199" s="4">
        <v>13.610099999999999</v>
      </c>
      <c r="K2199" s="4">
        <v>13.084199999999999</v>
      </c>
      <c r="L2199" s="4">
        <v>13.752700000000001</v>
      </c>
      <c r="M2199" s="4">
        <f t="shared" si="137"/>
        <v>13.482333333333335</v>
      </c>
      <c r="Q2199" s="43" t="s">
        <v>1640</v>
      </c>
      <c r="R2199" s="4">
        <v>13.430741917875601</v>
      </c>
      <c r="S2199" s="4">
        <v>13.1718954214506</v>
      </c>
      <c r="T2199" s="4">
        <v>13.4770920051942</v>
      </c>
      <c r="U2199" s="4">
        <f t="shared" si="138"/>
        <v>13.359909781506801</v>
      </c>
      <c r="X2199" s="43" t="s">
        <v>2115</v>
      </c>
      <c r="Y2199" s="4">
        <v>13.415785365311899</v>
      </c>
      <c r="Z2199" s="4">
        <v>13.5660918841947</v>
      </c>
      <c r="AA2199" s="4">
        <v>13.5530712748147</v>
      </c>
      <c r="AB2199" s="4">
        <f t="shared" si="139"/>
        <v>13.5116495081071</v>
      </c>
    </row>
    <row r="2200" spans="2:28" x14ac:dyDescent="0.2">
      <c r="B2200" s="4" t="s">
        <v>1758</v>
      </c>
      <c r="C2200" s="4">
        <v>13.816599999999999</v>
      </c>
      <c r="D2200" s="4">
        <v>13.817500000000001</v>
      </c>
      <c r="E2200" s="4">
        <v>12.823399999999999</v>
      </c>
      <c r="F2200" s="4">
        <f t="shared" si="136"/>
        <v>13.485833333333332</v>
      </c>
      <c r="I2200" s="4" t="s">
        <v>2095</v>
      </c>
      <c r="J2200" s="4">
        <v>13.5968</v>
      </c>
      <c r="K2200" s="4">
        <v>13.457800000000001</v>
      </c>
      <c r="L2200" s="4">
        <v>13.389200000000001</v>
      </c>
      <c r="M2200" s="4">
        <f t="shared" si="137"/>
        <v>13.481266666666668</v>
      </c>
      <c r="Q2200" s="43" t="s">
        <v>588</v>
      </c>
      <c r="R2200" s="4">
        <v>13.406816556442999</v>
      </c>
      <c r="S2200" s="4">
        <v>13.4523926822816</v>
      </c>
      <c r="T2200" s="4">
        <v>13.219663258307801</v>
      </c>
      <c r="U2200" s="4">
        <f t="shared" si="138"/>
        <v>13.359624165677467</v>
      </c>
      <c r="X2200" s="43" t="s">
        <v>2785</v>
      </c>
      <c r="Y2200" s="4">
        <v>13.601087668180201</v>
      </c>
      <c r="Z2200" s="4">
        <v>13.362444525976199</v>
      </c>
      <c r="AA2200" s="4">
        <v>13.571292126684099</v>
      </c>
      <c r="AB2200" s="4">
        <f t="shared" si="139"/>
        <v>13.511608106946833</v>
      </c>
    </row>
    <row r="2201" spans="2:28" x14ac:dyDescent="0.2">
      <c r="B2201" s="4" t="s">
        <v>3645</v>
      </c>
      <c r="C2201" s="4">
        <v>14.5185</v>
      </c>
      <c r="D2201" s="4">
        <v>13.3436</v>
      </c>
      <c r="E2201" s="4">
        <v>12.594900000000001</v>
      </c>
      <c r="F2201" s="4">
        <f t="shared" si="136"/>
        <v>13.485666666666667</v>
      </c>
      <c r="I2201" s="4" t="s">
        <v>83</v>
      </c>
      <c r="J2201" s="4">
        <v>13.005599999999999</v>
      </c>
      <c r="K2201" s="4">
        <v>13.470800000000001</v>
      </c>
      <c r="L2201" s="4">
        <v>13.962199999999999</v>
      </c>
      <c r="M2201" s="4">
        <f t="shared" si="137"/>
        <v>13.479533333333331</v>
      </c>
      <c r="Q2201" s="43" t="s">
        <v>2355</v>
      </c>
      <c r="R2201" s="4">
        <v>13.218051956818901</v>
      </c>
      <c r="S2201" s="4">
        <v>13.4742881433026</v>
      </c>
      <c r="T2201" s="4">
        <v>13.384760205164399</v>
      </c>
      <c r="U2201" s="4">
        <f t="shared" si="138"/>
        <v>13.359033435095299</v>
      </c>
      <c r="X2201" s="43" t="s">
        <v>2884</v>
      </c>
      <c r="Y2201" s="4">
        <v>13.769975362425001</v>
      </c>
      <c r="Z2201" s="4">
        <v>13.3577592894744</v>
      </c>
      <c r="AA2201" s="4">
        <v>13.4046923074985</v>
      </c>
      <c r="AB2201" s="4">
        <f t="shared" si="139"/>
        <v>13.510808986465968</v>
      </c>
    </row>
    <row r="2202" spans="2:28" x14ac:dyDescent="0.2">
      <c r="B2202" s="4" t="s">
        <v>3675</v>
      </c>
      <c r="C2202" s="4">
        <v>13.5023</v>
      </c>
      <c r="D2202" s="4">
        <v>13.530900000000001</v>
      </c>
      <c r="E2202" s="4">
        <v>13.416399999999999</v>
      </c>
      <c r="F2202" s="4">
        <f t="shared" si="136"/>
        <v>13.483200000000002</v>
      </c>
      <c r="I2202" s="4" t="s">
        <v>2604</v>
      </c>
      <c r="J2202" s="4">
        <v>13.592000000000001</v>
      </c>
      <c r="K2202" s="4">
        <v>13.232699999999999</v>
      </c>
      <c r="L2202" s="4">
        <v>13.6127</v>
      </c>
      <c r="M2202" s="4">
        <f t="shared" si="137"/>
        <v>13.479133333333332</v>
      </c>
      <c r="Q2202" s="43" t="s">
        <v>3555</v>
      </c>
      <c r="R2202" s="4">
        <v>13.531625156109101</v>
      </c>
      <c r="S2202" s="4">
        <v>13.440753910364901</v>
      </c>
      <c r="T2202" s="4">
        <v>13.1018163501346</v>
      </c>
      <c r="U2202" s="4">
        <f t="shared" si="138"/>
        <v>13.358065138869534</v>
      </c>
      <c r="X2202" s="43" t="s">
        <v>950</v>
      </c>
      <c r="Y2202" s="4">
        <v>13.726031128725801</v>
      </c>
      <c r="Z2202" s="4">
        <v>13.4411720921476</v>
      </c>
      <c r="AA2202" s="4">
        <v>13.3628323824136</v>
      </c>
      <c r="AB2202" s="4">
        <f t="shared" si="139"/>
        <v>13.510011867762335</v>
      </c>
    </row>
    <row r="2203" spans="2:28" x14ac:dyDescent="0.2">
      <c r="B2203" s="4" t="s">
        <v>605</v>
      </c>
      <c r="C2203" s="4">
        <v>13.559799999999999</v>
      </c>
      <c r="D2203" s="4">
        <v>13.7163</v>
      </c>
      <c r="E2203" s="4">
        <v>13.169499999999999</v>
      </c>
      <c r="F2203" s="4">
        <f t="shared" si="136"/>
        <v>13.481866666666667</v>
      </c>
      <c r="I2203" s="4" t="s">
        <v>2140</v>
      </c>
      <c r="J2203" s="4">
        <v>14.1272</v>
      </c>
      <c r="K2203" s="4">
        <v>13.841699999999999</v>
      </c>
      <c r="L2203" s="4">
        <v>12.4649</v>
      </c>
      <c r="M2203" s="4">
        <f t="shared" si="137"/>
        <v>13.477933333333333</v>
      </c>
      <c r="Q2203" s="43" t="s">
        <v>311</v>
      </c>
      <c r="R2203" s="4">
        <v>13.0671884868152</v>
      </c>
      <c r="S2203" s="4">
        <v>13.411648551905101</v>
      </c>
      <c r="T2203" s="4">
        <v>13.593637756954699</v>
      </c>
      <c r="U2203" s="4">
        <f t="shared" si="138"/>
        <v>13.357491598558333</v>
      </c>
      <c r="X2203" s="43" t="s">
        <v>4236</v>
      </c>
      <c r="Y2203" s="4">
        <v>13.527241619262201</v>
      </c>
      <c r="Z2203" s="4">
        <v>13.5056799403641</v>
      </c>
      <c r="AA2203" s="4">
        <v>13.4910907086003</v>
      </c>
      <c r="AB2203" s="4">
        <f t="shared" si="139"/>
        <v>13.508004089408866</v>
      </c>
    </row>
    <row r="2204" spans="2:28" x14ac:dyDescent="0.2">
      <c r="B2204" s="4" t="s">
        <v>2814</v>
      </c>
      <c r="C2204" s="4">
        <v>13.815300000000001</v>
      </c>
      <c r="D2204" s="4">
        <v>13.2247</v>
      </c>
      <c r="E2204" s="4">
        <v>13.399800000000001</v>
      </c>
      <c r="F2204" s="4">
        <f t="shared" si="136"/>
        <v>13.479933333333333</v>
      </c>
      <c r="I2204" s="4" t="s">
        <v>1588</v>
      </c>
      <c r="J2204" s="4">
        <v>13.628500000000001</v>
      </c>
      <c r="K2204" s="4">
        <v>13.196300000000001</v>
      </c>
      <c r="L2204" s="4">
        <v>13.6066</v>
      </c>
      <c r="M2204" s="4">
        <f t="shared" si="137"/>
        <v>13.477133333333335</v>
      </c>
      <c r="Q2204" s="43" t="s">
        <v>4386</v>
      </c>
      <c r="R2204" s="4">
        <v>13.5342765892368</v>
      </c>
      <c r="S2204" s="4">
        <v>13.227355373338099</v>
      </c>
      <c r="T2204" s="4">
        <v>13.3052144389414</v>
      </c>
      <c r="U2204" s="4">
        <f t="shared" si="138"/>
        <v>13.3556154671721</v>
      </c>
      <c r="X2204" s="43" t="s">
        <v>3897</v>
      </c>
      <c r="Y2204" s="4">
        <v>13.317947771418501</v>
      </c>
      <c r="Z2204" s="4">
        <v>13.7294119601055</v>
      </c>
      <c r="AA2204" s="4">
        <v>13.473972902153999</v>
      </c>
      <c r="AB2204" s="4">
        <f t="shared" si="139"/>
        <v>13.507110877892666</v>
      </c>
    </row>
    <row r="2205" spans="2:28" x14ac:dyDescent="0.2">
      <c r="B2205" s="4" t="s">
        <v>2135</v>
      </c>
      <c r="C2205" s="4">
        <v>13.3353</v>
      </c>
      <c r="D2205" s="4">
        <v>13.2485</v>
      </c>
      <c r="E2205" s="4">
        <v>13.853300000000001</v>
      </c>
      <c r="F2205" s="4">
        <f t="shared" si="136"/>
        <v>13.479033333333334</v>
      </c>
      <c r="I2205" s="4" t="s">
        <v>246</v>
      </c>
      <c r="J2205" s="4">
        <v>13.589499999999999</v>
      </c>
      <c r="K2205" s="4">
        <v>13.0983</v>
      </c>
      <c r="L2205" s="4">
        <v>13.738</v>
      </c>
      <c r="M2205" s="4">
        <f t="shared" si="137"/>
        <v>13.475266666666665</v>
      </c>
      <c r="Q2205" s="43" t="s">
        <v>3876</v>
      </c>
      <c r="R2205" s="4">
        <v>13.316544188805301</v>
      </c>
      <c r="S2205" s="4">
        <v>13.3179193206485</v>
      </c>
      <c r="T2205" s="4">
        <v>13.4307954837493</v>
      </c>
      <c r="U2205" s="4">
        <f t="shared" si="138"/>
        <v>13.355086331067701</v>
      </c>
      <c r="X2205" s="43" t="s">
        <v>182</v>
      </c>
      <c r="Y2205" s="4">
        <v>13.511295403223601</v>
      </c>
      <c r="Z2205" s="4">
        <v>13.5685494951398</v>
      </c>
      <c r="AA2205" s="4">
        <v>13.4400690334241</v>
      </c>
      <c r="AB2205" s="4">
        <f t="shared" si="139"/>
        <v>13.5066379772625</v>
      </c>
    </row>
    <row r="2206" spans="2:28" x14ac:dyDescent="0.2">
      <c r="B2206" s="4" t="s">
        <v>1597</v>
      </c>
      <c r="C2206" s="4">
        <v>13.500500000000001</v>
      </c>
      <c r="D2206" s="4">
        <v>13.4107</v>
      </c>
      <c r="E2206" s="4">
        <v>13.518800000000001</v>
      </c>
      <c r="F2206" s="4">
        <f t="shared" si="136"/>
        <v>13.476666666666667</v>
      </c>
      <c r="I2206" s="4" t="s">
        <v>3502</v>
      </c>
      <c r="J2206" s="4">
        <v>13.5931</v>
      </c>
      <c r="K2206" s="4">
        <v>13.2547</v>
      </c>
      <c r="L2206" s="4">
        <v>13.5779</v>
      </c>
      <c r="M2206" s="4">
        <f t="shared" si="137"/>
        <v>13.475233333333334</v>
      </c>
      <c r="Q2206" s="43" t="s">
        <v>4568</v>
      </c>
      <c r="R2206" s="4">
        <v>13.4181758541154</v>
      </c>
      <c r="S2206" s="4">
        <v>13.253255405889799</v>
      </c>
      <c r="T2206" s="4">
        <v>13.393619239142399</v>
      </c>
      <c r="U2206" s="4">
        <f t="shared" si="138"/>
        <v>13.3550168330492</v>
      </c>
      <c r="X2206" s="43" t="s">
        <v>2151</v>
      </c>
      <c r="Y2206" s="4">
        <v>13.3433336223304</v>
      </c>
      <c r="Z2206" s="4">
        <v>13.2919903253632</v>
      </c>
      <c r="AA2206" s="4">
        <v>13.8747687526437</v>
      </c>
      <c r="AB2206" s="4">
        <f t="shared" si="139"/>
        <v>13.503364233445765</v>
      </c>
    </row>
    <row r="2207" spans="2:28" x14ac:dyDescent="0.2">
      <c r="B2207" s="4" t="s">
        <v>2441</v>
      </c>
      <c r="C2207" s="4">
        <v>13.2233</v>
      </c>
      <c r="D2207" s="4">
        <v>13.511200000000001</v>
      </c>
      <c r="E2207" s="4">
        <v>13.6911</v>
      </c>
      <c r="F2207" s="4">
        <f t="shared" si="136"/>
        <v>13.475200000000001</v>
      </c>
      <c r="I2207" s="4" t="s">
        <v>3358</v>
      </c>
      <c r="J2207" s="4">
        <v>13.4049</v>
      </c>
      <c r="K2207" s="4">
        <v>13.4323</v>
      </c>
      <c r="L2207" s="4">
        <v>13.587300000000001</v>
      </c>
      <c r="M2207" s="4">
        <f t="shared" si="137"/>
        <v>13.474833333333335</v>
      </c>
      <c r="Q2207" s="43" t="s">
        <v>1932</v>
      </c>
      <c r="R2207" s="4">
        <v>13.2881601706877</v>
      </c>
      <c r="S2207" s="4">
        <v>13.340539864867401</v>
      </c>
      <c r="T2207" s="4">
        <v>13.4317059865975</v>
      </c>
      <c r="U2207" s="4">
        <f t="shared" si="138"/>
        <v>13.353468674050866</v>
      </c>
      <c r="X2207" s="43" t="s">
        <v>2180</v>
      </c>
      <c r="Y2207" s="4">
        <v>13.485616665037</v>
      </c>
      <c r="Z2207" s="4">
        <v>13.4005692925343</v>
      </c>
      <c r="AA2207" s="4">
        <v>13.6187799075056</v>
      </c>
      <c r="AB2207" s="4">
        <f t="shared" si="139"/>
        <v>13.501655288358966</v>
      </c>
    </row>
    <row r="2208" spans="2:28" x14ac:dyDescent="0.2">
      <c r="B2208" s="4" t="s">
        <v>3215</v>
      </c>
      <c r="C2208" s="4">
        <v>13.6686</v>
      </c>
      <c r="D2208" s="4">
        <v>13.7523</v>
      </c>
      <c r="E2208" s="4">
        <v>12.9983</v>
      </c>
      <c r="F2208" s="4">
        <f t="shared" si="136"/>
        <v>13.473066666666668</v>
      </c>
      <c r="I2208" s="4" t="s">
        <v>2333</v>
      </c>
      <c r="J2208" s="4">
        <v>13.3436</v>
      </c>
      <c r="K2208" s="4">
        <v>13.672499999999999</v>
      </c>
      <c r="L2208" s="4">
        <v>13.408300000000001</v>
      </c>
      <c r="M2208" s="4">
        <f t="shared" si="137"/>
        <v>13.474800000000002</v>
      </c>
      <c r="Q2208" s="43" t="s">
        <v>3673</v>
      </c>
      <c r="R2208" s="4">
        <v>13.3114450295324</v>
      </c>
      <c r="S2208" s="4">
        <v>13.277741289635999</v>
      </c>
      <c r="T2208" s="4">
        <v>13.4695746232945</v>
      </c>
      <c r="U2208" s="4">
        <f t="shared" si="138"/>
        <v>13.352920314154298</v>
      </c>
      <c r="X2208" s="43" t="s">
        <v>760</v>
      </c>
      <c r="Y2208" s="4">
        <v>13.830941835497301</v>
      </c>
      <c r="Z2208" s="4">
        <v>13.6694075744192</v>
      </c>
      <c r="AA2208" s="4">
        <v>12.994078129350701</v>
      </c>
      <c r="AB2208" s="4">
        <f t="shared" si="139"/>
        <v>13.49814251308907</v>
      </c>
    </row>
    <row r="2209" spans="2:28" x14ac:dyDescent="0.2">
      <c r="B2209" s="4" t="s">
        <v>327</v>
      </c>
      <c r="C2209" s="4">
        <v>13.449199999999999</v>
      </c>
      <c r="D2209" s="4">
        <v>13.259399999999999</v>
      </c>
      <c r="E2209" s="4">
        <v>13.7072</v>
      </c>
      <c r="F2209" s="4">
        <f t="shared" si="136"/>
        <v>13.471933333333332</v>
      </c>
      <c r="I2209" s="4" t="s">
        <v>542</v>
      </c>
      <c r="J2209" s="4">
        <v>13.6721</v>
      </c>
      <c r="K2209" s="4">
        <v>12.104699999999999</v>
      </c>
      <c r="L2209" s="4">
        <v>14.641</v>
      </c>
      <c r="M2209" s="4">
        <f t="shared" si="137"/>
        <v>13.4726</v>
      </c>
      <c r="Q2209" s="43" t="s">
        <v>2349</v>
      </c>
      <c r="R2209" s="4">
        <v>13.1508815422773</v>
      </c>
      <c r="S2209" s="4">
        <v>13.601861851717301</v>
      </c>
      <c r="T2209" s="4">
        <v>13.303410242031299</v>
      </c>
      <c r="U2209" s="4">
        <f t="shared" si="138"/>
        <v>13.352051212008632</v>
      </c>
      <c r="X2209" s="43" t="s">
        <v>3905</v>
      </c>
      <c r="Y2209" s="4">
        <v>13.5797423209266</v>
      </c>
      <c r="Z2209" s="4">
        <v>13.4500263804848</v>
      </c>
      <c r="AA2209" s="4">
        <v>13.462364154857999</v>
      </c>
      <c r="AB2209" s="4">
        <f t="shared" si="139"/>
        <v>13.497377618756467</v>
      </c>
    </row>
    <row r="2210" spans="2:28" x14ac:dyDescent="0.2">
      <c r="B2210" s="4" t="s">
        <v>3558</v>
      </c>
      <c r="C2210" s="4">
        <v>13.2728</v>
      </c>
      <c r="D2210" s="4">
        <v>13.4337</v>
      </c>
      <c r="E2210" s="4">
        <v>13.7072</v>
      </c>
      <c r="F2210" s="4">
        <f t="shared" si="136"/>
        <v>13.471233333333332</v>
      </c>
      <c r="I2210" s="4" t="s">
        <v>1926</v>
      </c>
      <c r="J2210" s="4">
        <v>13.4247</v>
      </c>
      <c r="K2210" s="4">
        <v>13.5787</v>
      </c>
      <c r="L2210" s="4">
        <v>13.4117</v>
      </c>
      <c r="M2210" s="4">
        <f t="shared" si="137"/>
        <v>13.471699999999998</v>
      </c>
      <c r="Q2210" s="43" t="s">
        <v>3766</v>
      </c>
      <c r="R2210" s="4">
        <v>13.104169279048699</v>
      </c>
      <c r="S2210" s="4">
        <v>13.4462518374503</v>
      </c>
      <c r="T2210" s="4">
        <v>13.5052028287355</v>
      </c>
      <c r="U2210" s="4">
        <f t="shared" si="138"/>
        <v>13.351874648411501</v>
      </c>
      <c r="X2210" s="43" t="s">
        <v>2768</v>
      </c>
      <c r="Y2210" s="4">
        <v>13.410024501509699</v>
      </c>
      <c r="Z2210" s="4">
        <v>13.3225886175069</v>
      </c>
      <c r="AA2210" s="4">
        <v>13.758123365047799</v>
      </c>
      <c r="AB2210" s="4">
        <f t="shared" si="139"/>
        <v>13.4969121613548</v>
      </c>
    </row>
    <row r="2211" spans="2:28" x14ac:dyDescent="0.2">
      <c r="B2211" s="4" t="s">
        <v>186</v>
      </c>
      <c r="C2211" s="4">
        <v>13.1724</v>
      </c>
      <c r="D2211" s="4">
        <v>13.453799999999999</v>
      </c>
      <c r="E2211" s="4">
        <v>13.7857</v>
      </c>
      <c r="F2211" s="4">
        <f t="shared" si="136"/>
        <v>13.470633333333332</v>
      </c>
      <c r="I2211" s="4" t="s">
        <v>3103</v>
      </c>
      <c r="J2211" s="4">
        <v>13.7643</v>
      </c>
      <c r="K2211" s="4">
        <v>13.042899999999999</v>
      </c>
      <c r="L2211" s="4">
        <v>13.603</v>
      </c>
      <c r="M2211" s="4">
        <f t="shared" si="137"/>
        <v>13.470066666666668</v>
      </c>
      <c r="Q2211" s="43" t="s">
        <v>4143</v>
      </c>
      <c r="R2211" s="4">
        <v>13.453562031745401</v>
      </c>
      <c r="S2211" s="4">
        <v>13.3663030168204</v>
      </c>
      <c r="T2211" s="4">
        <v>13.235620721455399</v>
      </c>
      <c r="U2211" s="4">
        <f t="shared" si="138"/>
        <v>13.351828590007067</v>
      </c>
      <c r="X2211" s="43" t="s">
        <v>1759</v>
      </c>
      <c r="Y2211" s="4">
        <v>13.512930168130501</v>
      </c>
      <c r="Z2211" s="4">
        <v>13.494746043741801</v>
      </c>
      <c r="AA2211" s="4">
        <v>13.481426364271501</v>
      </c>
      <c r="AB2211" s="4">
        <f t="shared" si="139"/>
        <v>13.496367525381267</v>
      </c>
    </row>
    <row r="2212" spans="2:28" x14ac:dyDescent="0.2">
      <c r="B2212" s="4" t="s">
        <v>3099</v>
      </c>
      <c r="C2212" s="4">
        <v>13.3513</v>
      </c>
      <c r="D2212" s="4">
        <v>13.7361</v>
      </c>
      <c r="E2212" s="4">
        <v>13.3155</v>
      </c>
      <c r="F2212" s="4">
        <f t="shared" si="136"/>
        <v>13.467633333333334</v>
      </c>
      <c r="I2212" s="4" t="s">
        <v>1289</v>
      </c>
      <c r="J2212" s="4">
        <v>13.748200000000001</v>
      </c>
      <c r="K2212" s="4">
        <v>13.110300000000001</v>
      </c>
      <c r="L2212" s="4">
        <v>13.5489</v>
      </c>
      <c r="M2212" s="4">
        <f t="shared" si="137"/>
        <v>13.469133333333332</v>
      </c>
      <c r="Q2212" s="43" t="s">
        <v>2287</v>
      </c>
      <c r="R2212" s="4">
        <v>13.2726019252265</v>
      </c>
      <c r="S2212" s="4">
        <v>13.7279632160154</v>
      </c>
      <c r="T2212" s="4">
        <v>13.0544355952023</v>
      </c>
      <c r="U2212" s="4">
        <f t="shared" si="138"/>
        <v>13.351666912148067</v>
      </c>
      <c r="X2212" s="43" t="s">
        <v>3207</v>
      </c>
      <c r="Y2212" s="4">
        <v>13.135170935880399</v>
      </c>
      <c r="Z2212" s="4">
        <v>13.719341864562301</v>
      </c>
      <c r="AA2212" s="4">
        <v>13.6282901153475</v>
      </c>
      <c r="AB2212" s="4">
        <f t="shared" si="139"/>
        <v>13.494267638596734</v>
      </c>
    </row>
    <row r="2213" spans="2:28" x14ac:dyDescent="0.2">
      <c r="B2213" s="4" t="s">
        <v>39</v>
      </c>
      <c r="C2213" s="4">
        <v>13.469900000000001</v>
      </c>
      <c r="D2213" s="4">
        <v>13.271699999999999</v>
      </c>
      <c r="E2213" s="4">
        <v>13.6586</v>
      </c>
      <c r="F2213" s="4">
        <f t="shared" si="136"/>
        <v>13.466733333333332</v>
      </c>
      <c r="I2213" s="4" t="s">
        <v>72</v>
      </c>
      <c r="J2213" s="4">
        <v>13.5275</v>
      </c>
      <c r="K2213" s="4">
        <v>13.0731</v>
      </c>
      <c r="L2213" s="4">
        <v>13.8042</v>
      </c>
      <c r="M2213" s="4">
        <f t="shared" si="137"/>
        <v>13.468266666666667</v>
      </c>
      <c r="Q2213" s="43" t="s">
        <v>2555</v>
      </c>
      <c r="R2213" s="4">
        <v>12.939571081614901</v>
      </c>
      <c r="S2213" s="4">
        <v>13.556624816496701</v>
      </c>
      <c r="T2213" s="4">
        <v>13.5572768636567</v>
      </c>
      <c r="U2213" s="4">
        <f t="shared" si="138"/>
        <v>13.351157587256102</v>
      </c>
      <c r="X2213" s="43" t="s">
        <v>14</v>
      </c>
      <c r="Y2213" s="4">
        <v>13.428163612266401</v>
      </c>
      <c r="Z2213" s="4">
        <v>13.4084336257432</v>
      </c>
      <c r="AA2213" s="4">
        <v>13.644163326139701</v>
      </c>
      <c r="AB2213" s="4">
        <f t="shared" si="139"/>
        <v>13.493586854716435</v>
      </c>
    </row>
    <row r="2214" spans="2:28" x14ac:dyDescent="0.2">
      <c r="B2214" s="4" t="s">
        <v>218</v>
      </c>
      <c r="C2214" s="4">
        <v>13.425700000000001</v>
      </c>
      <c r="D2214" s="4">
        <v>13.491199999999999</v>
      </c>
      <c r="E2214" s="4">
        <v>13.480399999999999</v>
      </c>
      <c r="F2214" s="4">
        <f t="shared" si="136"/>
        <v>13.465766666666667</v>
      </c>
      <c r="I2214" s="4" t="s">
        <v>491</v>
      </c>
      <c r="J2214" s="4">
        <v>13.7126</v>
      </c>
      <c r="K2214" s="4">
        <v>13.4665</v>
      </c>
      <c r="L2214" s="4">
        <v>13.2254</v>
      </c>
      <c r="M2214" s="4">
        <f t="shared" si="137"/>
        <v>13.468166666666667</v>
      </c>
      <c r="Q2214" s="43" t="s">
        <v>3696</v>
      </c>
      <c r="R2214" s="4">
        <v>13.256525622292299</v>
      </c>
      <c r="S2214" s="4">
        <v>13.379890916675</v>
      </c>
      <c r="T2214" s="4">
        <v>13.4111371406961</v>
      </c>
      <c r="U2214" s="4">
        <f t="shared" si="138"/>
        <v>13.349184559887801</v>
      </c>
      <c r="X2214" s="43" t="s">
        <v>2379</v>
      </c>
      <c r="Y2214" s="4">
        <v>13.441392409991201</v>
      </c>
      <c r="Z2214" s="4">
        <v>13.339533602873701</v>
      </c>
      <c r="AA2214" s="4">
        <v>13.692090239073201</v>
      </c>
      <c r="AB2214" s="4">
        <f t="shared" si="139"/>
        <v>13.491005417312701</v>
      </c>
    </row>
    <row r="2215" spans="2:28" x14ac:dyDescent="0.2">
      <c r="B2215" s="4" t="s">
        <v>4055</v>
      </c>
      <c r="C2215" s="4">
        <v>13.6221</v>
      </c>
      <c r="D2215" s="4">
        <v>13.347899999999999</v>
      </c>
      <c r="E2215" s="4">
        <v>13.425700000000001</v>
      </c>
      <c r="F2215" s="4">
        <f t="shared" si="136"/>
        <v>13.465233333333332</v>
      </c>
      <c r="I2215" s="4" t="s">
        <v>2490</v>
      </c>
      <c r="J2215" s="4">
        <v>13.1038</v>
      </c>
      <c r="K2215" s="4">
        <v>13.507099999999999</v>
      </c>
      <c r="L2215" s="4">
        <v>13.7925</v>
      </c>
      <c r="M2215" s="4">
        <f t="shared" si="137"/>
        <v>13.467800000000002</v>
      </c>
      <c r="Q2215" s="43" t="s">
        <v>1952</v>
      </c>
      <c r="R2215" s="4">
        <v>13.154290423894601</v>
      </c>
      <c r="S2215" s="4">
        <v>13.6298818724949</v>
      </c>
      <c r="T2215" s="4">
        <v>13.260060705977899</v>
      </c>
      <c r="U2215" s="4">
        <f t="shared" si="138"/>
        <v>13.348077667455799</v>
      </c>
      <c r="X2215" s="43" t="s">
        <v>2464</v>
      </c>
      <c r="Y2215" s="4">
        <v>13.434101491147</v>
      </c>
      <c r="Z2215" s="4">
        <v>13.509469872060899</v>
      </c>
      <c r="AA2215" s="4">
        <v>13.5252715211622</v>
      </c>
      <c r="AB2215" s="4">
        <f t="shared" si="139"/>
        <v>13.489614294790035</v>
      </c>
    </row>
    <row r="2216" spans="2:28" x14ac:dyDescent="0.2">
      <c r="B2216" s="4" t="s">
        <v>2824</v>
      </c>
      <c r="C2216" s="4">
        <v>13.626099999999999</v>
      </c>
      <c r="D2216" s="4">
        <v>13.137</v>
      </c>
      <c r="E2216" s="4">
        <v>13.6281</v>
      </c>
      <c r="F2216" s="4">
        <f t="shared" si="136"/>
        <v>13.463733333333332</v>
      </c>
      <c r="I2216" s="4" t="s">
        <v>3679</v>
      </c>
      <c r="J2216" s="4">
        <v>13.2637</v>
      </c>
      <c r="K2216" s="4">
        <v>13.735799999999999</v>
      </c>
      <c r="L2216" s="4">
        <v>13.4034</v>
      </c>
      <c r="M2216" s="4">
        <f t="shared" si="137"/>
        <v>13.467633333333332</v>
      </c>
      <c r="Q2216" s="43" t="s">
        <v>3215</v>
      </c>
      <c r="R2216" s="4">
        <v>13.178018030775</v>
      </c>
      <c r="S2216" s="4">
        <v>13.3993440793883</v>
      </c>
      <c r="T2216" s="4">
        <v>13.4634221884477</v>
      </c>
      <c r="U2216" s="4">
        <f t="shared" si="138"/>
        <v>13.346928099537001</v>
      </c>
      <c r="X2216" s="43" t="s">
        <v>2957</v>
      </c>
      <c r="Y2216" s="4">
        <v>13.443255354090001</v>
      </c>
      <c r="Z2216" s="4">
        <v>13.4187275417941</v>
      </c>
      <c r="AA2216" s="4">
        <v>13.6051885872714</v>
      </c>
      <c r="AB2216" s="4">
        <f t="shared" si="139"/>
        <v>13.489057161051832</v>
      </c>
    </row>
    <row r="2217" spans="2:28" x14ac:dyDescent="0.2">
      <c r="B2217" s="4" t="s">
        <v>1660</v>
      </c>
      <c r="C2217" s="4">
        <v>13.2179</v>
      </c>
      <c r="D2217" s="4">
        <v>13.567299999999999</v>
      </c>
      <c r="E2217" s="4">
        <v>13.604100000000001</v>
      </c>
      <c r="F2217" s="4">
        <f t="shared" si="136"/>
        <v>13.463099999999999</v>
      </c>
      <c r="I2217" s="4" t="s">
        <v>3883</v>
      </c>
      <c r="J2217" s="4">
        <v>14.2097</v>
      </c>
      <c r="K2217" s="4">
        <v>13.2262</v>
      </c>
      <c r="L2217" s="4">
        <v>12.9655</v>
      </c>
      <c r="M2217" s="4">
        <f t="shared" si="137"/>
        <v>13.467133333333335</v>
      </c>
      <c r="Q2217" s="43" t="s">
        <v>1765</v>
      </c>
      <c r="R2217" s="4">
        <v>12.954280017502599</v>
      </c>
      <c r="S2217" s="4">
        <v>13.6856146237877</v>
      </c>
      <c r="T2217" s="4">
        <v>13.391311637832599</v>
      </c>
      <c r="U2217" s="4">
        <f t="shared" si="138"/>
        <v>13.3437354263743</v>
      </c>
      <c r="X2217" s="43" t="s">
        <v>2085</v>
      </c>
      <c r="Y2217" s="4">
        <v>13.402132232018801</v>
      </c>
      <c r="Z2217" s="4">
        <v>13.381237024549</v>
      </c>
      <c r="AA2217" s="4">
        <v>13.679353171130099</v>
      </c>
      <c r="AB2217" s="4">
        <f t="shared" si="139"/>
        <v>13.487574142565967</v>
      </c>
    </row>
    <row r="2218" spans="2:28" x14ac:dyDescent="0.2">
      <c r="B2218" s="4" t="s">
        <v>934</v>
      </c>
      <c r="C2218" s="4">
        <v>12.941800000000001</v>
      </c>
      <c r="D2218" s="4">
        <v>13.687200000000001</v>
      </c>
      <c r="E2218" s="4">
        <v>13.7544</v>
      </c>
      <c r="F2218" s="4">
        <f t="shared" si="136"/>
        <v>13.461133333333335</v>
      </c>
      <c r="I2218" s="4" t="s">
        <v>3305</v>
      </c>
      <c r="J2218" s="4">
        <v>13.508100000000001</v>
      </c>
      <c r="K2218" s="4">
        <v>13.104799999999999</v>
      </c>
      <c r="L2218" s="4">
        <v>13.7882</v>
      </c>
      <c r="M2218" s="4">
        <f t="shared" si="137"/>
        <v>13.467033333333333</v>
      </c>
      <c r="Q2218" s="43" t="s">
        <v>1921</v>
      </c>
      <c r="R2218" s="4">
        <v>13.0026584635304</v>
      </c>
      <c r="S2218" s="4">
        <v>13.579528433362499</v>
      </c>
      <c r="T2218" s="4">
        <v>13.4464066255549</v>
      </c>
      <c r="U2218" s="4">
        <f t="shared" si="138"/>
        <v>13.3428645074826</v>
      </c>
      <c r="X2218" s="43" t="s">
        <v>315</v>
      </c>
      <c r="Y2218" s="4">
        <v>13.334857353954099</v>
      </c>
      <c r="Z2218" s="4">
        <v>13.5655381224931</v>
      </c>
      <c r="AA2218" s="4">
        <v>13.5622394067203</v>
      </c>
      <c r="AB2218" s="4">
        <f t="shared" si="139"/>
        <v>13.487544961055834</v>
      </c>
    </row>
    <row r="2219" spans="2:28" x14ac:dyDescent="0.2">
      <c r="B2219" s="4" t="s">
        <v>740</v>
      </c>
      <c r="C2219" s="4">
        <v>11.3954</v>
      </c>
      <c r="D2219" s="4">
        <v>14.669600000000001</v>
      </c>
      <c r="E2219" s="4">
        <v>14.3161</v>
      </c>
      <c r="F2219" s="4">
        <f t="shared" si="136"/>
        <v>13.460366666666667</v>
      </c>
      <c r="I2219" s="4" t="s">
        <v>2487</v>
      </c>
      <c r="J2219" s="4">
        <v>13.2249</v>
      </c>
      <c r="K2219" s="4">
        <v>14.025499999999999</v>
      </c>
      <c r="L2219" s="4">
        <v>13.150399999999999</v>
      </c>
      <c r="M2219" s="4">
        <f t="shared" si="137"/>
        <v>13.466933333333332</v>
      </c>
      <c r="Q2219" s="43" t="s">
        <v>4291</v>
      </c>
      <c r="R2219" s="4">
        <v>13.277381329916199</v>
      </c>
      <c r="S2219" s="4">
        <v>13.5743412083081</v>
      </c>
      <c r="T2219" s="4">
        <v>13.1767975236249</v>
      </c>
      <c r="U2219" s="4">
        <f t="shared" si="138"/>
        <v>13.3428400206164</v>
      </c>
      <c r="X2219" s="43" t="s">
        <v>383</v>
      </c>
      <c r="Y2219" s="4">
        <v>13.531947150657199</v>
      </c>
      <c r="Z2219" s="4">
        <v>13.548780864285501</v>
      </c>
      <c r="AA2219" s="4">
        <v>13.381384883286801</v>
      </c>
      <c r="AB2219" s="4">
        <f t="shared" si="139"/>
        <v>13.487370966076499</v>
      </c>
    </row>
    <row r="2220" spans="2:28" x14ac:dyDescent="0.2">
      <c r="B2220" s="4" t="s">
        <v>3946</v>
      </c>
      <c r="C2220" s="4">
        <v>13.852</v>
      </c>
      <c r="D2220" s="4">
        <v>13.414</v>
      </c>
      <c r="E2220" s="4">
        <v>13.1052</v>
      </c>
      <c r="F2220" s="4">
        <f t="shared" si="136"/>
        <v>13.457066666666668</v>
      </c>
      <c r="I2220" s="4" t="s">
        <v>1703</v>
      </c>
      <c r="J2220" s="4">
        <v>13.268599999999999</v>
      </c>
      <c r="K2220" s="4">
        <v>13.689399999999999</v>
      </c>
      <c r="L2220" s="4">
        <v>13.441000000000001</v>
      </c>
      <c r="M2220" s="4">
        <f t="shared" si="137"/>
        <v>13.466333333333333</v>
      </c>
      <c r="Q2220" s="43" t="s">
        <v>2763</v>
      </c>
      <c r="R2220" s="4">
        <v>13.2895465087574</v>
      </c>
      <c r="S2220" s="4">
        <v>13.290591936055099</v>
      </c>
      <c r="T2220" s="4">
        <v>13.4457336158485</v>
      </c>
      <c r="U2220" s="4">
        <f t="shared" si="138"/>
        <v>13.341957353553667</v>
      </c>
      <c r="X2220" s="43" t="s">
        <v>4579</v>
      </c>
      <c r="Y2220" s="4">
        <v>13.368871664416201</v>
      </c>
      <c r="Z2220" s="4">
        <v>13.3166701429556</v>
      </c>
      <c r="AA2220" s="4">
        <v>13.773972520999401</v>
      </c>
      <c r="AB2220" s="4">
        <f t="shared" si="139"/>
        <v>13.486504776123732</v>
      </c>
    </row>
    <row r="2221" spans="2:28" x14ac:dyDescent="0.2">
      <c r="B2221" s="4" t="s">
        <v>2920</v>
      </c>
      <c r="C2221" s="4">
        <v>13.4389</v>
      </c>
      <c r="D2221" s="4">
        <v>13.796099999999999</v>
      </c>
      <c r="E2221" s="4">
        <v>13.1348</v>
      </c>
      <c r="F2221" s="4">
        <f t="shared" si="136"/>
        <v>13.4566</v>
      </c>
      <c r="I2221" s="4" t="s">
        <v>867</v>
      </c>
      <c r="J2221" s="4">
        <v>13.624599999999999</v>
      </c>
      <c r="K2221" s="4">
        <v>13.619199999999999</v>
      </c>
      <c r="L2221" s="4">
        <v>13.150499999999999</v>
      </c>
      <c r="M2221" s="4">
        <f t="shared" si="137"/>
        <v>13.464766666666668</v>
      </c>
      <c r="Q2221" s="43" t="s">
        <v>2296</v>
      </c>
      <c r="R2221" s="4">
        <v>13.284466179810099</v>
      </c>
      <c r="S2221" s="4">
        <v>13.589358354946199</v>
      </c>
      <c r="T2221" s="4">
        <v>13.150153136446599</v>
      </c>
      <c r="U2221" s="4">
        <f t="shared" si="138"/>
        <v>13.341325890400967</v>
      </c>
      <c r="X2221" s="43" t="s">
        <v>2156</v>
      </c>
      <c r="Y2221" s="4">
        <v>13.5881799362863</v>
      </c>
      <c r="Z2221" s="4">
        <v>13.385471199739399</v>
      </c>
      <c r="AA2221" s="4">
        <v>13.4835964541353</v>
      </c>
      <c r="AB2221" s="4">
        <f t="shared" si="139"/>
        <v>13.485749196720334</v>
      </c>
    </row>
    <row r="2222" spans="2:28" x14ac:dyDescent="0.2">
      <c r="B2222" s="4" t="s">
        <v>391</v>
      </c>
      <c r="C2222" s="4">
        <v>13.1501</v>
      </c>
      <c r="D2222" s="4">
        <v>13.6494</v>
      </c>
      <c r="E2222" s="4">
        <v>13.566700000000001</v>
      </c>
      <c r="F2222" s="4">
        <f t="shared" si="136"/>
        <v>13.455400000000003</v>
      </c>
      <c r="I2222" s="4" t="s">
        <v>3470</v>
      </c>
      <c r="J2222" s="4">
        <v>13.7752</v>
      </c>
      <c r="K2222" s="4">
        <v>13.1431</v>
      </c>
      <c r="L2222" s="4">
        <v>13.463800000000001</v>
      </c>
      <c r="M2222" s="4">
        <f t="shared" si="137"/>
        <v>13.460700000000001</v>
      </c>
      <c r="Q2222" s="43" t="s">
        <v>3721</v>
      </c>
      <c r="R2222" s="4">
        <v>13.151617593201699</v>
      </c>
      <c r="S2222" s="4">
        <v>13.2761274005064</v>
      </c>
      <c r="T2222" s="4">
        <v>13.595639568463399</v>
      </c>
      <c r="U2222" s="4">
        <f t="shared" si="138"/>
        <v>13.341128187390501</v>
      </c>
      <c r="X2222" s="43" t="s">
        <v>3436</v>
      </c>
      <c r="Y2222" s="4">
        <v>13.655878252991</v>
      </c>
      <c r="Z2222" s="4">
        <v>13.312492878545401</v>
      </c>
      <c r="AA2222" s="4">
        <v>13.488333565491001</v>
      </c>
      <c r="AB2222" s="4">
        <f t="shared" si="139"/>
        <v>13.485568232342468</v>
      </c>
    </row>
    <row r="2223" spans="2:28" x14ac:dyDescent="0.2">
      <c r="B2223" s="4" t="s">
        <v>3181</v>
      </c>
      <c r="C2223" s="4">
        <v>13.617599999999999</v>
      </c>
      <c r="D2223" s="4">
        <v>13.358000000000001</v>
      </c>
      <c r="E2223" s="4">
        <v>13.3896</v>
      </c>
      <c r="F2223" s="4">
        <f t="shared" si="136"/>
        <v>13.455066666666667</v>
      </c>
      <c r="I2223" s="4" t="s">
        <v>2289</v>
      </c>
      <c r="J2223" s="4">
        <v>13.512</v>
      </c>
      <c r="K2223" s="4">
        <v>13.552899999999999</v>
      </c>
      <c r="L2223" s="4">
        <v>13.313800000000001</v>
      </c>
      <c r="M2223" s="4">
        <f t="shared" si="137"/>
        <v>13.459566666666667</v>
      </c>
      <c r="Q2223" s="43" t="s">
        <v>3232</v>
      </c>
      <c r="R2223" s="4">
        <v>12.999809814022599</v>
      </c>
      <c r="S2223" s="4">
        <v>13.5154865099785</v>
      </c>
      <c r="T2223" s="4">
        <v>13.4989381106568</v>
      </c>
      <c r="U2223" s="4">
        <f t="shared" si="138"/>
        <v>13.338078144885968</v>
      </c>
      <c r="X2223" s="43" t="s">
        <v>3474</v>
      </c>
      <c r="Y2223" s="4">
        <v>13.3710312551794</v>
      </c>
      <c r="Z2223" s="4">
        <v>13.3620062848958</v>
      </c>
      <c r="AA2223" s="4">
        <v>13.7210144020024</v>
      </c>
      <c r="AB2223" s="4">
        <f t="shared" si="139"/>
        <v>13.484683980692532</v>
      </c>
    </row>
    <row r="2224" spans="2:28" x14ac:dyDescent="0.2">
      <c r="B2224" s="4" t="s">
        <v>1358</v>
      </c>
      <c r="C2224" s="4">
        <v>13.316800000000001</v>
      </c>
      <c r="D2224" s="4">
        <v>13.773300000000001</v>
      </c>
      <c r="E2224" s="4">
        <v>13.270099999999999</v>
      </c>
      <c r="F2224" s="4">
        <f t="shared" si="136"/>
        <v>13.4534</v>
      </c>
      <c r="I2224" s="4" t="s">
        <v>2270</v>
      </c>
      <c r="J2224" s="4">
        <v>13.707700000000001</v>
      </c>
      <c r="K2224" s="4">
        <v>12.7704</v>
      </c>
      <c r="L2224" s="4">
        <v>13.900499999999999</v>
      </c>
      <c r="M2224" s="4">
        <f t="shared" si="137"/>
        <v>13.459533333333333</v>
      </c>
      <c r="Q2224" s="43" t="s">
        <v>702</v>
      </c>
      <c r="R2224" s="4">
        <v>13.072995649739401</v>
      </c>
      <c r="S2224" s="4">
        <v>13.5355127659743</v>
      </c>
      <c r="T2224" s="4">
        <v>13.4051572564321</v>
      </c>
      <c r="U2224" s="4">
        <f t="shared" si="138"/>
        <v>13.337888557381932</v>
      </c>
      <c r="X2224" s="43" t="s">
        <v>320</v>
      </c>
      <c r="Y2224" s="4">
        <v>13.3740528806167</v>
      </c>
      <c r="Z2224" s="4">
        <v>13.5300517702718</v>
      </c>
      <c r="AA2224" s="4">
        <v>13.548858524712999</v>
      </c>
      <c r="AB2224" s="4">
        <f t="shared" si="139"/>
        <v>13.484321058533832</v>
      </c>
    </row>
    <row r="2225" spans="2:28" x14ac:dyDescent="0.2">
      <c r="B2225" s="4" t="s">
        <v>379</v>
      </c>
      <c r="C2225" s="4">
        <v>12.9863</v>
      </c>
      <c r="D2225" s="4">
        <v>13.6821</v>
      </c>
      <c r="E2225" s="4">
        <v>13.6846</v>
      </c>
      <c r="F2225" s="4">
        <f t="shared" si="136"/>
        <v>13.450999999999999</v>
      </c>
      <c r="I2225" s="4" t="s">
        <v>3592</v>
      </c>
      <c r="J2225" s="4">
        <v>13.460699999999999</v>
      </c>
      <c r="K2225" s="4">
        <v>13.062799999999999</v>
      </c>
      <c r="L2225" s="4">
        <v>13.851000000000001</v>
      </c>
      <c r="M2225" s="4">
        <f t="shared" si="137"/>
        <v>13.458166666666665</v>
      </c>
      <c r="Q2225" s="43" t="s">
        <v>1447</v>
      </c>
      <c r="R2225" s="4">
        <v>14.0271115321148</v>
      </c>
      <c r="S2225" s="4">
        <v>13.0787218312565</v>
      </c>
      <c r="T2225" s="4">
        <v>12.9063829885201</v>
      </c>
      <c r="U2225" s="4">
        <f t="shared" si="138"/>
        <v>13.337405450630465</v>
      </c>
      <c r="X2225" s="43" t="s">
        <v>222</v>
      </c>
      <c r="Y2225" s="4">
        <v>13.070904899002</v>
      </c>
      <c r="Z2225" s="4">
        <v>13.5547113602414</v>
      </c>
      <c r="AA2225" s="4">
        <v>13.818095216613701</v>
      </c>
      <c r="AB2225" s="4">
        <f t="shared" si="139"/>
        <v>13.481237158619033</v>
      </c>
    </row>
    <row r="2226" spans="2:28" x14ac:dyDescent="0.2">
      <c r="B2226" s="4" t="s">
        <v>3264</v>
      </c>
      <c r="C2226" s="4">
        <v>13.565799999999999</v>
      </c>
      <c r="D2226" s="4">
        <v>13.4262</v>
      </c>
      <c r="E2226" s="4">
        <v>13.3553</v>
      </c>
      <c r="F2226" s="4">
        <f t="shared" si="136"/>
        <v>13.4491</v>
      </c>
      <c r="I2226" s="4" t="s">
        <v>3711</v>
      </c>
      <c r="J2226" s="4">
        <v>13.0838</v>
      </c>
      <c r="K2226" s="4">
        <v>13.8995</v>
      </c>
      <c r="L2226" s="4">
        <v>13.3909</v>
      </c>
      <c r="M2226" s="4">
        <f t="shared" si="137"/>
        <v>13.458066666666667</v>
      </c>
      <c r="Q2226" s="43" t="s">
        <v>2781</v>
      </c>
      <c r="R2226" s="4">
        <v>13.2209231378606</v>
      </c>
      <c r="S2226" s="4">
        <v>13.465071691106999</v>
      </c>
      <c r="T2226" s="4">
        <v>13.3248685666321</v>
      </c>
      <c r="U2226" s="4">
        <f t="shared" si="138"/>
        <v>13.3369544651999</v>
      </c>
      <c r="X2226" s="43" t="s">
        <v>1338</v>
      </c>
      <c r="Y2226" s="4">
        <v>13.4851102577042</v>
      </c>
      <c r="Z2226" s="4">
        <v>13.609306023847401</v>
      </c>
      <c r="AA2226" s="4">
        <v>13.347504436777299</v>
      </c>
      <c r="AB2226" s="4">
        <f t="shared" si="139"/>
        <v>13.480640239442968</v>
      </c>
    </row>
    <row r="2227" spans="2:28" x14ac:dyDescent="0.2">
      <c r="B2227" s="4" t="s">
        <v>2167</v>
      </c>
      <c r="C2227" s="4">
        <v>13.4689</v>
      </c>
      <c r="D2227" s="4">
        <v>13.302099999999999</v>
      </c>
      <c r="E2227" s="4">
        <v>13.574299999999999</v>
      </c>
      <c r="F2227" s="4">
        <f t="shared" si="136"/>
        <v>13.448433333333334</v>
      </c>
      <c r="I2227" s="4" t="s">
        <v>2979</v>
      </c>
      <c r="J2227" s="4">
        <v>13.659800000000001</v>
      </c>
      <c r="K2227" s="4">
        <v>13.074</v>
      </c>
      <c r="L2227" s="4">
        <v>13.639099999999999</v>
      </c>
      <c r="M2227" s="4">
        <f t="shared" si="137"/>
        <v>13.457633333333334</v>
      </c>
      <c r="Q2227" s="43" t="s">
        <v>424</v>
      </c>
      <c r="R2227" s="4">
        <v>13.2855642628779</v>
      </c>
      <c r="S2227" s="4">
        <v>13.3893631125831</v>
      </c>
      <c r="T2227" s="4">
        <v>13.3324784366774</v>
      </c>
      <c r="U2227" s="4">
        <f t="shared" si="138"/>
        <v>13.335801937379467</v>
      </c>
      <c r="X2227" s="43" t="s">
        <v>2105</v>
      </c>
      <c r="Y2227" s="4">
        <v>13.5428316789849</v>
      </c>
      <c r="Z2227" s="4">
        <v>13.266060298375599</v>
      </c>
      <c r="AA2227" s="4">
        <v>13.6243359557627</v>
      </c>
      <c r="AB2227" s="4">
        <f t="shared" si="139"/>
        <v>13.4777426443744</v>
      </c>
    </row>
    <row r="2228" spans="2:28" x14ac:dyDescent="0.2">
      <c r="B2228" s="4" t="s">
        <v>1622</v>
      </c>
      <c r="C2228" s="4">
        <v>13.320399999999999</v>
      </c>
      <c r="D2228" s="4">
        <v>13.3222</v>
      </c>
      <c r="E2228" s="4">
        <v>13.702</v>
      </c>
      <c r="F2228" s="4">
        <f t="shared" si="136"/>
        <v>13.4482</v>
      </c>
      <c r="I2228" s="4" t="s">
        <v>2369</v>
      </c>
      <c r="J2228" s="4">
        <v>13.566000000000001</v>
      </c>
      <c r="K2228" s="4">
        <v>13.2232</v>
      </c>
      <c r="L2228" s="4">
        <v>13.5817</v>
      </c>
      <c r="M2228" s="4">
        <f t="shared" si="137"/>
        <v>13.456966666666666</v>
      </c>
      <c r="Q2228" s="43" t="s">
        <v>2371</v>
      </c>
      <c r="R2228" s="4">
        <v>13.5791214327741</v>
      </c>
      <c r="S2228" s="4">
        <v>13.014956326661</v>
      </c>
      <c r="T2228" s="4">
        <v>13.408229765268601</v>
      </c>
      <c r="U2228" s="4">
        <f t="shared" si="138"/>
        <v>13.334102508234567</v>
      </c>
      <c r="X2228" s="43" t="s">
        <v>3085</v>
      </c>
      <c r="Y2228" s="4">
        <v>13.353252505172099</v>
      </c>
      <c r="Z2228" s="4">
        <v>13.5889205132108</v>
      </c>
      <c r="AA2228" s="4">
        <v>13.487950675120199</v>
      </c>
      <c r="AB2228" s="4">
        <f t="shared" si="139"/>
        <v>13.476707897834366</v>
      </c>
    </row>
    <row r="2229" spans="2:28" x14ac:dyDescent="0.2">
      <c r="B2229" s="4" t="s">
        <v>1263</v>
      </c>
      <c r="C2229" s="4">
        <v>13.1586</v>
      </c>
      <c r="D2229" s="4">
        <v>13.501899999999999</v>
      </c>
      <c r="E2229" s="4">
        <v>13.68</v>
      </c>
      <c r="F2229" s="4">
        <f t="shared" si="136"/>
        <v>13.446833333333332</v>
      </c>
      <c r="I2229" s="4" t="s">
        <v>2818</v>
      </c>
      <c r="J2229" s="4">
        <v>13.297599999999999</v>
      </c>
      <c r="K2229" s="4">
        <v>13.8965</v>
      </c>
      <c r="L2229" s="4">
        <v>13.171200000000001</v>
      </c>
      <c r="M2229" s="4">
        <f t="shared" si="137"/>
        <v>13.4551</v>
      </c>
      <c r="Q2229" s="43" t="s">
        <v>2243</v>
      </c>
      <c r="R2229" s="4">
        <v>13.3065895902346</v>
      </c>
      <c r="S2229" s="4">
        <v>13.282421893510501</v>
      </c>
      <c r="T2229" s="4">
        <v>13.412942010029401</v>
      </c>
      <c r="U2229" s="4">
        <f t="shared" si="138"/>
        <v>13.333984497924833</v>
      </c>
      <c r="X2229" s="43" t="s">
        <v>4549</v>
      </c>
      <c r="Y2229" s="4">
        <v>13.6863527365773</v>
      </c>
      <c r="Z2229" s="4">
        <v>13.4270657459976</v>
      </c>
      <c r="AA2229" s="4">
        <v>13.3152628532228</v>
      </c>
      <c r="AB2229" s="4">
        <f t="shared" si="139"/>
        <v>13.476227111932566</v>
      </c>
    </row>
    <row r="2230" spans="2:28" x14ac:dyDescent="0.2">
      <c r="B2230" s="4" t="s">
        <v>1819</v>
      </c>
      <c r="C2230" s="4">
        <v>13.3645</v>
      </c>
      <c r="D2230" s="4">
        <v>13.2174</v>
      </c>
      <c r="E2230" s="4">
        <v>13.7567</v>
      </c>
      <c r="F2230" s="4">
        <f t="shared" si="136"/>
        <v>13.446199999999999</v>
      </c>
      <c r="I2230" s="4" t="s">
        <v>847</v>
      </c>
      <c r="J2230" s="4">
        <v>13.749000000000001</v>
      </c>
      <c r="K2230" s="4">
        <v>12.8712</v>
      </c>
      <c r="L2230" s="4">
        <v>13.7378</v>
      </c>
      <c r="M2230" s="4">
        <f t="shared" si="137"/>
        <v>13.452666666666667</v>
      </c>
      <c r="Q2230" s="43" t="s">
        <v>4586</v>
      </c>
      <c r="R2230" s="4">
        <v>13.119362138005201</v>
      </c>
      <c r="S2230" s="4">
        <v>13.3764755533045</v>
      </c>
      <c r="T2230" s="4">
        <v>13.5042231314454</v>
      </c>
      <c r="U2230" s="4">
        <f t="shared" si="138"/>
        <v>13.333353607585034</v>
      </c>
      <c r="X2230" s="43" t="s">
        <v>412</v>
      </c>
      <c r="Y2230" s="4">
        <v>13.6580030839473</v>
      </c>
      <c r="Z2230" s="4">
        <v>13.2872760430695</v>
      </c>
      <c r="AA2230" s="4">
        <v>13.4739411294623</v>
      </c>
      <c r="AB2230" s="4">
        <f t="shared" si="139"/>
        <v>13.473073418826367</v>
      </c>
    </row>
    <row r="2231" spans="2:28" x14ac:dyDescent="0.2">
      <c r="B2231" s="4" t="s">
        <v>2685</v>
      </c>
      <c r="C2231" s="4">
        <v>14.025700000000001</v>
      </c>
      <c r="D2231" s="4">
        <v>13.6569</v>
      </c>
      <c r="E2231" s="4">
        <v>12.65</v>
      </c>
      <c r="F2231" s="4">
        <f t="shared" si="136"/>
        <v>13.4442</v>
      </c>
      <c r="I2231" s="4" t="s">
        <v>185</v>
      </c>
      <c r="J2231" s="4">
        <v>13.727</v>
      </c>
      <c r="K2231" s="4">
        <v>12.6831</v>
      </c>
      <c r="L2231" s="4">
        <v>13.9404</v>
      </c>
      <c r="M2231" s="4">
        <f t="shared" si="137"/>
        <v>13.450166666666666</v>
      </c>
      <c r="Q2231" s="43" t="s">
        <v>3315</v>
      </c>
      <c r="R2231" s="4">
        <v>13.1650801043893</v>
      </c>
      <c r="S2231" s="4">
        <v>13.4317750125307</v>
      </c>
      <c r="T2231" s="4">
        <v>13.400223190298901</v>
      </c>
      <c r="U2231" s="4">
        <f t="shared" si="138"/>
        <v>13.332359435739633</v>
      </c>
      <c r="X2231" s="43" t="s">
        <v>1593</v>
      </c>
      <c r="Y2231" s="4">
        <v>13.435208526283001</v>
      </c>
      <c r="Z2231" s="4">
        <v>13.518765448129299</v>
      </c>
      <c r="AA2231" s="4">
        <v>13.462527280169599</v>
      </c>
      <c r="AB2231" s="4">
        <f t="shared" si="139"/>
        <v>13.472167084860635</v>
      </c>
    </row>
    <row r="2232" spans="2:28" x14ac:dyDescent="0.2">
      <c r="B2232" s="4" t="s">
        <v>3888</v>
      </c>
      <c r="C2232" s="4">
        <v>13.928599999999999</v>
      </c>
      <c r="D2232" s="4">
        <v>13.606999999999999</v>
      </c>
      <c r="E2232" s="4">
        <v>12.793200000000001</v>
      </c>
      <c r="F2232" s="4">
        <f t="shared" si="136"/>
        <v>13.442933333333334</v>
      </c>
      <c r="I2232" s="4" t="s">
        <v>3872</v>
      </c>
      <c r="J2232" s="4">
        <v>13.36</v>
      </c>
      <c r="K2232" s="4">
        <v>13.4339</v>
      </c>
      <c r="L2232" s="4">
        <v>13.555099999999999</v>
      </c>
      <c r="M2232" s="4">
        <f t="shared" si="137"/>
        <v>13.449666666666667</v>
      </c>
      <c r="Q2232" s="43" t="s">
        <v>3102</v>
      </c>
      <c r="R2232" s="4">
        <v>13.2102930533104</v>
      </c>
      <c r="S2232" s="4">
        <v>13.331861172158</v>
      </c>
      <c r="T2232" s="4">
        <v>13.453282161769</v>
      </c>
      <c r="U2232" s="4">
        <f t="shared" si="138"/>
        <v>13.331812129079134</v>
      </c>
      <c r="X2232" s="43" t="s">
        <v>4207</v>
      </c>
      <c r="Y2232" s="4">
        <v>13.3536849423853</v>
      </c>
      <c r="Z2232" s="4">
        <v>13.474950153757</v>
      </c>
      <c r="AA2232" s="4">
        <v>13.5876334031261</v>
      </c>
      <c r="AB2232" s="4">
        <f t="shared" si="139"/>
        <v>13.472089499756132</v>
      </c>
    </row>
    <row r="2233" spans="2:28" x14ac:dyDescent="0.2">
      <c r="B2233" s="4" t="s">
        <v>3243</v>
      </c>
      <c r="C2233" s="4">
        <v>13.3139</v>
      </c>
      <c r="D2233" s="4">
        <v>13.4375</v>
      </c>
      <c r="E2233" s="4">
        <v>13.571099999999999</v>
      </c>
      <c r="F2233" s="4">
        <f t="shared" si="136"/>
        <v>13.440833333333332</v>
      </c>
      <c r="I2233" s="4" t="s">
        <v>3473</v>
      </c>
      <c r="J2233" s="4">
        <v>12.649800000000001</v>
      </c>
      <c r="K2233" s="4">
        <v>14.264900000000001</v>
      </c>
      <c r="L2233" s="4">
        <v>13.433</v>
      </c>
      <c r="M2233" s="4">
        <f t="shared" si="137"/>
        <v>13.449233333333334</v>
      </c>
      <c r="Q2233" s="43" t="s">
        <v>3658</v>
      </c>
      <c r="R2233" s="4">
        <v>13.092824714504101</v>
      </c>
      <c r="S2233" s="4">
        <v>13.5165184568325</v>
      </c>
      <c r="T2233" s="4">
        <v>13.3839369402688</v>
      </c>
      <c r="U2233" s="4">
        <f t="shared" si="138"/>
        <v>13.331093370535134</v>
      </c>
      <c r="X2233" s="43" t="s">
        <v>1952</v>
      </c>
      <c r="Y2233" s="4">
        <v>13.418364564869201</v>
      </c>
      <c r="Z2233" s="4">
        <v>13.407010657801001</v>
      </c>
      <c r="AA2233" s="4">
        <v>13.585333934904</v>
      </c>
      <c r="AB2233" s="4">
        <f t="shared" si="139"/>
        <v>13.470236385858067</v>
      </c>
    </row>
    <row r="2234" spans="2:28" x14ac:dyDescent="0.2">
      <c r="B2234" s="4" t="s">
        <v>0</v>
      </c>
      <c r="C2234" s="4">
        <v>13.14</v>
      </c>
      <c r="D2234" s="4">
        <v>13.6914</v>
      </c>
      <c r="E2234" s="4">
        <v>13.490399999999999</v>
      </c>
      <c r="F2234" s="4">
        <f t="shared" si="136"/>
        <v>13.440600000000002</v>
      </c>
      <c r="I2234" s="4" t="s">
        <v>3101</v>
      </c>
      <c r="J2234" s="4">
        <v>13.5063</v>
      </c>
      <c r="K2234" s="4">
        <v>13.4063</v>
      </c>
      <c r="L2234" s="4">
        <v>13.431699999999999</v>
      </c>
      <c r="M2234" s="4">
        <f t="shared" si="137"/>
        <v>13.448099999999998</v>
      </c>
      <c r="Q2234" s="43" t="s">
        <v>3096</v>
      </c>
      <c r="R2234" s="4">
        <v>13.1469319296575</v>
      </c>
      <c r="S2234" s="4">
        <v>13.229999274761299</v>
      </c>
      <c r="T2234" s="4">
        <v>13.6137663949852</v>
      </c>
      <c r="U2234" s="4">
        <f t="shared" si="138"/>
        <v>13.330232533134668</v>
      </c>
      <c r="X2234" s="43" t="s">
        <v>3955</v>
      </c>
      <c r="Y2234" s="4">
        <v>13.583667128983</v>
      </c>
      <c r="Z2234" s="4">
        <v>13.3541413740327</v>
      </c>
      <c r="AA2234" s="4">
        <v>13.4728639390397</v>
      </c>
      <c r="AB2234" s="4">
        <f t="shared" si="139"/>
        <v>13.4702241473518</v>
      </c>
    </row>
    <row r="2235" spans="2:28" x14ac:dyDescent="0.2">
      <c r="B2235" s="4" t="s">
        <v>3798</v>
      </c>
      <c r="C2235" s="4">
        <v>13.6365</v>
      </c>
      <c r="D2235" s="4">
        <v>13.4468</v>
      </c>
      <c r="E2235" s="4">
        <v>13.235900000000001</v>
      </c>
      <c r="F2235" s="4">
        <f t="shared" si="136"/>
        <v>13.439733333333335</v>
      </c>
      <c r="I2235" s="4" t="s">
        <v>447</v>
      </c>
      <c r="J2235" s="4">
        <v>13.9878</v>
      </c>
      <c r="K2235" s="4">
        <v>12.1083</v>
      </c>
      <c r="L2235" s="4">
        <v>14.242900000000001</v>
      </c>
      <c r="M2235" s="4">
        <f t="shared" si="137"/>
        <v>13.446333333333333</v>
      </c>
      <c r="Q2235" s="43" t="s">
        <v>2151</v>
      </c>
      <c r="R2235" s="4">
        <v>13.1735667096351</v>
      </c>
      <c r="S2235" s="4">
        <v>13.5504808660211</v>
      </c>
      <c r="T2235" s="4">
        <v>13.264481758217199</v>
      </c>
      <c r="U2235" s="4">
        <f t="shared" si="138"/>
        <v>13.329509777957801</v>
      </c>
      <c r="X2235" s="43" t="s">
        <v>1713</v>
      </c>
      <c r="Y2235" s="4">
        <v>13.2909820487491</v>
      </c>
      <c r="Z2235" s="4">
        <v>13.5324723571054</v>
      </c>
      <c r="AA2235" s="4">
        <v>13.578212873837201</v>
      </c>
      <c r="AB2235" s="4">
        <f t="shared" si="139"/>
        <v>13.4672224265639</v>
      </c>
    </row>
    <row r="2236" spans="2:28" x14ac:dyDescent="0.2">
      <c r="B2236" s="4" t="s">
        <v>237</v>
      </c>
      <c r="C2236" s="4">
        <v>13.5884</v>
      </c>
      <c r="D2236" s="4">
        <v>13.414400000000001</v>
      </c>
      <c r="E2236" s="4">
        <v>13.3119</v>
      </c>
      <c r="F2236" s="4">
        <f t="shared" si="136"/>
        <v>13.438233333333335</v>
      </c>
      <c r="I2236" s="4" t="s">
        <v>3722</v>
      </c>
      <c r="J2236" s="4">
        <v>13.347899999999999</v>
      </c>
      <c r="K2236" s="4">
        <v>13.827299999999999</v>
      </c>
      <c r="L2236" s="4">
        <v>13.1579</v>
      </c>
      <c r="M2236" s="4">
        <f t="shared" si="137"/>
        <v>13.444366666666665</v>
      </c>
      <c r="Q2236" s="43" t="s">
        <v>3601</v>
      </c>
      <c r="R2236" s="4">
        <v>13.2770868384307</v>
      </c>
      <c r="S2236" s="4">
        <v>13.2759880791358</v>
      </c>
      <c r="T2236" s="4">
        <v>13.4295277799825</v>
      </c>
      <c r="U2236" s="4">
        <f t="shared" si="138"/>
        <v>13.327534232516333</v>
      </c>
      <c r="X2236" s="43" t="s">
        <v>4468</v>
      </c>
      <c r="Y2236" s="4">
        <v>13.575239659331899</v>
      </c>
      <c r="Z2236" s="4">
        <v>13.503178535925899</v>
      </c>
      <c r="AA2236" s="4">
        <v>13.323131838461499</v>
      </c>
      <c r="AB2236" s="4">
        <f t="shared" si="139"/>
        <v>13.467183344573099</v>
      </c>
    </row>
    <row r="2237" spans="2:28" x14ac:dyDescent="0.2">
      <c r="B2237" s="4" t="s">
        <v>3380</v>
      </c>
      <c r="C2237" s="4">
        <v>13.511100000000001</v>
      </c>
      <c r="D2237" s="4">
        <v>13.6439</v>
      </c>
      <c r="E2237" s="4">
        <v>13.157</v>
      </c>
      <c r="F2237" s="4">
        <f t="shared" si="136"/>
        <v>13.437333333333333</v>
      </c>
      <c r="I2237" s="4" t="s">
        <v>2135</v>
      </c>
      <c r="J2237" s="4">
        <v>13.514200000000001</v>
      </c>
      <c r="K2237" s="4">
        <v>13.263500000000001</v>
      </c>
      <c r="L2237" s="4">
        <v>13.5448</v>
      </c>
      <c r="M2237" s="4">
        <f t="shared" si="137"/>
        <v>13.440833333333336</v>
      </c>
      <c r="Q2237" s="43" t="s">
        <v>1004</v>
      </c>
      <c r="R2237" s="4">
        <v>12.708733232603199</v>
      </c>
      <c r="S2237" s="4">
        <v>13.7317394800596</v>
      </c>
      <c r="T2237" s="4">
        <v>13.5398782548671</v>
      </c>
      <c r="U2237" s="4">
        <f t="shared" si="138"/>
        <v>13.3267836558433</v>
      </c>
      <c r="X2237" s="43" t="s">
        <v>4463</v>
      </c>
      <c r="Y2237" s="4">
        <v>13.8304591716273</v>
      </c>
      <c r="Z2237" s="4">
        <v>13.6713700454914</v>
      </c>
      <c r="AA2237" s="4">
        <v>12.897343095229299</v>
      </c>
      <c r="AB2237" s="4">
        <f t="shared" si="139"/>
        <v>13.466390770782667</v>
      </c>
    </row>
    <row r="2238" spans="2:28" x14ac:dyDescent="0.2">
      <c r="B2238" s="4" t="s">
        <v>1783</v>
      </c>
      <c r="C2238" s="4">
        <v>13.394600000000001</v>
      </c>
      <c r="D2238" s="4">
        <v>13.1747</v>
      </c>
      <c r="E2238" s="4">
        <v>13.738799999999999</v>
      </c>
      <c r="F2238" s="4">
        <f t="shared" si="136"/>
        <v>13.436033333333333</v>
      </c>
      <c r="I2238" s="4" t="s">
        <v>2421</v>
      </c>
      <c r="J2238" s="4">
        <v>13.1441</v>
      </c>
      <c r="K2238" s="4">
        <v>13.401199999999999</v>
      </c>
      <c r="L2238" s="4">
        <v>13.7751</v>
      </c>
      <c r="M2238" s="4">
        <f t="shared" si="137"/>
        <v>13.440133333333334</v>
      </c>
      <c r="Q2238" s="43" t="s">
        <v>1442</v>
      </c>
      <c r="R2238" s="4">
        <v>13.3951090777232</v>
      </c>
      <c r="S2238" s="4">
        <v>13.318416504005301</v>
      </c>
      <c r="T2238" s="4">
        <v>13.2655052537432</v>
      </c>
      <c r="U2238" s="4">
        <f t="shared" si="138"/>
        <v>13.326343611823901</v>
      </c>
      <c r="X2238" s="43" t="s">
        <v>2333</v>
      </c>
      <c r="Y2238" s="4">
        <v>13.4868052248293</v>
      </c>
      <c r="Z2238" s="4">
        <v>13.452832455790499</v>
      </c>
      <c r="AA2238" s="4">
        <v>13.4593110153443</v>
      </c>
      <c r="AB2238" s="4">
        <f t="shared" si="139"/>
        <v>13.466316231988033</v>
      </c>
    </row>
    <row r="2239" spans="2:28" x14ac:dyDescent="0.2">
      <c r="B2239" s="4" t="s">
        <v>3281</v>
      </c>
      <c r="C2239" s="4">
        <v>13.1432</v>
      </c>
      <c r="D2239" s="4">
        <v>13.524100000000001</v>
      </c>
      <c r="E2239" s="4">
        <v>13.6332</v>
      </c>
      <c r="F2239" s="4">
        <f t="shared" si="136"/>
        <v>13.4335</v>
      </c>
      <c r="I2239" s="4" t="s">
        <v>3547</v>
      </c>
      <c r="J2239" s="4">
        <v>13.4451</v>
      </c>
      <c r="K2239" s="4">
        <v>13.137499999999999</v>
      </c>
      <c r="L2239" s="4">
        <v>13.736800000000001</v>
      </c>
      <c r="M2239" s="4">
        <f t="shared" si="137"/>
        <v>13.4398</v>
      </c>
      <c r="Q2239" s="43" t="s">
        <v>2156</v>
      </c>
      <c r="R2239" s="4">
        <v>13.2288141727272</v>
      </c>
      <c r="S2239" s="4">
        <v>13.3624340707948</v>
      </c>
      <c r="T2239" s="4">
        <v>13.3852031991158</v>
      </c>
      <c r="U2239" s="4">
        <f t="shared" si="138"/>
        <v>13.325483814212598</v>
      </c>
      <c r="X2239" s="43" t="s">
        <v>4134</v>
      </c>
      <c r="Y2239" s="4">
        <v>13.3241998826025</v>
      </c>
      <c r="Z2239" s="4">
        <v>13.313487173034099</v>
      </c>
      <c r="AA2239" s="4">
        <v>13.757576193928699</v>
      </c>
      <c r="AB2239" s="4">
        <f t="shared" si="139"/>
        <v>13.465087749855099</v>
      </c>
    </row>
    <row r="2240" spans="2:28" x14ac:dyDescent="0.2">
      <c r="B2240" s="4" t="s">
        <v>3721</v>
      </c>
      <c r="C2240" s="4">
        <v>12.8627</v>
      </c>
      <c r="D2240" s="4">
        <v>13.6799</v>
      </c>
      <c r="E2240" s="4">
        <v>13.7498</v>
      </c>
      <c r="F2240" s="4">
        <f t="shared" si="136"/>
        <v>13.4308</v>
      </c>
      <c r="I2240" s="4" t="s">
        <v>3570</v>
      </c>
      <c r="J2240" s="4">
        <v>13.3832</v>
      </c>
      <c r="K2240" s="4">
        <v>13.4579</v>
      </c>
      <c r="L2240" s="4">
        <v>13.472200000000001</v>
      </c>
      <c r="M2240" s="4">
        <f t="shared" si="137"/>
        <v>13.437766666666667</v>
      </c>
      <c r="Q2240" s="43" t="s">
        <v>731</v>
      </c>
      <c r="R2240" s="4">
        <v>12.9258180069146</v>
      </c>
      <c r="S2240" s="4">
        <v>13.465863993548499</v>
      </c>
      <c r="T2240" s="4">
        <v>13.5819078494336</v>
      </c>
      <c r="U2240" s="4">
        <f t="shared" si="138"/>
        <v>13.324529949965566</v>
      </c>
      <c r="X2240" s="43" t="s">
        <v>1630</v>
      </c>
      <c r="Y2240" s="4">
        <v>13.402011270417299</v>
      </c>
      <c r="Z2240" s="4">
        <v>13.3852478511638</v>
      </c>
      <c r="AA2240" s="4">
        <v>13.607492277159301</v>
      </c>
      <c r="AB2240" s="4">
        <f t="shared" si="139"/>
        <v>13.464917132913468</v>
      </c>
    </row>
    <row r="2241" spans="2:28" x14ac:dyDescent="0.2">
      <c r="B2241" s="4" t="s">
        <v>2910</v>
      </c>
      <c r="C2241" s="4">
        <v>12.8392</v>
      </c>
      <c r="D2241" s="4">
        <v>13.3551</v>
      </c>
      <c r="E2241" s="4">
        <v>14.090400000000001</v>
      </c>
      <c r="F2241" s="4">
        <f t="shared" si="136"/>
        <v>13.428233333333333</v>
      </c>
      <c r="I2241" s="4" t="s">
        <v>3891</v>
      </c>
      <c r="J2241" s="4">
        <v>13.169499999999999</v>
      </c>
      <c r="K2241" s="4">
        <v>13.805</v>
      </c>
      <c r="L2241" s="4">
        <v>13.3368</v>
      </c>
      <c r="M2241" s="4">
        <f t="shared" si="137"/>
        <v>13.437100000000001</v>
      </c>
      <c r="Q2241" s="43" t="s">
        <v>1205</v>
      </c>
      <c r="R2241" s="4">
        <v>13.2366238405701</v>
      </c>
      <c r="S2241" s="4">
        <v>13.4731701694576</v>
      </c>
      <c r="T2241" s="4">
        <v>13.260762091893399</v>
      </c>
      <c r="U2241" s="4">
        <f t="shared" si="138"/>
        <v>13.323518700640365</v>
      </c>
      <c r="X2241" s="43" t="s">
        <v>1407</v>
      </c>
      <c r="Y2241" s="4">
        <v>14.2546851797894</v>
      </c>
      <c r="Z2241" s="4">
        <v>12.5849905185467</v>
      </c>
      <c r="AA2241" s="4">
        <v>13.5503683078066</v>
      </c>
      <c r="AB2241" s="4">
        <f t="shared" si="139"/>
        <v>13.463348002047567</v>
      </c>
    </row>
    <row r="2242" spans="2:28" x14ac:dyDescent="0.2">
      <c r="B2242" s="4" t="s">
        <v>3118</v>
      </c>
      <c r="C2242" s="4">
        <v>13.087300000000001</v>
      </c>
      <c r="D2242" s="4">
        <v>13.699</v>
      </c>
      <c r="E2242" s="4">
        <v>13.4979</v>
      </c>
      <c r="F2242" s="4">
        <f t="shared" ref="F2242:F2305" si="140">(C2242+D2242+E2242)/3</f>
        <v>13.428066666666666</v>
      </c>
      <c r="I2242" s="4" t="s">
        <v>726</v>
      </c>
      <c r="J2242" s="4">
        <v>13.6059</v>
      </c>
      <c r="K2242" s="4">
        <v>13.0487</v>
      </c>
      <c r="L2242" s="4">
        <v>13.647399999999999</v>
      </c>
      <c r="M2242" s="4">
        <f t="shared" ref="M2242:M2305" si="141">(J2242+K2242+L2242)/3</f>
        <v>13.433999999999999</v>
      </c>
      <c r="Q2242" s="43" t="s">
        <v>1448</v>
      </c>
      <c r="R2242" s="4">
        <v>13.3614011587359</v>
      </c>
      <c r="S2242" s="4">
        <v>13.467498894398499</v>
      </c>
      <c r="T2242" s="4">
        <v>13.140732423050199</v>
      </c>
      <c r="U2242" s="4">
        <f t="shared" ref="U2242:U2305" si="142">(R2242+S2242+T2242)/3</f>
        <v>13.323210825394867</v>
      </c>
      <c r="X2242" s="43" t="s">
        <v>1921</v>
      </c>
      <c r="Y2242" s="4">
        <v>13.2938113178877</v>
      </c>
      <c r="Z2242" s="4">
        <v>12.966283976541099</v>
      </c>
      <c r="AA2242" s="4">
        <v>14.123614832517401</v>
      </c>
      <c r="AB2242" s="4">
        <f t="shared" ref="AB2242:AB2305" si="143">(Y2242+Z2242+AA2242)/3</f>
        <v>13.461236708982065</v>
      </c>
    </row>
    <row r="2243" spans="2:28" x14ac:dyDescent="0.2">
      <c r="B2243" s="4" t="s">
        <v>2998</v>
      </c>
      <c r="C2243" s="4">
        <v>13.506500000000001</v>
      </c>
      <c r="D2243" s="4">
        <v>12.722300000000001</v>
      </c>
      <c r="E2243" s="4">
        <v>14.0496</v>
      </c>
      <c r="F2243" s="4">
        <f t="shared" si="140"/>
        <v>13.426133333333333</v>
      </c>
      <c r="I2243" s="4" t="s">
        <v>956</v>
      </c>
      <c r="J2243" s="4">
        <v>13.3056</v>
      </c>
      <c r="K2243" s="4">
        <v>13.7148</v>
      </c>
      <c r="L2243" s="4">
        <v>13.2782</v>
      </c>
      <c r="M2243" s="4">
        <f t="shared" si="141"/>
        <v>13.432866666666667</v>
      </c>
      <c r="Q2243" s="43" t="s">
        <v>41</v>
      </c>
      <c r="R2243" s="4">
        <v>13.3555247263051</v>
      </c>
      <c r="S2243" s="4">
        <v>13.231929946865399</v>
      </c>
      <c r="T2243" s="4">
        <v>13.374349935228899</v>
      </c>
      <c r="U2243" s="4">
        <f t="shared" si="142"/>
        <v>13.320601536133132</v>
      </c>
      <c r="X2243" s="43" t="s">
        <v>912</v>
      </c>
      <c r="Y2243" s="4">
        <v>13.7039726823006</v>
      </c>
      <c r="Z2243" s="4">
        <v>13.352511793264</v>
      </c>
      <c r="AA2243" s="4">
        <v>13.326421517449999</v>
      </c>
      <c r="AB2243" s="4">
        <f t="shared" si="143"/>
        <v>13.460968664338202</v>
      </c>
    </row>
    <row r="2244" spans="2:28" x14ac:dyDescent="0.2">
      <c r="B2244" s="4" t="s">
        <v>34</v>
      </c>
      <c r="C2244" s="4">
        <v>13.056800000000001</v>
      </c>
      <c r="D2244" s="4">
        <v>13.7272</v>
      </c>
      <c r="E2244" s="4">
        <v>13.4842</v>
      </c>
      <c r="F2244" s="4">
        <f t="shared" si="140"/>
        <v>13.422733333333333</v>
      </c>
      <c r="I2244" s="4" t="s">
        <v>2828</v>
      </c>
      <c r="J2244" s="4">
        <v>13.5893</v>
      </c>
      <c r="K2244" s="4">
        <v>13.2575</v>
      </c>
      <c r="L2244" s="4">
        <v>13.4496</v>
      </c>
      <c r="M2244" s="4">
        <f t="shared" si="141"/>
        <v>13.432133333333335</v>
      </c>
      <c r="Q2244" s="43" t="s">
        <v>1397</v>
      </c>
      <c r="R2244" s="4">
        <v>13.0836191321811</v>
      </c>
      <c r="S2244" s="4">
        <v>13.357364636480799</v>
      </c>
      <c r="T2244" s="4">
        <v>13.5205322816474</v>
      </c>
      <c r="U2244" s="4">
        <f t="shared" si="142"/>
        <v>13.320505350103099</v>
      </c>
      <c r="X2244" s="43" t="s">
        <v>2243</v>
      </c>
      <c r="Y2244" s="4">
        <v>13.5633544139944</v>
      </c>
      <c r="Z2244" s="4">
        <v>13.439173269774299</v>
      </c>
      <c r="AA2244" s="4">
        <v>13.378741314219999</v>
      </c>
      <c r="AB2244" s="4">
        <f t="shared" si="143"/>
        <v>13.460422999329566</v>
      </c>
    </row>
    <row r="2245" spans="2:28" x14ac:dyDescent="0.2">
      <c r="B2245" s="4" t="s">
        <v>1926</v>
      </c>
      <c r="C2245" s="4">
        <v>14.122</v>
      </c>
      <c r="D2245" s="4">
        <v>13.611800000000001</v>
      </c>
      <c r="E2245" s="4">
        <v>12.528700000000001</v>
      </c>
      <c r="F2245" s="4">
        <f t="shared" si="140"/>
        <v>13.420833333333334</v>
      </c>
      <c r="I2245" s="4" t="s">
        <v>1278</v>
      </c>
      <c r="J2245" s="4">
        <v>13.6778</v>
      </c>
      <c r="K2245" s="4">
        <v>13.326700000000001</v>
      </c>
      <c r="L2245" s="4">
        <v>13.285399999999999</v>
      </c>
      <c r="M2245" s="4">
        <f t="shared" si="141"/>
        <v>13.429966666666667</v>
      </c>
      <c r="Q2245" s="43" t="s">
        <v>3108</v>
      </c>
      <c r="R2245" s="4">
        <v>13.1639971881481</v>
      </c>
      <c r="S2245" s="4">
        <v>13.394379296363899</v>
      </c>
      <c r="T2245" s="4">
        <v>13.403103619261801</v>
      </c>
      <c r="U2245" s="4">
        <f t="shared" si="142"/>
        <v>13.3204933679246</v>
      </c>
      <c r="X2245" s="43" t="s">
        <v>3544</v>
      </c>
      <c r="Y2245" s="4">
        <v>13.4965676722277</v>
      </c>
      <c r="Z2245" s="4">
        <v>13.4158333226382</v>
      </c>
      <c r="AA2245" s="4">
        <v>13.460464544087101</v>
      </c>
      <c r="AB2245" s="4">
        <f t="shared" si="143"/>
        <v>13.457621846317666</v>
      </c>
    </row>
    <row r="2246" spans="2:28" x14ac:dyDescent="0.2">
      <c r="B2246" s="4" t="s">
        <v>3069</v>
      </c>
      <c r="C2246" s="4">
        <v>13.0349</v>
      </c>
      <c r="D2246" s="4">
        <v>13.224</v>
      </c>
      <c r="E2246" s="4">
        <v>14.003399999999999</v>
      </c>
      <c r="F2246" s="4">
        <f t="shared" si="140"/>
        <v>13.420766666666665</v>
      </c>
      <c r="I2246" s="4" t="s">
        <v>3405</v>
      </c>
      <c r="J2246" s="4">
        <v>13.594900000000001</v>
      </c>
      <c r="K2246" s="4">
        <v>12.843500000000001</v>
      </c>
      <c r="L2246" s="4">
        <v>13.8499</v>
      </c>
      <c r="M2246" s="4">
        <f t="shared" si="141"/>
        <v>13.429433333333334</v>
      </c>
      <c r="Q2246" s="43" t="s">
        <v>4044</v>
      </c>
      <c r="R2246" s="4">
        <v>13.3486229956447</v>
      </c>
      <c r="S2246" s="4">
        <v>13.3269248913484</v>
      </c>
      <c r="T2246" s="4">
        <v>13.285648120190301</v>
      </c>
      <c r="U2246" s="4">
        <f t="shared" si="142"/>
        <v>13.320398669061134</v>
      </c>
      <c r="X2246" s="43" t="s">
        <v>1084</v>
      </c>
      <c r="Y2246" s="4">
        <v>13.735824822280099</v>
      </c>
      <c r="Z2246" s="4">
        <v>13.1025545939187</v>
      </c>
      <c r="AA2246" s="4">
        <v>13.533158585589399</v>
      </c>
      <c r="AB2246" s="4">
        <f t="shared" si="143"/>
        <v>13.457179333929398</v>
      </c>
    </row>
    <row r="2247" spans="2:28" x14ac:dyDescent="0.2">
      <c r="B2247" s="4" t="s">
        <v>1062</v>
      </c>
      <c r="C2247" s="4">
        <v>13.069000000000001</v>
      </c>
      <c r="D2247" s="4">
        <v>13.0319</v>
      </c>
      <c r="E2247" s="4">
        <v>14.1599</v>
      </c>
      <c r="F2247" s="4">
        <f t="shared" si="140"/>
        <v>13.420266666666668</v>
      </c>
      <c r="I2247" s="4" t="s">
        <v>1274</v>
      </c>
      <c r="J2247" s="4">
        <v>13.7888</v>
      </c>
      <c r="K2247" s="4">
        <v>13.5265</v>
      </c>
      <c r="L2247" s="4">
        <v>12.9612</v>
      </c>
      <c r="M2247" s="4">
        <f t="shared" si="141"/>
        <v>13.4255</v>
      </c>
      <c r="Q2247" s="43" t="s">
        <v>1381</v>
      </c>
      <c r="R2247" s="4">
        <v>13.1451043076773</v>
      </c>
      <c r="S2247" s="4">
        <v>13.2608671947711</v>
      </c>
      <c r="T2247" s="4">
        <v>13.5540955293402</v>
      </c>
      <c r="U2247" s="4">
        <f t="shared" si="142"/>
        <v>13.320022343929535</v>
      </c>
      <c r="X2247" s="43" t="s">
        <v>2763</v>
      </c>
      <c r="Y2247" s="4">
        <v>13.4171676899093</v>
      </c>
      <c r="Z2247" s="4">
        <v>13.435456403495399</v>
      </c>
      <c r="AA2247" s="4">
        <v>13.515659293494201</v>
      </c>
      <c r="AB2247" s="4">
        <f t="shared" si="143"/>
        <v>13.456094462299633</v>
      </c>
    </row>
    <row r="2248" spans="2:28" x14ac:dyDescent="0.2">
      <c r="B2248" s="4" t="s">
        <v>3241</v>
      </c>
      <c r="C2248" s="4">
        <v>13.3765</v>
      </c>
      <c r="D2248" s="4">
        <v>13.39</v>
      </c>
      <c r="E2248" s="4">
        <v>13.492100000000001</v>
      </c>
      <c r="F2248" s="4">
        <f t="shared" si="140"/>
        <v>13.419533333333334</v>
      </c>
      <c r="I2248" s="4" t="s">
        <v>3476</v>
      </c>
      <c r="J2248" s="4">
        <v>13.3</v>
      </c>
      <c r="K2248" s="4">
        <v>13.5626</v>
      </c>
      <c r="L2248" s="4">
        <v>13.4133</v>
      </c>
      <c r="M2248" s="4">
        <f t="shared" si="141"/>
        <v>13.4253</v>
      </c>
      <c r="Q2248" s="43" t="s">
        <v>4392</v>
      </c>
      <c r="R2248" s="4">
        <v>13.5317991235585</v>
      </c>
      <c r="S2248" s="4">
        <v>13.2438497927201</v>
      </c>
      <c r="T2248" s="4">
        <v>13.179449753204301</v>
      </c>
      <c r="U2248" s="4">
        <f t="shared" si="142"/>
        <v>13.318366223160966</v>
      </c>
      <c r="X2248" s="43" t="s">
        <v>4094</v>
      </c>
      <c r="Y2248" s="4">
        <v>13.318157668242099</v>
      </c>
      <c r="Z2248" s="4">
        <v>13.443732304629499</v>
      </c>
      <c r="AA2248" s="4">
        <v>13.6055642192881</v>
      </c>
      <c r="AB2248" s="4">
        <f t="shared" si="143"/>
        <v>13.455818064053233</v>
      </c>
    </row>
    <row r="2249" spans="2:28" x14ac:dyDescent="0.2">
      <c r="B2249" s="4" t="s">
        <v>2607</v>
      </c>
      <c r="C2249" s="4">
        <v>13.5884</v>
      </c>
      <c r="D2249" s="4">
        <v>13.227499999999999</v>
      </c>
      <c r="E2249" s="4">
        <v>13.442</v>
      </c>
      <c r="F2249" s="4">
        <f t="shared" si="140"/>
        <v>13.4193</v>
      </c>
      <c r="I2249" s="4" t="s">
        <v>1298</v>
      </c>
      <c r="J2249" s="4">
        <v>13.5229</v>
      </c>
      <c r="K2249" s="4">
        <v>13.035399999999999</v>
      </c>
      <c r="L2249" s="4">
        <v>13.7117</v>
      </c>
      <c r="M2249" s="4">
        <f t="shared" si="141"/>
        <v>13.423333333333332</v>
      </c>
      <c r="Q2249" s="43" t="s">
        <v>4107</v>
      </c>
      <c r="R2249" s="4">
        <v>14.3026776195577</v>
      </c>
      <c r="S2249" s="4">
        <v>13.1553332598399</v>
      </c>
      <c r="T2249" s="4">
        <v>12.4967464994631</v>
      </c>
      <c r="U2249" s="4">
        <f t="shared" si="142"/>
        <v>13.318252459620233</v>
      </c>
      <c r="X2249" s="43" t="s">
        <v>594</v>
      </c>
      <c r="Y2249" s="4">
        <v>13.469263185919999</v>
      </c>
      <c r="Z2249" s="4">
        <v>13.5765852017794</v>
      </c>
      <c r="AA2249" s="4">
        <v>13.305660644429301</v>
      </c>
      <c r="AB2249" s="4">
        <f t="shared" si="143"/>
        <v>13.450503010709568</v>
      </c>
    </row>
    <row r="2250" spans="2:28" x14ac:dyDescent="0.2">
      <c r="B2250" s="4" t="s">
        <v>3620</v>
      </c>
      <c r="C2250" s="4">
        <v>13.3467</v>
      </c>
      <c r="D2250" s="4">
        <v>13.3413</v>
      </c>
      <c r="E2250" s="4">
        <v>13.562900000000001</v>
      </c>
      <c r="F2250" s="4">
        <f t="shared" si="140"/>
        <v>13.416966666666667</v>
      </c>
      <c r="I2250" s="4" t="s">
        <v>392</v>
      </c>
      <c r="J2250" s="4">
        <v>13.5084</v>
      </c>
      <c r="K2250" s="4">
        <v>13.01</v>
      </c>
      <c r="L2250" s="4">
        <v>13.751300000000001</v>
      </c>
      <c r="M2250" s="4">
        <f t="shared" si="141"/>
        <v>13.423233333333334</v>
      </c>
      <c r="Q2250" s="43" t="s">
        <v>3189</v>
      </c>
      <c r="R2250" s="4">
        <v>13.2960442267247</v>
      </c>
      <c r="S2250" s="4">
        <v>13.324287787310199</v>
      </c>
      <c r="T2250" s="4">
        <v>13.3332089422024</v>
      </c>
      <c r="U2250" s="4">
        <f t="shared" si="142"/>
        <v>13.317846985412436</v>
      </c>
      <c r="X2250" s="43" t="s">
        <v>3156</v>
      </c>
      <c r="Y2250" s="4">
        <v>13.568059638955701</v>
      </c>
      <c r="Z2250" s="4">
        <v>13.6244005211766</v>
      </c>
      <c r="AA2250" s="4">
        <v>13.1551298747745</v>
      </c>
      <c r="AB2250" s="4">
        <f t="shared" si="143"/>
        <v>13.449196678302267</v>
      </c>
    </row>
    <row r="2251" spans="2:28" x14ac:dyDescent="0.2">
      <c r="B2251" s="4" t="s">
        <v>1008</v>
      </c>
      <c r="C2251" s="4">
        <v>13.7142</v>
      </c>
      <c r="D2251" s="4">
        <v>13.32</v>
      </c>
      <c r="E2251" s="4">
        <v>13.216100000000001</v>
      </c>
      <c r="F2251" s="4">
        <f t="shared" si="140"/>
        <v>13.416766666666666</v>
      </c>
      <c r="I2251" s="4" t="s">
        <v>3626</v>
      </c>
      <c r="J2251" s="4">
        <v>13.4413</v>
      </c>
      <c r="K2251" s="4">
        <v>13.2394</v>
      </c>
      <c r="L2251" s="4">
        <v>13.5867</v>
      </c>
      <c r="M2251" s="4">
        <f t="shared" si="141"/>
        <v>13.422466666666667</v>
      </c>
      <c r="Q2251" s="43" t="s">
        <v>2253</v>
      </c>
      <c r="R2251" s="4">
        <v>13.263018972603</v>
      </c>
      <c r="S2251" s="4">
        <v>13.464574604263801</v>
      </c>
      <c r="T2251" s="4">
        <v>13.224928425800901</v>
      </c>
      <c r="U2251" s="4">
        <f t="shared" si="142"/>
        <v>13.317507334222569</v>
      </c>
      <c r="X2251" s="43" t="s">
        <v>207</v>
      </c>
      <c r="Y2251" s="4">
        <v>13.4068890878186</v>
      </c>
      <c r="Z2251" s="4">
        <v>13.3660449328125</v>
      </c>
      <c r="AA2251" s="4">
        <v>13.573583821527199</v>
      </c>
      <c r="AB2251" s="4">
        <f t="shared" si="143"/>
        <v>13.448839280719433</v>
      </c>
    </row>
    <row r="2252" spans="2:28" x14ac:dyDescent="0.2">
      <c r="B2252" s="4" t="s">
        <v>867</v>
      </c>
      <c r="C2252" s="4">
        <v>13.6889</v>
      </c>
      <c r="D2252" s="4">
        <v>13.6456</v>
      </c>
      <c r="E2252" s="4">
        <v>12.9155</v>
      </c>
      <c r="F2252" s="4">
        <f t="shared" si="140"/>
        <v>13.416666666666666</v>
      </c>
      <c r="I2252" s="4" t="s">
        <v>2892</v>
      </c>
      <c r="J2252" s="4">
        <v>13.4613</v>
      </c>
      <c r="K2252" s="4">
        <v>13.461499999999999</v>
      </c>
      <c r="L2252" s="4">
        <v>13.3428</v>
      </c>
      <c r="M2252" s="4">
        <f t="shared" si="141"/>
        <v>13.421866666666666</v>
      </c>
      <c r="Q2252" s="43" t="s">
        <v>2780</v>
      </c>
      <c r="R2252" s="4">
        <v>13.095598766353</v>
      </c>
      <c r="S2252" s="4">
        <v>13.444146167318801</v>
      </c>
      <c r="T2252" s="4">
        <v>13.4123635674576</v>
      </c>
      <c r="U2252" s="4">
        <f t="shared" si="142"/>
        <v>13.317369500376467</v>
      </c>
      <c r="X2252" s="43" t="s">
        <v>3114</v>
      </c>
      <c r="Y2252" s="4">
        <v>13.444442241023699</v>
      </c>
      <c r="Z2252" s="4">
        <v>13.552104228525</v>
      </c>
      <c r="AA2252" s="4">
        <v>13.3478612834794</v>
      </c>
      <c r="AB2252" s="4">
        <f t="shared" si="143"/>
        <v>13.448135917676032</v>
      </c>
    </row>
    <row r="2253" spans="2:28" x14ac:dyDescent="0.2">
      <c r="B2253" s="4" t="s">
        <v>2959</v>
      </c>
      <c r="C2253" s="4">
        <v>13.069699999999999</v>
      </c>
      <c r="D2253" s="4">
        <v>13.403600000000001</v>
      </c>
      <c r="E2253" s="4">
        <v>13.7721</v>
      </c>
      <c r="F2253" s="4">
        <f t="shared" si="140"/>
        <v>13.415133333333335</v>
      </c>
      <c r="I2253" s="4" t="s">
        <v>2390</v>
      </c>
      <c r="J2253" s="4">
        <v>13.040699999999999</v>
      </c>
      <c r="K2253" s="4">
        <v>14.105</v>
      </c>
      <c r="L2253" s="4">
        <v>13.1191</v>
      </c>
      <c r="M2253" s="4">
        <f t="shared" si="141"/>
        <v>13.421599999999998</v>
      </c>
      <c r="Q2253" s="43" t="s">
        <v>2457</v>
      </c>
      <c r="R2253" s="4">
        <v>12.892888086084101</v>
      </c>
      <c r="S2253" s="4">
        <v>13.485626583361199</v>
      </c>
      <c r="T2253" s="4">
        <v>13.5661121750114</v>
      </c>
      <c r="U2253" s="4">
        <f t="shared" si="142"/>
        <v>13.3148756148189</v>
      </c>
      <c r="X2253" s="43" t="s">
        <v>1172</v>
      </c>
      <c r="Y2253" s="4">
        <v>13.430273292966399</v>
      </c>
      <c r="Z2253" s="4">
        <v>13.523060239457299</v>
      </c>
      <c r="AA2253" s="4">
        <v>13.3803051182093</v>
      </c>
      <c r="AB2253" s="4">
        <f t="shared" si="143"/>
        <v>13.444546216877667</v>
      </c>
    </row>
    <row r="2254" spans="2:28" x14ac:dyDescent="0.2">
      <c r="B2254" s="4" t="s">
        <v>1768</v>
      </c>
      <c r="C2254" s="4">
        <v>13.407299999999999</v>
      </c>
      <c r="D2254" s="4">
        <v>13.6897</v>
      </c>
      <c r="E2254" s="4">
        <v>13.1418</v>
      </c>
      <c r="F2254" s="4">
        <f t="shared" si="140"/>
        <v>13.412933333333333</v>
      </c>
      <c r="I2254" s="4" t="s">
        <v>3604</v>
      </c>
      <c r="J2254" s="4">
        <v>13.702999999999999</v>
      </c>
      <c r="K2254" s="4">
        <v>12.714700000000001</v>
      </c>
      <c r="L2254" s="4">
        <v>13.844099999999999</v>
      </c>
      <c r="M2254" s="4">
        <f t="shared" si="141"/>
        <v>13.4206</v>
      </c>
      <c r="Q2254" s="43" t="s">
        <v>1794</v>
      </c>
      <c r="R2254" s="4">
        <v>13.14938512805</v>
      </c>
      <c r="S2254" s="4">
        <v>13.406646378148</v>
      </c>
      <c r="T2254" s="4">
        <v>13.3838189914374</v>
      </c>
      <c r="U2254" s="4">
        <f t="shared" si="142"/>
        <v>13.313283499211799</v>
      </c>
      <c r="X2254" s="43" t="s">
        <v>681</v>
      </c>
      <c r="Y2254" s="4">
        <v>13.545251157686399</v>
      </c>
      <c r="Z2254" s="4">
        <v>14.0427042881603</v>
      </c>
      <c r="AA2254" s="4">
        <v>12.744596885327899</v>
      </c>
      <c r="AB2254" s="4">
        <f t="shared" si="143"/>
        <v>13.444184110391532</v>
      </c>
    </row>
    <row r="2255" spans="2:28" x14ac:dyDescent="0.2">
      <c r="B2255" s="4" t="s">
        <v>3259</v>
      </c>
      <c r="C2255" s="4">
        <v>13.1271</v>
      </c>
      <c r="D2255" s="4">
        <v>13.1031</v>
      </c>
      <c r="E2255" s="4">
        <v>14.007199999999999</v>
      </c>
      <c r="F2255" s="4">
        <f t="shared" si="140"/>
        <v>13.412466666666667</v>
      </c>
      <c r="I2255" s="4" t="s">
        <v>611</v>
      </c>
      <c r="J2255" s="4">
        <v>13.247</v>
      </c>
      <c r="K2255" s="4">
        <v>13.5082</v>
      </c>
      <c r="L2255" s="4">
        <v>13.4954</v>
      </c>
      <c r="M2255" s="4">
        <f t="shared" si="141"/>
        <v>13.416866666666669</v>
      </c>
      <c r="Q2255" s="43" t="s">
        <v>4478</v>
      </c>
      <c r="R2255" s="4">
        <v>13.393551169488299</v>
      </c>
      <c r="S2255" s="4">
        <v>13.3820681446912</v>
      </c>
      <c r="T2255" s="4">
        <v>13.1621094833085</v>
      </c>
      <c r="U2255" s="4">
        <f t="shared" si="142"/>
        <v>13.312576265829334</v>
      </c>
      <c r="X2255" s="43" t="s">
        <v>1279</v>
      </c>
      <c r="Y2255" s="4">
        <v>13.4907717819385</v>
      </c>
      <c r="Z2255" s="4">
        <v>13.301926893003801</v>
      </c>
      <c r="AA2255" s="4">
        <v>13.5391354599422</v>
      </c>
      <c r="AB2255" s="4">
        <f t="shared" si="143"/>
        <v>13.443944711628168</v>
      </c>
    </row>
    <row r="2256" spans="2:28" x14ac:dyDescent="0.2">
      <c r="B2256" s="4" t="s">
        <v>3495</v>
      </c>
      <c r="C2256" s="4">
        <v>13.4535</v>
      </c>
      <c r="D2256" s="4">
        <v>13.4635</v>
      </c>
      <c r="E2256" s="4">
        <v>13.3146</v>
      </c>
      <c r="F2256" s="4">
        <f t="shared" si="140"/>
        <v>13.410533333333333</v>
      </c>
      <c r="I2256" s="4" t="s">
        <v>501</v>
      </c>
      <c r="J2256" s="4">
        <v>12.231999999999999</v>
      </c>
      <c r="K2256" s="4">
        <v>14.721399999999999</v>
      </c>
      <c r="L2256" s="4">
        <v>13.2911</v>
      </c>
      <c r="M2256" s="4">
        <f t="shared" si="141"/>
        <v>13.414833333333334</v>
      </c>
      <c r="Q2256" s="43" t="s">
        <v>302</v>
      </c>
      <c r="R2256" s="4">
        <v>13.1439340022675</v>
      </c>
      <c r="S2256" s="4">
        <v>13.426866309236299</v>
      </c>
      <c r="T2256" s="4">
        <v>13.3647359476617</v>
      </c>
      <c r="U2256" s="4">
        <f t="shared" si="142"/>
        <v>13.311845419721834</v>
      </c>
      <c r="X2256" s="43" t="s">
        <v>1807</v>
      </c>
      <c r="Y2256" s="4">
        <v>13.427140890906401</v>
      </c>
      <c r="Z2256" s="4">
        <v>13.4695010741089</v>
      </c>
      <c r="AA2256" s="4">
        <v>13.4315001977923</v>
      </c>
      <c r="AB2256" s="4">
        <f t="shared" si="143"/>
        <v>13.442714054269198</v>
      </c>
    </row>
    <row r="2257" spans="2:28" x14ac:dyDescent="0.2">
      <c r="B2257" s="4" t="s">
        <v>2896</v>
      </c>
      <c r="C2257" s="4">
        <v>13.7849</v>
      </c>
      <c r="D2257" s="4">
        <v>13.3126</v>
      </c>
      <c r="E2257" s="4">
        <v>13.130699999999999</v>
      </c>
      <c r="F2257" s="4">
        <f t="shared" si="140"/>
        <v>13.4094</v>
      </c>
      <c r="I2257" s="4" t="s">
        <v>2986</v>
      </c>
      <c r="J2257" s="4">
        <v>11.2431</v>
      </c>
      <c r="K2257" s="4">
        <v>16.6007</v>
      </c>
      <c r="L2257" s="4">
        <v>12.3977</v>
      </c>
      <c r="M2257" s="4">
        <f t="shared" si="141"/>
        <v>13.413833333333335</v>
      </c>
      <c r="Q2257" s="43" t="s">
        <v>3767</v>
      </c>
      <c r="R2257" s="4">
        <v>13.127447651731201</v>
      </c>
      <c r="S2257" s="4">
        <v>13.418692946624301</v>
      </c>
      <c r="T2257" s="4">
        <v>13.3876486276778</v>
      </c>
      <c r="U2257" s="4">
        <f t="shared" si="142"/>
        <v>13.311263075344433</v>
      </c>
      <c r="X2257" s="43" t="s">
        <v>4398</v>
      </c>
      <c r="Y2257" s="4">
        <v>13.562517857486</v>
      </c>
      <c r="Z2257" s="4">
        <v>13.490343235239999</v>
      </c>
      <c r="AA2257" s="4">
        <v>13.261369957487201</v>
      </c>
      <c r="AB2257" s="4">
        <f t="shared" si="143"/>
        <v>13.438077016737731</v>
      </c>
    </row>
    <row r="2258" spans="2:28" x14ac:dyDescent="0.2">
      <c r="B2258" s="4" t="s">
        <v>3965</v>
      </c>
      <c r="C2258" s="4">
        <v>13.518800000000001</v>
      </c>
      <c r="D2258" s="4">
        <v>13.481999999999999</v>
      </c>
      <c r="E2258" s="4">
        <v>13.225</v>
      </c>
      <c r="F2258" s="4">
        <f t="shared" si="140"/>
        <v>13.4086</v>
      </c>
      <c r="I2258" s="4" t="s">
        <v>2477</v>
      </c>
      <c r="J2258" s="4">
        <v>13.263999999999999</v>
      </c>
      <c r="K2258" s="4">
        <v>13.7476</v>
      </c>
      <c r="L2258" s="4">
        <v>13.2233</v>
      </c>
      <c r="M2258" s="4">
        <f t="shared" si="141"/>
        <v>13.411633333333334</v>
      </c>
      <c r="Q2258" s="43" t="s">
        <v>4495</v>
      </c>
      <c r="R2258" s="4">
        <v>13.663537958468901</v>
      </c>
      <c r="S2258" s="4">
        <v>13.022222747978599</v>
      </c>
      <c r="T2258" s="4">
        <v>13.2436770378182</v>
      </c>
      <c r="U2258" s="4">
        <f t="shared" si="142"/>
        <v>13.3098125814219</v>
      </c>
      <c r="X2258" s="43" t="s">
        <v>1606</v>
      </c>
      <c r="Y2258" s="4">
        <v>13.428627131023999</v>
      </c>
      <c r="Z2258" s="4">
        <v>13.361700559979001</v>
      </c>
      <c r="AA2258" s="4">
        <v>13.5213424045425</v>
      </c>
      <c r="AB2258" s="4">
        <f t="shared" si="143"/>
        <v>13.437223365181834</v>
      </c>
    </row>
    <row r="2259" spans="2:28" x14ac:dyDescent="0.2">
      <c r="B2259" s="4" t="s">
        <v>3200</v>
      </c>
      <c r="C2259" s="4">
        <v>13.329700000000001</v>
      </c>
      <c r="D2259" s="4">
        <v>13.1706</v>
      </c>
      <c r="E2259" s="4">
        <v>13.7209</v>
      </c>
      <c r="F2259" s="4">
        <f t="shared" si="140"/>
        <v>13.407066666666667</v>
      </c>
      <c r="I2259" s="4" t="s">
        <v>2825</v>
      </c>
      <c r="J2259" s="4">
        <v>13.553599999999999</v>
      </c>
      <c r="K2259" s="4">
        <v>13.7112</v>
      </c>
      <c r="L2259" s="4">
        <v>12.964399999999999</v>
      </c>
      <c r="M2259" s="4">
        <f t="shared" si="141"/>
        <v>13.409733333333334</v>
      </c>
      <c r="Q2259" s="43" t="s">
        <v>933</v>
      </c>
      <c r="R2259" s="4">
        <v>12.901035742088601</v>
      </c>
      <c r="S2259" s="4">
        <v>14.079672282176301</v>
      </c>
      <c r="T2259" s="4">
        <v>12.9464168281295</v>
      </c>
      <c r="U2259" s="4">
        <f t="shared" si="142"/>
        <v>13.3090416174648</v>
      </c>
      <c r="X2259" s="43" t="s">
        <v>2410</v>
      </c>
      <c r="Y2259" s="4">
        <v>13.465702134377899</v>
      </c>
      <c r="Z2259" s="4">
        <v>13.5344628685618</v>
      </c>
      <c r="AA2259" s="4">
        <v>13.310771527199799</v>
      </c>
      <c r="AB2259" s="4">
        <f t="shared" si="143"/>
        <v>13.436978843379833</v>
      </c>
    </row>
    <row r="2260" spans="2:28" x14ac:dyDescent="0.2">
      <c r="B2260" s="4" t="s">
        <v>3842</v>
      </c>
      <c r="C2260" s="4">
        <v>13.359</v>
      </c>
      <c r="D2260" s="4">
        <v>13.446300000000001</v>
      </c>
      <c r="E2260" s="4">
        <v>13.410299999999999</v>
      </c>
      <c r="F2260" s="4">
        <f t="shared" si="140"/>
        <v>13.405200000000001</v>
      </c>
      <c r="I2260" s="4" t="s">
        <v>3289</v>
      </c>
      <c r="J2260" s="4">
        <v>13.153</v>
      </c>
      <c r="K2260" s="4">
        <v>13.615600000000001</v>
      </c>
      <c r="L2260" s="4">
        <v>13.4594</v>
      </c>
      <c r="M2260" s="4">
        <f t="shared" si="141"/>
        <v>13.409333333333334</v>
      </c>
      <c r="Q2260" s="43" t="s">
        <v>2568</v>
      </c>
      <c r="R2260" s="4">
        <v>13.353883062967199</v>
      </c>
      <c r="S2260" s="4">
        <v>13.4361149850592</v>
      </c>
      <c r="T2260" s="4">
        <v>13.1336669064203</v>
      </c>
      <c r="U2260" s="4">
        <f t="shared" si="142"/>
        <v>13.307888318148899</v>
      </c>
      <c r="X2260" s="43" t="s">
        <v>3008</v>
      </c>
      <c r="Y2260" s="4">
        <v>13.4930326848185</v>
      </c>
      <c r="Z2260" s="4">
        <v>13.2931755112867</v>
      </c>
      <c r="AA2260" s="4">
        <v>13.523388333844901</v>
      </c>
      <c r="AB2260" s="4">
        <f t="shared" si="143"/>
        <v>13.436532176650033</v>
      </c>
    </row>
    <row r="2261" spans="2:28" x14ac:dyDescent="0.2">
      <c r="B2261" s="4" t="s">
        <v>864</v>
      </c>
      <c r="C2261" s="4">
        <v>13.151</v>
      </c>
      <c r="D2261" s="4">
        <v>13.3192</v>
      </c>
      <c r="E2261" s="4">
        <v>13.7433</v>
      </c>
      <c r="F2261" s="4">
        <f t="shared" si="140"/>
        <v>13.404499999999999</v>
      </c>
      <c r="I2261" s="4" t="s">
        <v>3612</v>
      </c>
      <c r="J2261" s="4">
        <v>13.4283</v>
      </c>
      <c r="K2261" s="4">
        <v>13.581200000000001</v>
      </c>
      <c r="L2261" s="4">
        <v>13.2165</v>
      </c>
      <c r="M2261" s="4">
        <f t="shared" si="141"/>
        <v>13.408666666666667</v>
      </c>
      <c r="Q2261" s="43" t="s">
        <v>1839</v>
      </c>
      <c r="R2261" s="4">
        <v>13.2938032287738</v>
      </c>
      <c r="S2261" s="4">
        <v>13.374103662498401</v>
      </c>
      <c r="T2261" s="4">
        <v>13.2553351772815</v>
      </c>
      <c r="U2261" s="4">
        <f t="shared" si="142"/>
        <v>13.307747356184569</v>
      </c>
      <c r="X2261" s="43" t="s">
        <v>2336</v>
      </c>
      <c r="Y2261" s="4">
        <v>13.4278942375055</v>
      </c>
      <c r="Z2261" s="4">
        <v>13.2455773767712</v>
      </c>
      <c r="AA2261" s="4">
        <v>13.635343928029799</v>
      </c>
      <c r="AB2261" s="4">
        <f t="shared" si="143"/>
        <v>13.436271847435499</v>
      </c>
    </row>
    <row r="2262" spans="2:28" x14ac:dyDescent="0.2">
      <c r="B2262" s="4" t="s">
        <v>3411</v>
      </c>
      <c r="C2262" s="4">
        <v>13.3812</v>
      </c>
      <c r="D2262" s="4">
        <v>13.395899999999999</v>
      </c>
      <c r="E2262" s="4">
        <v>13.4297</v>
      </c>
      <c r="F2262" s="4">
        <f t="shared" si="140"/>
        <v>13.402266666666668</v>
      </c>
      <c r="I2262" s="4" t="s">
        <v>1805</v>
      </c>
      <c r="J2262" s="4">
        <v>13.678800000000001</v>
      </c>
      <c r="K2262" s="4">
        <v>12.5296</v>
      </c>
      <c r="L2262" s="4">
        <v>14.0106</v>
      </c>
      <c r="M2262" s="4">
        <f t="shared" si="141"/>
        <v>13.406333333333334</v>
      </c>
      <c r="Q2262" s="43" t="s">
        <v>447</v>
      </c>
      <c r="R2262" s="4">
        <v>13.4185544139629</v>
      </c>
      <c r="S2262" s="4">
        <v>13.365177339651</v>
      </c>
      <c r="T2262" s="4">
        <v>13.1352100638741</v>
      </c>
      <c r="U2262" s="4">
        <f t="shared" si="142"/>
        <v>13.306313939162665</v>
      </c>
      <c r="X2262" s="43" t="s">
        <v>1354</v>
      </c>
      <c r="Y2262" s="4">
        <v>13.4596035080263</v>
      </c>
      <c r="Z2262" s="4">
        <v>13.3349568236934</v>
      </c>
      <c r="AA2262" s="4">
        <v>13.513505919165899</v>
      </c>
      <c r="AB2262" s="4">
        <f t="shared" si="143"/>
        <v>13.436022083628535</v>
      </c>
    </row>
    <row r="2263" spans="2:28" x14ac:dyDescent="0.2">
      <c r="B2263" s="4" t="s">
        <v>393</v>
      </c>
      <c r="C2263" s="4">
        <v>13.1982</v>
      </c>
      <c r="D2263" s="4">
        <v>13.7117</v>
      </c>
      <c r="E2263" s="4">
        <v>13.2948</v>
      </c>
      <c r="F2263" s="4">
        <f t="shared" si="140"/>
        <v>13.401566666666668</v>
      </c>
      <c r="I2263" s="4" t="s">
        <v>2876</v>
      </c>
      <c r="J2263" s="4">
        <v>13.463100000000001</v>
      </c>
      <c r="K2263" s="4">
        <v>13.85</v>
      </c>
      <c r="L2263" s="4">
        <v>12.9054</v>
      </c>
      <c r="M2263" s="4">
        <f t="shared" si="141"/>
        <v>13.406166666666666</v>
      </c>
      <c r="Q2263" s="43" t="s">
        <v>3479</v>
      </c>
      <c r="R2263" s="4">
        <v>13.1781189320624</v>
      </c>
      <c r="S2263" s="4">
        <v>13.3814871163157</v>
      </c>
      <c r="T2263" s="4">
        <v>13.358577233821</v>
      </c>
      <c r="U2263" s="4">
        <f t="shared" si="142"/>
        <v>13.306061094066367</v>
      </c>
      <c r="X2263" s="43" t="s">
        <v>2074</v>
      </c>
      <c r="Y2263" s="4">
        <v>13.225735226328601</v>
      </c>
      <c r="Z2263" s="4">
        <v>13.6881716956555</v>
      </c>
      <c r="AA2263" s="4">
        <v>13.377233460204399</v>
      </c>
      <c r="AB2263" s="4">
        <f t="shared" si="143"/>
        <v>13.430380127396168</v>
      </c>
    </row>
    <row r="2264" spans="2:28" x14ac:dyDescent="0.2">
      <c r="B2264" s="4" t="s">
        <v>2354</v>
      </c>
      <c r="C2264" s="4">
        <v>13.0137</v>
      </c>
      <c r="D2264" s="4">
        <v>13.402799999999999</v>
      </c>
      <c r="E2264" s="4">
        <v>13.785600000000001</v>
      </c>
      <c r="F2264" s="4">
        <f t="shared" si="140"/>
        <v>13.400700000000001</v>
      </c>
      <c r="I2264" s="4" t="s">
        <v>3590</v>
      </c>
      <c r="J2264" s="4">
        <v>13.298500000000001</v>
      </c>
      <c r="K2264" s="4">
        <v>13.798500000000001</v>
      </c>
      <c r="L2264" s="4">
        <v>13.1197</v>
      </c>
      <c r="M2264" s="4">
        <f t="shared" si="141"/>
        <v>13.405566666666667</v>
      </c>
      <c r="Q2264" s="43" t="s">
        <v>4611</v>
      </c>
      <c r="R2264" s="4">
        <v>13.120529691507899</v>
      </c>
      <c r="S2264" s="4">
        <v>13.5283919833829</v>
      </c>
      <c r="T2264" s="4">
        <v>13.2608050800843</v>
      </c>
      <c r="U2264" s="4">
        <f t="shared" si="142"/>
        <v>13.303242251658366</v>
      </c>
      <c r="X2264" s="43" t="s">
        <v>3139</v>
      </c>
      <c r="Y2264" s="4">
        <v>13.524317548970201</v>
      </c>
      <c r="Z2264" s="4">
        <v>13.6120481233398</v>
      </c>
      <c r="AA2264" s="4">
        <v>13.145249103502</v>
      </c>
      <c r="AB2264" s="4">
        <f t="shared" si="143"/>
        <v>13.427204925270667</v>
      </c>
    </row>
    <row r="2265" spans="2:28" x14ac:dyDescent="0.2">
      <c r="B2265" s="4" t="s">
        <v>2586</v>
      </c>
      <c r="C2265" s="4">
        <v>13.207800000000001</v>
      </c>
      <c r="D2265" s="4">
        <v>12.748200000000001</v>
      </c>
      <c r="E2265" s="4">
        <v>14.241</v>
      </c>
      <c r="F2265" s="4">
        <f t="shared" si="140"/>
        <v>13.399000000000001</v>
      </c>
      <c r="I2265" s="4" t="s">
        <v>3913</v>
      </c>
      <c r="J2265" s="4">
        <v>13.2782</v>
      </c>
      <c r="K2265" s="4">
        <v>13.646100000000001</v>
      </c>
      <c r="L2265" s="4">
        <v>13.2895</v>
      </c>
      <c r="M2265" s="4">
        <f t="shared" si="141"/>
        <v>13.404600000000002</v>
      </c>
      <c r="Q2265" s="43" t="s">
        <v>449</v>
      </c>
      <c r="R2265" s="4">
        <v>13.119705618369901</v>
      </c>
      <c r="S2265" s="4">
        <v>13.446880765195001</v>
      </c>
      <c r="T2265" s="4">
        <v>13.342559313652901</v>
      </c>
      <c r="U2265" s="4">
        <f t="shared" si="142"/>
        <v>13.303048565739267</v>
      </c>
      <c r="X2265" s="43" t="s">
        <v>686</v>
      </c>
      <c r="Y2265" s="4">
        <v>13.3575811703592</v>
      </c>
      <c r="Z2265" s="4">
        <v>13.5856911147691</v>
      </c>
      <c r="AA2265" s="4">
        <v>13.3320723035547</v>
      </c>
      <c r="AB2265" s="4">
        <f t="shared" si="143"/>
        <v>13.425114862894333</v>
      </c>
    </row>
    <row r="2266" spans="2:28" x14ac:dyDescent="0.2">
      <c r="B2266" s="4" t="s">
        <v>416</v>
      </c>
      <c r="C2266" s="4">
        <v>13.1937</v>
      </c>
      <c r="D2266" s="4">
        <v>13.1455</v>
      </c>
      <c r="E2266" s="4">
        <v>13.8559</v>
      </c>
      <c r="F2266" s="4">
        <f t="shared" si="140"/>
        <v>13.398366666666666</v>
      </c>
      <c r="I2266" s="4" t="s">
        <v>2264</v>
      </c>
      <c r="J2266" s="4">
        <v>12.258100000000001</v>
      </c>
      <c r="K2266" s="4">
        <v>15.345599999999999</v>
      </c>
      <c r="L2266" s="4">
        <v>12.606</v>
      </c>
      <c r="M2266" s="4">
        <f t="shared" si="141"/>
        <v>13.403233333333333</v>
      </c>
      <c r="Q2266" s="43" t="s">
        <v>3151</v>
      </c>
      <c r="R2266" s="4">
        <v>13.325931781029301</v>
      </c>
      <c r="S2266" s="4">
        <v>13.3600764783294</v>
      </c>
      <c r="T2266" s="4">
        <v>13.219267486728899</v>
      </c>
      <c r="U2266" s="4">
        <f t="shared" si="142"/>
        <v>13.301758582029199</v>
      </c>
      <c r="X2266" s="43" t="s">
        <v>2433</v>
      </c>
      <c r="Y2266" s="4">
        <v>13.183609028242801</v>
      </c>
      <c r="Z2266" s="4">
        <v>13.4688765533928</v>
      </c>
      <c r="AA2266" s="4">
        <v>13.620029664764401</v>
      </c>
      <c r="AB2266" s="4">
        <f t="shared" si="143"/>
        <v>13.424171748800001</v>
      </c>
    </row>
    <row r="2267" spans="2:28" x14ac:dyDescent="0.2">
      <c r="B2267" s="4" t="s">
        <v>1290</v>
      </c>
      <c r="C2267" s="4">
        <v>13.3415</v>
      </c>
      <c r="D2267" s="4">
        <v>13.428100000000001</v>
      </c>
      <c r="E2267" s="4">
        <v>13.4253</v>
      </c>
      <c r="F2267" s="4">
        <f t="shared" si="140"/>
        <v>13.398300000000001</v>
      </c>
      <c r="I2267" s="4" t="s">
        <v>3437</v>
      </c>
      <c r="J2267" s="4">
        <v>13.242699999999999</v>
      </c>
      <c r="K2267" s="4">
        <v>13.412100000000001</v>
      </c>
      <c r="L2267" s="4">
        <v>13.550700000000001</v>
      </c>
      <c r="M2267" s="4">
        <f t="shared" si="141"/>
        <v>13.401833333333334</v>
      </c>
      <c r="Q2267" s="43" t="s">
        <v>1943</v>
      </c>
      <c r="R2267" s="4">
        <v>13.057157083106899</v>
      </c>
      <c r="S2267" s="4">
        <v>13.5797687796665</v>
      </c>
      <c r="T2267" s="4">
        <v>13.261098947234</v>
      </c>
      <c r="U2267" s="4">
        <f t="shared" si="142"/>
        <v>13.299341603335799</v>
      </c>
      <c r="X2267" s="43" t="s">
        <v>878</v>
      </c>
      <c r="Y2267" s="4">
        <v>13.321929117327899</v>
      </c>
      <c r="Z2267" s="4">
        <v>13.547928773285999</v>
      </c>
      <c r="AA2267" s="4">
        <v>13.400749355060199</v>
      </c>
      <c r="AB2267" s="4">
        <f t="shared" si="143"/>
        <v>13.423535748558033</v>
      </c>
    </row>
    <row r="2268" spans="2:28" x14ac:dyDescent="0.2">
      <c r="B2268" s="4" t="s">
        <v>2578</v>
      </c>
      <c r="C2268" s="4">
        <v>13.361499999999999</v>
      </c>
      <c r="D2268" s="4">
        <v>12.893000000000001</v>
      </c>
      <c r="E2268" s="4">
        <v>13.936199999999999</v>
      </c>
      <c r="F2268" s="4">
        <f t="shared" si="140"/>
        <v>13.3969</v>
      </c>
      <c r="I2268" s="4" t="s">
        <v>2882</v>
      </c>
      <c r="J2268" s="4">
        <v>12.257199999999999</v>
      </c>
      <c r="K2268" s="4">
        <v>15.5871</v>
      </c>
      <c r="L2268" s="4">
        <v>12.360099999999999</v>
      </c>
      <c r="M2268" s="4">
        <f t="shared" si="141"/>
        <v>13.401466666666664</v>
      </c>
      <c r="Q2268" s="43" t="s">
        <v>1490</v>
      </c>
      <c r="R2268" s="4">
        <v>13.0240002956751</v>
      </c>
      <c r="S2268" s="4">
        <v>13.4605856019221</v>
      </c>
      <c r="T2268" s="4">
        <v>13.4132469825256</v>
      </c>
      <c r="U2268" s="4">
        <f t="shared" si="142"/>
        <v>13.2992776267076</v>
      </c>
      <c r="X2268" s="43" t="s">
        <v>544</v>
      </c>
      <c r="Y2268" s="4">
        <v>13.520726859630001</v>
      </c>
      <c r="Z2268" s="4">
        <v>13.3254507441708</v>
      </c>
      <c r="AA2268" s="4">
        <v>13.4237456398641</v>
      </c>
      <c r="AB2268" s="4">
        <f t="shared" si="143"/>
        <v>13.4233077478883</v>
      </c>
    </row>
    <row r="2269" spans="2:28" x14ac:dyDescent="0.2">
      <c r="B2269" s="4" t="s">
        <v>1775</v>
      </c>
      <c r="C2269" s="4">
        <v>13.566000000000001</v>
      </c>
      <c r="D2269" s="4">
        <v>13.7956</v>
      </c>
      <c r="E2269" s="4">
        <v>12.828799999999999</v>
      </c>
      <c r="F2269" s="4">
        <f t="shared" si="140"/>
        <v>13.396800000000001</v>
      </c>
      <c r="I2269" s="4" t="s">
        <v>2877</v>
      </c>
      <c r="J2269" s="4">
        <v>13.3172</v>
      </c>
      <c r="K2269" s="4">
        <v>13.579000000000001</v>
      </c>
      <c r="L2269" s="4">
        <v>13.3042</v>
      </c>
      <c r="M2269" s="4">
        <f t="shared" si="141"/>
        <v>13.400133333333335</v>
      </c>
      <c r="Q2269" s="43" t="s">
        <v>725</v>
      </c>
      <c r="R2269" s="4">
        <v>13.1885090220827</v>
      </c>
      <c r="S2269" s="4">
        <v>13.076974139016199</v>
      </c>
      <c r="T2269" s="4">
        <v>13.627794264224899</v>
      </c>
      <c r="U2269" s="4">
        <f t="shared" si="142"/>
        <v>13.2977591417746</v>
      </c>
      <c r="X2269" s="43" t="s">
        <v>3359</v>
      </c>
      <c r="Y2269" s="4">
        <v>13.3971349474559</v>
      </c>
      <c r="Z2269" s="4">
        <v>13.4350913342755</v>
      </c>
      <c r="AA2269" s="4">
        <v>13.436793776093101</v>
      </c>
      <c r="AB2269" s="4">
        <f t="shared" si="143"/>
        <v>13.423006685941502</v>
      </c>
    </row>
    <row r="2270" spans="2:28" x14ac:dyDescent="0.2">
      <c r="B2270" s="4" t="s">
        <v>615</v>
      </c>
      <c r="C2270" s="4">
        <v>13.412100000000001</v>
      </c>
      <c r="D2270" s="4">
        <v>13.3142</v>
      </c>
      <c r="E2270" s="4">
        <v>13.4618</v>
      </c>
      <c r="F2270" s="4">
        <f t="shared" si="140"/>
        <v>13.396033333333335</v>
      </c>
      <c r="I2270" s="4" t="s">
        <v>4016</v>
      </c>
      <c r="J2270" s="4">
        <v>13.1724</v>
      </c>
      <c r="K2270" s="4">
        <v>13.492699999999999</v>
      </c>
      <c r="L2270" s="4">
        <v>13.5322</v>
      </c>
      <c r="M2270" s="4">
        <f t="shared" si="141"/>
        <v>13.399099999999999</v>
      </c>
      <c r="Q2270" s="43" t="s">
        <v>3464</v>
      </c>
      <c r="R2270" s="4">
        <v>12.5872069489543</v>
      </c>
      <c r="S2270" s="4">
        <v>13.7005080198574</v>
      </c>
      <c r="T2270" s="4">
        <v>13.601620635628</v>
      </c>
      <c r="U2270" s="4">
        <f t="shared" si="142"/>
        <v>13.2964452014799</v>
      </c>
      <c r="X2270" s="43" t="s">
        <v>2757</v>
      </c>
      <c r="Y2270" s="4">
        <v>13.3579930514453</v>
      </c>
      <c r="Z2270" s="4">
        <v>13.3174934009082</v>
      </c>
      <c r="AA2270" s="4">
        <v>13.5926538517861</v>
      </c>
      <c r="AB2270" s="4">
        <f t="shared" si="143"/>
        <v>13.4227134347132</v>
      </c>
    </row>
    <row r="2271" spans="2:28" x14ac:dyDescent="0.2">
      <c r="B2271" s="4" t="s">
        <v>1470</v>
      </c>
      <c r="C2271" s="4">
        <v>13.3276</v>
      </c>
      <c r="D2271" s="4">
        <v>13.155900000000001</v>
      </c>
      <c r="E2271" s="4">
        <v>13.6999</v>
      </c>
      <c r="F2271" s="4">
        <f t="shared" si="140"/>
        <v>13.394466666666666</v>
      </c>
      <c r="I2271" s="4" t="s">
        <v>2806</v>
      </c>
      <c r="J2271" s="4">
        <v>13.6951</v>
      </c>
      <c r="K2271" s="4">
        <v>12.863300000000001</v>
      </c>
      <c r="L2271" s="4">
        <v>13.6348</v>
      </c>
      <c r="M2271" s="4">
        <f t="shared" si="141"/>
        <v>13.397733333333333</v>
      </c>
      <c r="Q2271" s="43" t="s">
        <v>581</v>
      </c>
      <c r="R2271" s="4">
        <v>12.9353275641773</v>
      </c>
      <c r="S2271" s="4">
        <v>13.488741341119599</v>
      </c>
      <c r="T2271" s="4">
        <v>13.4614349082168</v>
      </c>
      <c r="U2271" s="4">
        <f t="shared" si="142"/>
        <v>13.295167937837901</v>
      </c>
      <c r="X2271" s="43" t="s">
        <v>3795</v>
      </c>
      <c r="Y2271" s="4">
        <v>13.456591664323</v>
      </c>
      <c r="Z2271" s="4">
        <v>13.313394166850101</v>
      </c>
      <c r="AA2271" s="4">
        <v>13.4948879545667</v>
      </c>
      <c r="AB2271" s="4">
        <f t="shared" si="143"/>
        <v>13.4216245952466</v>
      </c>
    </row>
    <row r="2272" spans="2:28" x14ac:dyDescent="0.2">
      <c r="B2272" s="4" t="s">
        <v>3135</v>
      </c>
      <c r="C2272" s="4">
        <v>13.420199999999999</v>
      </c>
      <c r="D2272" s="4">
        <v>13.4811</v>
      </c>
      <c r="E2272" s="4">
        <v>13.28</v>
      </c>
      <c r="F2272" s="4">
        <f t="shared" si="140"/>
        <v>13.393766666666666</v>
      </c>
      <c r="I2272" s="4" t="s">
        <v>551</v>
      </c>
      <c r="J2272" s="4">
        <v>12.3421</v>
      </c>
      <c r="K2272" s="4">
        <v>14.731199999999999</v>
      </c>
      <c r="L2272" s="4">
        <v>13.1182</v>
      </c>
      <c r="M2272" s="4">
        <f t="shared" si="141"/>
        <v>13.397166666666665</v>
      </c>
      <c r="Q2272" s="43" t="s">
        <v>3976</v>
      </c>
      <c r="R2272" s="4">
        <v>13.269242968175</v>
      </c>
      <c r="S2272" s="4">
        <v>13.2293345562186</v>
      </c>
      <c r="T2272" s="4">
        <v>13.385105717008001</v>
      </c>
      <c r="U2272" s="4">
        <f t="shared" si="142"/>
        <v>13.294561080467199</v>
      </c>
      <c r="X2272" s="43" t="s">
        <v>4611</v>
      </c>
      <c r="Y2272" s="4">
        <v>13.3766412809507</v>
      </c>
      <c r="Z2272" s="4">
        <v>13.3798991658687</v>
      </c>
      <c r="AA2272" s="4">
        <v>13.505503541448199</v>
      </c>
      <c r="AB2272" s="4">
        <f t="shared" si="143"/>
        <v>13.420681329422534</v>
      </c>
    </row>
    <row r="2273" spans="2:28" x14ac:dyDescent="0.2">
      <c r="B2273" s="4" t="s">
        <v>3112</v>
      </c>
      <c r="C2273" s="4">
        <v>13.068300000000001</v>
      </c>
      <c r="D2273" s="4">
        <v>13.3188</v>
      </c>
      <c r="E2273" s="4">
        <v>13.792199999999999</v>
      </c>
      <c r="F2273" s="4">
        <f t="shared" si="140"/>
        <v>13.393099999999999</v>
      </c>
      <c r="I2273" s="4" t="s">
        <v>3007</v>
      </c>
      <c r="J2273" s="4">
        <v>13.184100000000001</v>
      </c>
      <c r="K2273" s="4">
        <v>13.8918</v>
      </c>
      <c r="L2273" s="4">
        <v>13.114599999999999</v>
      </c>
      <c r="M2273" s="4">
        <f t="shared" si="141"/>
        <v>13.396833333333333</v>
      </c>
      <c r="Q2273" s="43" t="s">
        <v>3166</v>
      </c>
      <c r="R2273" s="4">
        <v>13.190102374125701</v>
      </c>
      <c r="S2273" s="4">
        <v>13.356570182347401</v>
      </c>
      <c r="T2273" s="4">
        <v>13.330868927708799</v>
      </c>
      <c r="U2273" s="4">
        <f t="shared" si="142"/>
        <v>13.292513828060635</v>
      </c>
      <c r="X2273" s="43" t="s">
        <v>369</v>
      </c>
      <c r="Y2273" s="4">
        <v>13.354268484847401</v>
      </c>
      <c r="Z2273" s="4">
        <v>13.4876466134761</v>
      </c>
      <c r="AA2273" s="4">
        <v>13.419043774546299</v>
      </c>
      <c r="AB2273" s="4">
        <f t="shared" si="143"/>
        <v>13.420319624289933</v>
      </c>
    </row>
    <row r="2274" spans="2:28" x14ac:dyDescent="0.2">
      <c r="B2274" s="4" t="s">
        <v>1703</v>
      </c>
      <c r="C2274" s="4">
        <v>13.406599999999999</v>
      </c>
      <c r="D2274" s="4">
        <v>13.4421</v>
      </c>
      <c r="E2274" s="4">
        <v>13.3292</v>
      </c>
      <c r="F2274" s="4">
        <f t="shared" si="140"/>
        <v>13.392633333333334</v>
      </c>
      <c r="I2274" s="4" t="s">
        <v>3868</v>
      </c>
      <c r="J2274" s="4">
        <v>13.0077</v>
      </c>
      <c r="K2274" s="4">
        <v>13.773400000000001</v>
      </c>
      <c r="L2274" s="4">
        <v>13.4078</v>
      </c>
      <c r="M2274" s="4">
        <f t="shared" si="141"/>
        <v>13.396300000000002</v>
      </c>
      <c r="Q2274" s="43" t="s">
        <v>3393</v>
      </c>
      <c r="R2274" s="4">
        <v>13.3268990590665</v>
      </c>
      <c r="S2274" s="4">
        <v>13.1069232336468</v>
      </c>
      <c r="T2274" s="4">
        <v>13.442811882973199</v>
      </c>
      <c r="U2274" s="4">
        <f t="shared" si="142"/>
        <v>13.292211391895501</v>
      </c>
      <c r="X2274" s="43" t="s">
        <v>4461</v>
      </c>
      <c r="Y2274" s="4">
        <v>13.5466636149756</v>
      </c>
      <c r="Z2274" s="4">
        <v>13.3446022833661</v>
      </c>
      <c r="AA2274" s="4">
        <v>13.368691260834</v>
      </c>
      <c r="AB2274" s="4">
        <f t="shared" si="143"/>
        <v>13.419985719725233</v>
      </c>
    </row>
    <row r="2275" spans="2:28" x14ac:dyDescent="0.2">
      <c r="B2275" s="4" t="s">
        <v>3183</v>
      </c>
      <c r="C2275" s="4">
        <v>13.438700000000001</v>
      </c>
      <c r="D2275" s="4">
        <v>13.4015</v>
      </c>
      <c r="E2275" s="4">
        <v>13.3377</v>
      </c>
      <c r="F2275" s="4">
        <f t="shared" si="140"/>
        <v>13.392633333333334</v>
      </c>
      <c r="I2275" s="4" t="s">
        <v>3019</v>
      </c>
      <c r="J2275" s="4">
        <v>13.6713</v>
      </c>
      <c r="K2275" s="4">
        <v>12.852499999999999</v>
      </c>
      <c r="L2275" s="4">
        <v>13.664899999999999</v>
      </c>
      <c r="M2275" s="4">
        <f t="shared" si="141"/>
        <v>13.396233333333333</v>
      </c>
      <c r="Q2275" s="43" t="s">
        <v>393</v>
      </c>
      <c r="R2275" s="4">
        <v>13.359116124033299</v>
      </c>
      <c r="S2275" s="4">
        <v>13.222286999434999</v>
      </c>
      <c r="T2275" s="4">
        <v>13.2841054764472</v>
      </c>
      <c r="U2275" s="4">
        <f t="shared" si="142"/>
        <v>13.288502866638501</v>
      </c>
      <c r="X2275" s="43" t="s">
        <v>162</v>
      </c>
      <c r="Y2275" s="4">
        <v>13.3742214428104</v>
      </c>
      <c r="Z2275" s="4">
        <v>13.206887753937499</v>
      </c>
      <c r="AA2275" s="4">
        <v>13.6787284225195</v>
      </c>
      <c r="AB2275" s="4">
        <f t="shared" si="143"/>
        <v>13.419945873089134</v>
      </c>
    </row>
    <row r="2276" spans="2:28" x14ac:dyDescent="0.2">
      <c r="B2276" s="4" t="s">
        <v>2052</v>
      </c>
      <c r="C2276" s="4">
        <v>13.392300000000001</v>
      </c>
      <c r="D2276" s="4">
        <v>12.9155</v>
      </c>
      <c r="E2276" s="4">
        <v>13.868399999999999</v>
      </c>
      <c r="F2276" s="4">
        <f t="shared" si="140"/>
        <v>13.392066666666667</v>
      </c>
      <c r="I2276" s="4" t="s">
        <v>400</v>
      </c>
      <c r="J2276" s="4">
        <v>13.353400000000001</v>
      </c>
      <c r="K2276" s="4">
        <v>14.001799999999999</v>
      </c>
      <c r="L2276" s="4">
        <v>12.8283</v>
      </c>
      <c r="M2276" s="4">
        <f t="shared" si="141"/>
        <v>13.394500000000001</v>
      </c>
      <c r="Q2276" s="43" t="s">
        <v>3885</v>
      </c>
      <c r="R2276" s="4">
        <v>13.2942740112133</v>
      </c>
      <c r="S2276" s="4">
        <v>13.337392635411399</v>
      </c>
      <c r="T2276" s="4">
        <v>13.2292310515735</v>
      </c>
      <c r="U2276" s="4">
        <f t="shared" si="142"/>
        <v>13.2869658993994</v>
      </c>
      <c r="X2276" s="43" t="s">
        <v>3227</v>
      </c>
      <c r="Y2276" s="4">
        <v>13.227490913908101</v>
      </c>
      <c r="Z2276" s="4">
        <v>13.5416785240257</v>
      </c>
      <c r="AA2276" s="4">
        <v>13.490463353114301</v>
      </c>
      <c r="AB2276" s="4">
        <f t="shared" si="143"/>
        <v>13.419877597016034</v>
      </c>
    </row>
    <row r="2277" spans="2:28" x14ac:dyDescent="0.2">
      <c r="B2277" s="4" t="s">
        <v>2668</v>
      </c>
      <c r="C2277" s="4">
        <v>13.267799999999999</v>
      </c>
      <c r="D2277" s="4">
        <v>13.2948</v>
      </c>
      <c r="E2277" s="4">
        <v>13.6113</v>
      </c>
      <c r="F2277" s="4">
        <f t="shared" si="140"/>
        <v>13.391300000000001</v>
      </c>
      <c r="I2277" s="4" t="s">
        <v>3253</v>
      </c>
      <c r="J2277" s="4">
        <v>13.308299999999999</v>
      </c>
      <c r="K2277" s="4">
        <v>13.1457</v>
      </c>
      <c r="L2277" s="4">
        <v>13.7264</v>
      </c>
      <c r="M2277" s="4">
        <f t="shared" si="141"/>
        <v>13.393466666666667</v>
      </c>
      <c r="Q2277" s="43" t="s">
        <v>3605</v>
      </c>
      <c r="R2277" s="4">
        <v>13.159239022100399</v>
      </c>
      <c r="S2277" s="4">
        <v>13.2502166472137</v>
      </c>
      <c r="T2277" s="4">
        <v>13.450834438301699</v>
      </c>
      <c r="U2277" s="4">
        <f t="shared" si="142"/>
        <v>13.286763369205266</v>
      </c>
      <c r="X2277" s="43" t="s">
        <v>3027</v>
      </c>
      <c r="Y2277" s="4">
        <v>13.599634571516299</v>
      </c>
      <c r="Z2277" s="4">
        <v>13.5138856194935</v>
      </c>
      <c r="AA2277" s="4">
        <v>13.142258205942399</v>
      </c>
      <c r="AB2277" s="4">
        <f t="shared" si="143"/>
        <v>13.418592798984065</v>
      </c>
    </row>
    <row r="2278" spans="2:28" x14ac:dyDescent="0.2">
      <c r="B2278" s="4" t="s">
        <v>2505</v>
      </c>
      <c r="C2278" s="4">
        <v>13.4465</v>
      </c>
      <c r="D2278" s="4">
        <v>13.3444</v>
      </c>
      <c r="E2278" s="4">
        <v>13.381600000000001</v>
      </c>
      <c r="F2278" s="4">
        <f t="shared" si="140"/>
        <v>13.390833333333333</v>
      </c>
      <c r="I2278" s="4" t="s">
        <v>3879</v>
      </c>
      <c r="J2278" s="4">
        <v>13.3843</v>
      </c>
      <c r="K2278" s="4">
        <v>13.651999999999999</v>
      </c>
      <c r="L2278" s="4">
        <v>13.1432</v>
      </c>
      <c r="M2278" s="4">
        <f t="shared" si="141"/>
        <v>13.393166666666666</v>
      </c>
      <c r="Q2278" s="43" t="s">
        <v>3182</v>
      </c>
      <c r="R2278" s="4">
        <v>12.848529598080701</v>
      </c>
      <c r="S2278" s="4">
        <v>13.4300471873912</v>
      </c>
      <c r="T2278" s="4">
        <v>13.5809815528582</v>
      </c>
      <c r="U2278" s="4">
        <f t="shared" si="142"/>
        <v>13.286519446110033</v>
      </c>
      <c r="X2278" s="43" t="s">
        <v>2734</v>
      </c>
      <c r="Y2278" s="4">
        <v>13.397450772270201</v>
      </c>
      <c r="Z2278" s="4">
        <v>13.4473710184594</v>
      </c>
      <c r="AA2278" s="4">
        <v>13.409541439969701</v>
      </c>
      <c r="AB2278" s="4">
        <f t="shared" si="143"/>
        <v>13.418121076899766</v>
      </c>
    </row>
    <row r="2279" spans="2:28" x14ac:dyDescent="0.2">
      <c r="B2279" s="4" t="s">
        <v>703</v>
      </c>
      <c r="C2279" s="4">
        <v>13.562099999999999</v>
      </c>
      <c r="D2279" s="4">
        <v>13.558</v>
      </c>
      <c r="E2279" s="4">
        <v>13.0412</v>
      </c>
      <c r="F2279" s="4">
        <f t="shared" si="140"/>
        <v>13.387099999999998</v>
      </c>
      <c r="I2279" s="4" t="s">
        <v>3935</v>
      </c>
      <c r="J2279" s="4">
        <v>13.412699999999999</v>
      </c>
      <c r="K2279" s="4">
        <v>13.1945</v>
      </c>
      <c r="L2279" s="4">
        <v>13.5709</v>
      </c>
      <c r="M2279" s="4">
        <f t="shared" si="141"/>
        <v>13.3927</v>
      </c>
      <c r="Q2279" s="43" t="s">
        <v>4030</v>
      </c>
      <c r="R2279" s="4">
        <v>13.217545157172101</v>
      </c>
      <c r="S2279" s="4">
        <v>13.359593175021001</v>
      </c>
      <c r="T2279" s="4">
        <v>13.280424172472699</v>
      </c>
      <c r="U2279" s="4">
        <f t="shared" si="142"/>
        <v>13.285854168221933</v>
      </c>
      <c r="X2279" s="43" t="s">
        <v>2337</v>
      </c>
      <c r="Y2279" s="4">
        <v>13.267824167341001</v>
      </c>
      <c r="Z2279" s="4">
        <v>13.5130524724067</v>
      </c>
      <c r="AA2279" s="4">
        <v>13.4694884754235</v>
      </c>
      <c r="AB2279" s="4">
        <f t="shared" si="143"/>
        <v>13.416788371723735</v>
      </c>
    </row>
    <row r="2280" spans="2:28" x14ac:dyDescent="0.2">
      <c r="B2280" s="4" t="s">
        <v>3105</v>
      </c>
      <c r="C2280" s="4">
        <v>13.4358</v>
      </c>
      <c r="D2280" s="4">
        <v>13.3095</v>
      </c>
      <c r="E2280" s="4">
        <v>13.412599999999999</v>
      </c>
      <c r="F2280" s="4">
        <f t="shared" si="140"/>
        <v>13.385966666666667</v>
      </c>
      <c r="I2280" s="4" t="s">
        <v>1475</v>
      </c>
      <c r="J2280" s="4">
        <v>13.192299999999999</v>
      </c>
      <c r="K2280" s="4">
        <v>14.0381</v>
      </c>
      <c r="L2280" s="4">
        <v>12.944599999999999</v>
      </c>
      <c r="M2280" s="4">
        <f t="shared" si="141"/>
        <v>13.391666666666666</v>
      </c>
      <c r="Q2280" s="43" t="s">
        <v>4274</v>
      </c>
      <c r="R2280" s="4">
        <v>13.5983008537494</v>
      </c>
      <c r="S2280" s="4">
        <v>12.9831696893739</v>
      </c>
      <c r="T2280" s="4">
        <v>13.2731215458719</v>
      </c>
      <c r="U2280" s="4">
        <f t="shared" si="142"/>
        <v>13.284864029665068</v>
      </c>
      <c r="X2280" s="43" t="s">
        <v>1470</v>
      </c>
      <c r="Y2280" s="4">
        <v>13.478632315045999</v>
      </c>
      <c r="Z2280" s="4">
        <v>13.141918526302801</v>
      </c>
      <c r="AA2280" s="4">
        <v>13.6260257138167</v>
      </c>
      <c r="AB2280" s="4">
        <f t="shared" si="143"/>
        <v>13.415525518388501</v>
      </c>
    </row>
    <row r="2281" spans="2:28" x14ac:dyDescent="0.2">
      <c r="B2281" s="4" t="s">
        <v>453</v>
      </c>
      <c r="C2281" s="4">
        <v>13.2995</v>
      </c>
      <c r="D2281" s="4">
        <v>13.505000000000001</v>
      </c>
      <c r="E2281" s="4">
        <v>13.349600000000001</v>
      </c>
      <c r="F2281" s="4">
        <f t="shared" si="140"/>
        <v>13.3847</v>
      </c>
      <c r="I2281" s="4" t="s">
        <v>1625</v>
      </c>
      <c r="J2281" s="4">
        <v>13.5862</v>
      </c>
      <c r="K2281" s="4">
        <v>12.943099999999999</v>
      </c>
      <c r="L2281" s="4">
        <v>13.645300000000001</v>
      </c>
      <c r="M2281" s="4">
        <f t="shared" si="141"/>
        <v>13.391533333333333</v>
      </c>
      <c r="Q2281" s="43" t="s">
        <v>2164</v>
      </c>
      <c r="R2281" s="4">
        <v>12.948487188738101</v>
      </c>
      <c r="S2281" s="4">
        <v>13.4122605231834</v>
      </c>
      <c r="T2281" s="4">
        <v>13.491918981989</v>
      </c>
      <c r="U2281" s="4">
        <f t="shared" si="142"/>
        <v>13.284222231303501</v>
      </c>
      <c r="X2281" s="43" t="s">
        <v>3808</v>
      </c>
      <c r="Y2281" s="4">
        <v>13.33301969307</v>
      </c>
      <c r="Z2281" s="4">
        <v>13.285396206252001</v>
      </c>
      <c r="AA2281" s="4">
        <v>13.6227078427672</v>
      </c>
      <c r="AB2281" s="4">
        <f t="shared" si="143"/>
        <v>13.413707914029734</v>
      </c>
    </row>
    <row r="2282" spans="2:28" x14ac:dyDescent="0.2">
      <c r="B2282" s="4" t="s">
        <v>3954</v>
      </c>
      <c r="C2282" s="4">
        <v>13.2265</v>
      </c>
      <c r="D2282" s="4">
        <v>13.5402</v>
      </c>
      <c r="E2282" s="4">
        <v>13.3843</v>
      </c>
      <c r="F2282" s="4">
        <f t="shared" si="140"/>
        <v>13.383666666666665</v>
      </c>
      <c r="I2282" s="4" t="s">
        <v>3150</v>
      </c>
      <c r="J2282" s="4">
        <v>13.4963</v>
      </c>
      <c r="K2282" s="4">
        <v>12.974</v>
      </c>
      <c r="L2282" s="4">
        <v>13.696999999999999</v>
      </c>
      <c r="M2282" s="4">
        <f t="shared" si="141"/>
        <v>13.389099999999999</v>
      </c>
      <c r="Q2282" s="43" t="s">
        <v>442</v>
      </c>
      <c r="R2282" s="4">
        <v>13.2747933107511</v>
      </c>
      <c r="S2282" s="4">
        <v>13.3234470968134</v>
      </c>
      <c r="T2282" s="4">
        <v>13.2488927467619</v>
      </c>
      <c r="U2282" s="4">
        <f t="shared" si="142"/>
        <v>13.282377718108799</v>
      </c>
      <c r="X2282" s="43" t="s">
        <v>3697</v>
      </c>
      <c r="Y2282" s="4">
        <v>13.331470558699101</v>
      </c>
      <c r="Z2282" s="4">
        <v>13.3452534994664</v>
      </c>
      <c r="AA2282" s="4">
        <v>13.554851952227001</v>
      </c>
      <c r="AB2282" s="4">
        <f t="shared" si="143"/>
        <v>13.4105253367975</v>
      </c>
    </row>
    <row r="2283" spans="2:28" x14ac:dyDescent="0.2">
      <c r="B2283" s="4" t="s">
        <v>1278</v>
      </c>
      <c r="C2283" s="4">
        <v>13.8079</v>
      </c>
      <c r="D2283" s="4">
        <v>13.042899999999999</v>
      </c>
      <c r="E2283" s="4">
        <v>13.2943</v>
      </c>
      <c r="F2283" s="4">
        <f t="shared" si="140"/>
        <v>13.3817</v>
      </c>
      <c r="I2283" s="4" t="s">
        <v>2677</v>
      </c>
      <c r="J2283" s="4">
        <v>12.745799999999999</v>
      </c>
      <c r="K2283" s="4">
        <v>14.473100000000001</v>
      </c>
      <c r="L2283" s="4">
        <v>12.943199999999999</v>
      </c>
      <c r="M2283" s="4">
        <f t="shared" si="141"/>
        <v>13.387366666666665</v>
      </c>
      <c r="Q2283" s="43" t="s">
        <v>2968</v>
      </c>
      <c r="R2283" s="4">
        <v>12.8726095971157</v>
      </c>
      <c r="S2283" s="4">
        <v>13.4282434613713</v>
      </c>
      <c r="T2283" s="4">
        <v>13.544351817612499</v>
      </c>
      <c r="U2283" s="4">
        <f t="shared" si="142"/>
        <v>13.281734958699834</v>
      </c>
      <c r="X2283" s="43" t="s">
        <v>124</v>
      </c>
      <c r="Y2283" s="4">
        <v>13.282073722699501</v>
      </c>
      <c r="Z2283" s="4">
        <v>13.382032340952801</v>
      </c>
      <c r="AA2283" s="4">
        <v>13.5637374480792</v>
      </c>
      <c r="AB2283" s="4">
        <f t="shared" si="143"/>
        <v>13.409281170577167</v>
      </c>
    </row>
    <row r="2284" spans="2:28" x14ac:dyDescent="0.2">
      <c r="B2284" s="4" t="s">
        <v>1019</v>
      </c>
      <c r="C2284" s="4">
        <v>13.479900000000001</v>
      </c>
      <c r="D2284" s="4">
        <v>13.344200000000001</v>
      </c>
      <c r="E2284" s="4">
        <v>13.3119</v>
      </c>
      <c r="F2284" s="4">
        <f t="shared" si="140"/>
        <v>13.378666666666668</v>
      </c>
      <c r="I2284" s="4" t="s">
        <v>3860</v>
      </c>
      <c r="J2284" s="4">
        <v>13.8125</v>
      </c>
      <c r="K2284" s="4">
        <v>12.6873</v>
      </c>
      <c r="L2284" s="4">
        <v>13.6615</v>
      </c>
      <c r="M2284" s="4">
        <f t="shared" si="141"/>
        <v>13.387099999999998</v>
      </c>
      <c r="Q2284" s="43" t="s">
        <v>2713</v>
      </c>
      <c r="R2284" s="4">
        <v>13.033577179617</v>
      </c>
      <c r="S2284" s="4">
        <v>13.340262272685401</v>
      </c>
      <c r="T2284" s="4">
        <v>13.471051334072801</v>
      </c>
      <c r="U2284" s="4">
        <f t="shared" si="142"/>
        <v>13.281630262125068</v>
      </c>
      <c r="X2284" s="43" t="s">
        <v>497</v>
      </c>
      <c r="Y2284" s="4">
        <v>13.309025585435201</v>
      </c>
      <c r="Z2284" s="4">
        <v>13.3502500462886</v>
      </c>
      <c r="AA2284" s="4">
        <v>13.5683081750712</v>
      </c>
      <c r="AB2284" s="4">
        <f t="shared" si="143"/>
        <v>13.409194602265002</v>
      </c>
    </row>
    <row r="2285" spans="2:28" x14ac:dyDescent="0.2">
      <c r="B2285" s="4" t="s">
        <v>3599</v>
      </c>
      <c r="C2285" s="4">
        <v>13.8184</v>
      </c>
      <c r="D2285" s="4">
        <v>13.232900000000001</v>
      </c>
      <c r="E2285" s="4">
        <v>13.079599999999999</v>
      </c>
      <c r="F2285" s="4">
        <f t="shared" si="140"/>
        <v>13.376966666666666</v>
      </c>
      <c r="I2285" s="4" t="s">
        <v>2853</v>
      </c>
      <c r="J2285" s="4">
        <v>13.803900000000001</v>
      </c>
      <c r="K2285" s="4">
        <v>12.609400000000001</v>
      </c>
      <c r="L2285" s="4">
        <v>13.744400000000001</v>
      </c>
      <c r="M2285" s="4">
        <f t="shared" si="141"/>
        <v>13.385899999999999</v>
      </c>
      <c r="Q2285" s="43" t="s">
        <v>2961</v>
      </c>
      <c r="R2285" s="4">
        <v>13.2546108576714</v>
      </c>
      <c r="S2285" s="4">
        <v>13.2507345633041</v>
      </c>
      <c r="T2285" s="4">
        <v>13.3371191032633</v>
      </c>
      <c r="U2285" s="4">
        <f t="shared" si="142"/>
        <v>13.280821508079599</v>
      </c>
      <c r="X2285" s="43" t="s">
        <v>3115</v>
      </c>
      <c r="Y2285" s="4">
        <v>13.4004426384924</v>
      </c>
      <c r="Z2285" s="4">
        <v>13.219164298484699</v>
      </c>
      <c r="AA2285" s="4">
        <v>13.6005195021399</v>
      </c>
      <c r="AB2285" s="4">
        <f t="shared" si="143"/>
        <v>13.406708813038998</v>
      </c>
    </row>
    <row r="2286" spans="2:28" x14ac:dyDescent="0.2">
      <c r="B2286" s="4" t="s">
        <v>2368</v>
      </c>
      <c r="C2286" s="4">
        <v>13.3477</v>
      </c>
      <c r="D2286" s="4">
        <v>13.974500000000001</v>
      </c>
      <c r="E2286" s="4">
        <v>12.805999999999999</v>
      </c>
      <c r="F2286" s="4">
        <f t="shared" si="140"/>
        <v>13.376066666666667</v>
      </c>
      <c r="I2286" s="4" t="s">
        <v>2833</v>
      </c>
      <c r="J2286" s="4">
        <v>13.2677</v>
      </c>
      <c r="K2286" s="4">
        <v>13.7247</v>
      </c>
      <c r="L2286" s="4">
        <v>13.1638</v>
      </c>
      <c r="M2286" s="4">
        <f t="shared" si="141"/>
        <v>13.385399999999999</v>
      </c>
      <c r="Q2286" s="43" t="s">
        <v>107</v>
      </c>
      <c r="R2286" s="4">
        <v>13.2119174564502</v>
      </c>
      <c r="S2286" s="4">
        <v>13.311921597370601</v>
      </c>
      <c r="T2286" s="4">
        <v>13.3178251762328</v>
      </c>
      <c r="U2286" s="4">
        <f t="shared" si="142"/>
        <v>13.280554743351201</v>
      </c>
      <c r="X2286" s="43" t="s">
        <v>248</v>
      </c>
      <c r="Y2286" s="4">
        <v>13.399156506718301</v>
      </c>
      <c r="Z2286" s="4">
        <v>13.4402864745024</v>
      </c>
      <c r="AA2286" s="4">
        <v>13.3748960658492</v>
      </c>
      <c r="AB2286" s="4">
        <f t="shared" si="143"/>
        <v>13.404779682356633</v>
      </c>
    </row>
    <row r="2287" spans="2:28" x14ac:dyDescent="0.2">
      <c r="B2287" s="4" t="s">
        <v>2236</v>
      </c>
      <c r="C2287" s="4">
        <v>13.5549</v>
      </c>
      <c r="D2287" s="4">
        <v>13.1206</v>
      </c>
      <c r="E2287" s="4">
        <v>13.452500000000001</v>
      </c>
      <c r="F2287" s="4">
        <f t="shared" si="140"/>
        <v>13.375999999999999</v>
      </c>
      <c r="I2287" s="4" t="s">
        <v>1021</v>
      </c>
      <c r="J2287" s="4">
        <v>13.282299999999999</v>
      </c>
      <c r="K2287" s="4">
        <v>13.3828</v>
      </c>
      <c r="L2287" s="4">
        <v>13.4803</v>
      </c>
      <c r="M2287" s="4">
        <f t="shared" si="141"/>
        <v>13.381799999999998</v>
      </c>
      <c r="Q2287" s="43" t="s">
        <v>605</v>
      </c>
      <c r="R2287" s="4">
        <v>13.218390896455301</v>
      </c>
      <c r="S2287" s="4">
        <v>13.3291141855582</v>
      </c>
      <c r="T2287" s="4">
        <v>13.2920580436728</v>
      </c>
      <c r="U2287" s="4">
        <f t="shared" si="142"/>
        <v>13.279854375228766</v>
      </c>
      <c r="X2287" s="43" t="s">
        <v>1281</v>
      </c>
      <c r="Y2287" s="4">
        <v>13.5685796809554</v>
      </c>
      <c r="Z2287" s="4">
        <v>13.1541381529833</v>
      </c>
      <c r="AA2287" s="4">
        <v>13.491285674432801</v>
      </c>
      <c r="AB2287" s="4">
        <f t="shared" si="143"/>
        <v>13.404667836123835</v>
      </c>
    </row>
    <row r="2288" spans="2:28" x14ac:dyDescent="0.2">
      <c r="B2288" s="4" t="s">
        <v>2369</v>
      </c>
      <c r="C2288" s="4">
        <v>13.2807</v>
      </c>
      <c r="D2288" s="4">
        <v>13.4535</v>
      </c>
      <c r="E2288" s="4">
        <v>13.392799999999999</v>
      </c>
      <c r="F2288" s="4">
        <f t="shared" si="140"/>
        <v>13.375666666666667</v>
      </c>
      <c r="I2288" s="4" t="s">
        <v>364</v>
      </c>
      <c r="J2288" s="4">
        <v>13.161799999999999</v>
      </c>
      <c r="K2288" s="4">
        <v>13.6534</v>
      </c>
      <c r="L2288" s="4">
        <v>13.325100000000001</v>
      </c>
      <c r="M2288" s="4">
        <f t="shared" si="141"/>
        <v>13.380099999999999</v>
      </c>
      <c r="Q2288" s="43" t="s">
        <v>559</v>
      </c>
      <c r="R2288" s="4">
        <v>13.252454645766701</v>
      </c>
      <c r="S2288" s="4">
        <v>13.359020012506701</v>
      </c>
      <c r="T2288" s="4">
        <v>13.2222814090943</v>
      </c>
      <c r="U2288" s="4">
        <f t="shared" si="142"/>
        <v>13.277918689122567</v>
      </c>
      <c r="X2288" s="43" t="s">
        <v>1886</v>
      </c>
      <c r="Y2288" s="4">
        <v>13.747890601250001</v>
      </c>
      <c r="Z2288" s="4">
        <v>13.253444004107999</v>
      </c>
      <c r="AA2288" s="4">
        <v>13.211049708515199</v>
      </c>
      <c r="AB2288" s="4">
        <f t="shared" si="143"/>
        <v>13.4041281046244</v>
      </c>
    </row>
    <row r="2289" spans="2:28" x14ac:dyDescent="0.2">
      <c r="B2289" s="4" t="s">
        <v>3758</v>
      </c>
      <c r="C2289" s="4">
        <v>12.9056</v>
      </c>
      <c r="D2289" s="4">
        <v>13.301600000000001</v>
      </c>
      <c r="E2289" s="4">
        <v>13.919600000000001</v>
      </c>
      <c r="F2289" s="4">
        <f t="shared" si="140"/>
        <v>13.3756</v>
      </c>
      <c r="I2289" s="4" t="s">
        <v>158</v>
      </c>
      <c r="J2289" s="4">
        <v>13.7782</v>
      </c>
      <c r="K2289" s="4">
        <v>12.588699999999999</v>
      </c>
      <c r="L2289" s="4">
        <v>13.772399999999999</v>
      </c>
      <c r="M2289" s="4">
        <f t="shared" si="141"/>
        <v>13.379766666666667</v>
      </c>
      <c r="Q2289" s="43" t="s">
        <v>4584</v>
      </c>
      <c r="R2289" s="4">
        <v>13.4173150151349</v>
      </c>
      <c r="S2289" s="4">
        <v>13.07998191908</v>
      </c>
      <c r="T2289" s="4">
        <v>13.329868288664001</v>
      </c>
      <c r="U2289" s="4">
        <f t="shared" si="142"/>
        <v>13.275721740959634</v>
      </c>
      <c r="X2289" s="43" t="s">
        <v>1002</v>
      </c>
      <c r="Y2289" s="4">
        <v>13.3222184031649</v>
      </c>
      <c r="Z2289" s="4">
        <v>13.4880178126943</v>
      </c>
      <c r="AA2289" s="4">
        <v>13.4002833135222</v>
      </c>
      <c r="AB2289" s="4">
        <f t="shared" si="143"/>
        <v>13.4035065097938</v>
      </c>
    </row>
    <row r="2290" spans="2:28" x14ac:dyDescent="0.2">
      <c r="B2290" s="4" t="s">
        <v>432</v>
      </c>
      <c r="C2290" s="4">
        <v>12.881600000000001</v>
      </c>
      <c r="D2290" s="4">
        <v>12.954000000000001</v>
      </c>
      <c r="E2290" s="4">
        <v>14.287699999999999</v>
      </c>
      <c r="F2290" s="4">
        <f t="shared" si="140"/>
        <v>13.374433333333334</v>
      </c>
      <c r="I2290" s="4" t="s">
        <v>4007</v>
      </c>
      <c r="J2290" s="4">
        <v>13.4657</v>
      </c>
      <c r="K2290" s="4">
        <v>13.638500000000001</v>
      </c>
      <c r="L2290" s="4">
        <v>13.029500000000001</v>
      </c>
      <c r="M2290" s="4">
        <f t="shared" si="141"/>
        <v>13.377899999999999</v>
      </c>
      <c r="Q2290" s="43" t="s">
        <v>2297</v>
      </c>
      <c r="R2290" s="4">
        <v>13.344755330518399</v>
      </c>
      <c r="S2290" s="4">
        <v>13.332517423592201</v>
      </c>
      <c r="T2290" s="4">
        <v>13.1475646964932</v>
      </c>
      <c r="U2290" s="4">
        <f t="shared" si="142"/>
        <v>13.274945816867934</v>
      </c>
      <c r="X2290" s="43" t="s">
        <v>2834</v>
      </c>
      <c r="Y2290" s="4">
        <v>13.577833895171199</v>
      </c>
      <c r="Z2290" s="4">
        <v>13.2054702946074</v>
      </c>
      <c r="AA2290" s="4">
        <v>13.415505334327699</v>
      </c>
      <c r="AB2290" s="4">
        <f t="shared" si="143"/>
        <v>13.399603174702099</v>
      </c>
    </row>
    <row r="2291" spans="2:28" x14ac:dyDescent="0.2">
      <c r="B2291" s="4" t="s">
        <v>25</v>
      </c>
      <c r="C2291" s="4">
        <v>12.827199999999999</v>
      </c>
      <c r="D2291" s="4">
        <v>13.493399999999999</v>
      </c>
      <c r="E2291" s="4">
        <v>13.8004</v>
      </c>
      <c r="F2291" s="4">
        <f t="shared" si="140"/>
        <v>13.373666666666665</v>
      </c>
      <c r="I2291" s="4" t="s">
        <v>2856</v>
      </c>
      <c r="J2291" s="4">
        <v>13.7583</v>
      </c>
      <c r="K2291" s="4">
        <v>12.595700000000001</v>
      </c>
      <c r="L2291" s="4">
        <v>13.7753</v>
      </c>
      <c r="M2291" s="4">
        <f t="shared" si="141"/>
        <v>13.376433333333333</v>
      </c>
      <c r="Q2291" s="43" t="s">
        <v>1255</v>
      </c>
      <c r="R2291" s="4">
        <v>13.4928160936519</v>
      </c>
      <c r="S2291" s="4">
        <v>13.205562564242101</v>
      </c>
      <c r="T2291" s="4">
        <v>13.121514624471301</v>
      </c>
      <c r="U2291" s="4">
        <f t="shared" si="142"/>
        <v>13.273297760788433</v>
      </c>
      <c r="X2291" s="43" t="s">
        <v>3643</v>
      </c>
      <c r="Y2291" s="4">
        <v>13.3519695258908</v>
      </c>
      <c r="Z2291" s="4">
        <v>13.495193546413001</v>
      </c>
      <c r="AA2291" s="4">
        <v>13.3501645018855</v>
      </c>
      <c r="AB2291" s="4">
        <f t="shared" si="143"/>
        <v>13.399109191396434</v>
      </c>
    </row>
    <row r="2292" spans="2:28" x14ac:dyDescent="0.2">
      <c r="B2292" s="4" t="s">
        <v>1489</v>
      </c>
      <c r="C2292" s="4">
        <v>12.865500000000001</v>
      </c>
      <c r="D2292" s="4">
        <v>13.376200000000001</v>
      </c>
      <c r="E2292" s="4">
        <v>13.8766</v>
      </c>
      <c r="F2292" s="4">
        <f t="shared" si="140"/>
        <v>13.372766666666669</v>
      </c>
      <c r="I2292" s="4" t="s">
        <v>2261</v>
      </c>
      <c r="J2292" s="4">
        <v>13.549200000000001</v>
      </c>
      <c r="K2292" s="4">
        <v>12.8161</v>
      </c>
      <c r="L2292" s="4">
        <v>13.7636</v>
      </c>
      <c r="M2292" s="4">
        <f t="shared" si="141"/>
        <v>13.376300000000001</v>
      </c>
      <c r="Q2292" s="43" t="s">
        <v>699</v>
      </c>
      <c r="R2292" s="4">
        <v>12.9373345118606</v>
      </c>
      <c r="S2292" s="4">
        <v>13.285527921634801</v>
      </c>
      <c r="T2292" s="4">
        <v>13.591510846260601</v>
      </c>
      <c r="U2292" s="4">
        <f t="shared" si="142"/>
        <v>13.271457759918666</v>
      </c>
      <c r="X2292" s="43" t="s">
        <v>4105</v>
      </c>
      <c r="Y2292" s="4">
        <v>13.331421266939699</v>
      </c>
      <c r="Z2292" s="4">
        <v>13.423239664249699</v>
      </c>
      <c r="AA2292" s="4">
        <v>13.4394003228046</v>
      </c>
      <c r="AB2292" s="4">
        <f t="shared" si="143"/>
        <v>13.398020417998</v>
      </c>
    </row>
    <row r="2293" spans="2:28" x14ac:dyDescent="0.2">
      <c r="B2293" s="4" t="s">
        <v>306</v>
      </c>
      <c r="C2293" s="4">
        <v>13.090199999999999</v>
      </c>
      <c r="D2293" s="4">
        <v>13.5892</v>
      </c>
      <c r="E2293" s="4">
        <v>13.430400000000001</v>
      </c>
      <c r="F2293" s="4">
        <f t="shared" si="140"/>
        <v>13.369933333333334</v>
      </c>
      <c r="I2293" s="4" t="s">
        <v>776</v>
      </c>
      <c r="J2293" s="4">
        <v>13.149100000000001</v>
      </c>
      <c r="K2293" s="4">
        <v>13.516400000000001</v>
      </c>
      <c r="L2293" s="4">
        <v>13.461499999999999</v>
      </c>
      <c r="M2293" s="4">
        <f t="shared" si="141"/>
        <v>13.375666666666667</v>
      </c>
      <c r="Q2293" s="43" t="s">
        <v>1528</v>
      </c>
      <c r="R2293" s="4">
        <v>13.1439636218829</v>
      </c>
      <c r="S2293" s="4">
        <v>12.9783654373965</v>
      </c>
      <c r="T2293" s="4">
        <v>13.6907316160683</v>
      </c>
      <c r="U2293" s="4">
        <f t="shared" si="142"/>
        <v>13.271020225115899</v>
      </c>
      <c r="X2293" s="43" t="s">
        <v>3975</v>
      </c>
      <c r="Y2293" s="4">
        <v>13.2360942758236</v>
      </c>
      <c r="Z2293" s="4">
        <v>13.3887258337933</v>
      </c>
      <c r="AA2293" s="4">
        <v>13.5648085717983</v>
      </c>
      <c r="AB2293" s="4">
        <f t="shared" si="143"/>
        <v>13.396542893805067</v>
      </c>
    </row>
    <row r="2294" spans="2:28" x14ac:dyDescent="0.2">
      <c r="B2294" s="4" t="s">
        <v>862</v>
      </c>
      <c r="C2294" s="4">
        <v>13.304500000000001</v>
      </c>
      <c r="D2294" s="4">
        <v>13.541499999999999</v>
      </c>
      <c r="E2294" s="4">
        <v>13.258599999999999</v>
      </c>
      <c r="F2294" s="4">
        <f t="shared" si="140"/>
        <v>13.3682</v>
      </c>
      <c r="I2294" s="4" t="s">
        <v>3257</v>
      </c>
      <c r="J2294" s="4">
        <v>13.728</v>
      </c>
      <c r="K2294" s="4">
        <v>12.5459</v>
      </c>
      <c r="L2294" s="4">
        <v>13.8528</v>
      </c>
      <c r="M2294" s="4">
        <f t="shared" si="141"/>
        <v>13.375566666666666</v>
      </c>
      <c r="Q2294" s="43" t="s">
        <v>610</v>
      </c>
      <c r="R2294" s="4">
        <v>13.0422873109947</v>
      </c>
      <c r="S2294" s="4">
        <v>13.3563591691335</v>
      </c>
      <c r="T2294" s="4">
        <v>13.4043612573945</v>
      </c>
      <c r="U2294" s="4">
        <f t="shared" si="142"/>
        <v>13.267669245840899</v>
      </c>
      <c r="X2294" s="43" t="s">
        <v>4570</v>
      </c>
      <c r="Y2294" s="4">
        <v>13.454363526978399</v>
      </c>
      <c r="Z2294" s="4">
        <v>13.4092854606836</v>
      </c>
      <c r="AA2294" s="4">
        <v>13.324127637512399</v>
      </c>
      <c r="AB2294" s="4">
        <f t="shared" si="143"/>
        <v>13.3959255417248</v>
      </c>
    </row>
    <row r="2295" spans="2:28" x14ac:dyDescent="0.2">
      <c r="B2295" s="4" t="s">
        <v>370</v>
      </c>
      <c r="C2295" s="4">
        <v>12.884399999999999</v>
      </c>
      <c r="D2295" s="4">
        <v>14.034599999999999</v>
      </c>
      <c r="E2295" s="4">
        <v>13.174899999999999</v>
      </c>
      <c r="F2295" s="4">
        <f t="shared" si="140"/>
        <v>13.364633333333332</v>
      </c>
      <c r="I2295" s="4" t="s">
        <v>3374</v>
      </c>
      <c r="J2295" s="4">
        <v>13.252599999999999</v>
      </c>
      <c r="K2295" s="4">
        <v>13.713200000000001</v>
      </c>
      <c r="L2295" s="4">
        <v>13.1607</v>
      </c>
      <c r="M2295" s="4">
        <f t="shared" si="141"/>
        <v>13.375500000000001</v>
      </c>
      <c r="Q2295" s="43" t="s">
        <v>2619</v>
      </c>
      <c r="R2295" s="4">
        <v>13.140494081996399</v>
      </c>
      <c r="S2295" s="4">
        <v>13.4482383519252</v>
      </c>
      <c r="T2295" s="4">
        <v>13.211222501407599</v>
      </c>
      <c r="U2295" s="4">
        <f t="shared" si="142"/>
        <v>13.266651645109732</v>
      </c>
      <c r="X2295" s="43" t="s">
        <v>2016</v>
      </c>
      <c r="Y2295" s="4">
        <v>13.283307153308799</v>
      </c>
      <c r="Z2295" s="4">
        <v>13.440972621786999</v>
      </c>
      <c r="AA2295" s="4">
        <v>13.459184013077101</v>
      </c>
      <c r="AB2295" s="4">
        <f t="shared" si="143"/>
        <v>13.394487929390968</v>
      </c>
    </row>
    <row r="2296" spans="2:28" x14ac:dyDescent="0.2">
      <c r="B2296" s="4" t="s">
        <v>3335</v>
      </c>
      <c r="C2296" s="4">
        <v>13.579000000000001</v>
      </c>
      <c r="D2296" s="4">
        <v>13.5549</v>
      </c>
      <c r="E2296" s="4">
        <v>12.959199999999999</v>
      </c>
      <c r="F2296" s="4">
        <f t="shared" si="140"/>
        <v>13.364366666666667</v>
      </c>
      <c r="I2296" s="4" t="s">
        <v>1595</v>
      </c>
      <c r="J2296" s="4">
        <v>13.464499999999999</v>
      </c>
      <c r="K2296" s="4">
        <v>13.034000000000001</v>
      </c>
      <c r="L2296" s="4">
        <v>13.6226</v>
      </c>
      <c r="M2296" s="4">
        <f t="shared" si="141"/>
        <v>13.373699999999999</v>
      </c>
      <c r="Q2296" s="43" t="s">
        <v>2971</v>
      </c>
      <c r="R2296" s="4">
        <v>13.067956687203001</v>
      </c>
      <c r="S2296" s="4">
        <v>13.3007270603209</v>
      </c>
      <c r="T2296" s="4">
        <v>13.4289550424305</v>
      </c>
      <c r="U2296" s="4">
        <f t="shared" si="142"/>
        <v>13.265879596651468</v>
      </c>
      <c r="X2296" s="43" t="s">
        <v>1160</v>
      </c>
      <c r="Y2296" s="4">
        <v>13.092250970516501</v>
      </c>
      <c r="Z2296" s="4">
        <v>13.5065848905527</v>
      </c>
      <c r="AA2296" s="4">
        <v>13.582733424576499</v>
      </c>
      <c r="AB2296" s="4">
        <f t="shared" si="143"/>
        <v>13.393856428548567</v>
      </c>
    </row>
    <row r="2297" spans="2:28" x14ac:dyDescent="0.2">
      <c r="B2297" s="4" t="s">
        <v>2516</v>
      </c>
      <c r="C2297" s="4">
        <v>13.854900000000001</v>
      </c>
      <c r="D2297" s="4">
        <v>13.179</v>
      </c>
      <c r="E2297" s="4">
        <v>13.059100000000001</v>
      </c>
      <c r="F2297" s="4">
        <f t="shared" si="140"/>
        <v>13.364333333333335</v>
      </c>
      <c r="I2297" s="4" t="s">
        <v>2052</v>
      </c>
      <c r="J2297" s="4">
        <v>13.3431</v>
      </c>
      <c r="K2297" s="4">
        <v>13.086</v>
      </c>
      <c r="L2297" s="4">
        <v>13.687099999999999</v>
      </c>
      <c r="M2297" s="4">
        <f t="shared" si="141"/>
        <v>13.372066666666667</v>
      </c>
      <c r="Q2297" s="43" t="s">
        <v>4353</v>
      </c>
      <c r="R2297" s="4">
        <v>13.613916403755701</v>
      </c>
      <c r="S2297" s="4">
        <v>13.5102311188383</v>
      </c>
      <c r="T2297" s="4">
        <v>12.672898716298</v>
      </c>
      <c r="U2297" s="4">
        <f t="shared" si="142"/>
        <v>13.265682079630666</v>
      </c>
      <c r="X2297" s="43" t="s">
        <v>837</v>
      </c>
      <c r="Y2297" s="4">
        <v>13.3083099444582</v>
      </c>
      <c r="Z2297" s="4">
        <v>13.306216202173299</v>
      </c>
      <c r="AA2297" s="4">
        <v>13.5669655155464</v>
      </c>
      <c r="AB2297" s="4">
        <f t="shared" si="143"/>
        <v>13.393830554059299</v>
      </c>
    </row>
    <row r="2298" spans="2:28" x14ac:dyDescent="0.2">
      <c r="B2298" s="4" t="s">
        <v>2627</v>
      </c>
      <c r="C2298" s="4">
        <v>13.298500000000001</v>
      </c>
      <c r="D2298" s="4">
        <v>13.362399999999999</v>
      </c>
      <c r="E2298" s="4">
        <v>13.429500000000001</v>
      </c>
      <c r="F2298" s="4">
        <f t="shared" si="140"/>
        <v>13.363466666666667</v>
      </c>
      <c r="I2298" s="4" t="s">
        <v>3639</v>
      </c>
      <c r="J2298" s="4">
        <v>13.382899999999999</v>
      </c>
      <c r="K2298" s="4">
        <v>13.0633</v>
      </c>
      <c r="L2298" s="4">
        <v>13.661</v>
      </c>
      <c r="M2298" s="4">
        <f t="shared" si="141"/>
        <v>13.369066666666667</v>
      </c>
      <c r="Q2298" s="43" t="s">
        <v>561</v>
      </c>
      <c r="R2298" s="4">
        <v>13.2282743890242</v>
      </c>
      <c r="S2298" s="4">
        <v>13.1344174241234</v>
      </c>
      <c r="T2298" s="4">
        <v>13.4270804220603</v>
      </c>
      <c r="U2298" s="4">
        <f t="shared" si="142"/>
        <v>13.263257411735966</v>
      </c>
      <c r="X2298" s="43" t="s">
        <v>3105</v>
      </c>
      <c r="Y2298" s="4">
        <v>13.5719164712796</v>
      </c>
      <c r="Z2298" s="4">
        <v>13.5050549499309</v>
      </c>
      <c r="AA2298" s="4">
        <v>13.1040063324307</v>
      </c>
      <c r="AB2298" s="4">
        <f t="shared" si="143"/>
        <v>13.393659251213734</v>
      </c>
    </row>
    <row r="2299" spans="2:28" x14ac:dyDescent="0.2">
      <c r="B2299" s="4" t="s">
        <v>402</v>
      </c>
      <c r="C2299" s="4">
        <v>13.6775</v>
      </c>
      <c r="D2299" s="4">
        <v>12.870100000000001</v>
      </c>
      <c r="E2299" s="4">
        <v>13.5372</v>
      </c>
      <c r="F2299" s="4">
        <f t="shared" si="140"/>
        <v>13.361600000000001</v>
      </c>
      <c r="I2299" s="4" t="s">
        <v>3561</v>
      </c>
      <c r="J2299" s="4">
        <v>13.356</v>
      </c>
      <c r="K2299" s="4">
        <v>13.2538</v>
      </c>
      <c r="L2299" s="4">
        <v>13.490500000000001</v>
      </c>
      <c r="M2299" s="4">
        <f t="shared" si="141"/>
        <v>13.366766666666669</v>
      </c>
      <c r="Q2299" s="43" t="s">
        <v>776</v>
      </c>
      <c r="R2299" s="4">
        <v>13.167752845199599</v>
      </c>
      <c r="S2299" s="4">
        <v>13.3964399973789</v>
      </c>
      <c r="T2299" s="4">
        <v>13.2247841777447</v>
      </c>
      <c r="U2299" s="4">
        <f t="shared" si="142"/>
        <v>13.262992340107735</v>
      </c>
      <c r="X2299" s="43" t="s">
        <v>2087</v>
      </c>
      <c r="Y2299" s="4">
        <v>13.331981524280801</v>
      </c>
      <c r="Z2299" s="4">
        <v>13.364675942290299</v>
      </c>
      <c r="AA2299" s="4">
        <v>13.4778851226369</v>
      </c>
      <c r="AB2299" s="4">
        <f t="shared" si="143"/>
        <v>13.391514196402667</v>
      </c>
    </row>
    <row r="2300" spans="2:28" x14ac:dyDescent="0.2">
      <c r="B2300" s="4" t="s">
        <v>2020</v>
      </c>
      <c r="C2300" s="4">
        <v>12.8428</v>
      </c>
      <c r="D2300" s="4">
        <v>13.069699999999999</v>
      </c>
      <c r="E2300" s="4">
        <v>14.171799999999999</v>
      </c>
      <c r="F2300" s="4">
        <f t="shared" si="140"/>
        <v>13.361433333333332</v>
      </c>
      <c r="I2300" s="4" t="s">
        <v>1690</v>
      </c>
      <c r="J2300" s="4">
        <v>13.764799999999999</v>
      </c>
      <c r="K2300" s="4">
        <v>11.987299999999999</v>
      </c>
      <c r="L2300" s="4">
        <v>14.347099999999999</v>
      </c>
      <c r="M2300" s="4">
        <f t="shared" si="141"/>
        <v>13.366399999999999</v>
      </c>
      <c r="Q2300" s="43" t="s">
        <v>3643</v>
      </c>
      <c r="R2300" s="4">
        <v>13.2774048769946</v>
      </c>
      <c r="S2300" s="4">
        <v>13.2917906178642</v>
      </c>
      <c r="T2300" s="4">
        <v>13.2146124771362</v>
      </c>
      <c r="U2300" s="4">
        <f t="shared" si="142"/>
        <v>13.261269323998334</v>
      </c>
      <c r="X2300" s="43" t="s">
        <v>3852</v>
      </c>
      <c r="Y2300" s="4">
        <v>13.395214847944001</v>
      </c>
      <c r="Z2300" s="4">
        <v>13.4190680914494</v>
      </c>
      <c r="AA2300" s="4">
        <v>13.3578095174881</v>
      </c>
      <c r="AB2300" s="4">
        <f t="shared" si="143"/>
        <v>13.390697485627166</v>
      </c>
    </row>
    <row r="2301" spans="2:28" x14ac:dyDescent="0.2">
      <c r="B2301" s="4" t="s">
        <v>2132</v>
      </c>
      <c r="C2301" s="4">
        <v>13.9621</v>
      </c>
      <c r="D2301" s="4">
        <v>12.977499999999999</v>
      </c>
      <c r="E2301" s="4">
        <v>13.144500000000001</v>
      </c>
      <c r="F2301" s="4">
        <f t="shared" si="140"/>
        <v>13.361366666666667</v>
      </c>
      <c r="I2301" s="4" t="s">
        <v>3471</v>
      </c>
      <c r="J2301" s="4">
        <v>13.4063</v>
      </c>
      <c r="K2301" s="4">
        <v>13.7735</v>
      </c>
      <c r="L2301" s="4">
        <v>12.915100000000001</v>
      </c>
      <c r="M2301" s="4">
        <f t="shared" si="141"/>
        <v>13.364966666666668</v>
      </c>
      <c r="Q2301" s="43" t="s">
        <v>3811</v>
      </c>
      <c r="R2301" s="4">
        <v>13.0009907917697</v>
      </c>
      <c r="S2301" s="4">
        <v>13.4488063328194</v>
      </c>
      <c r="T2301" s="4">
        <v>13.3329385041254</v>
      </c>
      <c r="U2301" s="4">
        <f t="shared" si="142"/>
        <v>13.260911876238167</v>
      </c>
      <c r="X2301" s="43" t="s">
        <v>231</v>
      </c>
      <c r="Y2301" s="4">
        <v>13.3164700803522</v>
      </c>
      <c r="Z2301" s="4">
        <v>13.4395506325651</v>
      </c>
      <c r="AA2301" s="4">
        <v>13.412620625448</v>
      </c>
      <c r="AB2301" s="4">
        <f t="shared" si="143"/>
        <v>13.389547112788433</v>
      </c>
    </row>
    <row r="2302" spans="2:28" x14ac:dyDescent="0.2">
      <c r="B2302" s="4" t="s">
        <v>3346</v>
      </c>
      <c r="C2302" s="4">
        <v>13.912100000000001</v>
      </c>
      <c r="D2302" s="4">
        <v>12.893800000000001</v>
      </c>
      <c r="E2302" s="4">
        <v>13.276999999999999</v>
      </c>
      <c r="F2302" s="4">
        <f t="shared" si="140"/>
        <v>13.360966666666668</v>
      </c>
      <c r="I2302" s="4" t="s">
        <v>993</v>
      </c>
      <c r="J2302" s="4">
        <v>13.469799999999999</v>
      </c>
      <c r="K2302" s="4">
        <v>12.5318</v>
      </c>
      <c r="L2302" s="4">
        <v>14.0891</v>
      </c>
      <c r="M2302" s="4">
        <f t="shared" si="141"/>
        <v>13.363566666666665</v>
      </c>
      <c r="Q2302" s="43" t="s">
        <v>3824</v>
      </c>
      <c r="R2302" s="4">
        <v>13.151666608995001</v>
      </c>
      <c r="S2302" s="4">
        <v>13.375863648015001</v>
      </c>
      <c r="T2302" s="4">
        <v>13.251528146659799</v>
      </c>
      <c r="U2302" s="4">
        <f t="shared" si="142"/>
        <v>13.259686134556601</v>
      </c>
      <c r="X2302" s="43" t="s">
        <v>1408</v>
      </c>
      <c r="Y2302" s="4">
        <v>13.271126259935</v>
      </c>
      <c r="Z2302" s="4">
        <v>13.5454177584487</v>
      </c>
      <c r="AA2302" s="4">
        <v>13.349624338473699</v>
      </c>
      <c r="AB2302" s="4">
        <f t="shared" si="143"/>
        <v>13.388722785619132</v>
      </c>
    </row>
    <row r="2303" spans="2:28" x14ac:dyDescent="0.2">
      <c r="B2303" s="4" t="s">
        <v>1184</v>
      </c>
      <c r="C2303" s="4">
        <v>13.321400000000001</v>
      </c>
      <c r="D2303" s="4">
        <v>13.6044</v>
      </c>
      <c r="E2303" s="4">
        <v>13.1557</v>
      </c>
      <c r="F2303" s="4">
        <f t="shared" si="140"/>
        <v>13.360500000000002</v>
      </c>
      <c r="I2303" s="4" t="s">
        <v>2557</v>
      </c>
      <c r="J2303" s="4">
        <v>13.4232</v>
      </c>
      <c r="K2303" s="4">
        <v>13.331899999999999</v>
      </c>
      <c r="L2303" s="4">
        <v>13.3338</v>
      </c>
      <c r="M2303" s="4">
        <f t="shared" si="141"/>
        <v>13.362966666666665</v>
      </c>
      <c r="Q2303" s="43" t="s">
        <v>756</v>
      </c>
      <c r="R2303" s="4">
        <v>13.031147161234699</v>
      </c>
      <c r="S2303" s="4">
        <v>13.2403306334887</v>
      </c>
      <c r="T2303" s="4">
        <v>13.5065153017461</v>
      </c>
      <c r="U2303" s="4">
        <f t="shared" si="142"/>
        <v>13.259331032156501</v>
      </c>
      <c r="X2303" s="43" t="s">
        <v>3562</v>
      </c>
      <c r="Y2303" s="4">
        <v>13.443955082191099</v>
      </c>
      <c r="Z2303" s="4">
        <v>13.3552860576035</v>
      </c>
      <c r="AA2303" s="4">
        <v>13.366162292136</v>
      </c>
      <c r="AB2303" s="4">
        <f t="shared" si="143"/>
        <v>13.388467810643533</v>
      </c>
    </row>
    <row r="2304" spans="2:28" x14ac:dyDescent="0.2">
      <c r="B2304" s="4" t="s">
        <v>3741</v>
      </c>
      <c r="C2304" s="4">
        <v>13.6838</v>
      </c>
      <c r="D2304" s="4">
        <v>12.8681</v>
      </c>
      <c r="E2304" s="4">
        <v>13.5235</v>
      </c>
      <c r="F2304" s="4">
        <f t="shared" si="140"/>
        <v>13.358466666666667</v>
      </c>
      <c r="I2304" s="4" t="s">
        <v>3521</v>
      </c>
      <c r="J2304" s="4">
        <v>13.386900000000001</v>
      </c>
      <c r="K2304" s="4">
        <v>12.9879</v>
      </c>
      <c r="L2304" s="4">
        <v>13.711499999999999</v>
      </c>
      <c r="M2304" s="4">
        <f t="shared" si="141"/>
        <v>13.3621</v>
      </c>
      <c r="Q2304" s="43" t="s">
        <v>515</v>
      </c>
      <c r="R2304" s="4">
        <v>12.8110557826651</v>
      </c>
      <c r="S2304" s="4">
        <v>13.1145329960653</v>
      </c>
      <c r="T2304" s="4">
        <v>13.848818413602499</v>
      </c>
      <c r="U2304" s="4">
        <f t="shared" si="142"/>
        <v>13.258135730777633</v>
      </c>
      <c r="X2304" s="43" t="s">
        <v>2349</v>
      </c>
      <c r="Y2304" s="4">
        <v>13.3731708221086</v>
      </c>
      <c r="Z2304" s="4">
        <v>13.4997292724853</v>
      </c>
      <c r="AA2304" s="4">
        <v>13.2868724528052</v>
      </c>
      <c r="AB2304" s="4">
        <f t="shared" si="143"/>
        <v>13.386590849133034</v>
      </c>
    </row>
    <row r="2305" spans="2:28" x14ac:dyDescent="0.2">
      <c r="B2305" s="4" t="s">
        <v>478</v>
      </c>
      <c r="C2305" s="4">
        <v>12.7958</v>
      </c>
      <c r="D2305" s="4">
        <v>12.9975</v>
      </c>
      <c r="E2305" s="4">
        <v>14.2804</v>
      </c>
      <c r="F2305" s="4">
        <f t="shared" si="140"/>
        <v>13.357900000000001</v>
      </c>
      <c r="I2305" s="4" t="s">
        <v>2710</v>
      </c>
      <c r="J2305" s="4">
        <v>13.034700000000001</v>
      </c>
      <c r="K2305" s="4">
        <v>13.807399999999999</v>
      </c>
      <c r="L2305" s="4">
        <v>13.2425</v>
      </c>
      <c r="M2305" s="4">
        <f t="shared" si="141"/>
        <v>13.361533333333334</v>
      </c>
      <c r="Q2305" s="43" t="s">
        <v>3371</v>
      </c>
      <c r="R2305" s="4">
        <v>13.8783552402598</v>
      </c>
      <c r="S2305" s="4">
        <v>12.6231021327068</v>
      </c>
      <c r="T2305" s="4">
        <v>13.2690478534631</v>
      </c>
      <c r="U2305" s="4">
        <f t="shared" si="142"/>
        <v>13.256835075476566</v>
      </c>
      <c r="X2305" s="43" t="s">
        <v>3064</v>
      </c>
      <c r="Y2305" s="4">
        <v>13.283486531200699</v>
      </c>
      <c r="Z2305" s="4">
        <v>13.3875463690646</v>
      </c>
      <c r="AA2305" s="4">
        <v>13.485063615021399</v>
      </c>
      <c r="AB2305" s="4">
        <f t="shared" si="143"/>
        <v>13.385365505095566</v>
      </c>
    </row>
    <row r="2306" spans="2:28" x14ac:dyDescent="0.2">
      <c r="B2306" s="4" t="s">
        <v>3955</v>
      </c>
      <c r="C2306" s="4">
        <v>13.188800000000001</v>
      </c>
      <c r="D2306" s="4">
        <v>13.579599999999999</v>
      </c>
      <c r="E2306" s="4">
        <v>13.301</v>
      </c>
      <c r="F2306" s="4">
        <f t="shared" ref="F2306:F2369" si="144">(C2306+D2306+E2306)/3</f>
        <v>13.356466666666668</v>
      </c>
      <c r="I2306" s="4" t="s">
        <v>1458</v>
      </c>
      <c r="J2306" s="4">
        <v>13.353</v>
      </c>
      <c r="K2306" s="4">
        <v>13.6076</v>
      </c>
      <c r="L2306" s="4">
        <v>13.1198</v>
      </c>
      <c r="M2306" s="4">
        <f t="shared" ref="M2306:M2369" si="145">(J2306+K2306+L2306)/3</f>
        <v>13.360133333333332</v>
      </c>
      <c r="Q2306" s="43" t="s">
        <v>1180</v>
      </c>
      <c r="R2306" s="4">
        <v>12.990519208896</v>
      </c>
      <c r="S2306" s="4">
        <v>13.558299879007301</v>
      </c>
      <c r="T2306" s="4">
        <v>13.219511263358999</v>
      </c>
      <c r="U2306" s="4">
        <f t="shared" ref="U2306:U2369" si="146">(R2306+S2306+T2306)/3</f>
        <v>13.256110117087433</v>
      </c>
      <c r="X2306" s="43" t="s">
        <v>546</v>
      </c>
      <c r="Y2306" s="4">
        <v>13.4640072319713</v>
      </c>
      <c r="Z2306" s="4">
        <v>13.528335884172501</v>
      </c>
      <c r="AA2306" s="4">
        <v>13.1617872253022</v>
      </c>
      <c r="AB2306" s="4">
        <f t="shared" ref="AB2306:AB2369" si="147">(Y2306+Z2306+AA2306)/3</f>
        <v>13.384710113815332</v>
      </c>
    </row>
    <row r="2307" spans="2:28" x14ac:dyDescent="0.2">
      <c r="B2307" s="4" t="s">
        <v>2333</v>
      </c>
      <c r="C2307" s="4">
        <v>13.6546</v>
      </c>
      <c r="D2307" s="4">
        <v>13.697699999999999</v>
      </c>
      <c r="E2307" s="4">
        <v>12.713100000000001</v>
      </c>
      <c r="F2307" s="4">
        <f t="shared" si="144"/>
        <v>13.355133333333333</v>
      </c>
      <c r="I2307" s="4" t="s">
        <v>2663</v>
      </c>
      <c r="J2307" s="4">
        <v>13.6074</v>
      </c>
      <c r="K2307" s="4">
        <v>13.6806</v>
      </c>
      <c r="L2307" s="4">
        <v>12.780799999999999</v>
      </c>
      <c r="M2307" s="4">
        <f t="shared" si="145"/>
        <v>13.356266666666665</v>
      </c>
      <c r="Q2307" s="43" t="s">
        <v>2911</v>
      </c>
      <c r="R2307" s="4">
        <v>13.1126494502391</v>
      </c>
      <c r="S2307" s="4">
        <v>13.3308789361149</v>
      </c>
      <c r="T2307" s="4">
        <v>13.3237117280625</v>
      </c>
      <c r="U2307" s="4">
        <f t="shared" si="146"/>
        <v>13.255746704805501</v>
      </c>
      <c r="X2307" s="43" t="s">
        <v>2876</v>
      </c>
      <c r="Y2307" s="4">
        <v>13.4180626390283</v>
      </c>
      <c r="Z2307" s="4">
        <v>13.2734211974633</v>
      </c>
      <c r="AA2307" s="4">
        <v>13.4602491162268</v>
      </c>
      <c r="AB2307" s="4">
        <f t="shared" si="147"/>
        <v>13.383910984239465</v>
      </c>
    </row>
    <row r="2308" spans="2:28" x14ac:dyDescent="0.2">
      <c r="B2308" s="4" t="s">
        <v>3444</v>
      </c>
      <c r="C2308" s="4">
        <v>13.179</v>
      </c>
      <c r="D2308" s="4">
        <v>13.522600000000001</v>
      </c>
      <c r="E2308" s="4">
        <v>13.358000000000001</v>
      </c>
      <c r="F2308" s="4">
        <f t="shared" si="144"/>
        <v>13.353200000000001</v>
      </c>
      <c r="I2308" s="4" t="s">
        <v>3610</v>
      </c>
      <c r="J2308" s="4">
        <v>13.471399999999999</v>
      </c>
      <c r="K2308" s="4">
        <v>13.431699999999999</v>
      </c>
      <c r="L2308" s="4">
        <v>13.16</v>
      </c>
      <c r="M2308" s="4">
        <f t="shared" si="145"/>
        <v>13.354366666666666</v>
      </c>
      <c r="Q2308" s="43" t="s">
        <v>1713</v>
      </c>
      <c r="R2308" s="4">
        <v>13.4241860808488</v>
      </c>
      <c r="S2308" s="4">
        <v>13.093117380985801</v>
      </c>
      <c r="T2308" s="4">
        <v>13.248219536346699</v>
      </c>
      <c r="U2308" s="4">
        <f t="shared" si="146"/>
        <v>13.255174332727099</v>
      </c>
      <c r="X2308" s="43" t="s">
        <v>3922</v>
      </c>
      <c r="Y2308" s="4">
        <v>13.2753863730156</v>
      </c>
      <c r="Z2308" s="4">
        <v>13.5103198763902</v>
      </c>
      <c r="AA2308" s="4">
        <v>13.362267876224299</v>
      </c>
      <c r="AB2308" s="4">
        <f t="shared" si="147"/>
        <v>13.3826580418767</v>
      </c>
    </row>
    <row r="2309" spans="2:28" x14ac:dyDescent="0.2">
      <c r="B2309" s="4" t="s">
        <v>3122</v>
      </c>
      <c r="C2309" s="4">
        <v>13.470499999999999</v>
      </c>
      <c r="D2309" s="4">
        <v>13.428000000000001</v>
      </c>
      <c r="E2309" s="4">
        <v>13.156700000000001</v>
      </c>
      <c r="F2309" s="4">
        <f t="shared" si="144"/>
        <v>13.351733333333334</v>
      </c>
      <c r="I2309" s="4" t="s">
        <v>2777</v>
      </c>
      <c r="J2309" s="4">
        <v>13.561500000000001</v>
      </c>
      <c r="K2309" s="4">
        <v>12.7958</v>
      </c>
      <c r="L2309" s="4">
        <v>13.703900000000001</v>
      </c>
      <c r="M2309" s="4">
        <f t="shared" si="145"/>
        <v>13.353733333333333</v>
      </c>
      <c r="Q2309" s="43" t="s">
        <v>1210</v>
      </c>
      <c r="R2309" s="4">
        <v>13.4027782975805</v>
      </c>
      <c r="S2309" s="4">
        <v>13.256321224364299</v>
      </c>
      <c r="T2309" s="4">
        <v>13.1048850989275</v>
      </c>
      <c r="U2309" s="4">
        <f t="shared" si="146"/>
        <v>13.254661540290767</v>
      </c>
      <c r="X2309" s="43" t="s">
        <v>3123</v>
      </c>
      <c r="Y2309" s="4">
        <v>13.431824937935801</v>
      </c>
      <c r="Z2309" s="4">
        <v>13.1820863075385</v>
      </c>
      <c r="AA2309" s="4">
        <v>13.5312913718735</v>
      </c>
      <c r="AB2309" s="4">
        <f t="shared" si="147"/>
        <v>13.3817342057826</v>
      </c>
    </row>
    <row r="2310" spans="2:28" x14ac:dyDescent="0.2">
      <c r="B2310" s="4" t="s">
        <v>3072</v>
      </c>
      <c r="C2310" s="4">
        <v>13.4117</v>
      </c>
      <c r="D2310" s="4">
        <v>13.5893</v>
      </c>
      <c r="E2310" s="4">
        <v>13.0517</v>
      </c>
      <c r="F2310" s="4">
        <f t="shared" si="144"/>
        <v>13.350900000000001</v>
      </c>
      <c r="I2310" s="4" t="s">
        <v>2550</v>
      </c>
      <c r="J2310" s="4">
        <v>13.310600000000001</v>
      </c>
      <c r="K2310" s="4">
        <v>13.563599999999999</v>
      </c>
      <c r="L2310" s="4">
        <v>13.185</v>
      </c>
      <c r="M2310" s="4">
        <f t="shared" si="145"/>
        <v>13.353066666666669</v>
      </c>
      <c r="Q2310" s="43" t="s">
        <v>4309</v>
      </c>
      <c r="R2310" s="4">
        <v>12.886903583643599</v>
      </c>
      <c r="S2310" s="4">
        <v>13.2845357395521</v>
      </c>
      <c r="T2310" s="4">
        <v>13.587394992290999</v>
      </c>
      <c r="U2310" s="4">
        <f t="shared" si="146"/>
        <v>13.252944771828899</v>
      </c>
      <c r="X2310" s="43" t="s">
        <v>3558</v>
      </c>
      <c r="Y2310" s="4">
        <v>13.2670952248637</v>
      </c>
      <c r="Z2310" s="4">
        <v>13.5701970504249</v>
      </c>
      <c r="AA2310" s="4">
        <v>13.304900664248301</v>
      </c>
      <c r="AB2310" s="4">
        <f t="shared" si="147"/>
        <v>13.380730979845632</v>
      </c>
    </row>
    <row r="2311" spans="2:28" x14ac:dyDescent="0.2">
      <c r="B2311" s="4" t="s">
        <v>1541</v>
      </c>
      <c r="C2311" s="4">
        <v>12.950900000000001</v>
      </c>
      <c r="D2311" s="4">
        <v>13.2563</v>
      </c>
      <c r="E2311" s="4">
        <v>13.8439</v>
      </c>
      <c r="F2311" s="4">
        <f t="shared" si="144"/>
        <v>13.350366666666666</v>
      </c>
      <c r="I2311" s="4" t="s">
        <v>2556</v>
      </c>
      <c r="J2311" s="4">
        <v>13.6152</v>
      </c>
      <c r="K2311" s="4">
        <v>13.1153</v>
      </c>
      <c r="L2311" s="4">
        <v>13.317500000000001</v>
      </c>
      <c r="M2311" s="4">
        <f t="shared" si="145"/>
        <v>13.349333333333334</v>
      </c>
      <c r="Q2311" s="43" t="s">
        <v>4384</v>
      </c>
      <c r="R2311" s="4">
        <v>13.504648062950301</v>
      </c>
      <c r="S2311" s="4">
        <v>12.7399140418441</v>
      </c>
      <c r="T2311" s="4">
        <v>13.5136735646297</v>
      </c>
      <c r="U2311" s="4">
        <f t="shared" si="146"/>
        <v>13.252745223141368</v>
      </c>
      <c r="X2311" s="43" t="s">
        <v>3976</v>
      </c>
      <c r="Y2311" s="4">
        <v>13.357114727474499</v>
      </c>
      <c r="Z2311" s="4">
        <v>13.341067367582401</v>
      </c>
      <c r="AA2311" s="4">
        <v>13.443241020584599</v>
      </c>
      <c r="AB2311" s="4">
        <f t="shared" si="147"/>
        <v>13.380474371880501</v>
      </c>
    </row>
    <row r="2312" spans="2:28" x14ac:dyDescent="0.2">
      <c r="B2312" s="4" t="s">
        <v>2936</v>
      </c>
      <c r="C2312" s="4">
        <v>13.046200000000001</v>
      </c>
      <c r="D2312" s="4">
        <v>13.6287</v>
      </c>
      <c r="E2312" s="4">
        <v>13.3757</v>
      </c>
      <c r="F2312" s="4">
        <f t="shared" si="144"/>
        <v>13.350200000000001</v>
      </c>
      <c r="I2312" s="4" t="s">
        <v>253</v>
      </c>
      <c r="J2312" s="4">
        <v>13.348000000000001</v>
      </c>
      <c r="K2312" s="4">
        <v>13.5441</v>
      </c>
      <c r="L2312" s="4">
        <v>13.1525</v>
      </c>
      <c r="M2312" s="4">
        <f t="shared" si="145"/>
        <v>13.3482</v>
      </c>
      <c r="Q2312" s="43" t="s">
        <v>2329</v>
      </c>
      <c r="R2312" s="4">
        <v>13.222095865803601</v>
      </c>
      <c r="S2312" s="4">
        <v>13.219335906835701</v>
      </c>
      <c r="T2312" s="4">
        <v>13.314651567566999</v>
      </c>
      <c r="U2312" s="4">
        <f t="shared" si="146"/>
        <v>13.252027780068767</v>
      </c>
      <c r="X2312" s="43" t="s">
        <v>150</v>
      </c>
      <c r="Y2312" s="4">
        <v>13.351867858578601</v>
      </c>
      <c r="Z2312" s="4">
        <v>13.4365345345024</v>
      </c>
      <c r="AA2312" s="4">
        <v>13.3528528444596</v>
      </c>
      <c r="AB2312" s="4">
        <f t="shared" si="147"/>
        <v>13.380418412513533</v>
      </c>
    </row>
    <row r="2313" spans="2:28" x14ac:dyDescent="0.2">
      <c r="B2313" s="4" t="s">
        <v>743</v>
      </c>
      <c r="C2313" s="4">
        <v>13.497999999999999</v>
      </c>
      <c r="D2313" s="4">
        <v>12.7148</v>
      </c>
      <c r="E2313" s="4">
        <v>13.825699999999999</v>
      </c>
      <c r="F2313" s="4">
        <f t="shared" si="144"/>
        <v>13.346166666666667</v>
      </c>
      <c r="I2313" s="4" t="s">
        <v>307</v>
      </c>
      <c r="J2313" s="4">
        <v>13.013</v>
      </c>
      <c r="K2313" s="4">
        <v>13.237</v>
      </c>
      <c r="L2313" s="4">
        <v>13.79</v>
      </c>
      <c r="M2313" s="4">
        <f t="shared" si="145"/>
        <v>13.346666666666666</v>
      </c>
      <c r="Q2313" s="43" t="s">
        <v>787</v>
      </c>
      <c r="R2313" s="4">
        <v>13.332915127576801</v>
      </c>
      <c r="S2313" s="4">
        <v>13.253583075155101</v>
      </c>
      <c r="T2313" s="4">
        <v>13.164704704969401</v>
      </c>
      <c r="U2313" s="4">
        <f t="shared" si="146"/>
        <v>13.250400969233768</v>
      </c>
      <c r="X2313" s="43" t="s">
        <v>4603</v>
      </c>
      <c r="Y2313" s="4">
        <v>13.3139268619229</v>
      </c>
      <c r="Z2313" s="4">
        <v>13.50618264867</v>
      </c>
      <c r="AA2313" s="4">
        <v>13.3190996614952</v>
      </c>
      <c r="AB2313" s="4">
        <f t="shared" si="147"/>
        <v>13.379736390696033</v>
      </c>
    </row>
    <row r="2314" spans="2:28" x14ac:dyDescent="0.2">
      <c r="B2314" s="4" t="s">
        <v>408</v>
      </c>
      <c r="C2314" s="4">
        <v>13.581</v>
      </c>
      <c r="D2314" s="4">
        <v>13.2575</v>
      </c>
      <c r="E2314" s="4">
        <v>13.190099999999999</v>
      </c>
      <c r="F2314" s="4">
        <f t="shared" si="144"/>
        <v>13.342866666666666</v>
      </c>
      <c r="I2314" s="4" t="s">
        <v>2704</v>
      </c>
      <c r="J2314" s="4">
        <v>13.714</v>
      </c>
      <c r="K2314" s="4">
        <v>12.430099999999999</v>
      </c>
      <c r="L2314" s="4">
        <v>13.893700000000001</v>
      </c>
      <c r="M2314" s="4">
        <f t="shared" si="145"/>
        <v>13.345933333333335</v>
      </c>
      <c r="Q2314" s="43" t="s">
        <v>2201</v>
      </c>
      <c r="R2314" s="4">
        <v>13.3699556240649</v>
      </c>
      <c r="S2314" s="4">
        <v>13.1854820051825</v>
      </c>
      <c r="T2314" s="4">
        <v>13.1928765425988</v>
      </c>
      <c r="U2314" s="4">
        <f t="shared" si="146"/>
        <v>13.249438057282068</v>
      </c>
      <c r="X2314" s="43" t="s">
        <v>3811</v>
      </c>
      <c r="Y2314" s="4">
        <v>13.4764206855778</v>
      </c>
      <c r="Z2314" s="4">
        <v>13.3993096767955</v>
      </c>
      <c r="AA2314" s="4">
        <v>13.261582130862999</v>
      </c>
      <c r="AB2314" s="4">
        <f t="shared" si="147"/>
        <v>13.3791041644121</v>
      </c>
    </row>
    <row r="2315" spans="2:28" x14ac:dyDescent="0.2">
      <c r="B2315" s="4" t="s">
        <v>4059</v>
      </c>
      <c r="C2315" s="4">
        <v>13.266500000000001</v>
      </c>
      <c r="D2315" s="4">
        <v>13.3438</v>
      </c>
      <c r="E2315" s="4">
        <v>13.4155</v>
      </c>
      <c r="F2315" s="4">
        <f t="shared" si="144"/>
        <v>13.341933333333335</v>
      </c>
      <c r="I2315" s="4" t="s">
        <v>2020</v>
      </c>
      <c r="J2315" s="4">
        <v>12.161799999999999</v>
      </c>
      <c r="K2315" s="4">
        <v>14.985300000000001</v>
      </c>
      <c r="L2315" s="4">
        <v>12.889099999999999</v>
      </c>
      <c r="M2315" s="4">
        <f t="shared" si="145"/>
        <v>13.3454</v>
      </c>
      <c r="Q2315" s="43" t="s">
        <v>841</v>
      </c>
      <c r="R2315" s="4">
        <v>12.953912499327</v>
      </c>
      <c r="S2315" s="4">
        <v>13.366609991217</v>
      </c>
      <c r="T2315" s="4">
        <v>13.4203893442991</v>
      </c>
      <c r="U2315" s="4">
        <f t="shared" si="146"/>
        <v>13.246970611614367</v>
      </c>
      <c r="X2315" s="43" t="s">
        <v>3461</v>
      </c>
      <c r="Y2315" s="4">
        <v>13.1332842407196</v>
      </c>
      <c r="Z2315" s="4">
        <v>13.653434418851299</v>
      </c>
      <c r="AA2315" s="4">
        <v>13.348732626450699</v>
      </c>
      <c r="AB2315" s="4">
        <f t="shared" si="147"/>
        <v>13.3784837620072</v>
      </c>
    </row>
    <row r="2316" spans="2:28" x14ac:dyDescent="0.2">
      <c r="B2316" s="4" t="s">
        <v>964</v>
      </c>
      <c r="C2316" s="4">
        <v>13.0947</v>
      </c>
      <c r="D2316" s="4">
        <v>12.690300000000001</v>
      </c>
      <c r="E2316" s="4">
        <v>14.2393</v>
      </c>
      <c r="F2316" s="4">
        <f t="shared" si="144"/>
        <v>13.341433333333333</v>
      </c>
      <c r="I2316" s="4" t="s">
        <v>3142</v>
      </c>
      <c r="J2316" s="4">
        <v>13.7643</v>
      </c>
      <c r="K2316" s="4">
        <v>12.889699999999999</v>
      </c>
      <c r="L2316" s="4">
        <v>13.382</v>
      </c>
      <c r="M2316" s="4">
        <f t="shared" si="145"/>
        <v>13.345333333333334</v>
      </c>
      <c r="Q2316" s="43" t="s">
        <v>2760</v>
      </c>
      <c r="R2316" s="4">
        <v>13.0105386731365</v>
      </c>
      <c r="S2316" s="4">
        <v>13.2879634155967</v>
      </c>
      <c r="T2316" s="4">
        <v>13.4419303039654</v>
      </c>
      <c r="U2316" s="4">
        <f t="shared" si="146"/>
        <v>13.2468107975662</v>
      </c>
      <c r="X2316" s="43" t="s">
        <v>4361</v>
      </c>
      <c r="Y2316" s="4">
        <v>13.239371692255601</v>
      </c>
      <c r="Z2316" s="4">
        <v>13.4646686960685</v>
      </c>
      <c r="AA2316" s="4">
        <v>13.430294666099</v>
      </c>
      <c r="AB2316" s="4">
        <f t="shared" si="147"/>
        <v>13.378111684807701</v>
      </c>
    </row>
    <row r="2317" spans="2:28" x14ac:dyDescent="0.2">
      <c r="B2317" s="4" t="s">
        <v>2911</v>
      </c>
      <c r="C2317" s="4">
        <v>13.3939</v>
      </c>
      <c r="D2317" s="4">
        <v>13.3203</v>
      </c>
      <c r="E2317" s="4">
        <v>13.3073</v>
      </c>
      <c r="F2317" s="4">
        <f t="shared" si="144"/>
        <v>13.340499999999999</v>
      </c>
      <c r="I2317" s="4" t="s">
        <v>208</v>
      </c>
      <c r="J2317" s="4">
        <v>13.6227</v>
      </c>
      <c r="K2317" s="4">
        <v>12.3429</v>
      </c>
      <c r="L2317" s="4">
        <v>14.069800000000001</v>
      </c>
      <c r="M2317" s="4">
        <f t="shared" si="145"/>
        <v>13.345133333333335</v>
      </c>
      <c r="Q2317" s="43" t="s">
        <v>3333</v>
      </c>
      <c r="R2317" s="4">
        <v>13.3279735524379</v>
      </c>
      <c r="S2317" s="4">
        <v>13.134835538135301</v>
      </c>
      <c r="T2317" s="4">
        <v>13.2762917010129</v>
      </c>
      <c r="U2317" s="4">
        <f t="shared" si="146"/>
        <v>13.246366930528701</v>
      </c>
      <c r="X2317" s="43" t="s">
        <v>300</v>
      </c>
      <c r="Y2317" s="4">
        <v>13.489478025062899</v>
      </c>
      <c r="Z2317" s="4">
        <v>12.9424600256645</v>
      </c>
      <c r="AA2317" s="4">
        <v>13.6990881776963</v>
      </c>
      <c r="AB2317" s="4">
        <f t="shared" si="147"/>
        <v>13.377008742807901</v>
      </c>
    </row>
    <row r="2318" spans="2:28" x14ac:dyDescent="0.2">
      <c r="B2318" s="4" t="s">
        <v>2127</v>
      </c>
      <c r="C2318" s="4">
        <v>13.1187</v>
      </c>
      <c r="D2318" s="4">
        <v>13.489800000000001</v>
      </c>
      <c r="E2318" s="4">
        <v>13.412800000000001</v>
      </c>
      <c r="F2318" s="4">
        <f t="shared" si="144"/>
        <v>13.340433333333332</v>
      </c>
      <c r="I2318" s="4" t="s">
        <v>2554</v>
      </c>
      <c r="J2318" s="4">
        <v>12.8956</v>
      </c>
      <c r="K2318" s="4">
        <v>15.004200000000001</v>
      </c>
      <c r="L2318" s="4">
        <v>12.128500000000001</v>
      </c>
      <c r="M2318" s="4">
        <f t="shared" si="145"/>
        <v>13.342766666666668</v>
      </c>
      <c r="Q2318" s="43" t="s">
        <v>4319</v>
      </c>
      <c r="R2318" s="4">
        <v>12.408894228363</v>
      </c>
      <c r="S2318" s="4">
        <v>13.916398122274</v>
      </c>
      <c r="T2318" s="4">
        <v>13.404842603575799</v>
      </c>
      <c r="U2318" s="4">
        <f t="shared" si="146"/>
        <v>13.243378318070933</v>
      </c>
      <c r="X2318" s="43" t="s">
        <v>4394</v>
      </c>
      <c r="Y2318" s="4">
        <v>13.120778242998</v>
      </c>
      <c r="Z2318" s="4">
        <v>13.8095931820831</v>
      </c>
      <c r="AA2318" s="4">
        <v>13.1993541899252</v>
      </c>
      <c r="AB2318" s="4">
        <f t="shared" si="147"/>
        <v>13.3765752050021</v>
      </c>
    </row>
    <row r="2319" spans="2:28" x14ac:dyDescent="0.2">
      <c r="B2319" s="4" t="s">
        <v>2604</v>
      </c>
      <c r="C2319" s="4">
        <v>13.249499999999999</v>
      </c>
      <c r="D2319" s="4">
        <v>13.468500000000001</v>
      </c>
      <c r="E2319" s="4">
        <v>13.3032</v>
      </c>
      <c r="F2319" s="4">
        <f t="shared" si="144"/>
        <v>13.340400000000001</v>
      </c>
      <c r="I2319" s="4" t="s">
        <v>3126</v>
      </c>
      <c r="J2319" s="4">
        <v>13.6835</v>
      </c>
      <c r="K2319" s="4">
        <v>12.928100000000001</v>
      </c>
      <c r="L2319" s="4">
        <v>13.4139</v>
      </c>
      <c r="M2319" s="4">
        <f t="shared" si="145"/>
        <v>13.341833333333334</v>
      </c>
      <c r="Q2319" s="43" t="s">
        <v>2464</v>
      </c>
      <c r="R2319" s="4">
        <v>13.2346632559636</v>
      </c>
      <c r="S2319" s="4">
        <v>13.2961145332618</v>
      </c>
      <c r="T2319" s="4">
        <v>13.1868314707528</v>
      </c>
      <c r="U2319" s="4">
        <f t="shared" si="146"/>
        <v>13.239203086659401</v>
      </c>
      <c r="X2319" s="43" t="s">
        <v>1426</v>
      </c>
      <c r="Y2319" s="4">
        <v>13.117637112980301</v>
      </c>
      <c r="Z2319" s="4">
        <v>13.4852119840032</v>
      </c>
      <c r="AA2319" s="4">
        <v>13.525995279951999</v>
      </c>
      <c r="AB2319" s="4">
        <f t="shared" si="147"/>
        <v>13.376281458978502</v>
      </c>
    </row>
    <row r="2320" spans="2:28" x14ac:dyDescent="0.2">
      <c r="B2320" s="4" t="s">
        <v>1525</v>
      </c>
      <c r="C2320" s="4">
        <v>12.123200000000001</v>
      </c>
      <c r="D2320" s="4">
        <v>13.883699999999999</v>
      </c>
      <c r="E2320" s="4">
        <v>14.0092</v>
      </c>
      <c r="F2320" s="4">
        <f t="shared" si="144"/>
        <v>13.338700000000001</v>
      </c>
      <c r="I2320" s="4" t="s">
        <v>3328</v>
      </c>
      <c r="J2320" s="4">
        <v>13.5754</v>
      </c>
      <c r="K2320" s="4">
        <v>12.869400000000001</v>
      </c>
      <c r="L2320" s="4">
        <v>13.5778</v>
      </c>
      <c r="M2320" s="4">
        <f t="shared" si="145"/>
        <v>13.340866666666665</v>
      </c>
      <c r="Q2320" s="43" t="s">
        <v>3558</v>
      </c>
      <c r="R2320" s="4">
        <v>13.156470048928799</v>
      </c>
      <c r="S2320" s="4">
        <v>13.255451941569101</v>
      </c>
      <c r="T2320" s="4">
        <v>13.305210480767901</v>
      </c>
      <c r="U2320" s="4">
        <f t="shared" si="146"/>
        <v>13.2390441570886</v>
      </c>
      <c r="X2320" s="43" t="s">
        <v>2290</v>
      </c>
      <c r="Y2320" s="4">
        <v>13.3720395643793</v>
      </c>
      <c r="Z2320" s="4">
        <v>13.329809914088401</v>
      </c>
      <c r="AA2320" s="4">
        <v>13.420703429491599</v>
      </c>
      <c r="AB2320" s="4">
        <f t="shared" si="147"/>
        <v>13.3741843026531</v>
      </c>
    </row>
    <row r="2321" spans="2:28" x14ac:dyDescent="0.2">
      <c r="B2321" s="4" t="s">
        <v>919</v>
      </c>
      <c r="C2321" s="4">
        <v>13.313599999999999</v>
      </c>
      <c r="D2321" s="4">
        <v>13.2797</v>
      </c>
      <c r="E2321" s="4">
        <v>13.4206</v>
      </c>
      <c r="F2321" s="4">
        <f t="shared" si="144"/>
        <v>13.337966666666667</v>
      </c>
      <c r="I2321" s="4" t="s">
        <v>3792</v>
      </c>
      <c r="J2321" s="4">
        <v>13.1844</v>
      </c>
      <c r="K2321" s="4">
        <v>13.423999999999999</v>
      </c>
      <c r="L2321" s="4">
        <v>13.3957</v>
      </c>
      <c r="M2321" s="4">
        <f t="shared" si="145"/>
        <v>13.3347</v>
      </c>
      <c r="Q2321" s="43" t="s">
        <v>1759</v>
      </c>
      <c r="R2321" s="4">
        <v>13.378026514455099</v>
      </c>
      <c r="S2321" s="4">
        <v>13.176659758928301</v>
      </c>
      <c r="T2321" s="4">
        <v>13.1618321762621</v>
      </c>
      <c r="U2321" s="4">
        <f t="shared" si="146"/>
        <v>13.238839483215166</v>
      </c>
      <c r="X2321" s="43" t="s">
        <v>792</v>
      </c>
      <c r="Y2321" s="4">
        <v>13.370058890309901</v>
      </c>
      <c r="Z2321" s="4">
        <v>13.2626783853474</v>
      </c>
      <c r="AA2321" s="4">
        <v>13.4895538157208</v>
      </c>
      <c r="AB2321" s="4">
        <f t="shared" si="147"/>
        <v>13.374097030459367</v>
      </c>
    </row>
    <row r="2322" spans="2:28" x14ac:dyDescent="0.2">
      <c r="B2322" s="4" t="s">
        <v>1296</v>
      </c>
      <c r="C2322" s="4">
        <v>13.3649</v>
      </c>
      <c r="D2322" s="4">
        <v>13.444800000000001</v>
      </c>
      <c r="E2322" s="4">
        <v>13.1997</v>
      </c>
      <c r="F2322" s="4">
        <f t="shared" si="144"/>
        <v>13.336466666666666</v>
      </c>
      <c r="I2322" s="4" t="s">
        <v>3383</v>
      </c>
      <c r="J2322" s="4">
        <v>13.608499999999999</v>
      </c>
      <c r="K2322" s="4">
        <v>12.6873</v>
      </c>
      <c r="L2322" s="4">
        <v>13.6988</v>
      </c>
      <c r="M2322" s="4">
        <f t="shared" si="145"/>
        <v>13.331533333333333</v>
      </c>
      <c r="Q2322" s="43" t="s">
        <v>1602</v>
      </c>
      <c r="R2322" s="4">
        <v>12.901766834403601</v>
      </c>
      <c r="S2322" s="4">
        <v>13.5121648699816</v>
      </c>
      <c r="T2322" s="4">
        <v>13.301743778278</v>
      </c>
      <c r="U2322" s="4">
        <f t="shared" si="146"/>
        <v>13.238558494221067</v>
      </c>
      <c r="X2322" s="43" t="s">
        <v>4141</v>
      </c>
      <c r="Y2322" s="4">
        <v>13.2811372602453</v>
      </c>
      <c r="Z2322" s="4">
        <v>13.3111717440239</v>
      </c>
      <c r="AA2322" s="4">
        <v>13.521884458369</v>
      </c>
      <c r="AB2322" s="4">
        <f t="shared" si="147"/>
        <v>13.3713978208794</v>
      </c>
    </row>
    <row r="2323" spans="2:28" x14ac:dyDescent="0.2">
      <c r="B2323" s="4" t="s">
        <v>2641</v>
      </c>
      <c r="C2323" s="4">
        <v>13.3215</v>
      </c>
      <c r="D2323" s="4">
        <v>13.273400000000001</v>
      </c>
      <c r="E2323" s="4">
        <v>13.411300000000001</v>
      </c>
      <c r="F2323" s="4">
        <f t="shared" si="144"/>
        <v>13.335400000000002</v>
      </c>
      <c r="I2323" s="4" t="s">
        <v>3089</v>
      </c>
      <c r="J2323" s="4">
        <v>13.4864</v>
      </c>
      <c r="K2323" s="4">
        <v>13.657299999999999</v>
      </c>
      <c r="L2323" s="4">
        <v>12.8476</v>
      </c>
      <c r="M2323" s="4">
        <f t="shared" si="145"/>
        <v>13.330433333333332</v>
      </c>
      <c r="Q2323" s="43" t="s">
        <v>2460</v>
      </c>
      <c r="R2323" s="4">
        <v>13.146234938855301</v>
      </c>
      <c r="S2323" s="4">
        <v>13.34750941862</v>
      </c>
      <c r="T2323" s="4">
        <v>13.2215918615695</v>
      </c>
      <c r="U2323" s="4">
        <f t="shared" si="146"/>
        <v>13.238445406348267</v>
      </c>
      <c r="X2323" s="43" t="s">
        <v>3948</v>
      </c>
      <c r="Y2323" s="4">
        <v>13.2190945608716</v>
      </c>
      <c r="Z2323" s="4">
        <v>13.192686612993199</v>
      </c>
      <c r="AA2323" s="4">
        <v>13.7002691182891</v>
      </c>
      <c r="AB2323" s="4">
        <f t="shared" si="147"/>
        <v>13.370683430717966</v>
      </c>
    </row>
    <row r="2324" spans="2:28" x14ac:dyDescent="0.2">
      <c r="B2324" s="4" t="s">
        <v>3396</v>
      </c>
      <c r="C2324" s="4">
        <v>12.8368</v>
      </c>
      <c r="D2324" s="4">
        <v>13.479100000000001</v>
      </c>
      <c r="E2324" s="4">
        <v>13.686999999999999</v>
      </c>
      <c r="F2324" s="4">
        <f t="shared" si="144"/>
        <v>13.334299999999999</v>
      </c>
      <c r="I2324" s="4" t="s">
        <v>1263</v>
      </c>
      <c r="J2324" s="4">
        <v>12.4015</v>
      </c>
      <c r="K2324" s="4">
        <v>15.286199999999999</v>
      </c>
      <c r="L2324" s="4">
        <v>12.291700000000001</v>
      </c>
      <c r="M2324" s="4">
        <f t="shared" si="145"/>
        <v>13.326466666666667</v>
      </c>
      <c r="Q2324" s="43" t="s">
        <v>3818</v>
      </c>
      <c r="R2324" s="4">
        <v>13.114370076671101</v>
      </c>
      <c r="S2324" s="4">
        <v>13.088783968971599</v>
      </c>
      <c r="T2324" s="4">
        <v>13.509864366489101</v>
      </c>
      <c r="U2324" s="4">
        <f t="shared" si="146"/>
        <v>13.237672804043934</v>
      </c>
      <c r="X2324" s="43" t="s">
        <v>4431</v>
      </c>
      <c r="Y2324" s="4">
        <v>13.1451383224928</v>
      </c>
      <c r="Z2324" s="4">
        <v>13.410899032680501</v>
      </c>
      <c r="AA2324" s="4">
        <v>13.5547622294993</v>
      </c>
      <c r="AB2324" s="4">
        <f t="shared" si="147"/>
        <v>13.370266528224201</v>
      </c>
    </row>
    <row r="2325" spans="2:28" x14ac:dyDescent="0.2">
      <c r="B2325" s="4" t="s">
        <v>3315</v>
      </c>
      <c r="C2325" s="4">
        <v>12.7729</v>
      </c>
      <c r="D2325" s="4">
        <v>13.298500000000001</v>
      </c>
      <c r="E2325" s="4">
        <v>13.926299999999999</v>
      </c>
      <c r="F2325" s="4">
        <f t="shared" si="144"/>
        <v>13.332566666666667</v>
      </c>
      <c r="I2325" s="4" t="s">
        <v>3087</v>
      </c>
      <c r="J2325" s="4">
        <v>13.704700000000001</v>
      </c>
      <c r="K2325" s="4">
        <v>13.264099999999999</v>
      </c>
      <c r="L2325" s="4">
        <v>13.000999999999999</v>
      </c>
      <c r="M2325" s="4">
        <f t="shared" si="145"/>
        <v>13.323266666666667</v>
      </c>
      <c r="Q2325" s="43" t="s">
        <v>4115</v>
      </c>
      <c r="R2325" s="4">
        <v>13.479152002571</v>
      </c>
      <c r="S2325" s="4">
        <v>13.205066284261299</v>
      </c>
      <c r="T2325" s="4">
        <v>13.028004738893999</v>
      </c>
      <c r="U2325" s="4">
        <f t="shared" si="146"/>
        <v>13.237407675242098</v>
      </c>
      <c r="X2325" s="43" t="s">
        <v>4330</v>
      </c>
      <c r="Y2325" s="4">
        <v>13.158123591150201</v>
      </c>
      <c r="Z2325" s="4">
        <v>13.300780645761799</v>
      </c>
      <c r="AA2325" s="4">
        <v>13.6454293830606</v>
      </c>
      <c r="AB2325" s="4">
        <f t="shared" si="147"/>
        <v>13.368111206657533</v>
      </c>
    </row>
    <row r="2326" spans="2:28" x14ac:dyDescent="0.2">
      <c r="B2326" s="4" t="s">
        <v>3139</v>
      </c>
      <c r="C2326" s="4">
        <v>12.8765</v>
      </c>
      <c r="D2326" s="4">
        <v>13.367800000000001</v>
      </c>
      <c r="E2326" s="4">
        <v>13.750500000000001</v>
      </c>
      <c r="F2326" s="4">
        <f t="shared" si="144"/>
        <v>13.331600000000002</v>
      </c>
      <c r="I2326" s="4" t="s">
        <v>828</v>
      </c>
      <c r="J2326" s="4">
        <v>13.5436</v>
      </c>
      <c r="K2326" s="4">
        <v>12.744300000000001</v>
      </c>
      <c r="L2326" s="4">
        <v>13.681800000000001</v>
      </c>
      <c r="M2326" s="4">
        <f t="shared" si="145"/>
        <v>13.323233333333334</v>
      </c>
      <c r="Q2326" s="43" t="s">
        <v>1505</v>
      </c>
      <c r="R2326" s="4">
        <v>13.143704958638001</v>
      </c>
      <c r="S2326" s="4">
        <v>13.196629572028099</v>
      </c>
      <c r="T2326" s="4">
        <v>13.366164190048901</v>
      </c>
      <c r="U2326" s="4">
        <f t="shared" si="146"/>
        <v>13.235499573571666</v>
      </c>
      <c r="X2326" s="43" t="s">
        <v>4178</v>
      </c>
      <c r="Y2326" s="4">
        <v>13.3421325874576</v>
      </c>
      <c r="Z2326" s="4">
        <v>13.299372886839899</v>
      </c>
      <c r="AA2326" s="4">
        <v>13.454688942972201</v>
      </c>
      <c r="AB2326" s="4">
        <f t="shared" si="147"/>
        <v>13.365398139089899</v>
      </c>
    </row>
    <row r="2327" spans="2:28" x14ac:dyDescent="0.2">
      <c r="B2327" s="4" t="s">
        <v>3119</v>
      </c>
      <c r="C2327" s="4">
        <v>14.015000000000001</v>
      </c>
      <c r="D2327" s="4">
        <v>12.4937</v>
      </c>
      <c r="E2327" s="4">
        <v>13.485099999999999</v>
      </c>
      <c r="F2327" s="4">
        <f t="shared" si="144"/>
        <v>13.331266666666666</v>
      </c>
      <c r="I2327" s="4" t="s">
        <v>707</v>
      </c>
      <c r="J2327" s="4">
        <v>13.417299999999999</v>
      </c>
      <c r="K2327" s="4">
        <v>13.108700000000001</v>
      </c>
      <c r="L2327" s="4">
        <v>13.4436</v>
      </c>
      <c r="M2327" s="4">
        <f t="shared" si="145"/>
        <v>13.3232</v>
      </c>
      <c r="Q2327" s="43" t="s">
        <v>117</v>
      </c>
      <c r="R2327" s="4">
        <v>13.3998021176681</v>
      </c>
      <c r="S2327" s="4">
        <v>13.2215682795483</v>
      </c>
      <c r="T2327" s="4">
        <v>13.0836985178747</v>
      </c>
      <c r="U2327" s="4">
        <f t="shared" si="146"/>
        <v>13.235022971697035</v>
      </c>
      <c r="X2327" s="43" t="s">
        <v>4358</v>
      </c>
      <c r="Y2327" s="4">
        <v>13.26001469601</v>
      </c>
      <c r="Z2327" s="4">
        <v>13.612970633426899</v>
      </c>
      <c r="AA2327" s="4">
        <v>13.218988471362101</v>
      </c>
      <c r="AB2327" s="4">
        <f t="shared" si="147"/>
        <v>13.363991266933001</v>
      </c>
    </row>
    <row r="2328" spans="2:28" x14ac:dyDescent="0.2">
      <c r="B2328" s="4" t="s">
        <v>1846</v>
      </c>
      <c r="C2328" s="4">
        <v>13.7437</v>
      </c>
      <c r="D2328" s="4">
        <v>12.613099999999999</v>
      </c>
      <c r="E2328" s="4">
        <v>13.6349</v>
      </c>
      <c r="F2328" s="4">
        <f t="shared" si="144"/>
        <v>13.330566666666668</v>
      </c>
      <c r="I2328" s="4" t="s">
        <v>875</v>
      </c>
      <c r="J2328" s="4">
        <v>13.8612</v>
      </c>
      <c r="K2328" s="4">
        <v>12.3626</v>
      </c>
      <c r="L2328" s="4">
        <v>13.741</v>
      </c>
      <c r="M2328" s="4">
        <f t="shared" si="145"/>
        <v>13.321599999999998</v>
      </c>
      <c r="Q2328" s="43" t="s">
        <v>3964</v>
      </c>
      <c r="R2328" s="4">
        <v>13.3616561927271</v>
      </c>
      <c r="S2328" s="4">
        <v>13.1249120373763</v>
      </c>
      <c r="T2328" s="4">
        <v>13.215900419237</v>
      </c>
      <c r="U2328" s="4">
        <f t="shared" si="146"/>
        <v>13.234156216446801</v>
      </c>
      <c r="X2328" s="43" t="s">
        <v>319</v>
      </c>
      <c r="Y2328" s="4">
        <v>13.4153397984278</v>
      </c>
      <c r="Z2328" s="4">
        <v>13.350838778100901</v>
      </c>
      <c r="AA2328" s="4">
        <v>13.3217905612204</v>
      </c>
      <c r="AB2328" s="4">
        <f t="shared" si="147"/>
        <v>13.3626563792497</v>
      </c>
    </row>
    <row r="2329" spans="2:28" x14ac:dyDescent="0.2">
      <c r="B2329" s="4" t="s">
        <v>1447</v>
      </c>
      <c r="C2329" s="4">
        <v>13.112399999999999</v>
      </c>
      <c r="D2329" s="4">
        <v>13.270200000000001</v>
      </c>
      <c r="E2329" s="4">
        <v>13.6044</v>
      </c>
      <c r="F2329" s="4">
        <f t="shared" si="144"/>
        <v>13.329000000000001</v>
      </c>
      <c r="I2329" s="4" t="s">
        <v>3551</v>
      </c>
      <c r="J2329" s="4">
        <v>13.122400000000001</v>
      </c>
      <c r="K2329" s="4">
        <v>13.07</v>
      </c>
      <c r="L2329" s="4">
        <v>13.766400000000001</v>
      </c>
      <c r="M2329" s="4">
        <f t="shared" si="145"/>
        <v>13.319599999999999</v>
      </c>
      <c r="Q2329" s="43" t="s">
        <v>744</v>
      </c>
      <c r="R2329" s="4">
        <v>12.932403411753</v>
      </c>
      <c r="S2329" s="4">
        <v>13.301509038147801</v>
      </c>
      <c r="T2329" s="4">
        <v>13.4673329520152</v>
      </c>
      <c r="U2329" s="4">
        <f t="shared" si="146"/>
        <v>13.233748467305332</v>
      </c>
      <c r="X2329" s="43" t="s">
        <v>3319</v>
      </c>
      <c r="Y2329" s="4">
        <v>13.477835326909601</v>
      </c>
      <c r="Z2329" s="4">
        <v>13.402110096507799</v>
      </c>
      <c r="AA2329" s="4">
        <v>13.205177244382201</v>
      </c>
      <c r="AB2329" s="4">
        <f t="shared" si="147"/>
        <v>13.361707555933201</v>
      </c>
    </row>
    <row r="2330" spans="2:28" x14ac:dyDescent="0.2">
      <c r="B2330" s="4" t="s">
        <v>2245</v>
      </c>
      <c r="C2330" s="4">
        <v>13.1808</v>
      </c>
      <c r="D2330" s="4">
        <v>13.770300000000001</v>
      </c>
      <c r="E2330" s="4">
        <v>13.0329</v>
      </c>
      <c r="F2330" s="4">
        <f t="shared" si="144"/>
        <v>13.328000000000001</v>
      </c>
      <c r="I2330" s="4" t="s">
        <v>1581</v>
      </c>
      <c r="J2330" s="4">
        <v>13.834300000000001</v>
      </c>
      <c r="K2330" s="4">
        <v>12.678000000000001</v>
      </c>
      <c r="L2330" s="4">
        <v>13.433999999999999</v>
      </c>
      <c r="M2330" s="4">
        <f t="shared" si="145"/>
        <v>13.315433333333333</v>
      </c>
      <c r="Q2330" s="43" t="s">
        <v>4572</v>
      </c>
      <c r="R2330" s="4">
        <v>13.552700757095399</v>
      </c>
      <c r="S2330" s="4">
        <v>13.2839552481522</v>
      </c>
      <c r="T2330" s="4">
        <v>12.864318164775399</v>
      </c>
      <c r="U2330" s="4">
        <f t="shared" si="146"/>
        <v>13.233658056674331</v>
      </c>
      <c r="X2330" s="43" t="s">
        <v>64</v>
      </c>
      <c r="Y2330" s="4">
        <v>13.3765679581059</v>
      </c>
      <c r="Z2330" s="4">
        <v>13.409683444472201</v>
      </c>
      <c r="AA2330" s="4">
        <v>13.2919957846975</v>
      </c>
      <c r="AB2330" s="4">
        <f t="shared" si="147"/>
        <v>13.359415729091866</v>
      </c>
    </row>
    <row r="2331" spans="2:28" x14ac:dyDescent="0.2">
      <c r="B2331" s="4" t="s">
        <v>3385</v>
      </c>
      <c r="C2331" s="4">
        <v>13.336</v>
      </c>
      <c r="D2331" s="4">
        <v>13.2262</v>
      </c>
      <c r="E2331" s="4">
        <v>13.420999999999999</v>
      </c>
      <c r="F2331" s="4">
        <f t="shared" si="144"/>
        <v>13.327733333333333</v>
      </c>
      <c r="I2331" s="4" t="s">
        <v>3964</v>
      </c>
      <c r="J2331" s="4">
        <v>13.16</v>
      </c>
      <c r="K2331" s="4">
        <v>13.422800000000001</v>
      </c>
      <c r="L2331" s="4">
        <v>13.359400000000001</v>
      </c>
      <c r="M2331" s="4">
        <f t="shared" si="145"/>
        <v>13.314066666666667</v>
      </c>
      <c r="Q2331" s="43" t="s">
        <v>1354</v>
      </c>
      <c r="R2331" s="4">
        <v>13.291408489095501</v>
      </c>
      <c r="S2331" s="4">
        <v>13.2280180033974</v>
      </c>
      <c r="T2331" s="4">
        <v>13.178903874067901</v>
      </c>
      <c r="U2331" s="4">
        <f t="shared" si="146"/>
        <v>13.232776788853601</v>
      </c>
      <c r="X2331" s="43" t="s">
        <v>3583</v>
      </c>
      <c r="Y2331" s="4">
        <v>13.384281216814101</v>
      </c>
      <c r="Z2331" s="4">
        <v>13.3657255337846</v>
      </c>
      <c r="AA2331" s="4">
        <v>13.3269687951076</v>
      </c>
      <c r="AB2331" s="4">
        <f t="shared" si="147"/>
        <v>13.358991848568769</v>
      </c>
    </row>
    <row r="2332" spans="2:28" x14ac:dyDescent="0.2">
      <c r="B2332" s="4" t="s">
        <v>1289</v>
      </c>
      <c r="C2332" s="4">
        <v>13.011100000000001</v>
      </c>
      <c r="D2332" s="4">
        <v>13.491199999999999</v>
      </c>
      <c r="E2332" s="4">
        <v>13.4796</v>
      </c>
      <c r="F2332" s="4">
        <f t="shared" si="144"/>
        <v>13.327299999999999</v>
      </c>
      <c r="I2332" s="4" t="s">
        <v>620</v>
      </c>
      <c r="J2332" s="4">
        <v>13.2042</v>
      </c>
      <c r="K2332" s="4">
        <v>13.9482</v>
      </c>
      <c r="L2332" s="4">
        <v>12.7798</v>
      </c>
      <c r="M2332" s="4">
        <f t="shared" si="145"/>
        <v>13.310733333333333</v>
      </c>
      <c r="Q2332" s="43" t="s">
        <v>3914</v>
      </c>
      <c r="R2332" s="4">
        <v>12.957964600248999</v>
      </c>
      <c r="S2332" s="4">
        <v>13.3874749855446</v>
      </c>
      <c r="T2332" s="4">
        <v>13.351488476919499</v>
      </c>
      <c r="U2332" s="4">
        <f t="shared" si="146"/>
        <v>13.232309354237699</v>
      </c>
      <c r="X2332" s="43" t="s">
        <v>4220</v>
      </c>
      <c r="Y2332" s="4">
        <v>13.3613504111533</v>
      </c>
      <c r="Z2332" s="4">
        <v>13.464151780630999</v>
      </c>
      <c r="AA2332" s="4">
        <v>13.24809332583</v>
      </c>
      <c r="AB2332" s="4">
        <f t="shared" si="147"/>
        <v>13.3578651725381</v>
      </c>
    </row>
    <row r="2333" spans="2:28" x14ac:dyDescent="0.2">
      <c r="B2333" s="4" t="s">
        <v>2258</v>
      </c>
      <c r="C2333" s="4">
        <v>13.568</v>
      </c>
      <c r="D2333" s="4">
        <v>13.503299999999999</v>
      </c>
      <c r="E2333" s="4">
        <v>12.9079</v>
      </c>
      <c r="F2333" s="4">
        <f t="shared" si="144"/>
        <v>13.3264</v>
      </c>
      <c r="I2333" s="4" t="s">
        <v>3864</v>
      </c>
      <c r="J2333" s="4">
        <v>13.478199999999999</v>
      </c>
      <c r="K2333" s="4">
        <v>13.4274</v>
      </c>
      <c r="L2333" s="4">
        <v>13.024699999999999</v>
      </c>
      <c r="M2333" s="4">
        <f t="shared" si="145"/>
        <v>13.3101</v>
      </c>
      <c r="Q2333" s="43" t="s">
        <v>4034</v>
      </c>
      <c r="R2333" s="4">
        <v>12.959083924962799</v>
      </c>
      <c r="S2333" s="4">
        <v>13.3887298952449</v>
      </c>
      <c r="T2333" s="4">
        <v>13.334889883644999</v>
      </c>
      <c r="U2333" s="4">
        <f t="shared" si="146"/>
        <v>13.227567901284232</v>
      </c>
      <c r="X2333" s="43" t="s">
        <v>3129</v>
      </c>
      <c r="Y2333" s="4">
        <v>13.255016455487601</v>
      </c>
      <c r="Z2333" s="4">
        <v>13.0749902788034</v>
      </c>
      <c r="AA2333" s="4">
        <v>13.7354521247858</v>
      </c>
      <c r="AB2333" s="4">
        <f t="shared" si="147"/>
        <v>13.3551529530256</v>
      </c>
    </row>
    <row r="2334" spans="2:28" x14ac:dyDescent="0.2">
      <c r="B2334" s="4" t="s">
        <v>3370</v>
      </c>
      <c r="C2334" s="4">
        <v>13.8682</v>
      </c>
      <c r="D2334" s="4">
        <v>12.8713</v>
      </c>
      <c r="E2334" s="4">
        <v>13.238899999999999</v>
      </c>
      <c r="F2334" s="4">
        <f t="shared" si="144"/>
        <v>13.326133333333333</v>
      </c>
      <c r="I2334" s="4" t="s">
        <v>3391</v>
      </c>
      <c r="J2334" s="4">
        <v>13.309699999999999</v>
      </c>
      <c r="K2334" s="4">
        <v>13.045500000000001</v>
      </c>
      <c r="L2334" s="4">
        <v>13.572699999999999</v>
      </c>
      <c r="M2334" s="4">
        <f t="shared" si="145"/>
        <v>13.3093</v>
      </c>
      <c r="Q2334" s="43" t="s">
        <v>3200</v>
      </c>
      <c r="R2334" s="4">
        <v>13.007774826808101</v>
      </c>
      <c r="S2334" s="4">
        <v>13.342336722064299</v>
      </c>
      <c r="T2334" s="4">
        <v>13.318953540084401</v>
      </c>
      <c r="U2334" s="4">
        <f t="shared" si="146"/>
        <v>13.223021696318932</v>
      </c>
      <c r="X2334" s="43" t="s">
        <v>3563</v>
      </c>
      <c r="Y2334" s="4">
        <v>13.5824705714601</v>
      </c>
      <c r="Z2334" s="4">
        <v>13.152473961343</v>
      </c>
      <c r="AA2334" s="4">
        <v>13.323722912592901</v>
      </c>
      <c r="AB2334" s="4">
        <f t="shared" si="147"/>
        <v>13.352889148465332</v>
      </c>
    </row>
    <row r="2335" spans="2:28" x14ac:dyDescent="0.2">
      <c r="B2335" s="4" t="s">
        <v>2773</v>
      </c>
      <c r="C2335" s="4">
        <v>13.733599999999999</v>
      </c>
      <c r="D2335" s="4">
        <v>13.032299999999999</v>
      </c>
      <c r="E2335" s="4">
        <v>13.206</v>
      </c>
      <c r="F2335" s="4">
        <f t="shared" si="144"/>
        <v>13.323966666666665</v>
      </c>
      <c r="I2335" s="4" t="s">
        <v>127</v>
      </c>
      <c r="J2335" s="4">
        <v>13.565899999999999</v>
      </c>
      <c r="K2335" s="4">
        <v>12.9</v>
      </c>
      <c r="L2335" s="4">
        <v>13.461399999999999</v>
      </c>
      <c r="M2335" s="4">
        <f t="shared" si="145"/>
        <v>13.309099999999999</v>
      </c>
      <c r="Q2335" s="43" t="s">
        <v>4273</v>
      </c>
      <c r="R2335" s="4">
        <v>13.573966870168499</v>
      </c>
      <c r="S2335" s="4">
        <v>13.3782296749343</v>
      </c>
      <c r="T2335" s="4">
        <v>12.7111474265418</v>
      </c>
      <c r="U2335" s="4">
        <f t="shared" si="146"/>
        <v>13.221114657214867</v>
      </c>
      <c r="X2335" s="43" t="s">
        <v>2781</v>
      </c>
      <c r="Y2335" s="4">
        <v>13.390271669538601</v>
      </c>
      <c r="Z2335" s="4">
        <v>13.4506483635175</v>
      </c>
      <c r="AA2335" s="4">
        <v>13.216598627683799</v>
      </c>
      <c r="AB2335" s="4">
        <f t="shared" si="147"/>
        <v>13.352506220246633</v>
      </c>
    </row>
    <row r="2336" spans="2:28" x14ac:dyDescent="0.2">
      <c r="B2336" s="4" t="s">
        <v>149</v>
      </c>
      <c r="C2336" s="4">
        <v>13.510199999999999</v>
      </c>
      <c r="D2336" s="4">
        <v>13.2433</v>
      </c>
      <c r="E2336" s="4">
        <v>13.2166</v>
      </c>
      <c r="F2336" s="4">
        <f t="shared" si="144"/>
        <v>13.323366666666667</v>
      </c>
      <c r="I2336" s="4" t="s">
        <v>2753</v>
      </c>
      <c r="J2336" s="4">
        <v>13.5947</v>
      </c>
      <c r="K2336" s="4">
        <v>12.9519</v>
      </c>
      <c r="L2336" s="4">
        <v>13.375299999999999</v>
      </c>
      <c r="M2336" s="4">
        <f t="shared" si="145"/>
        <v>13.307299999999998</v>
      </c>
      <c r="Q2336" s="43" t="s">
        <v>825</v>
      </c>
      <c r="R2336" s="4">
        <v>13.1517262324019</v>
      </c>
      <c r="S2336" s="4">
        <v>13.1408213908687</v>
      </c>
      <c r="T2336" s="4">
        <v>13.369430103405699</v>
      </c>
      <c r="U2336" s="4">
        <f t="shared" si="146"/>
        <v>13.220659242225432</v>
      </c>
      <c r="X2336" s="43" t="s">
        <v>4359</v>
      </c>
      <c r="Y2336" s="4">
        <v>13.413730818425201</v>
      </c>
      <c r="Z2336" s="4">
        <v>13.449898087509901</v>
      </c>
      <c r="AA2336" s="4">
        <v>13.190831265724301</v>
      </c>
      <c r="AB2336" s="4">
        <f t="shared" si="147"/>
        <v>13.351486723886467</v>
      </c>
    </row>
    <row r="2337" spans="2:28" x14ac:dyDescent="0.2">
      <c r="B2337" s="4" t="s">
        <v>1802</v>
      </c>
      <c r="C2337" s="4">
        <v>13.364000000000001</v>
      </c>
      <c r="D2337" s="4">
        <v>13.668100000000001</v>
      </c>
      <c r="E2337" s="4">
        <v>12.9375</v>
      </c>
      <c r="F2337" s="4">
        <f t="shared" si="144"/>
        <v>13.3232</v>
      </c>
      <c r="I2337" s="4" t="s">
        <v>2765</v>
      </c>
      <c r="J2337" s="4">
        <v>13.4594</v>
      </c>
      <c r="K2337" s="4">
        <v>13.6233</v>
      </c>
      <c r="L2337" s="4">
        <v>12.8384</v>
      </c>
      <c r="M2337" s="4">
        <f t="shared" si="145"/>
        <v>13.307033333333335</v>
      </c>
      <c r="Q2337" s="43" t="s">
        <v>2858</v>
      </c>
      <c r="R2337" s="4">
        <v>13.1504035044901</v>
      </c>
      <c r="S2337" s="4">
        <v>13.084074372533401</v>
      </c>
      <c r="T2337" s="4">
        <v>13.423301519627</v>
      </c>
      <c r="U2337" s="4">
        <f t="shared" si="146"/>
        <v>13.219259798883499</v>
      </c>
      <c r="X2337" s="43" t="s">
        <v>2388</v>
      </c>
      <c r="Y2337" s="4">
        <v>13.3243024094097</v>
      </c>
      <c r="Z2337" s="4">
        <v>13.308740604673</v>
      </c>
      <c r="AA2337" s="4">
        <v>13.412317136376</v>
      </c>
      <c r="AB2337" s="4">
        <f t="shared" si="147"/>
        <v>13.348453383486236</v>
      </c>
    </row>
    <row r="2338" spans="2:28" x14ac:dyDescent="0.2">
      <c r="B2338" s="4" t="s">
        <v>2371</v>
      </c>
      <c r="C2338" s="4">
        <v>14.018800000000001</v>
      </c>
      <c r="D2338" s="4">
        <v>13.002700000000001</v>
      </c>
      <c r="E2338" s="4">
        <v>12.939399999999999</v>
      </c>
      <c r="F2338" s="4">
        <f t="shared" si="144"/>
        <v>13.320300000000001</v>
      </c>
      <c r="I2338" s="4" t="s">
        <v>1768</v>
      </c>
      <c r="J2338" s="4">
        <v>13.168699999999999</v>
      </c>
      <c r="K2338" s="4">
        <v>13.5314</v>
      </c>
      <c r="L2338" s="4">
        <v>13.2196</v>
      </c>
      <c r="M2338" s="4">
        <f t="shared" si="145"/>
        <v>13.306566666666667</v>
      </c>
      <c r="Q2338" s="43" t="s">
        <v>4290</v>
      </c>
      <c r="R2338" s="4">
        <v>12.926099561235199</v>
      </c>
      <c r="S2338" s="4">
        <v>13.3215783586258</v>
      </c>
      <c r="T2338" s="4">
        <v>13.408268461351399</v>
      </c>
      <c r="U2338" s="4">
        <f t="shared" si="146"/>
        <v>13.218648793737465</v>
      </c>
      <c r="X2338" s="43" t="s">
        <v>4086</v>
      </c>
      <c r="Y2338" s="4">
        <v>13.4271961978838</v>
      </c>
      <c r="Z2338" s="4">
        <v>13.4971485312082</v>
      </c>
      <c r="AA2338" s="4">
        <v>13.1190617164558</v>
      </c>
      <c r="AB2338" s="4">
        <f t="shared" si="147"/>
        <v>13.347802148515933</v>
      </c>
    </row>
    <row r="2339" spans="2:28" x14ac:dyDescent="0.2">
      <c r="B2339" s="4" t="s">
        <v>2421</v>
      </c>
      <c r="C2339" s="4">
        <v>13.1098</v>
      </c>
      <c r="D2339" s="4">
        <v>13.256399999999999</v>
      </c>
      <c r="E2339" s="4">
        <v>13.593500000000001</v>
      </c>
      <c r="F2339" s="4">
        <f t="shared" si="144"/>
        <v>13.319899999999999</v>
      </c>
      <c r="I2339" s="4" t="s">
        <v>3277</v>
      </c>
      <c r="J2339" s="4">
        <v>13.292999999999999</v>
      </c>
      <c r="K2339" s="4">
        <v>13.290900000000001</v>
      </c>
      <c r="L2339" s="4">
        <v>13.3314</v>
      </c>
      <c r="M2339" s="4">
        <f t="shared" si="145"/>
        <v>13.305100000000001</v>
      </c>
      <c r="Q2339" s="43" t="s">
        <v>701</v>
      </c>
      <c r="R2339" s="4">
        <v>12.1030935428448</v>
      </c>
      <c r="S2339" s="4">
        <v>13.9821882454497</v>
      </c>
      <c r="T2339" s="4">
        <v>13.5677373393446</v>
      </c>
      <c r="U2339" s="4">
        <f t="shared" si="146"/>
        <v>13.217673042546366</v>
      </c>
      <c r="X2339" s="43" t="s">
        <v>4581</v>
      </c>
      <c r="Y2339" s="4">
        <v>13.2790495468969</v>
      </c>
      <c r="Z2339" s="4">
        <v>13.408389448609899</v>
      </c>
      <c r="AA2339" s="4">
        <v>13.3555481435793</v>
      </c>
      <c r="AB2339" s="4">
        <f t="shared" si="147"/>
        <v>13.347662379695366</v>
      </c>
    </row>
    <row r="2340" spans="2:28" x14ac:dyDescent="0.2">
      <c r="B2340" s="4" t="s">
        <v>2908</v>
      </c>
      <c r="C2340" s="4">
        <v>12.681100000000001</v>
      </c>
      <c r="D2340" s="4">
        <v>13.3933</v>
      </c>
      <c r="E2340" s="4">
        <v>13.880100000000001</v>
      </c>
      <c r="F2340" s="4">
        <f t="shared" si="144"/>
        <v>13.318166666666668</v>
      </c>
      <c r="I2340" s="4" t="s">
        <v>363</v>
      </c>
      <c r="J2340" s="4">
        <v>12.1709</v>
      </c>
      <c r="K2340" s="4">
        <v>14.125999999999999</v>
      </c>
      <c r="L2340" s="4">
        <v>13.6175</v>
      </c>
      <c r="M2340" s="4">
        <f t="shared" si="145"/>
        <v>13.3048</v>
      </c>
      <c r="Q2340" s="43" t="s">
        <v>3094</v>
      </c>
      <c r="R2340" s="4">
        <v>12.880343009597</v>
      </c>
      <c r="S2340" s="4">
        <v>13.368543028291599</v>
      </c>
      <c r="T2340" s="4">
        <v>13.396439256173</v>
      </c>
      <c r="U2340" s="4">
        <f t="shared" si="146"/>
        <v>13.215108431353867</v>
      </c>
      <c r="X2340" s="43" t="s">
        <v>772</v>
      </c>
      <c r="Y2340" s="4">
        <v>13.3470872173584</v>
      </c>
      <c r="Z2340" s="4">
        <v>13.3577891166186</v>
      </c>
      <c r="AA2340" s="4">
        <v>13.3277093888103</v>
      </c>
      <c r="AB2340" s="4">
        <f t="shared" si="147"/>
        <v>13.344195240929098</v>
      </c>
    </row>
    <row r="2341" spans="2:28" x14ac:dyDescent="0.2">
      <c r="B2341" s="4" t="s">
        <v>3575</v>
      </c>
      <c r="C2341" s="4">
        <v>13.459099999999999</v>
      </c>
      <c r="D2341" s="4">
        <v>13.220599999999999</v>
      </c>
      <c r="E2341" s="4">
        <v>13.272600000000001</v>
      </c>
      <c r="F2341" s="4">
        <f t="shared" si="144"/>
        <v>13.317433333333332</v>
      </c>
      <c r="I2341" s="4" t="s">
        <v>1243</v>
      </c>
      <c r="J2341" s="4">
        <v>13.1517</v>
      </c>
      <c r="K2341" s="4">
        <v>13.7662</v>
      </c>
      <c r="L2341" s="4">
        <v>12.9938</v>
      </c>
      <c r="M2341" s="4">
        <f t="shared" si="145"/>
        <v>13.303899999999999</v>
      </c>
      <c r="Q2341" s="43" t="s">
        <v>950</v>
      </c>
      <c r="R2341" s="4">
        <v>12.9526192576496</v>
      </c>
      <c r="S2341" s="4">
        <v>13.347116569187801</v>
      </c>
      <c r="T2341" s="4">
        <v>13.340026643301901</v>
      </c>
      <c r="U2341" s="4">
        <f t="shared" si="146"/>
        <v>13.2132541567131</v>
      </c>
      <c r="X2341" s="43" t="s">
        <v>3711</v>
      </c>
      <c r="Y2341" s="4">
        <v>13.1269719614231</v>
      </c>
      <c r="Z2341" s="4">
        <v>13.5615485390644</v>
      </c>
      <c r="AA2341" s="4">
        <v>13.3420577970954</v>
      </c>
      <c r="AB2341" s="4">
        <f t="shared" si="147"/>
        <v>13.3435260991943</v>
      </c>
    </row>
    <row r="2342" spans="2:28" x14ac:dyDescent="0.2">
      <c r="B2342" s="4" t="s">
        <v>464</v>
      </c>
      <c r="C2342" s="4">
        <v>13.2143</v>
      </c>
      <c r="D2342" s="4">
        <v>13.436299999999999</v>
      </c>
      <c r="E2342" s="4">
        <v>13.2981</v>
      </c>
      <c r="F2342" s="4">
        <f t="shared" si="144"/>
        <v>13.316233333333331</v>
      </c>
      <c r="I2342" s="4" t="s">
        <v>3154</v>
      </c>
      <c r="J2342" s="4">
        <v>13.4587</v>
      </c>
      <c r="K2342" s="4">
        <v>13.864100000000001</v>
      </c>
      <c r="L2342" s="4">
        <v>12.585900000000001</v>
      </c>
      <c r="M2342" s="4">
        <f t="shared" si="145"/>
        <v>13.302900000000001</v>
      </c>
      <c r="Q2342" s="43" t="s">
        <v>4603</v>
      </c>
      <c r="R2342" s="4">
        <v>13.1261209401109</v>
      </c>
      <c r="S2342" s="4">
        <v>13.405248533421</v>
      </c>
      <c r="T2342" s="4">
        <v>13.105234809175199</v>
      </c>
      <c r="U2342" s="4">
        <f t="shared" si="146"/>
        <v>13.212201427569033</v>
      </c>
      <c r="X2342" s="43" t="s">
        <v>4584</v>
      </c>
      <c r="Y2342" s="4">
        <v>13.3280587104402</v>
      </c>
      <c r="Z2342" s="4">
        <v>13.307207160195601</v>
      </c>
      <c r="AA2342" s="4">
        <v>13.385670772431</v>
      </c>
      <c r="AB2342" s="4">
        <f t="shared" si="147"/>
        <v>13.340312214355599</v>
      </c>
    </row>
    <row r="2343" spans="2:28" x14ac:dyDescent="0.2">
      <c r="B2343" s="4" t="s">
        <v>232</v>
      </c>
      <c r="C2343" s="4">
        <v>13.2277</v>
      </c>
      <c r="D2343" s="4">
        <v>13.159700000000001</v>
      </c>
      <c r="E2343" s="4">
        <v>13.5573</v>
      </c>
      <c r="F2343" s="4">
        <f t="shared" si="144"/>
        <v>13.3149</v>
      </c>
      <c r="I2343" s="4" t="s">
        <v>3907</v>
      </c>
      <c r="J2343" s="4">
        <v>12.8992</v>
      </c>
      <c r="K2343" s="4">
        <v>14.3687</v>
      </c>
      <c r="L2343" s="4">
        <v>12.635400000000001</v>
      </c>
      <c r="M2343" s="4">
        <f t="shared" si="145"/>
        <v>13.3011</v>
      </c>
      <c r="Q2343" s="43" t="s">
        <v>1860</v>
      </c>
      <c r="R2343" s="4">
        <v>13.4544256872795</v>
      </c>
      <c r="S2343" s="4">
        <v>13.127943199330399</v>
      </c>
      <c r="T2343" s="4">
        <v>13.0520565259049</v>
      </c>
      <c r="U2343" s="4">
        <f t="shared" si="146"/>
        <v>13.211475137504934</v>
      </c>
      <c r="X2343" s="43" t="s">
        <v>1746</v>
      </c>
      <c r="Y2343" s="4">
        <v>13.2950263331052</v>
      </c>
      <c r="Z2343" s="4">
        <v>13.151343962058</v>
      </c>
      <c r="AA2343" s="4">
        <v>13.574276340943801</v>
      </c>
      <c r="AB2343" s="4">
        <f t="shared" si="147"/>
        <v>13.340215545369</v>
      </c>
    </row>
    <row r="2344" spans="2:28" x14ac:dyDescent="0.2">
      <c r="B2344" s="4" t="s">
        <v>3363</v>
      </c>
      <c r="C2344" s="4">
        <v>13.3445</v>
      </c>
      <c r="D2344" s="4">
        <v>13.4435</v>
      </c>
      <c r="E2344" s="4">
        <v>13.1456</v>
      </c>
      <c r="F2344" s="4">
        <f t="shared" si="144"/>
        <v>13.311199999999999</v>
      </c>
      <c r="I2344" s="4" t="s">
        <v>2127</v>
      </c>
      <c r="J2344" s="4">
        <v>13.2997</v>
      </c>
      <c r="K2344" s="4">
        <v>12.884499999999999</v>
      </c>
      <c r="L2344" s="4">
        <v>13.7151</v>
      </c>
      <c r="M2344" s="4">
        <f t="shared" si="145"/>
        <v>13.299766666666665</v>
      </c>
      <c r="Q2344" s="43" t="s">
        <v>1795</v>
      </c>
      <c r="R2344" s="4">
        <v>12.7484257498524</v>
      </c>
      <c r="S2344" s="4">
        <v>13.451382702630299</v>
      </c>
      <c r="T2344" s="4">
        <v>13.4326098003078</v>
      </c>
      <c r="U2344" s="4">
        <f t="shared" si="146"/>
        <v>13.210806084263501</v>
      </c>
      <c r="X2344" s="43" t="s">
        <v>137</v>
      </c>
      <c r="Y2344" s="4">
        <v>13.2391175950606</v>
      </c>
      <c r="Z2344" s="4">
        <v>13.5059018823634</v>
      </c>
      <c r="AA2344" s="4">
        <v>13.2728112690099</v>
      </c>
      <c r="AB2344" s="4">
        <f t="shared" si="147"/>
        <v>13.339276915477967</v>
      </c>
    </row>
    <row r="2345" spans="2:28" x14ac:dyDescent="0.2">
      <c r="B2345" s="4" t="s">
        <v>1751</v>
      </c>
      <c r="C2345" s="4">
        <v>13.1593</v>
      </c>
      <c r="D2345" s="4">
        <v>13.523400000000001</v>
      </c>
      <c r="E2345" s="4">
        <v>13.2501</v>
      </c>
      <c r="F2345" s="4">
        <f t="shared" si="144"/>
        <v>13.310933333333333</v>
      </c>
      <c r="I2345" s="4" t="s">
        <v>290</v>
      </c>
      <c r="J2345" s="4">
        <v>14.193</v>
      </c>
      <c r="K2345" s="4">
        <v>12.020899999999999</v>
      </c>
      <c r="L2345" s="4">
        <v>13.6761</v>
      </c>
      <c r="M2345" s="4">
        <f t="shared" si="145"/>
        <v>13.296666666666667</v>
      </c>
      <c r="Q2345" s="43" t="s">
        <v>1405</v>
      </c>
      <c r="R2345" s="4">
        <v>12.821048569559499</v>
      </c>
      <c r="S2345" s="4">
        <v>13.2057376034491</v>
      </c>
      <c r="T2345" s="4">
        <v>13.605116930432199</v>
      </c>
      <c r="U2345" s="4">
        <f t="shared" si="146"/>
        <v>13.210634367813599</v>
      </c>
      <c r="X2345" s="43" t="s">
        <v>801</v>
      </c>
      <c r="Y2345" s="4">
        <v>13.4115126949446</v>
      </c>
      <c r="Z2345" s="4">
        <v>13.2062910986907</v>
      </c>
      <c r="AA2345" s="4">
        <v>13.398466409724399</v>
      </c>
      <c r="AB2345" s="4">
        <f t="shared" si="147"/>
        <v>13.338756734453233</v>
      </c>
    </row>
    <row r="2346" spans="2:28" x14ac:dyDescent="0.2">
      <c r="B2346" s="4" t="s">
        <v>4072</v>
      </c>
      <c r="C2346" s="4">
        <v>12.9549</v>
      </c>
      <c r="D2346" s="4">
        <v>13.5947</v>
      </c>
      <c r="E2346" s="4">
        <v>13.3813</v>
      </c>
      <c r="F2346" s="4">
        <f t="shared" si="144"/>
        <v>13.310299999999998</v>
      </c>
      <c r="I2346" s="4" t="s">
        <v>2804</v>
      </c>
      <c r="J2346" s="4">
        <v>13.499499999999999</v>
      </c>
      <c r="K2346" s="4">
        <v>12.949299999999999</v>
      </c>
      <c r="L2346" s="4">
        <v>13.439</v>
      </c>
      <c r="M2346" s="4">
        <f t="shared" si="145"/>
        <v>13.295933333333332</v>
      </c>
      <c r="Q2346" s="43" t="s">
        <v>4257</v>
      </c>
      <c r="R2346" s="4">
        <v>12.790719156941501</v>
      </c>
      <c r="S2346" s="4">
        <v>13.6875562347856</v>
      </c>
      <c r="T2346" s="4">
        <v>13.1518243241972</v>
      </c>
      <c r="U2346" s="4">
        <f t="shared" si="146"/>
        <v>13.210033238641435</v>
      </c>
      <c r="X2346" s="43" t="s">
        <v>1429</v>
      </c>
      <c r="Y2346" s="4">
        <v>13.3477802467991</v>
      </c>
      <c r="Z2346" s="4">
        <v>13.224151173121101</v>
      </c>
      <c r="AA2346" s="4">
        <v>13.441697325583499</v>
      </c>
      <c r="AB2346" s="4">
        <f t="shared" si="147"/>
        <v>13.337876248501233</v>
      </c>
    </row>
    <row r="2347" spans="2:28" x14ac:dyDescent="0.2">
      <c r="B2347" s="4" t="s">
        <v>3824</v>
      </c>
      <c r="C2347" s="4">
        <v>13.266500000000001</v>
      </c>
      <c r="D2347" s="4">
        <v>13.8781</v>
      </c>
      <c r="E2347" s="4">
        <v>12.785399999999999</v>
      </c>
      <c r="F2347" s="4">
        <f t="shared" si="144"/>
        <v>13.31</v>
      </c>
      <c r="I2347" s="4" t="s">
        <v>2770</v>
      </c>
      <c r="J2347" s="4">
        <v>13.454599999999999</v>
      </c>
      <c r="K2347" s="4">
        <v>13.3659</v>
      </c>
      <c r="L2347" s="4">
        <v>13.061999999999999</v>
      </c>
      <c r="M2347" s="4">
        <f t="shared" si="145"/>
        <v>13.294166666666667</v>
      </c>
      <c r="Q2347" s="43" t="s">
        <v>4292</v>
      </c>
      <c r="R2347" s="4">
        <v>13.582098469507301</v>
      </c>
      <c r="S2347" s="4">
        <v>12.907086113618</v>
      </c>
      <c r="T2347" s="4">
        <v>13.1386025988505</v>
      </c>
      <c r="U2347" s="4">
        <f t="shared" si="146"/>
        <v>13.209262393991935</v>
      </c>
      <c r="X2347" s="43" t="s">
        <v>3605</v>
      </c>
      <c r="Y2347" s="4">
        <v>13.300448701842299</v>
      </c>
      <c r="Z2347" s="4">
        <v>13.3122021316944</v>
      </c>
      <c r="AA2347" s="4">
        <v>13.3979512914882</v>
      </c>
      <c r="AB2347" s="4">
        <f t="shared" si="147"/>
        <v>13.336867375008298</v>
      </c>
    </row>
    <row r="2348" spans="2:28" x14ac:dyDescent="0.2">
      <c r="B2348" s="4" t="s">
        <v>3408</v>
      </c>
      <c r="C2348" s="4">
        <v>13.145099999999999</v>
      </c>
      <c r="D2348" s="4">
        <v>13.6875</v>
      </c>
      <c r="E2348" s="4">
        <v>13.095700000000001</v>
      </c>
      <c r="F2348" s="4">
        <f t="shared" si="144"/>
        <v>13.309433333333333</v>
      </c>
      <c r="I2348" s="4" t="s">
        <v>2786</v>
      </c>
      <c r="J2348" s="4">
        <v>13.0329</v>
      </c>
      <c r="K2348" s="4">
        <v>14.1646</v>
      </c>
      <c r="L2348" s="4">
        <v>12.683</v>
      </c>
      <c r="M2348" s="4">
        <f t="shared" si="145"/>
        <v>13.2935</v>
      </c>
      <c r="Q2348" s="43" t="s">
        <v>3795</v>
      </c>
      <c r="R2348" s="4">
        <v>13.133597794444601</v>
      </c>
      <c r="S2348" s="4">
        <v>13.257777717391001</v>
      </c>
      <c r="T2348" s="4">
        <v>13.230276727041399</v>
      </c>
      <c r="U2348" s="4">
        <f t="shared" si="146"/>
        <v>13.207217412959002</v>
      </c>
      <c r="X2348" s="43" t="s">
        <v>1159</v>
      </c>
      <c r="Y2348" s="4">
        <v>13.479739238417</v>
      </c>
      <c r="Z2348" s="4">
        <v>13.5829052665026</v>
      </c>
      <c r="AA2348" s="4">
        <v>12.9439195122673</v>
      </c>
      <c r="AB2348" s="4">
        <f t="shared" si="147"/>
        <v>13.335521339062302</v>
      </c>
    </row>
    <row r="2349" spans="2:28" x14ac:dyDescent="0.2">
      <c r="B2349" s="4" t="s">
        <v>2487</v>
      </c>
      <c r="C2349" s="4">
        <v>13.43</v>
      </c>
      <c r="D2349" s="4">
        <v>13.129300000000001</v>
      </c>
      <c r="E2349" s="4">
        <v>13.358499999999999</v>
      </c>
      <c r="F2349" s="4">
        <f t="shared" si="144"/>
        <v>13.305933333333334</v>
      </c>
      <c r="I2349" s="4" t="s">
        <v>1509</v>
      </c>
      <c r="J2349" s="4">
        <v>13.518700000000001</v>
      </c>
      <c r="K2349" s="4">
        <v>12.9283</v>
      </c>
      <c r="L2349" s="4">
        <v>13.431900000000001</v>
      </c>
      <c r="M2349" s="4">
        <f t="shared" si="145"/>
        <v>13.292966666666667</v>
      </c>
      <c r="Q2349" s="43" t="s">
        <v>4286</v>
      </c>
      <c r="R2349" s="4">
        <v>13.4092044060836</v>
      </c>
      <c r="S2349" s="4">
        <v>12.9315056322888</v>
      </c>
      <c r="T2349" s="4">
        <v>13.275383045088301</v>
      </c>
      <c r="U2349" s="4">
        <f t="shared" si="146"/>
        <v>13.205364361153565</v>
      </c>
      <c r="X2349" s="43" t="s">
        <v>515</v>
      </c>
      <c r="Y2349" s="4">
        <v>13.6170958851819</v>
      </c>
      <c r="Z2349" s="4">
        <v>13.315758365492901</v>
      </c>
      <c r="AA2349" s="4">
        <v>13.0709013307336</v>
      </c>
      <c r="AB2349" s="4">
        <f t="shared" si="147"/>
        <v>13.3345851938028</v>
      </c>
    </row>
    <row r="2350" spans="2:28" x14ac:dyDescent="0.2">
      <c r="B2350" s="4" t="s">
        <v>3628</v>
      </c>
      <c r="C2350" s="4">
        <v>13.007400000000001</v>
      </c>
      <c r="D2350" s="4">
        <v>13.3927</v>
      </c>
      <c r="E2350" s="4">
        <v>13.512700000000001</v>
      </c>
      <c r="F2350" s="4">
        <f t="shared" si="144"/>
        <v>13.304266666666669</v>
      </c>
      <c r="I2350" s="4" t="s">
        <v>3996</v>
      </c>
      <c r="J2350" s="4">
        <v>12.8482</v>
      </c>
      <c r="K2350" s="4">
        <v>13.729100000000001</v>
      </c>
      <c r="L2350" s="4">
        <v>13.2994</v>
      </c>
      <c r="M2350" s="4">
        <f t="shared" si="145"/>
        <v>13.292233333333334</v>
      </c>
      <c r="Q2350" s="43" t="s">
        <v>4499</v>
      </c>
      <c r="R2350" s="4">
        <v>13.1773850844446</v>
      </c>
      <c r="S2350" s="4">
        <v>13.1193399120324</v>
      </c>
      <c r="T2350" s="4">
        <v>13.3155349722729</v>
      </c>
      <c r="U2350" s="4">
        <f t="shared" si="146"/>
        <v>13.204086656249965</v>
      </c>
      <c r="X2350" s="43" t="s">
        <v>3798</v>
      </c>
      <c r="Y2350" s="4">
        <v>13.1887977543955</v>
      </c>
      <c r="Z2350" s="4">
        <v>13.391324443341</v>
      </c>
      <c r="AA2350" s="4">
        <v>13.419691304487801</v>
      </c>
      <c r="AB2350" s="4">
        <f t="shared" si="147"/>
        <v>13.3332711674081</v>
      </c>
    </row>
    <row r="2351" spans="2:28" x14ac:dyDescent="0.2">
      <c r="B2351" s="4" t="s">
        <v>3393</v>
      </c>
      <c r="C2351" s="4">
        <v>13.516</v>
      </c>
      <c r="D2351" s="4">
        <v>13.3536</v>
      </c>
      <c r="E2351" s="4">
        <v>13.039199999999999</v>
      </c>
      <c r="F2351" s="4">
        <f t="shared" si="144"/>
        <v>13.302933333333334</v>
      </c>
      <c r="I2351" s="4" t="s">
        <v>3736</v>
      </c>
      <c r="J2351" s="4">
        <v>13.141299999999999</v>
      </c>
      <c r="K2351" s="4">
        <v>13.5784</v>
      </c>
      <c r="L2351" s="4">
        <v>13.156700000000001</v>
      </c>
      <c r="M2351" s="4">
        <f t="shared" si="145"/>
        <v>13.292133333333334</v>
      </c>
      <c r="Q2351" s="43" t="s">
        <v>2379</v>
      </c>
      <c r="R2351" s="4">
        <v>13.2491118315672</v>
      </c>
      <c r="S2351" s="4">
        <v>13.2827287526262</v>
      </c>
      <c r="T2351" s="4">
        <v>13.0794685352296</v>
      </c>
      <c r="U2351" s="4">
        <f t="shared" si="146"/>
        <v>13.203769706474333</v>
      </c>
      <c r="X2351" s="43" t="s">
        <v>3313</v>
      </c>
      <c r="Y2351" s="4">
        <v>13.373551005794299</v>
      </c>
      <c r="Z2351" s="4">
        <v>13.1864208518816</v>
      </c>
      <c r="AA2351" s="4">
        <v>13.4346477446101</v>
      </c>
      <c r="AB2351" s="4">
        <f t="shared" si="147"/>
        <v>13.331539867428665</v>
      </c>
    </row>
    <row r="2352" spans="2:28" x14ac:dyDescent="0.2">
      <c r="B2352" s="4" t="s">
        <v>3960</v>
      </c>
      <c r="C2352" s="4">
        <v>13.829800000000001</v>
      </c>
      <c r="D2352" s="4">
        <v>13.439299999999999</v>
      </c>
      <c r="E2352" s="4">
        <v>12.6343</v>
      </c>
      <c r="F2352" s="4">
        <f t="shared" si="144"/>
        <v>13.301133333333334</v>
      </c>
      <c r="I2352" s="4" t="s">
        <v>3767</v>
      </c>
      <c r="J2352" s="4">
        <v>13.6533</v>
      </c>
      <c r="K2352" s="4">
        <v>13.1988</v>
      </c>
      <c r="L2352" s="4">
        <v>13.020200000000001</v>
      </c>
      <c r="M2352" s="4">
        <f t="shared" si="145"/>
        <v>13.290766666666668</v>
      </c>
      <c r="Q2352" s="43" t="s">
        <v>2382</v>
      </c>
      <c r="R2352" s="4">
        <v>12.9359165514614</v>
      </c>
      <c r="S2352" s="4">
        <v>13.357310223240299</v>
      </c>
      <c r="T2352" s="4">
        <v>13.3157496300262</v>
      </c>
      <c r="U2352" s="4">
        <f t="shared" si="146"/>
        <v>13.2029921349093</v>
      </c>
      <c r="X2352" s="43" t="s">
        <v>2806</v>
      </c>
      <c r="Y2352" s="4">
        <v>13.444290645209399</v>
      </c>
      <c r="Z2352" s="4">
        <v>13.257675697703201</v>
      </c>
      <c r="AA2352" s="4">
        <v>13.2890842394408</v>
      </c>
      <c r="AB2352" s="4">
        <f t="shared" si="147"/>
        <v>13.330350194117798</v>
      </c>
    </row>
    <row r="2353" spans="2:28" x14ac:dyDescent="0.2">
      <c r="B2353" s="4" t="s">
        <v>1483</v>
      </c>
      <c r="C2353" s="4">
        <v>13.225300000000001</v>
      </c>
      <c r="D2353" s="4">
        <v>12.9109</v>
      </c>
      <c r="E2353" s="4">
        <v>13.7607</v>
      </c>
      <c r="F2353" s="4">
        <f t="shared" si="144"/>
        <v>13.298966666666667</v>
      </c>
      <c r="I2353" s="4" t="s">
        <v>2520</v>
      </c>
      <c r="J2353" s="4">
        <v>13.2372</v>
      </c>
      <c r="K2353" s="4">
        <v>13.296200000000001</v>
      </c>
      <c r="L2353" s="4">
        <v>13.332599999999999</v>
      </c>
      <c r="M2353" s="4">
        <f t="shared" si="145"/>
        <v>13.288666666666666</v>
      </c>
      <c r="Q2353" s="43" t="s">
        <v>3054</v>
      </c>
      <c r="R2353" s="4">
        <v>13.2370977862067</v>
      </c>
      <c r="S2353" s="4">
        <v>13.2493524489912</v>
      </c>
      <c r="T2353" s="4">
        <v>13.121662271220799</v>
      </c>
      <c r="U2353" s="4">
        <f t="shared" si="146"/>
        <v>13.202704168806234</v>
      </c>
      <c r="X2353" s="43" t="s">
        <v>3845</v>
      </c>
      <c r="Y2353" s="4">
        <v>13.2504500494362</v>
      </c>
      <c r="Z2353" s="4">
        <v>13.309833981189</v>
      </c>
      <c r="AA2353" s="4">
        <v>13.429922480598901</v>
      </c>
      <c r="AB2353" s="4">
        <f t="shared" si="147"/>
        <v>13.3300688370747</v>
      </c>
    </row>
    <row r="2354" spans="2:28" x14ac:dyDescent="0.2">
      <c r="B2354" s="4" t="s">
        <v>300</v>
      </c>
      <c r="C2354" s="4">
        <v>13.026300000000001</v>
      </c>
      <c r="D2354" s="4">
        <v>12.9941</v>
      </c>
      <c r="E2354" s="4">
        <v>13.873900000000001</v>
      </c>
      <c r="F2354" s="4">
        <f t="shared" si="144"/>
        <v>13.2981</v>
      </c>
      <c r="I2354" s="4" t="s">
        <v>1477</v>
      </c>
      <c r="J2354" s="4">
        <v>13.141</v>
      </c>
      <c r="K2354" s="4">
        <v>13.712999999999999</v>
      </c>
      <c r="L2354" s="4">
        <v>13.0077</v>
      </c>
      <c r="M2354" s="4">
        <f t="shared" si="145"/>
        <v>13.287233333333333</v>
      </c>
      <c r="Q2354" s="43" t="s">
        <v>3012</v>
      </c>
      <c r="R2354" s="4">
        <v>13.034391825049299</v>
      </c>
      <c r="S2354" s="4">
        <v>13.2614018274563</v>
      </c>
      <c r="T2354" s="4">
        <v>13.3077550761382</v>
      </c>
      <c r="U2354" s="4">
        <f t="shared" si="146"/>
        <v>13.201182909547933</v>
      </c>
      <c r="X2354" s="43" t="s">
        <v>2296</v>
      </c>
      <c r="Y2354" s="4">
        <v>13.3907070397903</v>
      </c>
      <c r="Z2354" s="4">
        <v>13.267953822092499</v>
      </c>
      <c r="AA2354" s="4">
        <v>13.3311229014703</v>
      </c>
      <c r="AB2354" s="4">
        <f t="shared" si="147"/>
        <v>13.329927921117701</v>
      </c>
    </row>
    <row r="2355" spans="2:28" x14ac:dyDescent="0.2">
      <c r="B2355" s="4" t="s">
        <v>886</v>
      </c>
      <c r="C2355" s="4">
        <v>13.694900000000001</v>
      </c>
      <c r="D2355" s="4">
        <v>13.086499999999999</v>
      </c>
      <c r="E2355" s="4">
        <v>13.110799999999999</v>
      </c>
      <c r="F2355" s="4">
        <f t="shared" si="144"/>
        <v>13.297399999999998</v>
      </c>
      <c r="I2355" s="4" t="s">
        <v>222</v>
      </c>
      <c r="J2355" s="4">
        <v>13.1806</v>
      </c>
      <c r="K2355" s="4">
        <v>13.805300000000001</v>
      </c>
      <c r="L2355" s="4">
        <v>12.8749</v>
      </c>
      <c r="M2355" s="4">
        <f t="shared" si="145"/>
        <v>13.286933333333332</v>
      </c>
      <c r="Q2355" s="43" t="s">
        <v>967</v>
      </c>
      <c r="R2355" s="4">
        <v>13.8168436788186</v>
      </c>
      <c r="S2355" s="4">
        <v>12.8989126943861</v>
      </c>
      <c r="T2355" s="4">
        <v>12.8841647411802</v>
      </c>
      <c r="U2355" s="4">
        <f t="shared" si="146"/>
        <v>13.199973704794965</v>
      </c>
      <c r="X2355" s="43" t="s">
        <v>2273</v>
      </c>
      <c r="Y2355" s="4">
        <v>13.5138056946386</v>
      </c>
      <c r="Z2355" s="4">
        <v>13.471149167517</v>
      </c>
      <c r="AA2355" s="4">
        <v>13.0040012059431</v>
      </c>
      <c r="AB2355" s="4">
        <f t="shared" si="147"/>
        <v>13.329652022699568</v>
      </c>
    </row>
    <row r="2356" spans="2:28" x14ac:dyDescent="0.2">
      <c r="B2356" s="4" t="s">
        <v>1862</v>
      </c>
      <c r="C2356" s="4">
        <v>13.6266</v>
      </c>
      <c r="D2356" s="4">
        <v>13.177099999999999</v>
      </c>
      <c r="E2356" s="4">
        <v>13.0884</v>
      </c>
      <c r="F2356" s="4">
        <f t="shared" si="144"/>
        <v>13.297366666666667</v>
      </c>
      <c r="I2356" s="4" t="s">
        <v>2646</v>
      </c>
      <c r="J2356" s="4">
        <v>13.557399999999999</v>
      </c>
      <c r="K2356" s="4">
        <v>12.683999999999999</v>
      </c>
      <c r="L2356" s="4">
        <v>13.6188</v>
      </c>
      <c r="M2356" s="4">
        <f t="shared" si="145"/>
        <v>13.286733333333332</v>
      </c>
      <c r="Q2356" s="43" t="s">
        <v>4475</v>
      </c>
      <c r="R2356" s="4">
        <v>13.230224654037499</v>
      </c>
      <c r="S2356" s="4">
        <v>13.057407194164</v>
      </c>
      <c r="T2356" s="4">
        <v>13.310588392072701</v>
      </c>
      <c r="U2356" s="4">
        <f t="shared" si="146"/>
        <v>13.199406746758067</v>
      </c>
      <c r="X2356" s="43" t="s">
        <v>840</v>
      </c>
      <c r="Y2356" s="4">
        <v>13.173996021117601</v>
      </c>
      <c r="Z2356" s="4">
        <v>13.3275982550487</v>
      </c>
      <c r="AA2356" s="4">
        <v>13.4867183600636</v>
      </c>
      <c r="AB2356" s="4">
        <f t="shared" si="147"/>
        <v>13.329437545409967</v>
      </c>
    </row>
    <row r="2357" spans="2:28" x14ac:dyDescent="0.2">
      <c r="B2357" s="4" t="s">
        <v>924</v>
      </c>
      <c r="C2357" s="4">
        <v>13.7934</v>
      </c>
      <c r="D2357" s="4">
        <v>13.138500000000001</v>
      </c>
      <c r="E2357" s="4">
        <v>12.9573</v>
      </c>
      <c r="F2357" s="4">
        <f t="shared" si="144"/>
        <v>13.2964</v>
      </c>
      <c r="I2357" s="4" t="s">
        <v>4020</v>
      </c>
      <c r="J2357" s="4">
        <v>13.433400000000001</v>
      </c>
      <c r="K2357" s="4">
        <v>12.8378</v>
      </c>
      <c r="L2357" s="4">
        <v>13.588900000000001</v>
      </c>
      <c r="M2357" s="4">
        <f t="shared" si="145"/>
        <v>13.286700000000002</v>
      </c>
      <c r="Q2357" s="43" t="s">
        <v>4328</v>
      </c>
      <c r="R2357" s="4">
        <v>13.154391598055</v>
      </c>
      <c r="S2357" s="4">
        <v>13.1338325228618</v>
      </c>
      <c r="T2357" s="4">
        <v>13.297871316576799</v>
      </c>
      <c r="U2357" s="4">
        <f t="shared" si="146"/>
        <v>13.195365145831198</v>
      </c>
      <c r="X2357" s="43" t="s">
        <v>2041</v>
      </c>
      <c r="Y2357" s="4">
        <v>13.2559485742192</v>
      </c>
      <c r="Z2357" s="4">
        <v>13.422503803983</v>
      </c>
      <c r="AA2357" s="4">
        <v>13.308468643890199</v>
      </c>
      <c r="AB2357" s="4">
        <f t="shared" si="147"/>
        <v>13.3289736740308</v>
      </c>
    </row>
    <row r="2358" spans="2:28" x14ac:dyDescent="0.2">
      <c r="B2358" s="4" t="s">
        <v>3359</v>
      </c>
      <c r="C2358" s="4">
        <v>13.3354</v>
      </c>
      <c r="D2358" s="4">
        <v>12.9924</v>
      </c>
      <c r="E2358" s="4">
        <v>13.5604</v>
      </c>
      <c r="F2358" s="4">
        <f t="shared" si="144"/>
        <v>13.296066666666666</v>
      </c>
      <c r="I2358" s="4" t="s">
        <v>2112</v>
      </c>
      <c r="J2358" s="4">
        <v>13.2918</v>
      </c>
      <c r="K2358" s="4">
        <v>13.2019</v>
      </c>
      <c r="L2358" s="4">
        <v>13.364699999999999</v>
      </c>
      <c r="M2358" s="4">
        <f t="shared" si="145"/>
        <v>13.286133333333334</v>
      </c>
      <c r="Q2358" s="43" t="s">
        <v>4401</v>
      </c>
      <c r="R2358" s="4">
        <v>13.5217265512215</v>
      </c>
      <c r="S2358" s="4">
        <v>13.098618648477199</v>
      </c>
      <c r="T2358" s="4">
        <v>12.962192636361101</v>
      </c>
      <c r="U2358" s="4">
        <f t="shared" si="146"/>
        <v>13.194179278686599</v>
      </c>
      <c r="X2358" s="43" t="s">
        <v>1870</v>
      </c>
      <c r="Y2358" s="4">
        <v>13.4309206344439</v>
      </c>
      <c r="Z2358" s="4">
        <v>13.2373477183337</v>
      </c>
      <c r="AA2358" s="4">
        <v>13.3137528198159</v>
      </c>
      <c r="AB2358" s="4">
        <f t="shared" si="147"/>
        <v>13.327340390864501</v>
      </c>
    </row>
    <row r="2359" spans="2:28" x14ac:dyDescent="0.2">
      <c r="B2359" s="4" t="s">
        <v>521</v>
      </c>
      <c r="C2359" s="4">
        <v>12.8178</v>
      </c>
      <c r="D2359" s="4">
        <v>13.515599999999999</v>
      </c>
      <c r="E2359" s="4">
        <v>13.5543</v>
      </c>
      <c r="F2359" s="4">
        <f t="shared" si="144"/>
        <v>13.295899999999998</v>
      </c>
      <c r="I2359" s="4" t="s">
        <v>41</v>
      </c>
      <c r="J2359" s="4">
        <v>13.242599999999999</v>
      </c>
      <c r="K2359" s="4">
        <v>13.5739</v>
      </c>
      <c r="L2359" s="4">
        <v>13.04</v>
      </c>
      <c r="M2359" s="4">
        <f t="shared" si="145"/>
        <v>13.285499999999999</v>
      </c>
      <c r="Q2359" s="43" t="s">
        <v>751</v>
      </c>
      <c r="R2359" s="4">
        <v>12.9842886198833</v>
      </c>
      <c r="S2359" s="4">
        <v>13.2984584108522</v>
      </c>
      <c r="T2359" s="4">
        <v>13.2922215563405</v>
      </c>
      <c r="U2359" s="4">
        <f t="shared" si="146"/>
        <v>13.191656195692</v>
      </c>
      <c r="X2359" s="43" t="s">
        <v>2554</v>
      </c>
      <c r="Y2359" s="4">
        <v>13.238859007836499</v>
      </c>
      <c r="Z2359" s="4">
        <v>13.0392111069963</v>
      </c>
      <c r="AA2359" s="4">
        <v>13.701813776779501</v>
      </c>
      <c r="AB2359" s="4">
        <f t="shared" si="147"/>
        <v>13.326627963870768</v>
      </c>
    </row>
    <row r="2360" spans="2:28" x14ac:dyDescent="0.2">
      <c r="B2360" s="4" t="s">
        <v>3458</v>
      </c>
      <c r="C2360" s="4">
        <v>13.2887</v>
      </c>
      <c r="D2360" s="4">
        <v>13.502000000000001</v>
      </c>
      <c r="E2360" s="4">
        <v>13.0931</v>
      </c>
      <c r="F2360" s="4">
        <f t="shared" si="144"/>
        <v>13.294600000000001</v>
      </c>
      <c r="I2360" s="4" t="s">
        <v>2966</v>
      </c>
      <c r="J2360" s="4">
        <v>13.510999999999999</v>
      </c>
      <c r="K2360" s="4">
        <v>12.9177</v>
      </c>
      <c r="L2360" s="4">
        <v>13.4184</v>
      </c>
      <c r="M2360" s="4">
        <f t="shared" si="145"/>
        <v>13.282366666666666</v>
      </c>
      <c r="Q2360" s="43" t="s">
        <v>1236</v>
      </c>
      <c r="R2360" s="4">
        <v>13.427847111340901</v>
      </c>
      <c r="S2360" s="4">
        <v>12.908598556891</v>
      </c>
      <c r="T2360" s="4">
        <v>13.2374437298636</v>
      </c>
      <c r="U2360" s="4">
        <f t="shared" si="146"/>
        <v>13.191296466031835</v>
      </c>
      <c r="X2360" s="43" t="s">
        <v>1129</v>
      </c>
      <c r="Y2360" s="4">
        <v>13.110550645433401</v>
      </c>
      <c r="Z2360" s="4">
        <v>13.449634994123301</v>
      </c>
      <c r="AA2360" s="4">
        <v>13.4110745528255</v>
      </c>
      <c r="AB2360" s="4">
        <f t="shared" si="147"/>
        <v>13.323753397460735</v>
      </c>
    </row>
    <row r="2361" spans="2:28" x14ac:dyDescent="0.2">
      <c r="B2361" s="4" t="s">
        <v>3252</v>
      </c>
      <c r="C2361" s="4">
        <v>13.6089</v>
      </c>
      <c r="D2361" s="4">
        <v>13.254099999999999</v>
      </c>
      <c r="E2361" s="4">
        <v>13.0153</v>
      </c>
      <c r="F2361" s="4">
        <f t="shared" si="144"/>
        <v>13.292766666666665</v>
      </c>
      <c r="I2361" s="4" t="s">
        <v>4017</v>
      </c>
      <c r="J2361" s="4">
        <v>13.5435</v>
      </c>
      <c r="K2361" s="4">
        <v>12.797700000000001</v>
      </c>
      <c r="L2361" s="4">
        <v>13.501200000000001</v>
      </c>
      <c r="M2361" s="4">
        <f t="shared" si="145"/>
        <v>13.280799999999999</v>
      </c>
      <c r="Q2361" s="43" t="s">
        <v>4525</v>
      </c>
      <c r="R2361" s="4">
        <v>12.707647924034299</v>
      </c>
      <c r="S2361" s="4">
        <v>13.615239494233</v>
      </c>
      <c r="T2361" s="4">
        <v>13.2497384136327</v>
      </c>
      <c r="U2361" s="4">
        <f t="shared" si="146"/>
        <v>13.1908752773</v>
      </c>
      <c r="X2361" s="43" t="s">
        <v>4500</v>
      </c>
      <c r="Y2361" s="4">
        <v>12.6272201313539</v>
      </c>
      <c r="Z2361" s="4">
        <v>13.035188220051801</v>
      </c>
      <c r="AA2361" s="4">
        <v>14.3084511649874</v>
      </c>
      <c r="AB2361" s="4">
        <f t="shared" si="147"/>
        <v>13.323619838797702</v>
      </c>
    </row>
    <row r="2362" spans="2:28" x14ac:dyDescent="0.2">
      <c r="B2362" s="4" t="s">
        <v>1006</v>
      </c>
      <c r="C2362" s="4">
        <v>12.5221</v>
      </c>
      <c r="D2362" s="4">
        <v>13.292899999999999</v>
      </c>
      <c r="E2362" s="4">
        <v>14.062200000000001</v>
      </c>
      <c r="F2362" s="4">
        <f t="shared" si="144"/>
        <v>13.292400000000001</v>
      </c>
      <c r="I2362" s="4" t="s">
        <v>1388</v>
      </c>
      <c r="J2362" s="4">
        <v>13.575799999999999</v>
      </c>
      <c r="K2362" s="4">
        <v>12.6934</v>
      </c>
      <c r="L2362" s="4">
        <v>13.571199999999999</v>
      </c>
      <c r="M2362" s="4">
        <f t="shared" si="145"/>
        <v>13.280133333333332</v>
      </c>
      <c r="Q2362" s="43" t="s">
        <v>4600</v>
      </c>
      <c r="R2362" s="4">
        <v>13.825016725517299</v>
      </c>
      <c r="S2362" s="4">
        <v>13.0582086801892</v>
      </c>
      <c r="T2362" s="4">
        <v>12.6886872563193</v>
      </c>
      <c r="U2362" s="4">
        <f t="shared" si="146"/>
        <v>13.190637554008598</v>
      </c>
      <c r="X2362" s="43" t="s">
        <v>952</v>
      </c>
      <c r="Y2362" s="4">
        <v>13.4702543727688</v>
      </c>
      <c r="Z2362" s="4">
        <v>13.153924683611301</v>
      </c>
      <c r="AA2362" s="4">
        <v>13.345104672012701</v>
      </c>
      <c r="AB2362" s="4">
        <f t="shared" si="147"/>
        <v>13.323094576130934</v>
      </c>
    </row>
    <row r="2363" spans="2:28" x14ac:dyDescent="0.2">
      <c r="B2363" s="4" t="s">
        <v>264</v>
      </c>
      <c r="C2363" s="4">
        <v>13.930099999999999</v>
      </c>
      <c r="D2363" s="4">
        <v>12.629899999999999</v>
      </c>
      <c r="E2363" s="4">
        <v>13.3131</v>
      </c>
      <c r="F2363" s="4">
        <f t="shared" si="144"/>
        <v>13.291033333333333</v>
      </c>
      <c r="I2363" s="4" t="s">
        <v>682</v>
      </c>
      <c r="J2363" s="4">
        <v>13.8009</v>
      </c>
      <c r="K2363" s="4">
        <v>12.9161</v>
      </c>
      <c r="L2363" s="4">
        <v>13.123100000000001</v>
      </c>
      <c r="M2363" s="4">
        <f t="shared" si="145"/>
        <v>13.280033333333334</v>
      </c>
      <c r="Q2363" s="43" t="s">
        <v>4287</v>
      </c>
      <c r="R2363" s="4">
        <v>12.834511482481499</v>
      </c>
      <c r="S2363" s="4">
        <v>13.3720433741449</v>
      </c>
      <c r="T2363" s="4">
        <v>13.364175012412</v>
      </c>
      <c r="U2363" s="4">
        <f t="shared" si="146"/>
        <v>13.190243289679465</v>
      </c>
      <c r="X2363" s="43" t="s">
        <v>4409</v>
      </c>
      <c r="Y2363" s="4">
        <v>13.421445212640901</v>
      </c>
      <c r="Z2363" s="4">
        <v>13.423424152324101</v>
      </c>
      <c r="AA2363" s="4">
        <v>13.1100757834016</v>
      </c>
      <c r="AB2363" s="4">
        <f t="shared" si="147"/>
        <v>13.318315049455533</v>
      </c>
    </row>
    <row r="2364" spans="2:28" x14ac:dyDescent="0.2">
      <c r="B2364" s="4" t="s">
        <v>2261</v>
      </c>
      <c r="C2364" s="4">
        <v>13.404199999999999</v>
      </c>
      <c r="D2364" s="4">
        <v>13.1295</v>
      </c>
      <c r="E2364" s="4">
        <v>13.3375</v>
      </c>
      <c r="F2364" s="4">
        <f t="shared" si="144"/>
        <v>13.2904</v>
      </c>
      <c r="I2364" s="4" t="s">
        <v>4063</v>
      </c>
      <c r="J2364" s="4">
        <v>13.3017</v>
      </c>
      <c r="K2364" s="4">
        <v>13.3916</v>
      </c>
      <c r="L2364" s="4">
        <v>13.145200000000001</v>
      </c>
      <c r="M2364" s="4">
        <f t="shared" si="145"/>
        <v>13.279500000000001</v>
      </c>
      <c r="Q2364" s="43" t="s">
        <v>1282</v>
      </c>
      <c r="R2364" s="4">
        <v>13.203680249807899</v>
      </c>
      <c r="S2364" s="4">
        <v>13.1944597069563</v>
      </c>
      <c r="T2364" s="4">
        <v>13.170086994169599</v>
      </c>
      <c r="U2364" s="4">
        <f t="shared" si="146"/>
        <v>13.189408983644599</v>
      </c>
      <c r="X2364" s="43" t="s">
        <v>2297</v>
      </c>
      <c r="Y2364" s="4">
        <v>13.112683482111199</v>
      </c>
      <c r="Z2364" s="4">
        <v>13.512691942542</v>
      </c>
      <c r="AA2364" s="4">
        <v>13.326201304539</v>
      </c>
      <c r="AB2364" s="4">
        <f t="shared" si="147"/>
        <v>13.317192243064065</v>
      </c>
    </row>
    <row r="2365" spans="2:28" x14ac:dyDescent="0.2">
      <c r="B2365" s="4" t="s">
        <v>3483</v>
      </c>
      <c r="C2365" s="4">
        <v>13.633100000000001</v>
      </c>
      <c r="D2365" s="4">
        <v>13.001099999999999</v>
      </c>
      <c r="E2365" s="4">
        <v>13.2338</v>
      </c>
      <c r="F2365" s="4">
        <f t="shared" si="144"/>
        <v>13.289333333333333</v>
      </c>
      <c r="I2365" s="4" t="s">
        <v>533</v>
      </c>
      <c r="J2365" s="4">
        <v>13.446999999999999</v>
      </c>
      <c r="K2365" s="4">
        <v>13.0289</v>
      </c>
      <c r="L2365" s="4">
        <v>13.361499999999999</v>
      </c>
      <c r="M2365" s="4">
        <f t="shared" si="145"/>
        <v>13.279133333333334</v>
      </c>
      <c r="Q2365" s="43" t="s">
        <v>4414</v>
      </c>
      <c r="R2365" s="4">
        <v>12.9669078322944</v>
      </c>
      <c r="S2365" s="4">
        <v>13.275694008826999</v>
      </c>
      <c r="T2365" s="4">
        <v>13.3237112395946</v>
      </c>
      <c r="U2365" s="4">
        <f t="shared" si="146"/>
        <v>13.188771026905334</v>
      </c>
      <c r="X2365" s="43" t="s">
        <v>2055</v>
      </c>
      <c r="Y2365" s="4">
        <v>13.3678280194191</v>
      </c>
      <c r="Z2365" s="4">
        <v>13.4566696279047</v>
      </c>
      <c r="AA2365" s="4">
        <v>13.127004859818401</v>
      </c>
      <c r="AB2365" s="4">
        <f t="shared" si="147"/>
        <v>13.317167502380734</v>
      </c>
    </row>
    <row r="2366" spans="2:28" x14ac:dyDescent="0.2">
      <c r="B2366" s="4" t="s">
        <v>3029</v>
      </c>
      <c r="C2366" s="4">
        <v>13.511799999999999</v>
      </c>
      <c r="D2366" s="4">
        <v>13.2629</v>
      </c>
      <c r="E2366" s="4">
        <v>13.057600000000001</v>
      </c>
      <c r="F2366" s="4">
        <f t="shared" si="144"/>
        <v>13.277433333333335</v>
      </c>
      <c r="I2366" s="4" t="s">
        <v>578</v>
      </c>
      <c r="J2366" s="4">
        <v>13.2845</v>
      </c>
      <c r="K2366" s="4">
        <v>13.1928</v>
      </c>
      <c r="L2366" s="4">
        <v>13.357699999999999</v>
      </c>
      <c r="M2366" s="4">
        <f t="shared" si="145"/>
        <v>13.278333333333334</v>
      </c>
      <c r="Q2366" s="43" t="s">
        <v>3091</v>
      </c>
      <c r="R2366" s="4">
        <v>12.933235393596799</v>
      </c>
      <c r="S2366" s="4">
        <v>13.4440840803863</v>
      </c>
      <c r="T2366" s="4">
        <v>13.1813228530852</v>
      </c>
      <c r="U2366" s="4">
        <f t="shared" si="146"/>
        <v>13.186214109022766</v>
      </c>
      <c r="X2366" s="43" t="s">
        <v>3630</v>
      </c>
      <c r="Y2366" s="4">
        <v>13.393175536119699</v>
      </c>
      <c r="Z2366" s="4">
        <v>13.148046967509901</v>
      </c>
      <c r="AA2366" s="4">
        <v>13.406680722450499</v>
      </c>
      <c r="AB2366" s="4">
        <f t="shared" si="147"/>
        <v>13.3159677420267</v>
      </c>
    </row>
    <row r="2367" spans="2:28" x14ac:dyDescent="0.2">
      <c r="B2367" s="4" t="s">
        <v>3096</v>
      </c>
      <c r="C2367" s="4">
        <v>13.258100000000001</v>
      </c>
      <c r="D2367" s="4">
        <v>13.0352</v>
      </c>
      <c r="E2367" s="4">
        <v>13.532999999999999</v>
      </c>
      <c r="F2367" s="4">
        <f t="shared" si="144"/>
        <v>13.275433333333334</v>
      </c>
      <c r="I2367" s="4" t="s">
        <v>2031</v>
      </c>
      <c r="J2367" s="4">
        <v>14.229100000000001</v>
      </c>
      <c r="K2367" s="4">
        <v>12.288399999999999</v>
      </c>
      <c r="L2367" s="4">
        <v>13.2973</v>
      </c>
      <c r="M2367" s="4">
        <f t="shared" si="145"/>
        <v>13.271599999999999</v>
      </c>
      <c r="Q2367" s="43" t="s">
        <v>1593</v>
      </c>
      <c r="R2367" s="4">
        <v>12.951222293082701</v>
      </c>
      <c r="S2367" s="4">
        <v>13.395430411461099</v>
      </c>
      <c r="T2367" s="4">
        <v>13.211149888762399</v>
      </c>
      <c r="U2367" s="4">
        <f t="shared" si="146"/>
        <v>13.185934197768733</v>
      </c>
      <c r="X2367" s="43" t="s">
        <v>3989</v>
      </c>
      <c r="Y2367" s="4">
        <v>13.372063883892</v>
      </c>
      <c r="Z2367" s="4">
        <v>13.5398951373157</v>
      </c>
      <c r="AA2367" s="4">
        <v>13.0337018111177</v>
      </c>
      <c r="AB2367" s="4">
        <f t="shared" si="147"/>
        <v>13.315220277441801</v>
      </c>
    </row>
    <row r="2368" spans="2:28" x14ac:dyDescent="0.2">
      <c r="B2368" s="4" t="s">
        <v>3584</v>
      </c>
      <c r="C2368" s="4">
        <v>13.4262</v>
      </c>
      <c r="D2368" s="4">
        <v>13.3063</v>
      </c>
      <c r="E2368" s="4">
        <v>13.092700000000001</v>
      </c>
      <c r="F2368" s="4">
        <f t="shared" si="144"/>
        <v>13.275066666666667</v>
      </c>
      <c r="I2368" s="4" t="s">
        <v>3301</v>
      </c>
      <c r="J2368" s="4">
        <v>13.409700000000001</v>
      </c>
      <c r="K2368" s="4">
        <v>13.192500000000001</v>
      </c>
      <c r="L2368" s="4">
        <v>13.209899999999999</v>
      </c>
      <c r="M2368" s="4">
        <f t="shared" si="145"/>
        <v>13.2707</v>
      </c>
      <c r="Q2368" s="43" t="s">
        <v>1780</v>
      </c>
      <c r="R2368" s="4">
        <v>13.188846684235999</v>
      </c>
      <c r="S2368" s="4">
        <v>13.1335452697036</v>
      </c>
      <c r="T2368" s="4">
        <v>13.231271389707199</v>
      </c>
      <c r="U2368" s="4">
        <f t="shared" si="146"/>
        <v>13.184554447882268</v>
      </c>
      <c r="X2368" s="43" t="s">
        <v>1261</v>
      </c>
      <c r="Y2368" s="4">
        <v>13.2619026432002</v>
      </c>
      <c r="Z2368" s="4">
        <v>13.564737361206101</v>
      </c>
      <c r="AA2368" s="4">
        <v>13.1186979975247</v>
      </c>
      <c r="AB2368" s="4">
        <f t="shared" si="147"/>
        <v>13.315112667310332</v>
      </c>
    </row>
    <row r="2369" spans="2:28" x14ac:dyDescent="0.2">
      <c r="B2369" s="4" t="s">
        <v>2270</v>
      </c>
      <c r="C2369" s="4">
        <v>12.490600000000001</v>
      </c>
      <c r="D2369" s="4">
        <v>12.8028</v>
      </c>
      <c r="E2369" s="4">
        <v>14.5283</v>
      </c>
      <c r="F2369" s="4">
        <f t="shared" si="144"/>
        <v>13.273899999999999</v>
      </c>
      <c r="I2369" s="4" t="s">
        <v>4006</v>
      </c>
      <c r="J2369" s="4">
        <v>13.1989</v>
      </c>
      <c r="K2369" s="4">
        <v>12.963699999999999</v>
      </c>
      <c r="L2369" s="4">
        <v>13.6462</v>
      </c>
      <c r="M2369" s="4">
        <f t="shared" si="145"/>
        <v>13.269599999999999</v>
      </c>
      <c r="Q2369" s="43" t="s">
        <v>576</v>
      </c>
      <c r="R2369" s="4">
        <v>12.9398619477687</v>
      </c>
      <c r="S2369" s="4">
        <v>13.109884154592001</v>
      </c>
      <c r="T2369" s="4">
        <v>13.502259041203899</v>
      </c>
      <c r="U2369" s="4">
        <f t="shared" si="146"/>
        <v>13.184001714521534</v>
      </c>
      <c r="X2369" s="43" t="s">
        <v>933</v>
      </c>
      <c r="Y2369" s="4">
        <v>13.6597042142419</v>
      </c>
      <c r="Z2369" s="4">
        <v>12.7292772626603</v>
      </c>
      <c r="AA2369" s="4">
        <v>13.5545090531465</v>
      </c>
      <c r="AB2369" s="4">
        <f t="shared" si="147"/>
        <v>13.314496843349568</v>
      </c>
    </row>
    <row r="2370" spans="2:28" x14ac:dyDescent="0.2">
      <c r="B2370" s="4" t="s">
        <v>3337</v>
      </c>
      <c r="C2370" s="4">
        <v>13.9338</v>
      </c>
      <c r="D2370" s="4">
        <v>13.1043</v>
      </c>
      <c r="E2370" s="4">
        <v>12.7812</v>
      </c>
      <c r="F2370" s="4">
        <f t="shared" ref="F2370:F2433" si="148">(C2370+D2370+E2370)/3</f>
        <v>13.273099999999999</v>
      </c>
      <c r="I2370" s="4" t="s">
        <v>3367</v>
      </c>
      <c r="J2370" s="4">
        <v>13.7059</v>
      </c>
      <c r="K2370" s="4">
        <v>12.4183</v>
      </c>
      <c r="L2370" s="4">
        <v>13.6783</v>
      </c>
      <c r="M2370" s="4">
        <f t="shared" ref="M2370:M2433" si="149">(J2370+K2370+L2370)/3</f>
        <v>13.2675</v>
      </c>
      <c r="Q2370" s="43" t="s">
        <v>3852</v>
      </c>
      <c r="R2370" s="4">
        <v>13.175790724040899</v>
      </c>
      <c r="S2370" s="4">
        <v>13.2266759190946</v>
      </c>
      <c r="T2370" s="4">
        <v>13.147076042986299</v>
      </c>
      <c r="U2370" s="4">
        <f t="shared" ref="U2370:U2433" si="150">(R2370+S2370+T2370)/3</f>
        <v>13.183180895373932</v>
      </c>
      <c r="X2370" s="43" t="s">
        <v>429</v>
      </c>
      <c r="Y2370" s="4">
        <v>13.281296214838401</v>
      </c>
      <c r="Z2370" s="4">
        <v>13.331380910659901</v>
      </c>
      <c r="AA2370" s="4">
        <v>13.322173355873099</v>
      </c>
      <c r="AB2370" s="4">
        <f t="shared" ref="AB2370:AB2433" si="151">(Y2370+Z2370+AA2370)/3</f>
        <v>13.3116168271238</v>
      </c>
    </row>
    <row r="2371" spans="2:28" x14ac:dyDescent="0.2">
      <c r="B2371" s="4" t="s">
        <v>3694</v>
      </c>
      <c r="C2371" s="4">
        <v>13.2187</v>
      </c>
      <c r="D2371" s="4">
        <v>13.588699999999999</v>
      </c>
      <c r="E2371" s="4">
        <v>13.0037</v>
      </c>
      <c r="F2371" s="4">
        <f t="shared" si="148"/>
        <v>13.270366666666668</v>
      </c>
      <c r="I2371" s="4" t="s">
        <v>467</v>
      </c>
      <c r="J2371" s="4">
        <v>13.106199999999999</v>
      </c>
      <c r="K2371" s="4">
        <v>13.687799999999999</v>
      </c>
      <c r="L2371" s="4">
        <v>13.0037</v>
      </c>
      <c r="M2371" s="4">
        <f t="shared" si="149"/>
        <v>13.2659</v>
      </c>
      <c r="Q2371" s="43" t="s">
        <v>4426</v>
      </c>
      <c r="R2371" s="4">
        <v>13.0134464307535</v>
      </c>
      <c r="S2371" s="4">
        <v>13.3358966875006</v>
      </c>
      <c r="T2371" s="4">
        <v>13.1981329586876</v>
      </c>
      <c r="U2371" s="4">
        <f t="shared" si="150"/>
        <v>13.182492025647234</v>
      </c>
      <c r="X2371" s="43" t="s">
        <v>194</v>
      </c>
      <c r="Y2371" s="4">
        <v>13.2974065965207</v>
      </c>
      <c r="Z2371" s="4">
        <v>12.9485712569225</v>
      </c>
      <c r="AA2371" s="4">
        <v>13.688542949508999</v>
      </c>
      <c r="AB2371" s="4">
        <f t="shared" si="151"/>
        <v>13.3115069343174</v>
      </c>
    </row>
    <row r="2372" spans="2:28" x14ac:dyDescent="0.2">
      <c r="B2372" s="44">
        <v>45357</v>
      </c>
      <c r="C2372" s="4">
        <v>12.9992</v>
      </c>
      <c r="D2372" s="4">
        <v>13.369300000000001</v>
      </c>
      <c r="E2372" s="4">
        <v>13.439500000000001</v>
      </c>
      <c r="F2372" s="4">
        <f t="shared" si="148"/>
        <v>13.269333333333334</v>
      </c>
      <c r="I2372" s="4" t="s">
        <v>851</v>
      </c>
      <c r="J2372" s="4">
        <v>13.702199999999999</v>
      </c>
      <c r="K2372" s="4">
        <v>12.502599999999999</v>
      </c>
      <c r="L2372" s="4">
        <v>13.590400000000001</v>
      </c>
      <c r="M2372" s="4">
        <f t="shared" si="149"/>
        <v>13.265066666666668</v>
      </c>
      <c r="Q2372" s="43" t="s">
        <v>338</v>
      </c>
      <c r="R2372" s="4">
        <v>12.8844333162835</v>
      </c>
      <c r="S2372" s="4">
        <v>13.350391277498201</v>
      </c>
      <c r="T2372" s="4">
        <v>13.305609088528399</v>
      </c>
      <c r="U2372" s="4">
        <f t="shared" si="150"/>
        <v>13.180144560770033</v>
      </c>
      <c r="X2372" s="43" t="s">
        <v>2813</v>
      </c>
      <c r="Y2372" s="4">
        <v>13.471730142610101</v>
      </c>
      <c r="Z2372" s="4">
        <v>13.8232971560774</v>
      </c>
      <c r="AA2372" s="4">
        <v>12.637865190561801</v>
      </c>
      <c r="AB2372" s="4">
        <f t="shared" si="151"/>
        <v>13.310964163083099</v>
      </c>
    </row>
    <row r="2373" spans="2:28" x14ac:dyDescent="0.2">
      <c r="B2373" s="4" t="s">
        <v>2709</v>
      </c>
      <c r="C2373" s="4">
        <v>13.0015</v>
      </c>
      <c r="D2373" s="4">
        <v>13.2393</v>
      </c>
      <c r="E2373" s="4">
        <v>13.5604</v>
      </c>
      <c r="F2373" s="4">
        <f t="shared" si="148"/>
        <v>13.267066666666667</v>
      </c>
      <c r="I2373" s="4" t="s">
        <v>2561</v>
      </c>
      <c r="J2373" s="4">
        <v>12.706200000000001</v>
      </c>
      <c r="K2373" s="4">
        <v>14.689500000000001</v>
      </c>
      <c r="L2373" s="4">
        <v>12.39</v>
      </c>
      <c r="M2373" s="4">
        <f t="shared" si="149"/>
        <v>13.261900000000002</v>
      </c>
      <c r="Q2373" s="43" t="s">
        <v>3363</v>
      </c>
      <c r="R2373" s="4">
        <v>13.0964325302344</v>
      </c>
      <c r="S2373" s="4">
        <v>13.292531827688</v>
      </c>
      <c r="T2373" s="4">
        <v>13.144401733949399</v>
      </c>
      <c r="U2373" s="4">
        <f t="shared" si="150"/>
        <v>13.1777886972906</v>
      </c>
      <c r="X2373" s="43" t="s">
        <v>4484</v>
      </c>
      <c r="Y2373" s="4">
        <v>13.3471134166514</v>
      </c>
      <c r="Z2373" s="4">
        <v>13.5400506323993</v>
      </c>
      <c r="AA2373" s="4">
        <v>13.044279925669199</v>
      </c>
      <c r="AB2373" s="4">
        <f t="shared" si="151"/>
        <v>13.310481324906632</v>
      </c>
    </row>
    <row r="2374" spans="2:28" x14ac:dyDescent="0.2">
      <c r="B2374" s="4" t="s">
        <v>310</v>
      </c>
      <c r="C2374" s="4">
        <v>12.707000000000001</v>
      </c>
      <c r="D2374" s="4">
        <v>13.7555</v>
      </c>
      <c r="E2374" s="4">
        <v>13.3261</v>
      </c>
      <c r="F2374" s="4">
        <f t="shared" si="148"/>
        <v>13.262866666666667</v>
      </c>
      <c r="I2374" s="4" t="s">
        <v>3306</v>
      </c>
      <c r="J2374" s="4">
        <v>13.4765</v>
      </c>
      <c r="K2374" s="4">
        <v>13.103999999999999</v>
      </c>
      <c r="L2374" s="4">
        <v>13.196</v>
      </c>
      <c r="M2374" s="4">
        <f t="shared" si="149"/>
        <v>13.258833333333333</v>
      </c>
      <c r="Q2374" s="43" t="s">
        <v>3396</v>
      </c>
      <c r="R2374" s="4">
        <v>13.404991440321499</v>
      </c>
      <c r="S2374" s="4">
        <v>13.1960557601539</v>
      </c>
      <c r="T2374" s="4">
        <v>12.9313017891697</v>
      </c>
      <c r="U2374" s="4">
        <f t="shared" si="150"/>
        <v>13.177449663215034</v>
      </c>
      <c r="X2374" s="43" t="s">
        <v>380</v>
      </c>
      <c r="Y2374" s="4">
        <v>13.239805279486699</v>
      </c>
      <c r="Z2374" s="4">
        <v>13.087710505532099</v>
      </c>
      <c r="AA2374" s="4">
        <v>13.603417303458301</v>
      </c>
      <c r="AB2374" s="4">
        <f t="shared" si="151"/>
        <v>13.310311029492366</v>
      </c>
    </row>
    <row r="2375" spans="2:28" x14ac:dyDescent="0.2">
      <c r="B2375" s="4" t="s">
        <v>2112</v>
      </c>
      <c r="C2375" s="4">
        <v>13.0162</v>
      </c>
      <c r="D2375" s="4">
        <v>13.437200000000001</v>
      </c>
      <c r="E2375" s="4">
        <v>13.323700000000001</v>
      </c>
      <c r="F2375" s="4">
        <f t="shared" si="148"/>
        <v>13.259033333333335</v>
      </c>
      <c r="I2375" s="4" t="s">
        <v>4080</v>
      </c>
      <c r="J2375" s="4">
        <v>13.3294</v>
      </c>
      <c r="K2375" s="4">
        <v>13.0214</v>
      </c>
      <c r="L2375" s="4">
        <v>13.4213</v>
      </c>
      <c r="M2375" s="4">
        <f t="shared" si="149"/>
        <v>13.257366666666668</v>
      </c>
      <c r="Q2375" s="43" t="s">
        <v>2745</v>
      </c>
      <c r="R2375" s="4">
        <v>13.288103055735499</v>
      </c>
      <c r="S2375" s="4">
        <v>13.1650187357553</v>
      </c>
      <c r="T2375" s="4">
        <v>13.0765455022752</v>
      </c>
      <c r="U2375" s="4">
        <f t="shared" si="150"/>
        <v>13.176555764588668</v>
      </c>
      <c r="X2375" s="43" t="s">
        <v>3673</v>
      </c>
      <c r="Y2375" s="4">
        <v>13.187497714951199</v>
      </c>
      <c r="Z2375" s="4">
        <v>13.3044663850186</v>
      </c>
      <c r="AA2375" s="4">
        <v>13.434106409795399</v>
      </c>
      <c r="AB2375" s="4">
        <f t="shared" si="151"/>
        <v>13.308690169921732</v>
      </c>
    </row>
    <row r="2376" spans="2:28" x14ac:dyDescent="0.2">
      <c r="B2376" s="4" t="s">
        <v>1317</v>
      </c>
      <c r="C2376" s="4">
        <v>12.7415</v>
      </c>
      <c r="D2376" s="4">
        <v>12.988</v>
      </c>
      <c r="E2376" s="4">
        <v>14.047499999999999</v>
      </c>
      <c r="F2376" s="4">
        <f t="shared" si="148"/>
        <v>13.259</v>
      </c>
      <c r="I2376" s="4" t="s">
        <v>2536</v>
      </c>
      <c r="J2376" s="4">
        <v>13.609</v>
      </c>
      <c r="K2376" s="4">
        <v>12.5824</v>
      </c>
      <c r="L2376" s="4">
        <v>13.5784</v>
      </c>
      <c r="M2376" s="4">
        <f t="shared" si="149"/>
        <v>13.256600000000001</v>
      </c>
      <c r="Q2376" s="43" t="s">
        <v>4609</v>
      </c>
      <c r="R2376" s="4">
        <v>13.2090755507878</v>
      </c>
      <c r="S2376" s="4">
        <v>12.9887738480975</v>
      </c>
      <c r="T2376" s="4">
        <v>13.329494207933299</v>
      </c>
      <c r="U2376" s="4">
        <f t="shared" si="150"/>
        <v>13.175781202272866</v>
      </c>
      <c r="X2376" s="43" t="s">
        <v>883</v>
      </c>
      <c r="Y2376" s="4">
        <v>13.3055418263774</v>
      </c>
      <c r="Z2376" s="4">
        <v>13.3358786980455</v>
      </c>
      <c r="AA2376" s="4">
        <v>13.2846478508943</v>
      </c>
      <c r="AB2376" s="4">
        <f t="shared" si="151"/>
        <v>13.308689458439067</v>
      </c>
    </row>
    <row r="2377" spans="2:28" x14ac:dyDescent="0.2">
      <c r="B2377" s="4" t="s">
        <v>2273</v>
      </c>
      <c r="C2377" s="4">
        <v>13.1988</v>
      </c>
      <c r="D2377" s="4">
        <v>13.3474</v>
      </c>
      <c r="E2377" s="4">
        <v>13.226100000000001</v>
      </c>
      <c r="F2377" s="4">
        <f t="shared" si="148"/>
        <v>13.257433333333333</v>
      </c>
      <c r="I2377" s="4" t="s">
        <v>3062</v>
      </c>
      <c r="J2377" s="4">
        <v>13.0518</v>
      </c>
      <c r="K2377" s="4">
        <v>13.4505</v>
      </c>
      <c r="L2377" s="4">
        <v>13.2653</v>
      </c>
      <c r="M2377" s="4">
        <f t="shared" si="149"/>
        <v>13.255866666666668</v>
      </c>
      <c r="Q2377" s="43" t="s">
        <v>2241</v>
      </c>
      <c r="R2377" s="4">
        <v>13.0658753254163</v>
      </c>
      <c r="S2377" s="4">
        <v>13.317474802112599</v>
      </c>
      <c r="T2377" s="4">
        <v>13.1422460265252</v>
      </c>
      <c r="U2377" s="4">
        <f t="shared" si="150"/>
        <v>13.175198718018033</v>
      </c>
      <c r="X2377" s="43" t="s">
        <v>3826</v>
      </c>
      <c r="Y2377" s="4">
        <v>13.2855461932722</v>
      </c>
      <c r="Z2377" s="4">
        <v>13.2724884447649</v>
      </c>
      <c r="AA2377" s="4">
        <v>13.3644881290867</v>
      </c>
      <c r="AB2377" s="4">
        <f t="shared" si="151"/>
        <v>13.307507589041267</v>
      </c>
    </row>
    <row r="2378" spans="2:28" x14ac:dyDescent="0.2">
      <c r="B2378" s="4" t="s">
        <v>3630</v>
      </c>
      <c r="C2378" s="4">
        <v>13.4628</v>
      </c>
      <c r="D2378" s="4">
        <v>13.294700000000001</v>
      </c>
      <c r="E2378" s="4">
        <v>13.0016</v>
      </c>
      <c r="F2378" s="4">
        <f t="shared" si="148"/>
        <v>13.253033333333335</v>
      </c>
      <c r="I2378" s="4" t="s">
        <v>2798</v>
      </c>
      <c r="J2378" s="4">
        <v>13.5337</v>
      </c>
      <c r="K2378" s="4">
        <v>12.803599999999999</v>
      </c>
      <c r="L2378" s="4">
        <v>13.429</v>
      </c>
      <c r="M2378" s="4">
        <f t="shared" si="149"/>
        <v>13.255433333333334</v>
      </c>
      <c r="Q2378" s="43" t="s">
        <v>1332</v>
      </c>
      <c r="R2378" s="4">
        <v>13.3826638985337</v>
      </c>
      <c r="S2378" s="4">
        <v>13.246939097910699</v>
      </c>
      <c r="T2378" s="4">
        <v>12.8876596459239</v>
      </c>
      <c r="U2378" s="4">
        <f t="shared" si="150"/>
        <v>13.172420880789431</v>
      </c>
      <c r="X2378" s="43" t="s">
        <v>1602</v>
      </c>
      <c r="Y2378" s="4">
        <v>13.1384039665804</v>
      </c>
      <c r="Z2378" s="4">
        <v>13.4647986966866</v>
      </c>
      <c r="AA2378" s="4">
        <v>13.3140950401383</v>
      </c>
      <c r="AB2378" s="4">
        <f t="shared" si="151"/>
        <v>13.305765901135098</v>
      </c>
    </row>
    <row r="2379" spans="2:28" x14ac:dyDescent="0.2">
      <c r="B2379" s="4" t="s">
        <v>2257</v>
      </c>
      <c r="C2379" s="4">
        <v>12.960800000000001</v>
      </c>
      <c r="D2379" s="4">
        <v>13.3688</v>
      </c>
      <c r="E2379" s="4">
        <v>13.424899999999999</v>
      </c>
      <c r="F2379" s="4">
        <f t="shared" si="148"/>
        <v>13.2515</v>
      </c>
      <c r="I2379" s="4" t="s">
        <v>1447</v>
      </c>
      <c r="J2379" s="4">
        <v>12.9283</v>
      </c>
      <c r="K2379" s="4">
        <v>13.8553</v>
      </c>
      <c r="L2379" s="4">
        <v>12.980499999999999</v>
      </c>
      <c r="M2379" s="4">
        <f t="shared" si="149"/>
        <v>13.2547</v>
      </c>
      <c r="Q2379" s="43" t="s">
        <v>3880</v>
      </c>
      <c r="R2379" s="4">
        <v>13.2544117127104</v>
      </c>
      <c r="S2379" s="4">
        <v>13.177096896156501</v>
      </c>
      <c r="T2379" s="4">
        <v>13.0792777371308</v>
      </c>
      <c r="U2379" s="4">
        <f t="shared" si="150"/>
        <v>13.170262115332568</v>
      </c>
      <c r="X2379" s="43" t="s">
        <v>81</v>
      </c>
      <c r="Y2379" s="4">
        <v>13.1687453159333</v>
      </c>
      <c r="Z2379" s="4">
        <v>13.1784334436033</v>
      </c>
      <c r="AA2379" s="4">
        <v>13.5686122040249</v>
      </c>
      <c r="AB2379" s="4">
        <f t="shared" si="151"/>
        <v>13.3052636545205</v>
      </c>
    </row>
    <row r="2380" spans="2:28" x14ac:dyDescent="0.2">
      <c r="B2380" s="4" t="s">
        <v>2173</v>
      </c>
      <c r="C2380" s="4">
        <v>13.6572</v>
      </c>
      <c r="D2380" s="4">
        <v>13.995200000000001</v>
      </c>
      <c r="E2380" s="4">
        <v>12.0975</v>
      </c>
      <c r="F2380" s="4">
        <f t="shared" si="148"/>
        <v>13.249966666666666</v>
      </c>
      <c r="I2380" s="4" t="s">
        <v>2352</v>
      </c>
      <c r="J2380" s="4">
        <v>13.744</v>
      </c>
      <c r="K2380" s="4">
        <v>12.8689</v>
      </c>
      <c r="L2380" s="4">
        <v>13.1478</v>
      </c>
      <c r="M2380" s="4">
        <f t="shared" si="149"/>
        <v>13.253566666666666</v>
      </c>
      <c r="Q2380" s="43" t="s">
        <v>192</v>
      </c>
      <c r="R2380" s="4">
        <v>13.1968254933191</v>
      </c>
      <c r="S2380" s="4">
        <v>13.2888151557692</v>
      </c>
      <c r="T2380" s="4">
        <v>13.0231307113888</v>
      </c>
      <c r="U2380" s="4">
        <f t="shared" si="150"/>
        <v>13.169590453492367</v>
      </c>
      <c r="X2380" s="43" t="s">
        <v>4296</v>
      </c>
      <c r="Y2380" s="4">
        <v>13.375987423370301</v>
      </c>
      <c r="Z2380" s="4">
        <v>12.7937010829783</v>
      </c>
      <c r="AA2380" s="4">
        <v>13.745116808993</v>
      </c>
      <c r="AB2380" s="4">
        <f t="shared" si="151"/>
        <v>13.304935105113865</v>
      </c>
    </row>
    <row r="2381" spans="2:28" x14ac:dyDescent="0.2">
      <c r="B2381" s="4" t="s">
        <v>1028</v>
      </c>
      <c r="C2381" s="4">
        <v>12.8406</v>
      </c>
      <c r="D2381" s="4">
        <v>13.4657</v>
      </c>
      <c r="E2381" s="4">
        <v>13.443300000000001</v>
      </c>
      <c r="F2381" s="4">
        <f t="shared" si="148"/>
        <v>13.249866666666668</v>
      </c>
      <c r="I2381" s="4" t="s">
        <v>2245</v>
      </c>
      <c r="J2381" s="4">
        <v>13.258800000000001</v>
      </c>
      <c r="K2381" s="4">
        <v>13.035299999999999</v>
      </c>
      <c r="L2381" s="4">
        <v>13.465299999999999</v>
      </c>
      <c r="M2381" s="4">
        <f t="shared" si="149"/>
        <v>13.253133333333333</v>
      </c>
      <c r="Q2381" s="43" t="s">
        <v>2846</v>
      </c>
      <c r="R2381" s="4">
        <v>13.4143858054533</v>
      </c>
      <c r="S2381" s="4">
        <v>13.021893463915699</v>
      </c>
      <c r="T2381" s="4">
        <v>13.0583086194563</v>
      </c>
      <c r="U2381" s="4">
        <f t="shared" si="150"/>
        <v>13.164862629608434</v>
      </c>
      <c r="X2381" s="43" t="s">
        <v>3612</v>
      </c>
      <c r="Y2381" s="4">
        <v>13.396452337579801</v>
      </c>
      <c r="Z2381" s="4">
        <v>13.056469389062</v>
      </c>
      <c r="AA2381" s="4">
        <v>13.453180019023799</v>
      </c>
      <c r="AB2381" s="4">
        <f t="shared" si="151"/>
        <v>13.302033915221868</v>
      </c>
    </row>
    <row r="2382" spans="2:28" x14ac:dyDescent="0.2">
      <c r="B2382" s="4" t="s">
        <v>3795</v>
      </c>
      <c r="C2382" s="4">
        <v>13.4444</v>
      </c>
      <c r="D2382" s="4">
        <v>13.337899999999999</v>
      </c>
      <c r="E2382" s="4">
        <v>12.963800000000001</v>
      </c>
      <c r="F2382" s="4">
        <f t="shared" si="148"/>
        <v>13.248699999999999</v>
      </c>
      <c r="I2382" s="4" t="s">
        <v>2346</v>
      </c>
      <c r="J2382" s="4">
        <v>13.6288</v>
      </c>
      <c r="K2382" s="4">
        <v>12.364000000000001</v>
      </c>
      <c r="L2382" s="4">
        <v>13.7624</v>
      </c>
      <c r="M2382" s="4">
        <f t="shared" si="149"/>
        <v>13.251733333333334</v>
      </c>
      <c r="Q2382" s="43" t="s">
        <v>1287</v>
      </c>
      <c r="R2382" s="4">
        <v>13.1560432514621</v>
      </c>
      <c r="S2382" s="4">
        <v>13.223622636062499</v>
      </c>
      <c r="T2382" s="4">
        <v>13.112294410952501</v>
      </c>
      <c r="U2382" s="4">
        <f t="shared" si="150"/>
        <v>13.163986766159033</v>
      </c>
      <c r="X2382" s="43" t="s">
        <v>2516</v>
      </c>
      <c r="Y2382" s="4">
        <v>13.317150726962399</v>
      </c>
      <c r="Z2382" s="4">
        <v>13.3180939815544</v>
      </c>
      <c r="AA2382" s="4">
        <v>13.2703820567028</v>
      </c>
      <c r="AB2382" s="4">
        <f t="shared" si="151"/>
        <v>13.301875588406533</v>
      </c>
    </row>
    <row r="2383" spans="2:28" x14ac:dyDescent="0.2">
      <c r="B2383" s="4" t="s">
        <v>1224</v>
      </c>
      <c r="C2383" s="4">
        <v>12.7102</v>
      </c>
      <c r="D2383" s="4">
        <v>14.620200000000001</v>
      </c>
      <c r="E2383" s="4">
        <v>12.4091</v>
      </c>
      <c r="F2383" s="4">
        <f t="shared" si="148"/>
        <v>13.246499999999999</v>
      </c>
      <c r="I2383" s="4" t="s">
        <v>2587</v>
      </c>
      <c r="J2383" s="4">
        <v>13.8203</v>
      </c>
      <c r="K2383" s="4">
        <v>12.2081</v>
      </c>
      <c r="L2383" s="4">
        <v>13.724600000000001</v>
      </c>
      <c r="M2383" s="4">
        <f t="shared" si="149"/>
        <v>13.250999999999999</v>
      </c>
      <c r="Q2383" s="43" t="s">
        <v>480</v>
      </c>
      <c r="R2383" s="4">
        <v>13.0719414127327</v>
      </c>
      <c r="S2383" s="4">
        <v>13.3334454556941</v>
      </c>
      <c r="T2383" s="4">
        <v>13.0857150420001</v>
      </c>
      <c r="U2383" s="4">
        <f t="shared" si="150"/>
        <v>13.163700636808969</v>
      </c>
      <c r="X2383" s="43" t="s">
        <v>1831</v>
      </c>
      <c r="Y2383" s="4">
        <v>13.384148227791</v>
      </c>
      <c r="Z2383" s="4">
        <v>13.3181486242784</v>
      </c>
      <c r="AA2383" s="4">
        <v>13.200104870469801</v>
      </c>
      <c r="AB2383" s="4">
        <f t="shared" si="151"/>
        <v>13.300800574179734</v>
      </c>
    </row>
    <row r="2384" spans="2:28" x14ac:dyDescent="0.2">
      <c r="B2384" s="4" t="s">
        <v>2031</v>
      </c>
      <c r="C2384" s="4">
        <v>13.7059</v>
      </c>
      <c r="D2384" s="4">
        <v>13.6534</v>
      </c>
      <c r="E2384" s="4">
        <v>12.376899999999999</v>
      </c>
      <c r="F2384" s="4">
        <f t="shared" si="148"/>
        <v>13.245399999999998</v>
      </c>
      <c r="I2384" s="4" t="s">
        <v>3166</v>
      </c>
      <c r="J2384" s="4">
        <v>13.0398</v>
      </c>
      <c r="K2384" s="4">
        <v>13.3002</v>
      </c>
      <c r="L2384" s="4">
        <v>13.407999999999999</v>
      </c>
      <c r="M2384" s="4">
        <f t="shared" si="149"/>
        <v>13.249333333333333</v>
      </c>
      <c r="Q2384" s="43" t="s">
        <v>3759</v>
      </c>
      <c r="R2384" s="4">
        <v>12.7294677906359</v>
      </c>
      <c r="S2384" s="4">
        <v>13.2717396764307</v>
      </c>
      <c r="T2384" s="4">
        <v>13.489707434669199</v>
      </c>
      <c r="U2384" s="4">
        <f t="shared" si="150"/>
        <v>13.163638300578599</v>
      </c>
      <c r="X2384" s="43" t="s">
        <v>3497</v>
      </c>
      <c r="Y2384" s="4">
        <v>13.3729635369224</v>
      </c>
      <c r="Z2384" s="4">
        <v>13.1373250563749</v>
      </c>
      <c r="AA2384" s="4">
        <v>13.386214829506899</v>
      </c>
      <c r="AB2384" s="4">
        <f t="shared" si="151"/>
        <v>13.298834474268068</v>
      </c>
    </row>
    <row r="2385" spans="2:28" x14ac:dyDescent="0.2">
      <c r="B2385" s="4" t="s">
        <v>3677</v>
      </c>
      <c r="C2385" s="4">
        <v>13.1875</v>
      </c>
      <c r="D2385" s="4">
        <v>12.994400000000001</v>
      </c>
      <c r="E2385" s="4">
        <v>13.554</v>
      </c>
      <c r="F2385" s="4">
        <f t="shared" si="148"/>
        <v>13.2453</v>
      </c>
      <c r="I2385" s="4" t="s">
        <v>2443</v>
      </c>
      <c r="J2385" s="4">
        <v>13.258599999999999</v>
      </c>
      <c r="K2385" s="4">
        <v>12.9108</v>
      </c>
      <c r="L2385" s="4">
        <v>13.571</v>
      </c>
      <c r="M2385" s="4">
        <f t="shared" si="149"/>
        <v>13.2468</v>
      </c>
      <c r="Q2385" s="43" t="s">
        <v>3680</v>
      </c>
      <c r="R2385" s="4">
        <v>13.04067166796</v>
      </c>
      <c r="S2385" s="4">
        <v>13.2791101953427</v>
      </c>
      <c r="T2385" s="4">
        <v>13.1696828191552</v>
      </c>
      <c r="U2385" s="4">
        <f t="shared" si="150"/>
        <v>13.163154894152633</v>
      </c>
      <c r="X2385" s="43" t="s">
        <v>4055</v>
      </c>
      <c r="Y2385" s="4">
        <v>13.3139739004977</v>
      </c>
      <c r="Z2385" s="4">
        <v>13.078333100090401</v>
      </c>
      <c r="AA2385" s="4">
        <v>13.5039842160822</v>
      </c>
      <c r="AB2385" s="4">
        <f t="shared" si="151"/>
        <v>13.2987637388901</v>
      </c>
    </row>
    <row r="2386" spans="2:28" x14ac:dyDescent="0.2">
      <c r="B2386" s="4" t="s">
        <v>3528</v>
      </c>
      <c r="C2386" s="4">
        <v>13.1015</v>
      </c>
      <c r="D2386" s="4">
        <v>13.4436</v>
      </c>
      <c r="E2386" s="4">
        <v>13.184100000000001</v>
      </c>
      <c r="F2386" s="4">
        <f t="shared" si="148"/>
        <v>13.243066666666666</v>
      </c>
      <c r="I2386" s="4" t="s">
        <v>3777</v>
      </c>
      <c r="J2386" s="4">
        <v>13.5672</v>
      </c>
      <c r="K2386" s="4">
        <v>12.8071</v>
      </c>
      <c r="L2386" s="4">
        <v>13.363099999999999</v>
      </c>
      <c r="M2386" s="4">
        <f t="shared" si="149"/>
        <v>13.245799999999997</v>
      </c>
      <c r="Q2386" s="43" t="s">
        <v>3953</v>
      </c>
      <c r="R2386" s="4">
        <v>13.122269139867001</v>
      </c>
      <c r="S2386" s="4">
        <v>13.3282908601718</v>
      </c>
      <c r="T2386" s="4">
        <v>13.038706634647699</v>
      </c>
      <c r="U2386" s="4">
        <f t="shared" si="150"/>
        <v>13.163088878228834</v>
      </c>
      <c r="X2386" s="43" t="s">
        <v>4019</v>
      </c>
      <c r="Y2386" s="4">
        <v>13.1766946938667</v>
      </c>
      <c r="Z2386" s="4">
        <v>13.375428818117401</v>
      </c>
      <c r="AA2386" s="4">
        <v>13.338907946468201</v>
      </c>
      <c r="AB2386" s="4">
        <f t="shared" si="151"/>
        <v>13.297010486150768</v>
      </c>
    </row>
    <row r="2387" spans="2:28" x14ac:dyDescent="0.2">
      <c r="B2387" s="4" t="s">
        <v>3748</v>
      </c>
      <c r="C2387" s="4">
        <v>13.038399999999999</v>
      </c>
      <c r="D2387" s="4">
        <v>13.315200000000001</v>
      </c>
      <c r="E2387" s="4">
        <v>13.3673</v>
      </c>
      <c r="F2387" s="4">
        <f t="shared" si="148"/>
        <v>13.2403</v>
      </c>
      <c r="I2387" s="4" t="s">
        <v>132</v>
      </c>
      <c r="J2387" s="4">
        <v>13.005100000000001</v>
      </c>
      <c r="K2387" s="4">
        <v>13.999700000000001</v>
      </c>
      <c r="L2387" s="4">
        <v>12.7302</v>
      </c>
      <c r="M2387" s="4">
        <f t="shared" si="149"/>
        <v>13.244999999999999</v>
      </c>
      <c r="Q2387" s="43" t="s">
        <v>757</v>
      </c>
      <c r="R2387" s="4">
        <v>12.9508262807178</v>
      </c>
      <c r="S2387" s="4">
        <v>13.2706824159606</v>
      </c>
      <c r="T2387" s="4">
        <v>13.267134581350399</v>
      </c>
      <c r="U2387" s="4">
        <f t="shared" si="150"/>
        <v>13.162881092676265</v>
      </c>
      <c r="X2387" s="43" t="s">
        <v>1491</v>
      </c>
      <c r="Y2387" s="4">
        <v>13.0756986129058</v>
      </c>
      <c r="Z2387" s="4">
        <v>13.605737167096301</v>
      </c>
      <c r="AA2387" s="4">
        <v>13.208815318202699</v>
      </c>
      <c r="AB2387" s="4">
        <f t="shared" si="151"/>
        <v>13.296750366068267</v>
      </c>
    </row>
    <row r="2388" spans="2:28" x14ac:dyDescent="0.2">
      <c r="B2388" s="4" t="s">
        <v>2731</v>
      </c>
      <c r="C2388" s="4">
        <v>13.5764</v>
      </c>
      <c r="D2388" s="4">
        <v>12.8917</v>
      </c>
      <c r="E2388" s="4">
        <v>13.236700000000001</v>
      </c>
      <c r="F2388" s="4">
        <f t="shared" si="148"/>
        <v>13.234933333333332</v>
      </c>
      <c r="I2388" s="4" t="s">
        <v>3195</v>
      </c>
      <c r="J2388" s="4">
        <v>12.792400000000001</v>
      </c>
      <c r="K2388" s="4">
        <v>13.9421</v>
      </c>
      <c r="L2388" s="4">
        <v>12.998200000000001</v>
      </c>
      <c r="M2388" s="4">
        <f t="shared" si="149"/>
        <v>13.244233333333334</v>
      </c>
      <c r="Q2388" s="43" t="s">
        <v>319</v>
      </c>
      <c r="R2388" s="4">
        <v>12.896539156506799</v>
      </c>
      <c r="S2388" s="4">
        <v>13.346493463390299</v>
      </c>
      <c r="T2388" s="4">
        <v>13.2453836662238</v>
      </c>
      <c r="U2388" s="4">
        <f t="shared" si="150"/>
        <v>13.162805428706967</v>
      </c>
      <c r="X2388" s="43" t="s">
        <v>4069</v>
      </c>
      <c r="Y2388" s="4">
        <v>13.4549796665298</v>
      </c>
      <c r="Z2388" s="4">
        <v>13.0239492004358</v>
      </c>
      <c r="AA2388" s="4">
        <v>13.4083836912476</v>
      </c>
      <c r="AB2388" s="4">
        <f t="shared" si="151"/>
        <v>13.295770852737732</v>
      </c>
    </row>
    <row r="2389" spans="2:28" x14ac:dyDescent="0.2">
      <c r="B2389" s="4" t="s">
        <v>1616</v>
      </c>
      <c r="C2389" s="4">
        <v>13.4818</v>
      </c>
      <c r="D2389" s="4">
        <v>13.172599999999999</v>
      </c>
      <c r="E2389" s="4">
        <v>13.0464</v>
      </c>
      <c r="F2389" s="4">
        <f t="shared" si="148"/>
        <v>13.233600000000001</v>
      </c>
      <c r="I2389" s="4" t="s">
        <v>3238</v>
      </c>
      <c r="J2389" s="4">
        <v>13.41</v>
      </c>
      <c r="K2389" s="4">
        <v>13.140700000000001</v>
      </c>
      <c r="L2389" s="4">
        <v>13.1793</v>
      </c>
      <c r="M2389" s="4">
        <f t="shared" si="149"/>
        <v>13.243333333333332</v>
      </c>
      <c r="Q2389" s="43" t="s">
        <v>3734</v>
      </c>
      <c r="R2389" s="4">
        <v>13.280649570708899</v>
      </c>
      <c r="S2389" s="4">
        <v>12.828984144053599</v>
      </c>
      <c r="T2389" s="4">
        <v>13.3776823248289</v>
      </c>
      <c r="U2389" s="4">
        <f t="shared" si="150"/>
        <v>13.162438679863799</v>
      </c>
      <c r="X2389" s="43" t="s">
        <v>3108</v>
      </c>
      <c r="Y2389" s="4">
        <v>13.408056728028599</v>
      </c>
      <c r="Z2389" s="4">
        <v>13.0727338514258</v>
      </c>
      <c r="AA2389" s="4">
        <v>13.4064272567581</v>
      </c>
      <c r="AB2389" s="4">
        <f t="shared" si="151"/>
        <v>13.2957392787375</v>
      </c>
    </row>
    <row r="2390" spans="2:28" x14ac:dyDescent="0.2">
      <c r="B2390" s="4" t="s">
        <v>2892</v>
      </c>
      <c r="C2390" s="4">
        <v>13.148</v>
      </c>
      <c r="D2390" s="4">
        <v>13.248799999999999</v>
      </c>
      <c r="E2390" s="4">
        <v>13.3032</v>
      </c>
      <c r="F2390" s="4">
        <f t="shared" si="148"/>
        <v>13.233333333333334</v>
      </c>
      <c r="I2390" s="4" t="s">
        <v>219</v>
      </c>
      <c r="J2390" s="4">
        <v>13.3093</v>
      </c>
      <c r="K2390" s="4">
        <v>13.3062</v>
      </c>
      <c r="L2390" s="4">
        <v>13.110900000000001</v>
      </c>
      <c r="M2390" s="4">
        <f t="shared" si="149"/>
        <v>13.242133333333333</v>
      </c>
      <c r="Q2390" s="43" t="s">
        <v>1187</v>
      </c>
      <c r="R2390" s="4">
        <v>13.236407810551199</v>
      </c>
      <c r="S2390" s="4">
        <v>13.2417649096968</v>
      </c>
      <c r="T2390" s="4">
        <v>13.005017178114899</v>
      </c>
      <c r="U2390" s="4">
        <f t="shared" si="150"/>
        <v>13.161063299454298</v>
      </c>
      <c r="X2390" s="43" t="s">
        <v>4174</v>
      </c>
      <c r="Y2390" s="4">
        <v>13.2241735532318</v>
      </c>
      <c r="Z2390" s="4">
        <v>13.1889162578523</v>
      </c>
      <c r="AA2390" s="4">
        <v>13.4713611830456</v>
      </c>
      <c r="AB2390" s="4">
        <f t="shared" si="151"/>
        <v>13.294816998043233</v>
      </c>
    </row>
    <row r="2391" spans="2:28" x14ac:dyDescent="0.2">
      <c r="B2391" s="4" t="s">
        <v>736</v>
      </c>
      <c r="C2391" s="4">
        <v>13.686299999999999</v>
      </c>
      <c r="D2391" s="4">
        <v>13.047499999999999</v>
      </c>
      <c r="E2391" s="4">
        <v>12.965</v>
      </c>
      <c r="F2391" s="4">
        <f t="shared" si="148"/>
        <v>13.232933333333333</v>
      </c>
      <c r="I2391" s="4" t="s">
        <v>3501</v>
      </c>
      <c r="J2391" s="4">
        <v>13.167999999999999</v>
      </c>
      <c r="K2391" s="4">
        <v>13.222300000000001</v>
      </c>
      <c r="L2391" s="4">
        <v>13.334</v>
      </c>
      <c r="M2391" s="4">
        <f t="shared" si="149"/>
        <v>13.241433333333333</v>
      </c>
      <c r="Q2391" s="43" t="s">
        <v>159</v>
      </c>
      <c r="R2391" s="4">
        <v>13.498891168638901</v>
      </c>
      <c r="S2391" s="4">
        <v>13.175721612119499</v>
      </c>
      <c r="T2391" s="4">
        <v>12.808386785047199</v>
      </c>
      <c r="U2391" s="4">
        <f t="shared" si="150"/>
        <v>13.160999855268534</v>
      </c>
      <c r="X2391" s="43" t="s">
        <v>1769</v>
      </c>
      <c r="Y2391" s="4">
        <v>13.288411019296101</v>
      </c>
      <c r="Z2391" s="4">
        <v>13.117872911364</v>
      </c>
      <c r="AA2391" s="4">
        <v>13.4752567805859</v>
      </c>
      <c r="AB2391" s="4">
        <f t="shared" si="151"/>
        <v>13.293846903748667</v>
      </c>
    </row>
    <row r="2392" spans="2:28" x14ac:dyDescent="0.2">
      <c r="B2392" s="4" t="s">
        <v>2557</v>
      </c>
      <c r="C2392" s="4">
        <v>13.512600000000001</v>
      </c>
      <c r="D2392" s="4">
        <v>13.030900000000001</v>
      </c>
      <c r="E2392" s="4">
        <v>13.1539</v>
      </c>
      <c r="F2392" s="4">
        <f t="shared" si="148"/>
        <v>13.232466666666667</v>
      </c>
      <c r="I2392" s="4" t="s">
        <v>3803</v>
      </c>
      <c r="J2392" s="4">
        <v>13.190300000000001</v>
      </c>
      <c r="K2392" s="4">
        <v>13.579499999999999</v>
      </c>
      <c r="L2392" s="4">
        <v>12.947100000000001</v>
      </c>
      <c r="M2392" s="4">
        <f t="shared" si="149"/>
        <v>13.238966666666668</v>
      </c>
      <c r="Q2392" s="43" t="s">
        <v>1596</v>
      </c>
      <c r="R2392" s="4">
        <v>12.9352515680176</v>
      </c>
      <c r="S2392" s="4">
        <v>13.2057475586102</v>
      </c>
      <c r="T2392" s="4">
        <v>13.3378801549449</v>
      </c>
      <c r="U2392" s="4">
        <f t="shared" si="150"/>
        <v>13.159626427190901</v>
      </c>
      <c r="X2392" s="43" t="s">
        <v>423</v>
      </c>
      <c r="Y2392" s="4">
        <v>13.2754122501398</v>
      </c>
      <c r="Z2392" s="4">
        <v>13.377333623986001</v>
      </c>
      <c r="AA2392" s="4">
        <v>13.2254046356719</v>
      </c>
      <c r="AB2392" s="4">
        <f t="shared" si="151"/>
        <v>13.292716836599233</v>
      </c>
    </row>
    <row r="2393" spans="2:28" x14ac:dyDescent="0.2">
      <c r="B2393" s="4" t="s">
        <v>4073</v>
      </c>
      <c r="C2393" s="4">
        <v>12.948499999999999</v>
      </c>
      <c r="D2393" s="4">
        <v>13.6235</v>
      </c>
      <c r="E2393" s="4">
        <v>13.0982</v>
      </c>
      <c r="F2393" s="4">
        <f t="shared" si="148"/>
        <v>13.2234</v>
      </c>
      <c r="I2393" s="4" t="s">
        <v>2952</v>
      </c>
      <c r="J2393" s="4">
        <v>13.444100000000001</v>
      </c>
      <c r="K2393" s="4">
        <v>13.0726</v>
      </c>
      <c r="L2393" s="4">
        <v>13.1912</v>
      </c>
      <c r="M2393" s="4">
        <f t="shared" si="149"/>
        <v>13.235966666666668</v>
      </c>
      <c r="Q2393" s="43" t="s">
        <v>4408</v>
      </c>
      <c r="R2393" s="4">
        <v>13.0315740489145</v>
      </c>
      <c r="S2393" s="4">
        <v>13.265741933703399</v>
      </c>
      <c r="T2393" s="4">
        <v>13.174311210413199</v>
      </c>
      <c r="U2393" s="4">
        <f t="shared" si="150"/>
        <v>13.157209064343698</v>
      </c>
      <c r="X2393" s="43" t="s">
        <v>4547</v>
      </c>
      <c r="Y2393" s="4">
        <v>13.313883669479701</v>
      </c>
      <c r="Z2393" s="4">
        <v>13.1313834533003</v>
      </c>
      <c r="AA2393" s="4">
        <v>13.4208154044757</v>
      </c>
      <c r="AB2393" s="4">
        <f t="shared" si="151"/>
        <v>13.2886941757519</v>
      </c>
    </row>
    <row r="2394" spans="2:28" x14ac:dyDescent="0.2">
      <c r="B2394" s="4" t="s">
        <v>3837</v>
      </c>
      <c r="C2394" s="4">
        <v>12.677199999999999</v>
      </c>
      <c r="D2394" s="4">
        <v>13.309200000000001</v>
      </c>
      <c r="E2394" s="4">
        <v>13.677</v>
      </c>
      <c r="F2394" s="4">
        <f t="shared" si="148"/>
        <v>13.221133333333333</v>
      </c>
      <c r="I2394" s="4" t="s">
        <v>232</v>
      </c>
      <c r="J2394" s="4">
        <v>13.4939</v>
      </c>
      <c r="K2394" s="4">
        <v>12.66</v>
      </c>
      <c r="L2394" s="4">
        <v>13.552899999999999</v>
      </c>
      <c r="M2394" s="4">
        <f t="shared" si="149"/>
        <v>13.2356</v>
      </c>
      <c r="Q2394" s="43" t="s">
        <v>83</v>
      </c>
      <c r="R2394" s="4">
        <v>12.817632337544</v>
      </c>
      <c r="S2394" s="4">
        <v>13.2963384553503</v>
      </c>
      <c r="T2394" s="4">
        <v>13.353766966688401</v>
      </c>
      <c r="U2394" s="4">
        <f t="shared" si="150"/>
        <v>13.155912586527569</v>
      </c>
      <c r="X2394" s="43" t="s">
        <v>4238</v>
      </c>
      <c r="Y2394" s="4">
        <v>12.977893636723699</v>
      </c>
      <c r="Z2394" s="4">
        <v>13.300849456838</v>
      </c>
      <c r="AA2394" s="4">
        <v>13.586653542898601</v>
      </c>
      <c r="AB2394" s="4">
        <f t="shared" si="151"/>
        <v>13.288465545486767</v>
      </c>
    </row>
    <row r="2395" spans="2:28" x14ac:dyDescent="0.2">
      <c r="B2395" s="4" t="s">
        <v>2304</v>
      </c>
      <c r="C2395" s="4">
        <v>13.2281</v>
      </c>
      <c r="D2395" s="4">
        <v>13.3203</v>
      </c>
      <c r="E2395" s="4">
        <v>13.1051</v>
      </c>
      <c r="F2395" s="4">
        <f t="shared" si="148"/>
        <v>13.217833333333333</v>
      </c>
      <c r="I2395" s="4" t="s">
        <v>3535</v>
      </c>
      <c r="J2395" s="4">
        <v>13.245699999999999</v>
      </c>
      <c r="K2395" s="4">
        <v>13.119199999999999</v>
      </c>
      <c r="L2395" s="4">
        <v>13.341699999999999</v>
      </c>
      <c r="M2395" s="4">
        <f t="shared" si="149"/>
        <v>13.235533333333331</v>
      </c>
      <c r="Q2395" s="43" t="s">
        <v>4370</v>
      </c>
      <c r="R2395" s="4">
        <v>12.812457000867401</v>
      </c>
      <c r="S2395" s="4">
        <v>13.3650661881038</v>
      </c>
      <c r="T2395" s="4">
        <v>13.2863003339441</v>
      </c>
      <c r="U2395" s="4">
        <f t="shared" si="150"/>
        <v>13.154607840971765</v>
      </c>
      <c r="X2395" s="43" t="s">
        <v>4007</v>
      </c>
      <c r="Y2395" s="4">
        <v>13.270414717994599</v>
      </c>
      <c r="Z2395" s="4">
        <v>13.440256676266699</v>
      </c>
      <c r="AA2395" s="4">
        <v>13.150790410568799</v>
      </c>
      <c r="AB2395" s="4">
        <f t="shared" si="151"/>
        <v>13.287153934943367</v>
      </c>
    </row>
    <row r="2396" spans="2:28" x14ac:dyDescent="0.2">
      <c r="B2396" s="4" t="s">
        <v>388</v>
      </c>
      <c r="C2396" s="4">
        <v>13.800700000000001</v>
      </c>
      <c r="D2396" s="4">
        <v>13.523099999999999</v>
      </c>
      <c r="E2396" s="4">
        <v>12.3247</v>
      </c>
      <c r="F2396" s="4">
        <f t="shared" si="148"/>
        <v>13.216166666666666</v>
      </c>
      <c r="I2396" s="4" t="s">
        <v>3351</v>
      </c>
      <c r="J2396" s="4">
        <v>13.292199999999999</v>
      </c>
      <c r="K2396" s="4">
        <v>13.040800000000001</v>
      </c>
      <c r="L2396" s="4">
        <v>13.373100000000001</v>
      </c>
      <c r="M2396" s="4">
        <f t="shared" si="149"/>
        <v>13.235366666666666</v>
      </c>
      <c r="Q2396" s="43" t="s">
        <v>952</v>
      </c>
      <c r="R2396" s="4">
        <v>12.881148757215</v>
      </c>
      <c r="S2396" s="4">
        <v>13.572162258881299</v>
      </c>
      <c r="T2396" s="4">
        <v>13.006139758181</v>
      </c>
      <c r="U2396" s="4">
        <f t="shared" si="150"/>
        <v>13.153150258092433</v>
      </c>
      <c r="X2396" s="43" t="s">
        <v>3560</v>
      </c>
      <c r="Y2396" s="4">
        <v>13.281688321045401</v>
      </c>
      <c r="Z2396" s="4">
        <v>12.9674370579305</v>
      </c>
      <c r="AA2396" s="4">
        <v>13.6079573611927</v>
      </c>
      <c r="AB2396" s="4">
        <f t="shared" si="151"/>
        <v>13.285694246722867</v>
      </c>
    </row>
    <row r="2397" spans="2:28" x14ac:dyDescent="0.2">
      <c r="B2397" s="4" t="s">
        <v>2431</v>
      </c>
      <c r="C2397" s="4">
        <v>12.9383</v>
      </c>
      <c r="D2397" s="4">
        <v>12.8771</v>
      </c>
      <c r="E2397" s="4">
        <v>13.8264</v>
      </c>
      <c r="F2397" s="4">
        <f t="shared" si="148"/>
        <v>13.213933333333335</v>
      </c>
      <c r="I2397" s="4" t="s">
        <v>2258</v>
      </c>
      <c r="J2397" s="4">
        <v>13.2943</v>
      </c>
      <c r="K2397" s="4">
        <v>13.658200000000001</v>
      </c>
      <c r="L2397" s="4">
        <v>12.7478</v>
      </c>
      <c r="M2397" s="4">
        <f t="shared" si="149"/>
        <v>13.233433333333332</v>
      </c>
      <c r="Q2397" s="43" t="s">
        <v>4479</v>
      </c>
      <c r="R2397" s="4">
        <v>13.3181227756842</v>
      </c>
      <c r="S2397" s="4">
        <v>12.8763518895554</v>
      </c>
      <c r="T2397" s="4">
        <v>13.264808841880001</v>
      </c>
      <c r="U2397" s="4">
        <f t="shared" si="150"/>
        <v>13.1530945023732</v>
      </c>
      <c r="X2397" s="43" t="s">
        <v>3768</v>
      </c>
      <c r="Y2397" s="4">
        <v>13.258253407276101</v>
      </c>
      <c r="Z2397" s="4">
        <v>13.6006544236376</v>
      </c>
      <c r="AA2397" s="4">
        <v>12.996907861676499</v>
      </c>
      <c r="AB2397" s="4">
        <f t="shared" si="151"/>
        <v>13.285271897530066</v>
      </c>
    </row>
    <row r="2398" spans="2:28" x14ac:dyDescent="0.2">
      <c r="B2398" s="4" t="s">
        <v>626</v>
      </c>
      <c r="C2398" s="4">
        <v>13.427099999999999</v>
      </c>
      <c r="D2398" s="4">
        <v>12.728300000000001</v>
      </c>
      <c r="E2398" s="4">
        <v>13.481299999999999</v>
      </c>
      <c r="F2398" s="4">
        <f t="shared" si="148"/>
        <v>13.212233333333332</v>
      </c>
      <c r="I2398" s="4" t="s">
        <v>2368</v>
      </c>
      <c r="J2398" s="4">
        <v>12.959099999999999</v>
      </c>
      <c r="K2398" s="4">
        <v>13.1656</v>
      </c>
      <c r="L2398" s="4">
        <v>13.5724</v>
      </c>
      <c r="M2398" s="4">
        <f t="shared" si="149"/>
        <v>13.232366666666666</v>
      </c>
      <c r="Q2398" s="43" t="s">
        <v>3756</v>
      </c>
      <c r="R2398" s="4">
        <v>12.892854199752501</v>
      </c>
      <c r="S2398" s="4">
        <v>13.369645863287101</v>
      </c>
      <c r="T2398" s="4">
        <v>13.186637033759</v>
      </c>
      <c r="U2398" s="4">
        <f t="shared" si="150"/>
        <v>13.149712365599534</v>
      </c>
      <c r="X2398" s="43" t="s">
        <v>1348</v>
      </c>
      <c r="Y2398" s="4">
        <v>13.2545836660282</v>
      </c>
      <c r="Z2398" s="4">
        <v>13.1586332958206</v>
      </c>
      <c r="AA2398" s="4">
        <v>13.4386694405172</v>
      </c>
      <c r="AB2398" s="4">
        <f t="shared" si="151"/>
        <v>13.283962134122</v>
      </c>
    </row>
    <row r="2399" spans="2:28" x14ac:dyDescent="0.2">
      <c r="B2399" s="4" t="s">
        <v>1824</v>
      </c>
      <c r="C2399" s="4">
        <v>13.465400000000001</v>
      </c>
      <c r="D2399" s="4">
        <v>13.4472</v>
      </c>
      <c r="E2399" s="4">
        <v>12.718299999999999</v>
      </c>
      <c r="F2399" s="4">
        <f t="shared" si="148"/>
        <v>13.210299999999998</v>
      </c>
      <c r="I2399" s="4" t="s">
        <v>3187</v>
      </c>
      <c r="J2399" s="4">
        <v>13.065799999999999</v>
      </c>
      <c r="K2399" s="4">
        <v>13.303100000000001</v>
      </c>
      <c r="L2399" s="4">
        <v>13.3139</v>
      </c>
      <c r="M2399" s="4">
        <f t="shared" si="149"/>
        <v>13.227600000000001</v>
      </c>
      <c r="Q2399" s="43" t="s">
        <v>3563</v>
      </c>
      <c r="R2399" s="4">
        <v>13.191779079261201</v>
      </c>
      <c r="S2399" s="4">
        <v>13.338200312467601</v>
      </c>
      <c r="T2399" s="4">
        <v>12.9141592419187</v>
      </c>
      <c r="U2399" s="4">
        <f t="shared" si="150"/>
        <v>13.148046211215833</v>
      </c>
      <c r="X2399" s="43" t="s">
        <v>1181</v>
      </c>
      <c r="Y2399" s="4">
        <v>13.2794237049412</v>
      </c>
      <c r="Z2399" s="4">
        <v>13.4283522837615</v>
      </c>
      <c r="AA2399" s="4">
        <v>13.144073616055399</v>
      </c>
      <c r="AB2399" s="4">
        <f t="shared" si="151"/>
        <v>13.2839498682527</v>
      </c>
    </row>
    <row r="2400" spans="2:28" x14ac:dyDescent="0.2">
      <c r="B2400" s="4" t="s">
        <v>4069</v>
      </c>
      <c r="C2400" s="4">
        <v>12.938499999999999</v>
      </c>
      <c r="D2400" s="4">
        <v>13.218500000000001</v>
      </c>
      <c r="E2400" s="4">
        <v>13.4673</v>
      </c>
      <c r="F2400" s="4">
        <f t="shared" si="148"/>
        <v>13.2081</v>
      </c>
      <c r="I2400" s="4" t="s">
        <v>3068</v>
      </c>
      <c r="J2400" s="4">
        <v>13.1332</v>
      </c>
      <c r="K2400" s="4">
        <v>13.215299999999999</v>
      </c>
      <c r="L2400" s="4">
        <v>13.3308</v>
      </c>
      <c r="M2400" s="4">
        <f t="shared" si="149"/>
        <v>13.226433333333333</v>
      </c>
      <c r="Q2400" s="43" t="s">
        <v>123</v>
      </c>
      <c r="R2400" s="4">
        <v>13.0777403122114</v>
      </c>
      <c r="S2400" s="4">
        <v>13.257835135257899</v>
      </c>
      <c r="T2400" s="4">
        <v>13.0980068403418</v>
      </c>
      <c r="U2400" s="4">
        <f t="shared" si="150"/>
        <v>13.144527429270367</v>
      </c>
      <c r="X2400" s="43" t="s">
        <v>1071</v>
      </c>
      <c r="Y2400" s="4">
        <v>13.4711880076848</v>
      </c>
      <c r="Z2400" s="4">
        <v>13.3271980033732</v>
      </c>
      <c r="AA2400" s="4">
        <v>13.0534290951454</v>
      </c>
      <c r="AB2400" s="4">
        <f t="shared" si="151"/>
        <v>13.283938368734468</v>
      </c>
    </row>
    <row r="2401" spans="2:28" x14ac:dyDescent="0.2">
      <c r="B2401" s="4" t="s">
        <v>1823</v>
      </c>
      <c r="C2401" s="4">
        <v>13.546099999999999</v>
      </c>
      <c r="D2401" s="4">
        <v>13.2415</v>
      </c>
      <c r="E2401" s="4">
        <v>12.833500000000001</v>
      </c>
      <c r="F2401" s="4">
        <f t="shared" si="148"/>
        <v>13.207033333333333</v>
      </c>
      <c r="I2401" s="4" t="s">
        <v>2724</v>
      </c>
      <c r="J2401" s="4">
        <v>13.5366</v>
      </c>
      <c r="K2401" s="4">
        <v>13.234500000000001</v>
      </c>
      <c r="L2401" s="4">
        <v>12.9071</v>
      </c>
      <c r="M2401" s="4">
        <f t="shared" si="149"/>
        <v>13.226066666666668</v>
      </c>
      <c r="Q2401" s="43" t="s">
        <v>3827</v>
      </c>
      <c r="R2401" s="4">
        <v>13.281908795883</v>
      </c>
      <c r="S2401" s="4">
        <v>13.3672158422186</v>
      </c>
      <c r="T2401" s="4">
        <v>12.780106653677599</v>
      </c>
      <c r="U2401" s="4">
        <f t="shared" si="150"/>
        <v>13.143077097259734</v>
      </c>
      <c r="X2401" s="43" t="s">
        <v>3499</v>
      </c>
      <c r="Y2401" s="4">
        <v>13.478683800666699</v>
      </c>
      <c r="Z2401" s="4">
        <v>13.0602958051768</v>
      </c>
      <c r="AA2401" s="4">
        <v>13.305528057671101</v>
      </c>
      <c r="AB2401" s="4">
        <f t="shared" si="151"/>
        <v>13.281502554504868</v>
      </c>
    </row>
    <row r="2402" spans="2:28" x14ac:dyDescent="0.2">
      <c r="B2402" s="4" t="s">
        <v>2493</v>
      </c>
      <c r="C2402" s="4">
        <v>13.6654</v>
      </c>
      <c r="D2402" s="4">
        <v>13.157999999999999</v>
      </c>
      <c r="E2402" s="4">
        <v>12.796099999999999</v>
      </c>
      <c r="F2402" s="4">
        <f t="shared" si="148"/>
        <v>13.2065</v>
      </c>
      <c r="I2402" s="4" t="s">
        <v>605</v>
      </c>
      <c r="J2402" s="4">
        <v>13.1572</v>
      </c>
      <c r="K2402" s="4">
        <v>13.180300000000001</v>
      </c>
      <c r="L2402" s="4">
        <v>13.326599999999999</v>
      </c>
      <c r="M2402" s="4">
        <f t="shared" si="149"/>
        <v>13.221366666666666</v>
      </c>
      <c r="Q2402" s="43" t="s">
        <v>1867</v>
      </c>
      <c r="R2402" s="4">
        <v>12.7928993068866</v>
      </c>
      <c r="S2402" s="4">
        <v>13.221947322092699</v>
      </c>
      <c r="T2402" s="4">
        <v>13.412073684867</v>
      </c>
      <c r="U2402" s="4">
        <f t="shared" si="150"/>
        <v>13.142306771282099</v>
      </c>
      <c r="X2402" s="43" t="s">
        <v>3253</v>
      </c>
      <c r="Y2402" s="4">
        <v>13.0196448003068</v>
      </c>
      <c r="Z2402" s="4">
        <v>13.235765806060799</v>
      </c>
      <c r="AA2402" s="4">
        <v>13.586916418734299</v>
      </c>
      <c r="AB2402" s="4">
        <f t="shared" si="151"/>
        <v>13.280775675033965</v>
      </c>
    </row>
    <row r="2403" spans="2:28" x14ac:dyDescent="0.2">
      <c r="B2403" s="4" t="s">
        <v>3617</v>
      </c>
      <c r="C2403" s="4">
        <v>12.7575</v>
      </c>
      <c r="D2403" s="4">
        <v>13.5162</v>
      </c>
      <c r="E2403" s="4">
        <v>13.343999999999999</v>
      </c>
      <c r="F2403" s="4">
        <f t="shared" si="148"/>
        <v>13.2059</v>
      </c>
      <c r="I2403" s="4" t="s">
        <v>2985</v>
      </c>
      <c r="J2403" s="4">
        <v>13.725300000000001</v>
      </c>
      <c r="K2403" s="4">
        <v>12.714700000000001</v>
      </c>
      <c r="L2403" s="4">
        <v>13.2195</v>
      </c>
      <c r="M2403" s="4">
        <f t="shared" si="149"/>
        <v>13.219833333333334</v>
      </c>
      <c r="Q2403" s="43" t="s">
        <v>4497</v>
      </c>
      <c r="R2403" s="4">
        <v>14.257183539906899</v>
      </c>
      <c r="S2403" s="4">
        <v>14.149885295192</v>
      </c>
      <c r="T2403" s="4">
        <v>11.0085962443945</v>
      </c>
      <c r="U2403" s="4">
        <f t="shared" si="150"/>
        <v>13.138555026497798</v>
      </c>
      <c r="X2403" s="43" t="s">
        <v>265</v>
      </c>
      <c r="Y2403" s="4">
        <v>13.1918829572605</v>
      </c>
      <c r="Z2403" s="4">
        <v>13.379644075961499</v>
      </c>
      <c r="AA2403" s="4">
        <v>13.269594960639999</v>
      </c>
      <c r="AB2403" s="4">
        <f t="shared" si="151"/>
        <v>13.280373997953999</v>
      </c>
    </row>
    <row r="2404" spans="2:28" x14ac:dyDescent="0.2">
      <c r="B2404" s="4" t="s">
        <v>2053</v>
      </c>
      <c r="C2404" s="4">
        <v>13.1153</v>
      </c>
      <c r="D2404" s="4">
        <v>13.011100000000001</v>
      </c>
      <c r="E2404" s="4">
        <v>13.4741</v>
      </c>
      <c r="F2404" s="4">
        <f t="shared" si="148"/>
        <v>13.200166666666666</v>
      </c>
      <c r="I2404" s="4" t="s">
        <v>1237</v>
      </c>
      <c r="J2404" s="4">
        <v>13.251899999999999</v>
      </c>
      <c r="K2404" s="4">
        <v>13.0419</v>
      </c>
      <c r="L2404" s="4">
        <v>13.361700000000001</v>
      </c>
      <c r="M2404" s="4">
        <f t="shared" si="149"/>
        <v>13.218499999999999</v>
      </c>
      <c r="Q2404" s="43" t="s">
        <v>2257</v>
      </c>
      <c r="R2404" s="4">
        <v>12.871310460944301</v>
      </c>
      <c r="S2404" s="4">
        <v>13.541736589443</v>
      </c>
      <c r="T2404" s="4">
        <v>12.9975901570914</v>
      </c>
      <c r="U2404" s="4">
        <f t="shared" si="150"/>
        <v>13.136879069159567</v>
      </c>
      <c r="X2404" s="43" t="s">
        <v>2580</v>
      </c>
      <c r="Y2404" s="4">
        <v>13.230317278422801</v>
      </c>
      <c r="Z2404" s="4">
        <v>13.246189794422699</v>
      </c>
      <c r="AA2404" s="4">
        <v>13.3604961537214</v>
      </c>
      <c r="AB2404" s="4">
        <f t="shared" si="151"/>
        <v>13.2790010755223</v>
      </c>
    </row>
    <row r="2405" spans="2:28" x14ac:dyDescent="0.2">
      <c r="B2405" s="4" t="s">
        <v>2828</v>
      </c>
      <c r="C2405" s="4">
        <v>13.453200000000001</v>
      </c>
      <c r="D2405" s="4">
        <v>13.311199999999999</v>
      </c>
      <c r="E2405" s="4">
        <v>12.829599999999999</v>
      </c>
      <c r="F2405" s="4">
        <f t="shared" si="148"/>
        <v>13.198</v>
      </c>
      <c r="I2405" s="4" t="s">
        <v>792</v>
      </c>
      <c r="J2405" s="4">
        <v>13.285500000000001</v>
      </c>
      <c r="K2405" s="4">
        <v>13.3531</v>
      </c>
      <c r="L2405" s="4">
        <v>13.0061</v>
      </c>
      <c r="M2405" s="4">
        <f t="shared" si="149"/>
        <v>13.2149</v>
      </c>
      <c r="Q2405" s="43" t="s">
        <v>2013</v>
      </c>
      <c r="R2405" s="4">
        <v>13.2278936007467</v>
      </c>
      <c r="S2405" s="4">
        <v>13.1808538365509</v>
      </c>
      <c r="T2405" s="4">
        <v>13.0000817727288</v>
      </c>
      <c r="U2405" s="4">
        <f t="shared" si="150"/>
        <v>13.136276403342132</v>
      </c>
      <c r="X2405" s="43" t="s">
        <v>3241</v>
      </c>
      <c r="Y2405" s="4">
        <v>13.0862733423116</v>
      </c>
      <c r="Z2405" s="4">
        <v>13.119134644931499</v>
      </c>
      <c r="AA2405" s="4">
        <v>13.629346907938601</v>
      </c>
      <c r="AB2405" s="4">
        <f t="shared" si="151"/>
        <v>13.278251631727235</v>
      </c>
    </row>
    <row r="2406" spans="2:28" x14ac:dyDescent="0.2">
      <c r="B2406" s="4" t="s">
        <v>2839</v>
      </c>
      <c r="C2406" s="4">
        <v>13.5885</v>
      </c>
      <c r="D2406" s="4">
        <v>12.8065</v>
      </c>
      <c r="E2406" s="4">
        <v>13.193099999999999</v>
      </c>
      <c r="F2406" s="4">
        <f t="shared" si="148"/>
        <v>13.196033333333332</v>
      </c>
      <c r="I2406" s="4" t="s">
        <v>3852</v>
      </c>
      <c r="J2406" s="4">
        <v>13.2521</v>
      </c>
      <c r="K2406" s="4">
        <v>13.064</v>
      </c>
      <c r="L2406" s="4">
        <v>13.3262</v>
      </c>
      <c r="M2406" s="4">
        <f t="shared" si="149"/>
        <v>13.2141</v>
      </c>
      <c r="Q2406" s="43" t="s">
        <v>4198</v>
      </c>
      <c r="R2406" s="4">
        <v>13.1422933074178</v>
      </c>
      <c r="S2406" s="4">
        <v>13.3006725609026</v>
      </c>
      <c r="T2406" s="4">
        <v>12.9651326410868</v>
      </c>
      <c r="U2406" s="4">
        <f t="shared" si="150"/>
        <v>13.136032836469065</v>
      </c>
      <c r="X2406" s="43" t="s">
        <v>584</v>
      </c>
      <c r="Y2406" s="4">
        <v>13.062828455839099</v>
      </c>
      <c r="Z2406" s="4">
        <v>13.407648520917601</v>
      </c>
      <c r="AA2406" s="4">
        <v>13.363851572271001</v>
      </c>
      <c r="AB2406" s="4">
        <f t="shared" si="151"/>
        <v>13.278109516342568</v>
      </c>
    </row>
    <row r="2407" spans="2:28" x14ac:dyDescent="0.2">
      <c r="B2407" s="4" t="s">
        <v>1860</v>
      </c>
      <c r="C2407" s="4">
        <v>13.0457</v>
      </c>
      <c r="D2407" s="4">
        <v>13.615</v>
      </c>
      <c r="E2407" s="4">
        <v>12.9268</v>
      </c>
      <c r="F2407" s="4">
        <f t="shared" si="148"/>
        <v>13.195833333333333</v>
      </c>
      <c r="I2407" s="4" t="s">
        <v>2053</v>
      </c>
      <c r="J2407" s="4">
        <v>13.096</v>
      </c>
      <c r="K2407" s="4">
        <v>13.3133</v>
      </c>
      <c r="L2407" s="4">
        <v>13.2318</v>
      </c>
      <c r="M2407" s="4">
        <f t="shared" si="149"/>
        <v>13.213700000000001</v>
      </c>
      <c r="Q2407" s="43" t="s">
        <v>710</v>
      </c>
      <c r="R2407" s="4">
        <v>12.934411064738001</v>
      </c>
      <c r="S2407" s="4">
        <v>13.280445779980001</v>
      </c>
      <c r="T2407" s="4">
        <v>13.192877478562901</v>
      </c>
      <c r="U2407" s="4">
        <f t="shared" si="150"/>
        <v>13.135911441093633</v>
      </c>
      <c r="X2407" s="43" t="s">
        <v>4419</v>
      </c>
      <c r="Y2407" s="4">
        <v>13.4098718002945</v>
      </c>
      <c r="Z2407" s="4">
        <v>13.1462397018411</v>
      </c>
      <c r="AA2407" s="4">
        <v>13.2758655230835</v>
      </c>
      <c r="AB2407" s="4">
        <f t="shared" si="151"/>
        <v>13.277325675073035</v>
      </c>
    </row>
    <row r="2408" spans="2:28" x14ac:dyDescent="0.2">
      <c r="B2408" s="4" t="s">
        <v>2338</v>
      </c>
      <c r="C2408" s="4">
        <v>13.551500000000001</v>
      </c>
      <c r="D2408" s="4">
        <v>13.244899999999999</v>
      </c>
      <c r="E2408" s="4">
        <v>12.7874</v>
      </c>
      <c r="F2408" s="4">
        <f t="shared" si="148"/>
        <v>13.194599999999999</v>
      </c>
      <c r="I2408" s="4" t="s">
        <v>3035</v>
      </c>
      <c r="J2408" s="4">
        <v>13.5733</v>
      </c>
      <c r="K2408" s="4">
        <v>12.375999999999999</v>
      </c>
      <c r="L2408" s="4">
        <v>13.690099999999999</v>
      </c>
      <c r="M2408" s="4">
        <f t="shared" si="149"/>
        <v>13.213133333333333</v>
      </c>
      <c r="Q2408" s="43" t="s">
        <v>3813</v>
      </c>
      <c r="R2408" s="4">
        <v>12.9225131753273</v>
      </c>
      <c r="S2408" s="4">
        <v>13.0976470603969</v>
      </c>
      <c r="T2408" s="4">
        <v>13.3874245433827</v>
      </c>
      <c r="U2408" s="4">
        <f t="shared" si="150"/>
        <v>13.135861593035633</v>
      </c>
      <c r="X2408" s="43" t="s">
        <v>4280</v>
      </c>
      <c r="Y2408" s="4">
        <v>13.2745391826664</v>
      </c>
      <c r="Z2408" s="4">
        <v>13.125637748958599</v>
      </c>
      <c r="AA2408" s="4">
        <v>13.4299062109872</v>
      </c>
      <c r="AB2408" s="4">
        <f t="shared" si="151"/>
        <v>13.276694380870731</v>
      </c>
    </row>
    <row r="2409" spans="2:28" x14ac:dyDescent="0.2">
      <c r="B2409" s="4" t="s">
        <v>1455</v>
      </c>
      <c r="C2409" s="4">
        <v>12.870699999999999</v>
      </c>
      <c r="D2409" s="4">
        <v>13.317500000000001</v>
      </c>
      <c r="E2409" s="4">
        <v>13.3931</v>
      </c>
      <c r="F2409" s="4">
        <f t="shared" si="148"/>
        <v>13.193766666666667</v>
      </c>
      <c r="I2409" s="4" t="s">
        <v>3174</v>
      </c>
      <c r="J2409" s="4">
        <v>12.7081</v>
      </c>
      <c r="K2409" s="4">
        <v>13.908799999999999</v>
      </c>
      <c r="L2409" s="4">
        <v>13.021800000000001</v>
      </c>
      <c r="M2409" s="4">
        <f t="shared" si="149"/>
        <v>13.212899999999999</v>
      </c>
      <c r="Q2409" s="43" t="s">
        <v>1625</v>
      </c>
      <c r="R2409" s="4">
        <v>13.216374675197301</v>
      </c>
      <c r="S2409" s="4">
        <v>13.113710451804501</v>
      </c>
      <c r="T2409" s="4">
        <v>13.0763312689005</v>
      </c>
      <c r="U2409" s="4">
        <f t="shared" si="150"/>
        <v>13.135472131967433</v>
      </c>
      <c r="X2409" s="43" t="s">
        <v>2228</v>
      </c>
      <c r="Y2409" s="4">
        <v>13.138937640877099</v>
      </c>
      <c r="Z2409" s="4">
        <v>13.520762987018401</v>
      </c>
      <c r="AA2409" s="4">
        <v>13.1677419755075</v>
      </c>
      <c r="AB2409" s="4">
        <f t="shared" si="151"/>
        <v>13.275814201134333</v>
      </c>
    </row>
    <row r="2410" spans="2:28" x14ac:dyDescent="0.2">
      <c r="B2410" s="4" t="s">
        <v>2755</v>
      </c>
      <c r="C2410" s="4">
        <v>13.0306</v>
      </c>
      <c r="D2410" s="4">
        <v>13.3028</v>
      </c>
      <c r="E2410" s="4">
        <v>13.2432</v>
      </c>
      <c r="F2410" s="4">
        <f t="shared" si="148"/>
        <v>13.1922</v>
      </c>
      <c r="I2410" s="4" t="s">
        <v>2656</v>
      </c>
      <c r="J2410" s="4">
        <v>13.195600000000001</v>
      </c>
      <c r="K2410" s="4">
        <v>12.9617</v>
      </c>
      <c r="L2410" s="4">
        <v>13.4735</v>
      </c>
      <c r="M2410" s="4">
        <f t="shared" si="149"/>
        <v>13.210266666666667</v>
      </c>
      <c r="Q2410" s="43" t="s">
        <v>4587</v>
      </c>
      <c r="R2410" s="4">
        <v>13.2031093175975</v>
      </c>
      <c r="S2410" s="4">
        <v>13.266628315559201</v>
      </c>
      <c r="T2410" s="4">
        <v>12.930461952075699</v>
      </c>
      <c r="U2410" s="4">
        <f t="shared" si="150"/>
        <v>13.133399861744133</v>
      </c>
      <c r="X2410" s="43" t="s">
        <v>2569</v>
      </c>
      <c r="Y2410" s="4">
        <v>13.0654036971385</v>
      </c>
      <c r="Z2410" s="4">
        <v>13.471282524145099</v>
      </c>
      <c r="AA2410" s="4">
        <v>13.2898670338308</v>
      </c>
      <c r="AB2410" s="4">
        <f t="shared" si="151"/>
        <v>13.275517751704799</v>
      </c>
    </row>
    <row r="2411" spans="2:28" x14ac:dyDescent="0.2">
      <c r="B2411" s="4" t="s">
        <v>64</v>
      </c>
      <c r="C2411" s="4">
        <v>13.3689</v>
      </c>
      <c r="D2411" s="4">
        <v>12.707000000000001</v>
      </c>
      <c r="E2411" s="4">
        <v>13.494300000000001</v>
      </c>
      <c r="F2411" s="4">
        <f t="shared" si="148"/>
        <v>13.190066666666667</v>
      </c>
      <c r="I2411" s="4" t="s">
        <v>3549</v>
      </c>
      <c r="J2411" s="4">
        <v>13.494300000000001</v>
      </c>
      <c r="K2411" s="4">
        <v>12.4864</v>
      </c>
      <c r="L2411" s="4">
        <v>13.6493</v>
      </c>
      <c r="M2411" s="4">
        <f t="shared" si="149"/>
        <v>13.209999999999999</v>
      </c>
      <c r="Q2411" s="43" t="s">
        <v>4196</v>
      </c>
      <c r="R2411" s="4">
        <v>13.0482933376649</v>
      </c>
      <c r="S2411" s="4">
        <v>13.1566401419082</v>
      </c>
      <c r="T2411" s="4">
        <v>13.1906138801626</v>
      </c>
      <c r="U2411" s="4">
        <f t="shared" si="150"/>
        <v>13.1318491199119</v>
      </c>
      <c r="X2411" s="43" t="s">
        <v>244</v>
      </c>
      <c r="Y2411" s="4">
        <v>13.3423954601307</v>
      </c>
      <c r="Z2411" s="4">
        <v>13.4152317289489</v>
      </c>
      <c r="AA2411" s="4">
        <v>13.0653063802582</v>
      </c>
      <c r="AB2411" s="4">
        <f t="shared" si="151"/>
        <v>13.274311189779267</v>
      </c>
    </row>
    <row r="2412" spans="2:28" x14ac:dyDescent="0.2">
      <c r="B2412" s="4" t="s">
        <v>287</v>
      </c>
      <c r="C2412" s="4">
        <v>13.0191</v>
      </c>
      <c r="D2412" s="4">
        <v>13.090299999999999</v>
      </c>
      <c r="E2412" s="4">
        <v>13.4582</v>
      </c>
      <c r="F2412" s="4">
        <f t="shared" si="148"/>
        <v>13.1892</v>
      </c>
      <c r="I2412" s="4" t="s">
        <v>3499</v>
      </c>
      <c r="J2412" s="4">
        <v>13.5678</v>
      </c>
      <c r="K2412" s="4">
        <v>13.701000000000001</v>
      </c>
      <c r="L2412" s="4">
        <v>12.358499999999999</v>
      </c>
      <c r="M2412" s="4">
        <f t="shared" si="149"/>
        <v>13.209099999999999</v>
      </c>
      <c r="Q2412" s="43" t="s">
        <v>4615</v>
      </c>
      <c r="R2412" s="4">
        <v>13.037986919498501</v>
      </c>
      <c r="S2412" s="4">
        <v>13.193223748058401</v>
      </c>
      <c r="T2412" s="4">
        <v>13.1621796895431</v>
      </c>
      <c r="U2412" s="4">
        <f t="shared" si="150"/>
        <v>13.131130119033335</v>
      </c>
      <c r="X2412" s="43" t="s">
        <v>1820</v>
      </c>
      <c r="Y2412" s="4">
        <v>13.7752990512196</v>
      </c>
      <c r="Z2412" s="4">
        <v>13.368783352172301</v>
      </c>
      <c r="AA2412" s="4">
        <v>12.678511248136299</v>
      </c>
      <c r="AB2412" s="4">
        <f t="shared" si="151"/>
        <v>13.274197883842731</v>
      </c>
    </row>
    <row r="2413" spans="2:28" x14ac:dyDescent="0.2">
      <c r="B2413" s="4" t="s">
        <v>1458</v>
      </c>
      <c r="C2413" s="4">
        <v>13.200799999999999</v>
      </c>
      <c r="D2413" s="4">
        <v>13.069699999999999</v>
      </c>
      <c r="E2413" s="4">
        <v>13.2965</v>
      </c>
      <c r="F2413" s="4">
        <f t="shared" si="148"/>
        <v>13.189</v>
      </c>
      <c r="I2413" s="4" t="s">
        <v>1443</v>
      </c>
      <c r="J2413" s="4">
        <v>11.787100000000001</v>
      </c>
      <c r="K2413" s="4">
        <v>15.122999999999999</v>
      </c>
      <c r="L2413" s="4">
        <v>12.716699999999999</v>
      </c>
      <c r="M2413" s="4">
        <f t="shared" si="149"/>
        <v>13.208933333333334</v>
      </c>
      <c r="Q2413" s="43" t="s">
        <v>654</v>
      </c>
      <c r="R2413" s="4">
        <v>12.583148831790799</v>
      </c>
      <c r="S2413" s="4">
        <v>13.1766720934445</v>
      </c>
      <c r="T2413" s="4">
        <v>13.63312433276</v>
      </c>
      <c r="U2413" s="4">
        <f t="shared" si="150"/>
        <v>13.1309817526651</v>
      </c>
      <c r="X2413" s="43" t="s">
        <v>2304</v>
      </c>
      <c r="Y2413" s="4">
        <v>13.205969498245899</v>
      </c>
      <c r="Z2413" s="4">
        <v>13.340464160854101</v>
      </c>
      <c r="AA2413" s="4">
        <v>13.2757040450266</v>
      </c>
      <c r="AB2413" s="4">
        <f t="shared" si="151"/>
        <v>13.274045901375535</v>
      </c>
    </row>
    <row r="2414" spans="2:28" x14ac:dyDescent="0.2">
      <c r="B2414" s="4" t="s">
        <v>3314</v>
      </c>
      <c r="C2414" s="4">
        <v>12.551500000000001</v>
      </c>
      <c r="D2414" s="4">
        <v>13.1905</v>
      </c>
      <c r="E2414" s="4">
        <v>13.823600000000001</v>
      </c>
      <c r="F2414" s="4">
        <f t="shared" si="148"/>
        <v>13.188533333333334</v>
      </c>
      <c r="I2414" s="4" t="s">
        <v>139</v>
      </c>
      <c r="J2414" s="4">
        <v>13.304600000000001</v>
      </c>
      <c r="K2414" s="4">
        <v>14.3002</v>
      </c>
      <c r="L2414" s="4">
        <v>12.021000000000001</v>
      </c>
      <c r="M2414" s="4">
        <f t="shared" si="149"/>
        <v>13.208599999999999</v>
      </c>
      <c r="Q2414" s="43" t="s">
        <v>2952</v>
      </c>
      <c r="R2414" s="4">
        <v>13.319266433569201</v>
      </c>
      <c r="S2414" s="4">
        <v>13.0512620273518</v>
      </c>
      <c r="T2414" s="4">
        <v>13.0209377318281</v>
      </c>
      <c r="U2414" s="4">
        <f t="shared" si="150"/>
        <v>13.130488730916367</v>
      </c>
      <c r="X2414" s="43" t="s">
        <v>833</v>
      </c>
      <c r="Y2414" s="4">
        <v>13.345728083155301</v>
      </c>
      <c r="Z2414" s="4">
        <v>13.172048910944699</v>
      </c>
      <c r="AA2414" s="4">
        <v>13.3040940569781</v>
      </c>
      <c r="AB2414" s="4">
        <f t="shared" si="151"/>
        <v>13.273957017026033</v>
      </c>
    </row>
    <row r="2415" spans="2:28" x14ac:dyDescent="0.2">
      <c r="B2415" s="4" t="s">
        <v>3162</v>
      </c>
      <c r="C2415" s="4">
        <v>13.1183</v>
      </c>
      <c r="D2415" s="4">
        <v>13.1846</v>
      </c>
      <c r="E2415" s="4">
        <v>13.262499999999999</v>
      </c>
      <c r="F2415" s="4">
        <f t="shared" si="148"/>
        <v>13.188466666666665</v>
      </c>
      <c r="I2415" s="4" t="s">
        <v>2947</v>
      </c>
      <c r="J2415" s="4">
        <v>13.3582</v>
      </c>
      <c r="K2415" s="4">
        <v>13.170999999999999</v>
      </c>
      <c r="L2415" s="4">
        <v>13.096399999999999</v>
      </c>
      <c r="M2415" s="4">
        <f t="shared" si="149"/>
        <v>13.208533333333333</v>
      </c>
      <c r="Q2415" s="43" t="s">
        <v>3908</v>
      </c>
      <c r="R2415" s="4">
        <v>13.022467509051401</v>
      </c>
      <c r="S2415" s="4">
        <v>13.2912962344248</v>
      </c>
      <c r="T2415" s="4">
        <v>13.0759483815921</v>
      </c>
      <c r="U2415" s="4">
        <f t="shared" si="150"/>
        <v>13.129904041689434</v>
      </c>
      <c r="X2415" s="43" t="s">
        <v>2682</v>
      </c>
      <c r="Y2415" s="4">
        <v>13.0650319362113</v>
      </c>
      <c r="Z2415" s="4">
        <v>13.3313459860574</v>
      </c>
      <c r="AA2415" s="4">
        <v>13.423378232387799</v>
      </c>
      <c r="AB2415" s="4">
        <f t="shared" si="151"/>
        <v>13.273252051552165</v>
      </c>
    </row>
    <row r="2416" spans="2:28" x14ac:dyDescent="0.2">
      <c r="B2416" s="4" t="s">
        <v>2452</v>
      </c>
      <c r="C2416" s="4">
        <v>13.5677</v>
      </c>
      <c r="D2416" s="4">
        <v>13.2607</v>
      </c>
      <c r="E2416" s="4">
        <v>12.736800000000001</v>
      </c>
      <c r="F2416" s="4">
        <f t="shared" si="148"/>
        <v>13.188400000000001</v>
      </c>
      <c r="I2416" s="4" t="s">
        <v>70</v>
      </c>
      <c r="J2416" s="4">
        <v>13.410600000000001</v>
      </c>
      <c r="K2416" s="4">
        <v>13.3622</v>
      </c>
      <c r="L2416" s="4">
        <v>12.847</v>
      </c>
      <c r="M2416" s="4">
        <f t="shared" si="149"/>
        <v>13.2066</v>
      </c>
      <c r="Q2416" s="43" t="s">
        <v>3574</v>
      </c>
      <c r="R2416" s="4">
        <v>12.8513781284149</v>
      </c>
      <c r="S2416" s="4">
        <v>13.201236223931</v>
      </c>
      <c r="T2416" s="4">
        <v>13.3290759885746</v>
      </c>
      <c r="U2416" s="4">
        <f t="shared" si="150"/>
        <v>13.127230113640167</v>
      </c>
      <c r="X2416" s="43" t="s">
        <v>2933</v>
      </c>
      <c r="Y2416" s="4">
        <v>13.381176480956</v>
      </c>
      <c r="Z2416" s="4">
        <v>12.9421224215635</v>
      </c>
      <c r="AA2416" s="4">
        <v>13.493107221493901</v>
      </c>
      <c r="AB2416" s="4">
        <f t="shared" si="151"/>
        <v>13.272135374671132</v>
      </c>
    </row>
    <row r="2417" spans="2:28" x14ac:dyDescent="0.2">
      <c r="B2417" s="4" t="s">
        <v>3908</v>
      </c>
      <c r="C2417" s="4">
        <v>13.252000000000001</v>
      </c>
      <c r="D2417" s="4">
        <v>13.067299999999999</v>
      </c>
      <c r="E2417" s="4">
        <v>13.2446</v>
      </c>
      <c r="F2417" s="4">
        <f t="shared" si="148"/>
        <v>13.187966666666666</v>
      </c>
      <c r="I2417" s="4" t="s">
        <v>342</v>
      </c>
      <c r="J2417" s="4">
        <v>13.635300000000001</v>
      </c>
      <c r="K2417" s="4">
        <v>12.8063</v>
      </c>
      <c r="L2417" s="4">
        <v>13.167400000000001</v>
      </c>
      <c r="M2417" s="4">
        <f t="shared" si="149"/>
        <v>13.203000000000001</v>
      </c>
      <c r="Q2417" s="43" t="s">
        <v>4445</v>
      </c>
      <c r="R2417" s="4">
        <v>13.283191096154599</v>
      </c>
      <c r="S2417" s="4">
        <v>13.1222542807115</v>
      </c>
      <c r="T2417" s="4">
        <v>12.9705705993356</v>
      </c>
      <c r="U2417" s="4">
        <f t="shared" si="150"/>
        <v>13.1253386587339</v>
      </c>
      <c r="X2417" s="43" t="s">
        <v>1255</v>
      </c>
      <c r="Y2417" s="4">
        <v>13.2294533295106</v>
      </c>
      <c r="Z2417" s="4">
        <v>12.932725556743099</v>
      </c>
      <c r="AA2417" s="4">
        <v>13.6538388386461</v>
      </c>
      <c r="AB2417" s="4">
        <f t="shared" si="151"/>
        <v>13.272005908299933</v>
      </c>
    </row>
    <row r="2418" spans="2:28" x14ac:dyDescent="0.2">
      <c r="B2418" s="4" t="s">
        <v>2551</v>
      </c>
      <c r="C2418" s="4">
        <v>12.9808</v>
      </c>
      <c r="D2418" s="4">
        <v>13.0441</v>
      </c>
      <c r="E2418" s="4">
        <v>13.5303</v>
      </c>
      <c r="F2418" s="4">
        <f t="shared" si="148"/>
        <v>13.185066666666666</v>
      </c>
      <c r="I2418" s="4" t="s">
        <v>2273</v>
      </c>
      <c r="J2418" s="4">
        <v>13.289899999999999</v>
      </c>
      <c r="K2418" s="4">
        <v>13.0662</v>
      </c>
      <c r="L2418" s="4">
        <v>13.2515</v>
      </c>
      <c r="M2418" s="4">
        <f t="shared" si="149"/>
        <v>13.202533333333333</v>
      </c>
      <c r="Q2418" s="43" t="s">
        <v>968</v>
      </c>
      <c r="R2418" s="4">
        <v>12.9391509283691</v>
      </c>
      <c r="S2418" s="4">
        <v>13.3680019154778</v>
      </c>
      <c r="T2418" s="4">
        <v>13.0679197620981</v>
      </c>
      <c r="U2418" s="4">
        <f t="shared" si="150"/>
        <v>13.125024201981667</v>
      </c>
      <c r="X2418" s="43" t="s">
        <v>56</v>
      </c>
      <c r="Y2418" s="4">
        <v>13.2860629272965</v>
      </c>
      <c r="Z2418" s="4">
        <v>13.1778142126335</v>
      </c>
      <c r="AA2418" s="4">
        <v>13.3512993402453</v>
      </c>
      <c r="AB2418" s="4">
        <f t="shared" si="151"/>
        <v>13.271725493391765</v>
      </c>
    </row>
    <row r="2419" spans="2:28" x14ac:dyDescent="0.2">
      <c r="B2419" s="4" t="s">
        <v>1961</v>
      </c>
      <c r="C2419" s="4">
        <v>13.271100000000001</v>
      </c>
      <c r="D2419" s="4">
        <v>13.036099999999999</v>
      </c>
      <c r="E2419" s="4">
        <v>13.245699999999999</v>
      </c>
      <c r="F2419" s="4">
        <f t="shared" si="148"/>
        <v>13.1843</v>
      </c>
      <c r="I2419" s="4" t="s">
        <v>2366</v>
      </c>
      <c r="J2419" s="4">
        <v>13.1706</v>
      </c>
      <c r="K2419" s="4">
        <v>12.9084</v>
      </c>
      <c r="L2419" s="4">
        <v>13.522600000000001</v>
      </c>
      <c r="M2419" s="4">
        <f t="shared" si="149"/>
        <v>13.200533333333334</v>
      </c>
      <c r="Q2419" s="43" t="s">
        <v>4206</v>
      </c>
      <c r="R2419" s="4">
        <v>13.340993853237901</v>
      </c>
      <c r="S2419" s="4">
        <v>13.003942451982001</v>
      </c>
      <c r="T2419" s="4">
        <v>13.028366394798301</v>
      </c>
      <c r="U2419" s="4">
        <f t="shared" si="150"/>
        <v>13.1244342333394</v>
      </c>
      <c r="X2419" s="43" t="s">
        <v>396</v>
      </c>
      <c r="Y2419" s="4">
        <v>13.2750213668897</v>
      </c>
      <c r="Z2419" s="4">
        <v>13.2207564769252</v>
      </c>
      <c r="AA2419" s="4">
        <v>13.310671906232001</v>
      </c>
      <c r="AB2419" s="4">
        <f t="shared" si="151"/>
        <v>13.268816583348967</v>
      </c>
    </row>
    <row r="2420" spans="2:28" x14ac:dyDescent="0.2">
      <c r="B2420" s="4" t="s">
        <v>114</v>
      </c>
      <c r="C2420" s="4">
        <v>13.218400000000001</v>
      </c>
      <c r="D2420" s="4">
        <v>13.302300000000001</v>
      </c>
      <c r="E2420" s="4">
        <v>13.0276</v>
      </c>
      <c r="F2420" s="4">
        <f t="shared" si="148"/>
        <v>13.182766666666666</v>
      </c>
      <c r="I2420" s="4" t="s">
        <v>2461</v>
      </c>
      <c r="J2420" s="4">
        <v>11.9209</v>
      </c>
      <c r="K2420" s="4">
        <v>13.351000000000001</v>
      </c>
      <c r="L2420" s="4">
        <v>14.3253</v>
      </c>
      <c r="M2420" s="4">
        <f t="shared" si="149"/>
        <v>13.199066666666667</v>
      </c>
      <c r="Q2420" s="43" t="s">
        <v>3377</v>
      </c>
      <c r="R2420" s="4">
        <v>13.105009245534401</v>
      </c>
      <c r="S2420" s="4">
        <v>13.200290169935499</v>
      </c>
      <c r="T2420" s="4">
        <v>13.0670281711659</v>
      </c>
      <c r="U2420" s="4">
        <f t="shared" si="150"/>
        <v>13.124109195545266</v>
      </c>
      <c r="X2420" s="43" t="s">
        <v>1274</v>
      </c>
      <c r="Y2420" s="4">
        <v>13.263748543352699</v>
      </c>
      <c r="Z2420" s="4">
        <v>13.2639982150504</v>
      </c>
      <c r="AA2420" s="4">
        <v>13.278559259900501</v>
      </c>
      <c r="AB2420" s="4">
        <f t="shared" si="151"/>
        <v>13.268768672767868</v>
      </c>
    </row>
    <row r="2421" spans="2:28" x14ac:dyDescent="0.2">
      <c r="B2421" s="4" t="s">
        <v>1125</v>
      </c>
      <c r="C2421" s="4">
        <v>13.291600000000001</v>
      </c>
      <c r="D2421" s="4">
        <v>13.1685</v>
      </c>
      <c r="E2421" s="4">
        <v>13.087400000000001</v>
      </c>
      <c r="F2421" s="4">
        <f t="shared" si="148"/>
        <v>13.182499999999999</v>
      </c>
      <c r="I2421" s="4" t="s">
        <v>2912</v>
      </c>
      <c r="J2421" s="4">
        <v>12.900499999999999</v>
      </c>
      <c r="K2421" s="4">
        <v>13.7163</v>
      </c>
      <c r="L2421" s="4">
        <v>12.9703</v>
      </c>
      <c r="M2421" s="4">
        <f t="shared" si="149"/>
        <v>13.1957</v>
      </c>
      <c r="Q2421" s="43" t="s">
        <v>2195</v>
      </c>
      <c r="R2421" s="4">
        <v>13.787871569118</v>
      </c>
      <c r="S2421" s="4">
        <v>12.4748303272344</v>
      </c>
      <c r="T2421" s="4">
        <v>13.1074297518661</v>
      </c>
      <c r="U2421" s="4">
        <f t="shared" si="150"/>
        <v>13.123377216072834</v>
      </c>
      <c r="X2421" s="43" t="s">
        <v>962</v>
      </c>
      <c r="Y2421" s="4">
        <v>13.151527365403499</v>
      </c>
      <c r="Z2421" s="4">
        <v>14.2453305297112</v>
      </c>
      <c r="AA2421" s="4">
        <v>12.408333063635499</v>
      </c>
      <c r="AB2421" s="4">
        <f t="shared" si="151"/>
        <v>13.268396986250067</v>
      </c>
    </row>
    <row r="2422" spans="2:28" x14ac:dyDescent="0.2">
      <c r="B2422" s="4" t="s">
        <v>240</v>
      </c>
      <c r="C2422" s="4">
        <v>13.116300000000001</v>
      </c>
      <c r="D2422" s="4">
        <v>13.137</v>
      </c>
      <c r="E2422" s="4">
        <v>13.2903</v>
      </c>
      <c r="F2422" s="4">
        <f t="shared" si="148"/>
        <v>13.181200000000002</v>
      </c>
      <c r="I2422" s="4" t="s">
        <v>2955</v>
      </c>
      <c r="J2422" s="4">
        <v>13.5992</v>
      </c>
      <c r="K2422" s="4">
        <v>12.452199999999999</v>
      </c>
      <c r="L2422" s="4">
        <v>13.5307</v>
      </c>
      <c r="M2422" s="4">
        <f t="shared" si="149"/>
        <v>13.194033333333332</v>
      </c>
      <c r="Q2422" s="43" t="s">
        <v>3239</v>
      </c>
      <c r="R2422" s="4">
        <v>13.2806072327995</v>
      </c>
      <c r="S2422" s="4">
        <v>13.051847242510901</v>
      </c>
      <c r="T2422" s="4">
        <v>13.0325473256932</v>
      </c>
      <c r="U2422" s="4">
        <f t="shared" si="150"/>
        <v>13.1216672670012</v>
      </c>
      <c r="X2422" s="43" t="s">
        <v>4466</v>
      </c>
      <c r="Y2422" s="4">
        <v>13.4026738661458</v>
      </c>
      <c r="Z2422" s="4">
        <v>13.192979836937701</v>
      </c>
      <c r="AA2422" s="4">
        <v>13.207384274974499</v>
      </c>
      <c r="AB2422" s="4">
        <f t="shared" si="151"/>
        <v>13.267679326019334</v>
      </c>
    </row>
    <row r="2423" spans="2:28" x14ac:dyDescent="0.2">
      <c r="B2423" s="4" t="s">
        <v>3567</v>
      </c>
      <c r="C2423" s="4">
        <v>13.2997</v>
      </c>
      <c r="D2423" s="4">
        <v>13.1638</v>
      </c>
      <c r="E2423" s="4">
        <v>13.077500000000001</v>
      </c>
      <c r="F2423" s="4">
        <f t="shared" si="148"/>
        <v>13.180333333333332</v>
      </c>
      <c r="I2423" s="4" t="s">
        <v>176</v>
      </c>
      <c r="J2423" s="4">
        <v>13.3215</v>
      </c>
      <c r="K2423" s="4">
        <v>13.337300000000001</v>
      </c>
      <c r="L2423" s="4">
        <v>12.9168</v>
      </c>
      <c r="M2423" s="4">
        <f t="shared" si="149"/>
        <v>13.191866666666668</v>
      </c>
      <c r="Q2423" s="43" t="s">
        <v>2724</v>
      </c>
      <c r="R2423" s="4">
        <v>13.1774862883921</v>
      </c>
      <c r="S2423" s="4">
        <v>13.0678431344859</v>
      </c>
      <c r="T2423" s="4">
        <v>13.1193061282553</v>
      </c>
      <c r="U2423" s="4">
        <f t="shared" si="150"/>
        <v>13.121545183711101</v>
      </c>
      <c r="X2423" s="43" t="s">
        <v>4234</v>
      </c>
      <c r="Y2423" s="4">
        <v>12.876316575686101</v>
      </c>
      <c r="Z2423" s="4">
        <v>13.3028589385882</v>
      </c>
      <c r="AA2423" s="4">
        <v>13.6210008014775</v>
      </c>
      <c r="AB2423" s="4">
        <f t="shared" si="151"/>
        <v>13.266725438583933</v>
      </c>
    </row>
    <row r="2424" spans="2:28" x14ac:dyDescent="0.2">
      <c r="B2424" s="4" t="s">
        <v>2873</v>
      </c>
      <c r="C2424" s="4">
        <v>12.154500000000001</v>
      </c>
      <c r="D2424" s="4">
        <v>12.821300000000001</v>
      </c>
      <c r="E2424" s="4">
        <v>14.551600000000001</v>
      </c>
      <c r="F2424" s="4">
        <f t="shared" si="148"/>
        <v>13.175800000000001</v>
      </c>
      <c r="I2424" s="4" t="s">
        <v>3424</v>
      </c>
      <c r="J2424" s="4">
        <v>13.0313</v>
      </c>
      <c r="K2424" s="4">
        <v>13.535399999999999</v>
      </c>
      <c r="L2424" s="4">
        <v>13.003500000000001</v>
      </c>
      <c r="M2424" s="4">
        <f t="shared" si="149"/>
        <v>13.190066666666667</v>
      </c>
      <c r="Q2424" s="43" t="s">
        <v>4413</v>
      </c>
      <c r="R2424" s="4">
        <v>13.457352551170899</v>
      </c>
      <c r="S2424" s="4">
        <v>12.455226521833101</v>
      </c>
      <c r="T2424" s="4">
        <v>13.443407133329799</v>
      </c>
      <c r="U2424" s="4">
        <f t="shared" si="150"/>
        <v>13.118662068777931</v>
      </c>
      <c r="X2424" s="43" t="s">
        <v>923</v>
      </c>
      <c r="Y2424" s="4">
        <v>13.2571734227948</v>
      </c>
      <c r="Z2424" s="4">
        <v>13.6219028379465</v>
      </c>
      <c r="AA2424" s="4">
        <v>12.917374531979601</v>
      </c>
      <c r="AB2424" s="4">
        <f t="shared" si="151"/>
        <v>13.265483597573635</v>
      </c>
    </row>
    <row r="2425" spans="2:28" x14ac:dyDescent="0.2">
      <c r="B2425" s="4" t="s">
        <v>2520</v>
      </c>
      <c r="C2425" s="4">
        <v>13.0062</v>
      </c>
      <c r="D2425" s="4">
        <v>13.1318</v>
      </c>
      <c r="E2425" s="4">
        <v>13.3872</v>
      </c>
      <c r="F2425" s="4">
        <f t="shared" si="148"/>
        <v>13.175066666666666</v>
      </c>
      <c r="I2425" s="4" t="s">
        <v>269</v>
      </c>
      <c r="J2425" s="4">
        <v>13.170500000000001</v>
      </c>
      <c r="K2425" s="4">
        <v>13.079000000000001</v>
      </c>
      <c r="L2425" s="4">
        <v>13.318099999999999</v>
      </c>
      <c r="M2425" s="4">
        <f t="shared" si="149"/>
        <v>13.1892</v>
      </c>
      <c r="Q2425" s="43" t="s">
        <v>476</v>
      </c>
      <c r="R2425" s="4">
        <v>13.478956333845201</v>
      </c>
      <c r="S2425" s="4">
        <v>12.892393091770799</v>
      </c>
      <c r="T2425" s="4">
        <v>12.9815676962893</v>
      </c>
      <c r="U2425" s="4">
        <f t="shared" si="150"/>
        <v>13.117639040635099</v>
      </c>
      <c r="X2425" s="43" t="s">
        <v>4066</v>
      </c>
      <c r="Y2425" s="4">
        <v>13.268715650136</v>
      </c>
      <c r="Z2425" s="4">
        <v>13.187382381380701</v>
      </c>
      <c r="AA2425" s="4">
        <v>13.33624997968</v>
      </c>
      <c r="AB2425" s="4">
        <f t="shared" si="151"/>
        <v>13.264116003732234</v>
      </c>
    </row>
    <row r="2426" spans="2:28" x14ac:dyDescent="0.2">
      <c r="B2426" s="4" t="s">
        <v>2418</v>
      </c>
      <c r="C2426" s="4">
        <v>13.053699999999999</v>
      </c>
      <c r="D2426" s="4">
        <v>13.102499999999999</v>
      </c>
      <c r="E2426" s="4">
        <v>13.3653</v>
      </c>
      <c r="F2426" s="4">
        <f t="shared" si="148"/>
        <v>13.173833333333333</v>
      </c>
      <c r="I2426" s="4" t="s">
        <v>4036</v>
      </c>
      <c r="J2426" s="4">
        <v>13.357699999999999</v>
      </c>
      <c r="K2426" s="4">
        <v>12.8439</v>
      </c>
      <c r="L2426" s="4">
        <v>13.3626</v>
      </c>
      <c r="M2426" s="4">
        <f t="shared" si="149"/>
        <v>13.188066666666666</v>
      </c>
      <c r="Q2426" s="43" t="s">
        <v>2293</v>
      </c>
      <c r="R2426" s="4">
        <v>13.0013208213733</v>
      </c>
      <c r="S2426" s="4">
        <v>13.1917673443981</v>
      </c>
      <c r="T2426" s="4">
        <v>13.1544537511696</v>
      </c>
      <c r="U2426" s="4">
        <f t="shared" si="150"/>
        <v>13.115847305647</v>
      </c>
      <c r="X2426" s="43" t="s">
        <v>33</v>
      </c>
      <c r="Y2426" s="4">
        <v>13.1930153500281</v>
      </c>
      <c r="Z2426" s="4">
        <v>13.3112784097277</v>
      </c>
      <c r="AA2426" s="4">
        <v>13.286265721435401</v>
      </c>
      <c r="AB2426" s="4">
        <f t="shared" si="151"/>
        <v>13.263519827063734</v>
      </c>
    </row>
    <row r="2427" spans="2:28" x14ac:dyDescent="0.2">
      <c r="B2427" s="4" t="s">
        <v>2714</v>
      </c>
      <c r="C2427" s="4">
        <v>12.7639</v>
      </c>
      <c r="D2427" s="4">
        <v>13.2357</v>
      </c>
      <c r="E2427" s="4">
        <v>13.52</v>
      </c>
      <c r="F2427" s="4">
        <f t="shared" si="148"/>
        <v>13.1732</v>
      </c>
      <c r="I2427" s="4" t="s">
        <v>2920</v>
      </c>
      <c r="J2427" s="4">
        <v>13.263</v>
      </c>
      <c r="K2427" s="4">
        <v>12.9757</v>
      </c>
      <c r="L2427" s="4">
        <v>13.3188</v>
      </c>
      <c r="M2427" s="4">
        <f t="shared" si="149"/>
        <v>13.185833333333335</v>
      </c>
      <c r="Q2427" s="43" t="s">
        <v>1868</v>
      </c>
      <c r="R2427" s="4">
        <v>13.115744400657301</v>
      </c>
      <c r="S2427" s="4">
        <v>12.878674873672599</v>
      </c>
      <c r="T2427" s="4">
        <v>13.3525027271619</v>
      </c>
      <c r="U2427" s="4">
        <f t="shared" si="150"/>
        <v>13.115640667163932</v>
      </c>
      <c r="X2427" s="43" t="s">
        <v>3746</v>
      </c>
      <c r="Y2427" s="4">
        <v>13.3053298361865</v>
      </c>
      <c r="Z2427" s="4">
        <v>13.074214613117499</v>
      </c>
      <c r="AA2427" s="4">
        <v>13.410285232505601</v>
      </c>
      <c r="AB2427" s="4">
        <f t="shared" si="151"/>
        <v>13.263276560603201</v>
      </c>
    </row>
    <row r="2428" spans="2:28" x14ac:dyDescent="0.2">
      <c r="B2428" s="4" t="s">
        <v>1442</v>
      </c>
      <c r="C2428" s="4">
        <v>13.355499999999999</v>
      </c>
      <c r="D2428" s="4">
        <v>13.0878</v>
      </c>
      <c r="E2428" s="4">
        <v>13.0755</v>
      </c>
      <c r="F2428" s="4">
        <f t="shared" si="148"/>
        <v>13.172933333333333</v>
      </c>
      <c r="I2428" s="4" t="s">
        <v>1943</v>
      </c>
      <c r="J2428" s="4">
        <v>13.325200000000001</v>
      </c>
      <c r="K2428" s="4">
        <v>13.104200000000001</v>
      </c>
      <c r="L2428" s="4">
        <v>13.1259</v>
      </c>
      <c r="M2428" s="4">
        <f t="shared" si="149"/>
        <v>13.1851</v>
      </c>
      <c r="Q2428" s="43" t="s">
        <v>530</v>
      </c>
      <c r="R2428" s="4">
        <v>13.067712375989</v>
      </c>
      <c r="S2428" s="4">
        <v>13.2195668356621</v>
      </c>
      <c r="T2428" s="4">
        <v>13.057874375456599</v>
      </c>
      <c r="U2428" s="4">
        <f t="shared" si="150"/>
        <v>13.115051195702568</v>
      </c>
      <c r="X2428" s="43" t="s">
        <v>87</v>
      </c>
      <c r="Y2428" s="4">
        <v>13.204494327640001</v>
      </c>
      <c r="Z2428" s="4">
        <v>13.311096088322</v>
      </c>
      <c r="AA2428" s="4">
        <v>13.2721923818672</v>
      </c>
      <c r="AB2428" s="4">
        <f t="shared" si="151"/>
        <v>13.262594265943067</v>
      </c>
    </row>
    <row r="2429" spans="2:28" x14ac:dyDescent="0.2">
      <c r="B2429" s="4" t="s">
        <v>2328</v>
      </c>
      <c r="C2429" s="4">
        <v>12.7768</v>
      </c>
      <c r="D2429" s="4">
        <v>13.0129</v>
      </c>
      <c r="E2429" s="4">
        <v>13.7271</v>
      </c>
      <c r="F2429" s="4">
        <f t="shared" si="148"/>
        <v>13.172266666666667</v>
      </c>
      <c r="I2429" s="4" t="s">
        <v>2371</v>
      </c>
      <c r="J2429" s="4">
        <v>13.044700000000001</v>
      </c>
      <c r="K2429" s="4">
        <v>13.3432</v>
      </c>
      <c r="L2429" s="4">
        <v>13.16</v>
      </c>
      <c r="M2429" s="4">
        <f t="shared" si="149"/>
        <v>13.182633333333333</v>
      </c>
      <c r="Q2429" s="43" t="s">
        <v>3220</v>
      </c>
      <c r="R2429" s="4">
        <v>13.106998771382701</v>
      </c>
      <c r="S2429" s="4">
        <v>13.098520392075899</v>
      </c>
      <c r="T2429" s="4">
        <v>13.137206769494099</v>
      </c>
      <c r="U2429" s="4">
        <f t="shared" si="150"/>
        <v>13.1142419776509</v>
      </c>
      <c r="X2429" s="43" t="s">
        <v>3818</v>
      </c>
      <c r="Y2429" s="4">
        <v>13.122431643110801</v>
      </c>
      <c r="Z2429" s="4">
        <v>13.268757758371001</v>
      </c>
      <c r="AA2429" s="4">
        <v>13.3932755721794</v>
      </c>
      <c r="AB2429" s="4">
        <f t="shared" si="151"/>
        <v>13.261488324553733</v>
      </c>
    </row>
    <row r="2430" spans="2:28" x14ac:dyDescent="0.2">
      <c r="B2430" s="4" t="s">
        <v>2472</v>
      </c>
      <c r="C2430" s="4">
        <v>13.5426</v>
      </c>
      <c r="D2430" s="4">
        <v>12.460599999999999</v>
      </c>
      <c r="E2430" s="4">
        <v>13.5122</v>
      </c>
      <c r="F2430" s="4">
        <f t="shared" si="148"/>
        <v>13.171799999999999</v>
      </c>
      <c r="I2430" s="4" t="s">
        <v>319</v>
      </c>
      <c r="J2430" s="4">
        <v>13.246499999999999</v>
      </c>
      <c r="K2430" s="4">
        <v>13.165699999999999</v>
      </c>
      <c r="L2430" s="4">
        <v>13.125</v>
      </c>
      <c r="M2430" s="4">
        <f t="shared" si="149"/>
        <v>13.179066666666666</v>
      </c>
      <c r="Q2430" s="43" t="s">
        <v>239</v>
      </c>
      <c r="R2430" s="4">
        <v>13.0368832314934</v>
      </c>
      <c r="S2430" s="4">
        <v>13.0720640693624</v>
      </c>
      <c r="T2430" s="4">
        <v>13.224717083752701</v>
      </c>
      <c r="U2430" s="4">
        <f t="shared" si="150"/>
        <v>13.111221461536166</v>
      </c>
      <c r="X2430" s="43" t="s">
        <v>1477</v>
      </c>
      <c r="Y2430" s="4">
        <v>13.3212943117655</v>
      </c>
      <c r="Z2430" s="4">
        <v>13.168033941831901</v>
      </c>
      <c r="AA2430" s="4">
        <v>13.2897114475506</v>
      </c>
      <c r="AB2430" s="4">
        <f t="shared" si="151"/>
        <v>13.259679900382666</v>
      </c>
    </row>
    <row r="2431" spans="2:28" x14ac:dyDescent="0.2">
      <c r="B2431" s="4" t="s">
        <v>1559</v>
      </c>
      <c r="C2431" s="4">
        <v>12.2315</v>
      </c>
      <c r="D2431" s="4">
        <v>13.5358</v>
      </c>
      <c r="E2431" s="4">
        <v>13.7403</v>
      </c>
      <c r="F2431" s="4">
        <f t="shared" si="148"/>
        <v>13.169199999999998</v>
      </c>
      <c r="I2431" s="4" t="s">
        <v>2764</v>
      </c>
      <c r="J2431" s="4">
        <v>13.446199999999999</v>
      </c>
      <c r="K2431" s="4">
        <v>12.6599</v>
      </c>
      <c r="L2431" s="4">
        <v>13.428800000000001</v>
      </c>
      <c r="M2431" s="4">
        <f t="shared" si="149"/>
        <v>13.1783</v>
      </c>
      <c r="Q2431" s="43" t="s">
        <v>1888</v>
      </c>
      <c r="R2431" s="4">
        <v>13.3398786867841</v>
      </c>
      <c r="S2431" s="4">
        <v>13.1321538989666</v>
      </c>
      <c r="T2431" s="4">
        <v>12.8602302383709</v>
      </c>
      <c r="U2431" s="4">
        <f t="shared" si="150"/>
        <v>13.110754274707199</v>
      </c>
      <c r="X2431" s="43" t="s">
        <v>3931</v>
      </c>
      <c r="Y2431" s="4">
        <v>13.2749940801514</v>
      </c>
      <c r="Z2431" s="4">
        <v>13.162646135976299</v>
      </c>
      <c r="AA2431" s="4">
        <v>13.340202735121499</v>
      </c>
      <c r="AB2431" s="4">
        <f t="shared" si="151"/>
        <v>13.259280983749733</v>
      </c>
    </row>
    <row r="2432" spans="2:28" x14ac:dyDescent="0.2">
      <c r="B2432" s="4" t="s">
        <v>865</v>
      </c>
      <c r="C2432" s="4">
        <v>14.1541</v>
      </c>
      <c r="D2432" s="4">
        <v>13.9787</v>
      </c>
      <c r="E2432" s="4">
        <v>11.372</v>
      </c>
      <c r="F2432" s="4">
        <f t="shared" si="148"/>
        <v>13.168266666666668</v>
      </c>
      <c r="I2432" s="4" t="s">
        <v>2257</v>
      </c>
      <c r="J2432" s="4">
        <v>13.277100000000001</v>
      </c>
      <c r="K2432" s="4">
        <v>12.821400000000001</v>
      </c>
      <c r="L2432" s="4">
        <v>13.435499999999999</v>
      </c>
      <c r="M2432" s="4">
        <f t="shared" si="149"/>
        <v>13.177999999999999</v>
      </c>
      <c r="Q2432" s="43" t="s">
        <v>1284</v>
      </c>
      <c r="R2432" s="4">
        <v>13.002692394251101</v>
      </c>
      <c r="S2432" s="4">
        <v>12.9844190328326</v>
      </c>
      <c r="T2432" s="4">
        <v>13.3422755534459</v>
      </c>
      <c r="U2432" s="4">
        <f t="shared" si="150"/>
        <v>13.109795660176532</v>
      </c>
      <c r="X2432" s="43" t="s">
        <v>528</v>
      </c>
      <c r="Y2432" s="4">
        <v>12.909564872649</v>
      </c>
      <c r="Z2432" s="4">
        <v>13.335992822346199</v>
      </c>
      <c r="AA2432" s="4">
        <v>13.5320425351879</v>
      </c>
      <c r="AB2432" s="4">
        <f t="shared" si="151"/>
        <v>13.2592000767277</v>
      </c>
    </row>
    <row r="2433" spans="2:28" x14ac:dyDescent="0.2">
      <c r="B2433" s="4" t="s">
        <v>1318</v>
      </c>
      <c r="C2433" s="4">
        <v>13.2254</v>
      </c>
      <c r="D2433" s="4">
        <v>13.204700000000001</v>
      </c>
      <c r="E2433" s="4">
        <v>13.0648</v>
      </c>
      <c r="F2433" s="4">
        <f t="shared" si="148"/>
        <v>13.164966666666666</v>
      </c>
      <c r="I2433" s="4" t="s">
        <v>2308</v>
      </c>
      <c r="J2433" s="4">
        <v>13.2988</v>
      </c>
      <c r="K2433" s="4">
        <v>12.553800000000001</v>
      </c>
      <c r="L2433" s="4">
        <v>13.6797</v>
      </c>
      <c r="M2433" s="4">
        <f t="shared" si="149"/>
        <v>13.177433333333335</v>
      </c>
      <c r="Q2433" s="43" t="s">
        <v>4212</v>
      </c>
      <c r="R2433" s="4">
        <v>12.8434549929061</v>
      </c>
      <c r="S2433" s="4">
        <v>13.221057977033301</v>
      </c>
      <c r="T2433" s="4">
        <v>13.261856679900299</v>
      </c>
      <c r="U2433" s="4">
        <f t="shared" si="150"/>
        <v>13.108789883279899</v>
      </c>
      <c r="X2433" s="43" t="s">
        <v>3692</v>
      </c>
      <c r="Y2433" s="4">
        <v>13.1700565966181</v>
      </c>
      <c r="Z2433" s="4">
        <v>13.252574632339799</v>
      </c>
      <c r="AA2433" s="4">
        <v>13.352436167043599</v>
      </c>
      <c r="AB2433" s="4">
        <f t="shared" si="151"/>
        <v>13.258355798667166</v>
      </c>
    </row>
    <row r="2434" spans="2:28" x14ac:dyDescent="0.2">
      <c r="B2434" s="4" t="s">
        <v>3510</v>
      </c>
      <c r="C2434" s="4">
        <v>12.9087</v>
      </c>
      <c r="D2434" s="4">
        <v>13.2797</v>
      </c>
      <c r="E2434" s="4">
        <v>13.305300000000001</v>
      </c>
      <c r="F2434" s="4">
        <f t="shared" ref="F2434:F2497" si="152">(C2434+D2434+E2434)/3</f>
        <v>13.164566666666667</v>
      </c>
      <c r="I2434" s="4" t="s">
        <v>3963</v>
      </c>
      <c r="J2434" s="4">
        <v>12.958</v>
      </c>
      <c r="K2434" s="4">
        <v>13.469900000000001</v>
      </c>
      <c r="L2434" s="4">
        <v>13.0975</v>
      </c>
      <c r="M2434" s="4">
        <f t="shared" ref="M2434:M2497" si="153">(J2434+K2434+L2434)/3</f>
        <v>13.175133333333335</v>
      </c>
      <c r="Q2434" s="43" t="s">
        <v>919</v>
      </c>
      <c r="R2434" s="4">
        <v>12.691469206707501</v>
      </c>
      <c r="S2434" s="4">
        <v>13.060819620937499</v>
      </c>
      <c r="T2434" s="4">
        <v>13.5725820427411</v>
      </c>
      <c r="U2434" s="4">
        <f t="shared" ref="U2434:U2497" si="154">(R2434+S2434+T2434)/3</f>
        <v>13.1082902901287</v>
      </c>
      <c r="X2434" s="43" t="s">
        <v>4024</v>
      </c>
      <c r="Y2434" s="4">
        <v>13.6460122512891</v>
      </c>
      <c r="Z2434" s="4">
        <v>12.880325962055901</v>
      </c>
      <c r="AA2434" s="4">
        <v>13.2484166831475</v>
      </c>
      <c r="AB2434" s="4">
        <f t="shared" ref="AB2434:AB2497" si="155">(Y2434+Z2434+AA2434)/3</f>
        <v>13.258251632164166</v>
      </c>
    </row>
    <row r="2435" spans="2:28" x14ac:dyDescent="0.2">
      <c r="B2435" s="4" t="s">
        <v>352</v>
      </c>
      <c r="C2435" s="4">
        <v>13.050800000000001</v>
      </c>
      <c r="D2435" s="4">
        <v>13.020200000000001</v>
      </c>
      <c r="E2435" s="4">
        <v>13.421900000000001</v>
      </c>
      <c r="F2435" s="4">
        <f t="shared" si="152"/>
        <v>13.164300000000003</v>
      </c>
      <c r="I2435" s="4" t="s">
        <v>3477</v>
      </c>
      <c r="J2435" s="4">
        <v>13.228999999999999</v>
      </c>
      <c r="K2435" s="4">
        <v>12.9443</v>
      </c>
      <c r="L2435" s="4">
        <v>13.3423</v>
      </c>
      <c r="M2435" s="4">
        <f t="shared" si="153"/>
        <v>13.171866666666666</v>
      </c>
      <c r="Q2435" s="43" t="s">
        <v>590</v>
      </c>
      <c r="R2435" s="4">
        <v>12.9003833909871</v>
      </c>
      <c r="S2435" s="4">
        <v>13.3209851065028</v>
      </c>
      <c r="T2435" s="4">
        <v>13.101114187575901</v>
      </c>
      <c r="U2435" s="4">
        <f t="shared" si="154"/>
        <v>13.107494228355266</v>
      </c>
      <c r="X2435" s="43" t="s">
        <v>4475</v>
      </c>
      <c r="Y2435" s="4">
        <v>13.358092602830601</v>
      </c>
      <c r="Z2435" s="4">
        <v>13.321622840057801</v>
      </c>
      <c r="AA2435" s="4">
        <v>13.0946150823713</v>
      </c>
      <c r="AB2435" s="4">
        <f t="shared" si="155"/>
        <v>13.258110175086566</v>
      </c>
    </row>
    <row r="2436" spans="2:28" x14ac:dyDescent="0.2">
      <c r="B2436" s="4" t="s">
        <v>2979</v>
      </c>
      <c r="C2436" s="4">
        <v>13.307499999999999</v>
      </c>
      <c r="D2436" s="4">
        <v>13.2408</v>
      </c>
      <c r="E2436" s="4">
        <v>12.940200000000001</v>
      </c>
      <c r="F2436" s="4">
        <f t="shared" si="152"/>
        <v>13.162833333333333</v>
      </c>
      <c r="I2436" s="4" t="s">
        <v>3892</v>
      </c>
      <c r="J2436" s="4">
        <v>13.3094</v>
      </c>
      <c r="K2436" s="4">
        <v>12.673299999999999</v>
      </c>
      <c r="L2436" s="4">
        <v>13.525499999999999</v>
      </c>
      <c r="M2436" s="4">
        <f t="shared" si="153"/>
        <v>13.169400000000001</v>
      </c>
      <c r="Q2436" s="43" t="s">
        <v>4504</v>
      </c>
      <c r="R2436" s="4">
        <v>13.464842586255701</v>
      </c>
      <c r="S2436" s="4">
        <v>13.1186587677697</v>
      </c>
      <c r="T2436" s="4">
        <v>12.738195062602699</v>
      </c>
      <c r="U2436" s="4">
        <f t="shared" si="154"/>
        <v>13.107232138876034</v>
      </c>
      <c r="X2436" s="43" t="s">
        <v>2235</v>
      </c>
      <c r="Y2436" s="4">
        <v>13.542974643108501</v>
      </c>
      <c r="Z2436" s="4">
        <v>12.999247054014299</v>
      </c>
      <c r="AA2436" s="4">
        <v>13.230886813274401</v>
      </c>
      <c r="AB2436" s="4">
        <f t="shared" si="155"/>
        <v>13.257702836799067</v>
      </c>
    </row>
    <row r="2437" spans="2:28" x14ac:dyDescent="0.2">
      <c r="B2437" s="4" t="s">
        <v>2264</v>
      </c>
      <c r="C2437" s="4">
        <v>13.050800000000001</v>
      </c>
      <c r="D2437" s="4">
        <v>12.914199999999999</v>
      </c>
      <c r="E2437" s="4">
        <v>13.512600000000001</v>
      </c>
      <c r="F2437" s="4">
        <f t="shared" si="152"/>
        <v>13.1592</v>
      </c>
      <c r="I2437" s="4" t="s">
        <v>3550</v>
      </c>
      <c r="J2437" s="4">
        <v>13.186199999999999</v>
      </c>
      <c r="K2437" s="4">
        <v>12.6927</v>
      </c>
      <c r="L2437" s="4">
        <v>13.628</v>
      </c>
      <c r="M2437" s="4">
        <f t="shared" si="153"/>
        <v>13.168966666666668</v>
      </c>
      <c r="Q2437" s="43" t="s">
        <v>253</v>
      </c>
      <c r="R2437" s="4">
        <v>12.7180174430079</v>
      </c>
      <c r="S2437" s="4">
        <v>13.377318201926</v>
      </c>
      <c r="T2437" s="4">
        <v>13.225010547897501</v>
      </c>
      <c r="U2437" s="4">
        <f t="shared" si="154"/>
        <v>13.106782064277134</v>
      </c>
      <c r="X2437" s="43" t="s">
        <v>4143</v>
      </c>
      <c r="Y2437" s="4">
        <v>13.3458493650962</v>
      </c>
      <c r="Z2437" s="4">
        <v>13.0793366774761</v>
      </c>
      <c r="AA2437" s="4">
        <v>13.344743899432499</v>
      </c>
      <c r="AB2437" s="4">
        <f t="shared" si="155"/>
        <v>13.2566433140016</v>
      </c>
    </row>
    <row r="2438" spans="2:28" x14ac:dyDescent="0.2">
      <c r="B2438" s="4" t="s">
        <v>3672</v>
      </c>
      <c r="C2438" s="4">
        <v>13.7029</v>
      </c>
      <c r="D2438" s="4">
        <v>12.984299999999999</v>
      </c>
      <c r="E2438" s="4">
        <v>12.7879</v>
      </c>
      <c r="F2438" s="4">
        <f t="shared" si="152"/>
        <v>13.158366666666666</v>
      </c>
      <c r="I2438" s="4" t="s">
        <v>2219</v>
      </c>
      <c r="J2438" s="4">
        <v>13.081899999999999</v>
      </c>
      <c r="K2438" s="4">
        <v>13.589700000000001</v>
      </c>
      <c r="L2438" s="4">
        <v>12.8352</v>
      </c>
      <c r="M2438" s="4">
        <f t="shared" si="153"/>
        <v>13.168933333333333</v>
      </c>
      <c r="Q2438" s="43" t="s">
        <v>4506</v>
      </c>
      <c r="R2438" s="4">
        <v>12.9789029216173</v>
      </c>
      <c r="S2438" s="4">
        <v>13.3088047860786</v>
      </c>
      <c r="T2438" s="4">
        <v>13.0309322511792</v>
      </c>
      <c r="U2438" s="4">
        <f t="shared" si="154"/>
        <v>13.106213319625034</v>
      </c>
      <c r="X2438" s="43" t="s">
        <v>976</v>
      </c>
      <c r="Y2438" s="4">
        <v>13.118330047734</v>
      </c>
      <c r="Z2438" s="4">
        <v>13.245103906995499</v>
      </c>
      <c r="AA2438" s="4">
        <v>13.395774938981299</v>
      </c>
      <c r="AB2438" s="4">
        <f t="shared" si="155"/>
        <v>13.253069631236933</v>
      </c>
    </row>
    <row r="2439" spans="2:28" x14ac:dyDescent="0.2">
      <c r="B2439" s="4" t="s">
        <v>3927</v>
      </c>
      <c r="C2439" s="4">
        <v>13.3544</v>
      </c>
      <c r="D2439" s="4">
        <v>12.8992</v>
      </c>
      <c r="E2439" s="4">
        <v>13.2135</v>
      </c>
      <c r="F2439" s="4">
        <f t="shared" si="152"/>
        <v>13.155700000000001</v>
      </c>
      <c r="I2439" s="4" t="s">
        <v>3137</v>
      </c>
      <c r="J2439" s="4">
        <v>13.396100000000001</v>
      </c>
      <c r="K2439" s="4">
        <v>12.799300000000001</v>
      </c>
      <c r="L2439" s="4">
        <v>13.3095</v>
      </c>
      <c r="M2439" s="4">
        <f t="shared" si="153"/>
        <v>13.1683</v>
      </c>
      <c r="Q2439" s="43" t="s">
        <v>2421</v>
      </c>
      <c r="R2439" s="4">
        <v>13.101137729764901</v>
      </c>
      <c r="S2439" s="4">
        <v>13.2977359663549</v>
      </c>
      <c r="T2439" s="4">
        <v>12.9141912770018</v>
      </c>
      <c r="U2439" s="4">
        <f t="shared" si="154"/>
        <v>13.104354991040532</v>
      </c>
      <c r="X2439" s="43" t="s">
        <v>4291</v>
      </c>
      <c r="Y2439" s="4">
        <v>13.3493403148591</v>
      </c>
      <c r="Z2439" s="4">
        <v>13.1934394575662</v>
      </c>
      <c r="AA2439" s="4">
        <v>13.210917412618899</v>
      </c>
      <c r="AB2439" s="4">
        <f t="shared" si="155"/>
        <v>13.251232395014732</v>
      </c>
    </row>
    <row r="2440" spans="2:28" x14ac:dyDescent="0.2">
      <c r="B2440" s="4" t="s">
        <v>450</v>
      </c>
      <c r="C2440" s="4">
        <v>12.9855</v>
      </c>
      <c r="D2440" s="4">
        <v>13.020899999999999</v>
      </c>
      <c r="E2440" s="4">
        <v>13.4596</v>
      </c>
      <c r="F2440" s="4">
        <f t="shared" si="152"/>
        <v>13.155333333333333</v>
      </c>
      <c r="I2440" s="4" t="s">
        <v>1215</v>
      </c>
      <c r="J2440" s="4">
        <v>13.283099999999999</v>
      </c>
      <c r="K2440" s="4">
        <v>12.971500000000001</v>
      </c>
      <c r="L2440" s="4">
        <v>13.2469</v>
      </c>
      <c r="M2440" s="4">
        <f t="shared" si="153"/>
        <v>13.167166666666667</v>
      </c>
      <c r="Q2440" s="43" t="s">
        <v>2933</v>
      </c>
      <c r="R2440" s="4">
        <v>13.045699941797</v>
      </c>
      <c r="S2440" s="4">
        <v>13.022077729185501</v>
      </c>
      <c r="T2440" s="4">
        <v>13.2429886033469</v>
      </c>
      <c r="U2440" s="4">
        <f t="shared" si="154"/>
        <v>13.103588758109801</v>
      </c>
      <c r="X2440" s="43" t="s">
        <v>3580</v>
      </c>
      <c r="Y2440" s="4">
        <v>12.8338926349505</v>
      </c>
      <c r="Z2440" s="4">
        <v>13.5691988416622</v>
      </c>
      <c r="AA2440" s="4">
        <v>13.349363417898701</v>
      </c>
      <c r="AB2440" s="4">
        <f t="shared" si="155"/>
        <v>13.250818298170467</v>
      </c>
    </row>
    <row r="2441" spans="2:28" x14ac:dyDescent="0.2">
      <c r="B2441" s="4" t="s">
        <v>2864</v>
      </c>
      <c r="C2441" s="4">
        <v>13.7409</v>
      </c>
      <c r="D2441" s="4">
        <v>12.216799999999999</v>
      </c>
      <c r="E2441" s="4">
        <v>13.502700000000001</v>
      </c>
      <c r="F2441" s="4">
        <f t="shared" si="152"/>
        <v>13.153466666666667</v>
      </c>
      <c r="I2441" s="4" t="s">
        <v>3673</v>
      </c>
      <c r="J2441" s="4">
        <v>13.5061</v>
      </c>
      <c r="K2441" s="4">
        <v>12.7524</v>
      </c>
      <c r="L2441" s="4">
        <v>13.2423</v>
      </c>
      <c r="M2441" s="4">
        <f t="shared" si="153"/>
        <v>13.166933333333333</v>
      </c>
      <c r="Q2441" s="43" t="s">
        <v>4275</v>
      </c>
      <c r="R2441" s="4">
        <v>12.870365364298699</v>
      </c>
      <c r="S2441" s="4">
        <v>13.458720456723499</v>
      </c>
      <c r="T2441" s="4">
        <v>12.977464769793899</v>
      </c>
      <c r="U2441" s="4">
        <f t="shared" si="154"/>
        <v>13.102183530272031</v>
      </c>
      <c r="X2441" s="43" t="s">
        <v>3521</v>
      </c>
      <c r="Y2441" s="4">
        <v>13.0664628599549</v>
      </c>
      <c r="Z2441" s="4">
        <v>13.296860598932801</v>
      </c>
      <c r="AA2441" s="4">
        <v>13.387526904189301</v>
      </c>
      <c r="AB2441" s="4">
        <f t="shared" si="155"/>
        <v>13.250283454359</v>
      </c>
    </row>
    <row r="2442" spans="2:28" x14ac:dyDescent="0.2">
      <c r="B2442" s="4" t="s">
        <v>112</v>
      </c>
      <c r="C2442" s="4">
        <v>12.961600000000001</v>
      </c>
      <c r="D2442" s="4">
        <v>13.3437</v>
      </c>
      <c r="E2442" s="4">
        <v>13.1531</v>
      </c>
      <c r="F2442" s="4">
        <f t="shared" si="152"/>
        <v>13.152800000000001</v>
      </c>
      <c r="I2442" s="4" t="s">
        <v>3845</v>
      </c>
      <c r="J2442" s="4">
        <v>13.2081</v>
      </c>
      <c r="K2442" s="4">
        <v>13.1053</v>
      </c>
      <c r="L2442" s="4">
        <v>13.1874</v>
      </c>
      <c r="M2442" s="4">
        <f t="shared" si="153"/>
        <v>13.166933333333333</v>
      </c>
      <c r="Q2442" s="43" t="s">
        <v>4252</v>
      </c>
      <c r="R2442" s="4">
        <v>12.9043636474434</v>
      </c>
      <c r="S2442" s="4">
        <v>13.067043629476601</v>
      </c>
      <c r="T2442" s="4">
        <v>13.3316920625376</v>
      </c>
      <c r="U2442" s="4">
        <f t="shared" si="154"/>
        <v>13.101033113152534</v>
      </c>
      <c r="X2442" s="43" t="s">
        <v>1920</v>
      </c>
      <c r="Y2442" s="4">
        <v>13.296776229165999</v>
      </c>
      <c r="Z2442" s="4">
        <v>13.2646043795701</v>
      </c>
      <c r="AA2442" s="4">
        <v>13.182560372198401</v>
      </c>
      <c r="AB2442" s="4">
        <f t="shared" si="155"/>
        <v>13.247980326978167</v>
      </c>
    </row>
    <row r="2443" spans="2:28" x14ac:dyDescent="0.2">
      <c r="B2443" s="4" t="s">
        <v>3159</v>
      </c>
      <c r="C2443" s="4">
        <v>13.4255</v>
      </c>
      <c r="D2443" s="4">
        <v>12.4137</v>
      </c>
      <c r="E2443" s="4">
        <v>13.6189</v>
      </c>
      <c r="F2443" s="4">
        <f t="shared" si="152"/>
        <v>13.152700000000001</v>
      </c>
      <c r="I2443" s="4" t="s">
        <v>2362</v>
      </c>
      <c r="J2443" s="4">
        <v>12.459099999999999</v>
      </c>
      <c r="K2443" s="4">
        <v>14.9941</v>
      </c>
      <c r="L2443" s="4">
        <v>12.0457</v>
      </c>
      <c r="M2443" s="4">
        <f t="shared" si="153"/>
        <v>13.1663</v>
      </c>
      <c r="Q2443" s="43" t="s">
        <v>4055</v>
      </c>
      <c r="R2443" s="4">
        <v>12.3407847304111</v>
      </c>
      <c r="S2443" s="4">
        <v>13.367751983904</v>
      </c>
      <c r="T2443" s="4">
        <v>13.593934879479001</v>
      </c>
      <c r="U2443" s="4">
        <f t="shared" si="154"/>
        <v>13.100823864598034</v>
      </c>
      <c r="X2443" s="43" t="s">
        <v>4034</v>
      </c>
      <c r="Y2443" s="4">
        <v>13.1387301087592</v>
      </c>
      <c r="Z2443" s="4">
        <v>13.198205661929</v>
      </c>
      <c r="AA2443" s="4">
        <v>13.4031896574767</v>
      </c>
      <c r="AB2443" s="4">
        <f t="shared" si="155"/>
        <v>13.246708476054968</v>
      </c>
    </row>
    <row r="2444" spans="2:28" x14ac:dyDescent="0.2">
      <c r="B2444" s="4" t="s">
        <v>2994</v>
      </c>
      <c r="C2444" s="4">
        <v>13.1934</v>
      </c>
      <c r="D2444" s="4">
        <v>13.4199</v>
      </c>
      <c r="E2444" s="4">
        <v>12.824400000000001</v>
      </c>
      <c r="F2444" s="4">
        <f t="shared" si="152"/>
        <v>13.145900000000003</v>
      </c>
      <c r="I2444" s="4" t="s">
        <v>919</v>
      </c>
      <c r="J2444" s="4">
        <v>13.367100000000001</v>
      </c>
      <c r="K2444" s="4">
        <v>12.799099999999999</v>
      </c>
      <c r="L2444" s="4">
        <v>13.3316</v>
      </c>
      <c r="M2444" s="4">
        <f t="shared" si="153"/>
        <v>13.165933333333333</v>
      </c>
      <c r="Q2444" s="43" t="s">
        <v>4427</v>
      </c>
      <c r="R2444" s="4">
        <v>12.929004378698201</v>
      </c>
      <c r="S2444" s="4">
        <v>13.079224601201499</v>
      </c>
      <c r="T2444" s="4">
        <v>13.289436566295301</v>
      </c>
      <c r="U2444" s="4">
        <f t="shared" si="154"/>
        <v>13.099221848731666</v>
      </c>
      <c r="X2444" s="43" t="s">
        <v>2316</v>
      </c>
      <c r="Y2444" s="4">
        <v>13.213778131773401</v>
      </c>
      <c r="Z2444" s="4">
        <v>13.329055546415301</v>
      </c>
      <c r="AA2444" s="4">
        <v>13.196224304366</v>
      </c>
      <c r="AB2444" s="4">
        <f t="shared" si="155"/>
        <v>13.246352660851565</v>
      </c>
    </row>
    <row r="2445" spans="2:28" x14ac:dyDescent="0.2">
      <c r="B2445" s="4" t="s">
        <v>2168</v>
      </c>
      <c r="C2445" s="4">
        <v>13.307</v>
      </c>
      <c r="D2445" s="4">
        <v>12.971500000000001</v>
      </c>
      <c r="E2445" s="4">
        <v>13.157</v>
      </c>
      <c r="F2445" s="4">
        <f t="shared" si="152"/>
        <v>13.145166666666668</v>
      </c>
      <c r="I2445" s="4" t="s">
        <v>395</v>
      </c>
      <c r="J2445" s="4">
        <v>13.023999999999999</v>
      </c>
      <c r="K2445" s="4">
        <v>13.294</v>
      </c>
      <c r="L2445" s="4">
        <v>13.172599999999999</v>
      </c>
      <c r="M2445" s="4">
        <f t="shared" si="153"/>
        <v>13.163533333333334</v>
      </c>
      <c r="Q2445" s="43" t="s">
        <v>1008</v>
      </c>
      <c r="R2445" s="4">
        <v>13.135148626239101</v>
      </c>
      <c r="S2445" s="4">
        <v>13.0765970169772</v>
      </c>
      <c r="T2445" s="4">
        <v>13.0835891945481</v>
      </c>
      <c r="U2445" s="4">
        <f t="shared" si="154"/>
        <v>13.098444945921466</v>
      </c>
      <c r="X2445" s="43" t="s">
        <v>4386</v>
      </c>
      <c r="Y2445" s="4">
        <v>13.0613409872154</v>
      </c>
      <c r="Z2445" s="4">
        <v>13.3215713456656</v>
      </c>
      <c r="AA2445" s="4">
        <v>13.3467759042115</v>
      </c>
      <c r="AB2445" s="4">
        <f t="shared" si="155"/>
        <v>13.243229412364165</v>
      </c>
    </row>
    <row r="2446" spans="2:28" x14ac:dyDescent="0.2">
      <c r="B2446" s="4" t="s">
        <v>2766</v>
      </c>
      <c r="C2446" s="4">
        <v>13.367599999999999</v>
      </c>
      <c r="D2446" s="4">
        <v>13.045500000000001</v>
      </c>
      <c r="E2446" s="4">
        <v>13.0221</v>
      </c>
      <c r="F2446" s="4">
        <f t="shared" si="152"/>
        <v>13.145066666666667</v>
      </c>
      <c r="I2446" s="4" t="s">
        <v>1310</v>
      </c>
      <c r="J2446" s="4">
        <v>13.687099999999999</v>
      </c>
      <c r="K2446" s="4">
        <v>11.8543</v>
      </c>
      <c r="L2446" s="4">
        <v>13.941700000000001</v>
      </c>
      <c r="M2446" s="4">
        <f t="shared" si="153"/>
        <v>13.161033333333334</v>
      </c>
      <c r="Q2446" s="43" t="s">
        <v>378</v>
      </c>
      <c r="R2446" s="4">
        <v>12.855501310579299</v>
      </c>
      <c r="S2446" s="4">
        <v>13.5025684980899</v>
      </c>
      <c r="T2446" s="4">
        <v>12.9348215213871</v>
      </c>
      <c r="U2446" s="4">
        <f t="shared" si="154"/>
        <v>13.0976304433521</v>
      </c>
      <c r="X2446" s="43" t="s">
        <v>2006</v>
      </c>
      <c r="Y2446" s="4">
        <v>13.227907534749701</v>
      </c>
      <c r="Z2446" s="4">
        <v>13.2245326535588</v>
      </c>
      <c r="AA2446" s="4">
        <v>13.274083890335501</v>
      </c>
      <c r="AB2446" s="4">
        <f t="shared" si="155"/>
        <v>13.242174692881335</v>
      </c>
    </row>
    <row r="2447" spans="2:28" x14ac:dyDescent="0.2">
      <c r="B2447" s="4" t="s">
        <v>2462</v>
      </c>
      <c r="C2447" s="4">
        <v>12.966200000000001</v>
      </c>
      <c r="D2447" s="4">
        <v>13.1266</v>
      </c>
      <c r="E2447" s="4">
        <v>13.341900000000001</v>
      </c>
      <c r="F2447" s="4">
        <f t="shared" si="152"/>
        <v>13.1449</v>
      </c>
      <c r="I2447" s="4" t="s">
        <v>3008</v>
      </c>
      <c r="J2447" s="4">
        <v>13.078200000000001</v>
      </c>
      <c r="K2447" s="4">
        <v>13.6431</v>
      </c>
      <c r="L2447" s="4">
        <v>12.7538</v>
      </c>
      <c r="M2447" s="4">
        <f t="shared" si="153"/>
        <v>13.158366666666666</v>
      </c>
      <c r="Q2447" s="43" t="s">
        <v>1194</v>
      </c>
      <c r="R2447" s="4">
        <v>13.1741598967574</v>
      </c>
      <c r="S2447" s="4">
        <v>13.218448474265699</v>
      </c>
      <c r="T2447" s="4">
        <v>12.9000904063574</v>
      </c>
      <c r="U2447" s="4">
        <f t="shared" si="154"/>
        <v>13.097566259126834</v>
      </c>
      <c r="X2447" s="43" t="s">
        <v>4532</v>
      </c>
      <c r="Y2447" s="4">
        <v>13.247449240422601</v>
      </c>
      <c r="Z2447" s="4">
        <v>13.6950829205025</v>
      </c>
      <c r="AA2447" s="4">
        <v>12.7836406039136</v>
      </c>
      <c r="AB2447" s="4">
        <f t="shared" si="155"/>
        <v>13.242057588279566</v>
      </c>
    </row>
    <row r="2448" spans="2:28" x14ac:dyDescent="0.2">
      <c r="B2448" s="4" t="s">
        <v>2612</v>
      </c>
      <c r="C2448" s="4">
        <v>12.4351</v>
      </c>
      <c r="D2448" s="4">
        <v>12.7287</v>
      </c>
      <c r="E2448" s="4">
        <v>14.2684</v>
      </c>
      <c r="F2448" s="4">
        <f t="shared" si="152"/>
        <v>13.144066666666667</v>
      </c>
      <c r="I2448" s="4" t="s">
        <v>514</v>
      </c>
      <c r="J2448" s="4">
        <v>13.289300000000001</v>
      </c>
      <c r="K2448" s="4">
        <v>12.958</v>
      </c>
      <c r="L2448" s="4">
        <v>13.220499999999999</v>
      </c>
      <c r="M2448" s="4">
        <f t="shared" si="153"/>
        <v>13.155933333333335</v>
      </c>
      <c r="Q2448" s="43" t="s">
        <v>1129</v>
      </c>
      <c r="R2448" s="4">
        <v>12.9975007666379</v>
      </c>
      <c r="S2448" s="4">
        <v>13.125248061762999</v>
      </c>
      <c r="T2448" s="4">
        <v>13.1695652814719</v>
      </c>
      <c r="U2448" s="4">
        <f t="shared" si="154"/>
        <v>13.097438036624268</v>
      </c>
      <c r="X2448" s="43" t="s">
        <v>258</v>
      </c>
      <c r="Y2448" s="4">
        <v>13.3152788265299</v>
      </c>
      <c r="Z2448" s="4">
        <v>13.1868080990459</v>
      </c>
      <c r="AA2448" s="4">
        <v>13.219892957972601</v>
      </c>
      <c r="AB2448" s="4">
        <f t="shared" si="155"/>
        <v>13.2406599611828</v>
      </c>
    </row>
    <row r="2449" spans="2:28" x14ac:dyDescent="0.2">
      <c r="B2449" s="4" t="s">
        <v>2819</v>
      </c>
      <c r="C2449" s="4">
        <v>13.4964</v>
      </c>
      <c r="D2449" s="4">
        <v>12.862399999999999</v>
      </c>
      <c r="E2449" s="4">
        <v>13.067399999999999</v>
      </c>
      <c r="F2449" s="4">
        <f t="shared" si="152"/>
        <v>13.142066666666665</v>
      </c>
      <c r="I2449" s="4" t="s">
        <v>271</v>
      </c>
      <c r="J2449" s="4">
        <v>12.9057</v>
      </c>
      <c r="K2449" s="4">
        <v>13.3344</v>
      </c>
      <c r="L2449" s="4">
        <v>13.2248</v>
      </c>
      <c r="M2449" s="4">
        <f t="shared" si="153"/>
        <v>13.154966666666667</v>
      </c>
      <c r="Q2449" s="43" t="s">
        <v>1002</v>
      </c>
      <c r="R2449" s="4">
        <v>13.0521787978363</v>
      </c>
      <c r="S2449" s="4">
        <v>13.1859981457195</v>
      </c>
      <c r="T2449" s="4">
        <v>13.053489386571901</v>
      </c>
      <c r="U2449" s="4">
        <f t="shared" si="154"/>
        <v>13.097222110042566</v>
      </c>
      <c r="X2449" s="43" t="s">
        <v>944</v>
      </c>
      <c r="Y2449" s="4">
        <v>13.1416996958804</v>
      </c>
      <c r="Z2449" s="4">
        <v>13.3713572963684</v>
      </c>
      <c r="AA2449" s="4">
        <v>13.206443607953</v>
      </c>
      <c r="AB2449" s="4">
        <f t="shared" si="155"/>
        <v>13.239833533400599</v>
      </c>
    </row>
    <row r="2450" spans="2:28" x14ac:dyDescent="0.2">
      <c r="B2450" s="4" t="s">
        <v>3462</v>
      </c>
      <c r="C2450" s="4">
        <v>13.231199999999999</v>
      </c>
      <c r="D2450" s="4">
        <v>13.2326</v>
      </c>
      <c r="E2450" s="4">
        <v>12.9596</v>
      </c>
      <c r="F2450" s="4">
        <f t="shared" si="152"/>
        <v>13.141133333333334</v>
      </c>
      <c r="I2450" s="4" t="s">
        <v>2860</v>
      </c>
      <c r="J2450" s="4">
        <v>13.5001</v>
      </c>
      <c r="K2450" s="4">
        <v>12.336</v>
      </c>
      <c r="L2450" s="4">
        <v>13.628399999999999</v>
      </c>
      <c r="M2450" s="4">
        <f t="shared" si="153"/>
        <v>13.154833333333334</v>
      </c>
      <c r="Q2450" s="43" t="s">
        <v>4092</v>
      </c>
      <c r="R2450" s="4">
        <v>12.756100685211599</v>
      </c>
      <c r="S2450" s="4">
        <v>13.1286256547482</v>
      </c>
      <c r="T2450" s="4">
        <v>13.3994282873233</v>
      </c>
      <c r="U2450" s="4">
        <f t="shared" si="154"/>
        <v>13.094718209094367</v>
      </c>
      <c r="X2450" s="43" t="s">
        <v>4309</v>
      </c>
      <c r="Y2450" s="4">
        <v>13.3243355565423</v>
      </c>
      <c r="Z2450" s="4">
        <v>12.942424983462599</v>
      </c>
      <c r="AA2450" s="4">
        <v>13.4471834100799</v>
      </c>
      <c r="AB2450" s="4">
        <f t="shared" si="155"/>
        <v>13.237981316694933</v>
      </c>
    </row>
    <row r="2451" spans="2:28" x14ac:dyDescent="0.2">
      <c r="B2451" s="4" t="s">
        <v>1588</v>
      </c>
      <c r="C2451" s="4">
        <v>13.1431</v>
      </c>
      <c r="D2451" s="4">
        <v>13.1404</v>
      </c>
      <c r="E2451" s="4">
        <v>13.1387</v>
      </c>
      <c r="F2451" s="4">
        <f t="shared" si="152"/>
        <v>13.140733333333335</v>
      </c>
      <c r="I2451" s="4" t="s">
        <v>3751</v>
      </c>
      <c r="J2451" s="4">
        <v>13.54</v>
      </c>
      <c r="K2451" s="4">
        <v>12.802300000000001</v>
      </c>
      <c r="L2451" s="4">
        <v>13.1195</v>
      </c>
      <c r="M2451" s="4">
        <f t="shared" si="153"/>
        <v>13.153933333333335</v>
      </c>
      <c r="Q2451" s="43" t="s">
        <v>4019</v>
      </c>
      <c r="R2451" s="4">
        <v>13.124739764515599</v>
      </c>
      <c r="S2451" s="4">
        <v>13.060188257091699</v>
      </c>
      <c r="T2451" s="4">
        <v>13.096829424807501</v>
      </c>
      <c r="U2451" s="4">
        <f t="shared" si="154"/>
        <v>13.093919148804934</v>
      </c>
      <c r="X2451" s="43" t="s">
        <v>414</v>
      </c>
      <c r="Y2451" s="4">
        <v>13.211598284262999</v>
      </c>
      <c r="Z2451" s="4">
        <v>13.171039691539301</v>
      </c>
      <c r="AA2451" s="4">
        <v>13.3306687864753</v>
      </c>
      <c r="AB2451" s="4">
        <f t="shared" si="155"/>
        <v>13.2377689207592</v>
      </c>
    </row>
    <row r="2452" spans="2:28" x14ac:dyDescent="0.2">
      <c r="B2452" s="4" t="s">
        <v>3588</v>
      </c>
      <c r="C2452" s="4">
        <v>13.0688</v>
      </c>
      <c r="D2452" s="4">
        <v>13.250500000000001</v>
      </c>
      <c r="E2452" s="4">
        <v>13.100300000000001</v>
      </c>
      <c r="F2452" s="4">
        <f t="shared" si="152"/>
        <v>13.139866666666668</v>
      </c>
      <c r="I2452" s="4" t="s">
        <v>2896</v>
      </c>
      <c r="J2452" s="4">
        <v>13.285500000000001</v>
      </c>
      <c r="K2452" s="4">
        <v>13.166</v>
      </c>
      <c r="L2452" s="4">
        <v>13.0078</v>
      </c>
      <c r="M2452" s="4">
        <f t="shared" si="153"/>
        <v>13.1531</v>
      </c>
      <c r="Q2452" s="43" t="s">
        <v>2087</v>
      </c>
      <c r="R2452" s="4">
        <v>13.057560714601401</v>
      </c>
      <c r="S2452" s="4">
        <v>12.947513671067799</v>
      </c>
      <c r="T2452" s="4">
        <v>13.266202854597999</v>
      </c>
      <c r="U2452" s="4">
        <f t="shared" si="154"/>
        <v>13.090425746755733</v>
      </c>
      <c r="X2452" s="43" t="s">
        <v>486</v>
      </c>
      <c r="Y2452" s="4">
        <v>13.3596103017075</v>
      </c>
      <c r="Z2452" s="4">
        <v>13.153684419763</v>
      </c>
      <c r="AA2452" s="4">
        <v>13.1925738651674</v>
      </c>
      <c r="AB2452" s="4">
        <f t="shared" si="155"/>
        <v>13.235289528879301</v>
      </c>
    </row>
    <row r="2453" spans="2:28" x14ac:dyDescent="0.2">
      <c r="B2453" s="4" t="s">
        <v>3282</v>
      </c>
      <c r="C2453" s="4">
        <v>13.2559</v>
      </c>
      <c r="D2453" s="4">
        <v>12.942500000000001</v>
      </c>
      <c r="E2453" s="4">
        <v>13.212</v>
      </c>
      <c r="F2453" s="4">
        <f t="shared" si="152"/>
        <v>13.136799999999999</v>
      </c>
      <c r="I2453" s="4" t="s">
        <v>3638</v>
      </c>
      <c r="J2453" s="4">
        <v>13.0428</v>
      </c>
      <c r="K2453" s="4">
        <v>13.0809</v>
      </c>
      <c r="L2453" s="4">
        <v>13.323399999999999</v>
      </c>
      <c r="M2453" s="4">
        <f t="shared" si="153"/>
        <v>13.149033333333334</v>
      </c>
      <c r="Q2453" s="43" t="s">
        <v>2842</v>
      </c>
      <c r="R2453" s="4">
        <v>12.704395818347599</v>
      </c>
      <c r="S2453" s="4">
        <v>13.378343872766299</v>
      </c>
      <c r="T2453" s="4">
        <v>13.1860794934768</v>
      </c>
      <c r="U2453" s="4">
        <f t="shared" si="154"/>
        <v>13.089606394863566</v>
      </c>
      <c r="X2453" s="43" t="s">
        <v>438</v>
      </c>
      <c r="Y2453" s="4">
        <v>13.375465646181</v>
      </c>
      <c r="Z2453" s="4">
        <v>13.0574682972471</v>
      </c>
      <c r="AA2453" s="4">
        <v>13.2723138176943</v>
      </c>
      <c r="AB2453" s="4">
        <f t="shared" si="155"/>
        <v>13.2350825870408</v>
      </c>
    </row>
    <row r="2454" spans="2:28" x14ac:dyDescent="0.2">
      <c r="B2454" s="4" t="s">
        <v>956</v>
      </c>
      <c r="C2454" s="4">
        <v>12.4328</v>
      </c>
      <c r="D2454" s="4">
        <v>12.885400000000001</v>
      </c>
      <c r="E2454" s="4">
        <v>14.077999999999999</v>
      </c>
      <c r="F2454" s="4">
        <f t="shared" si="152"/>
        <v>13.132066666666667</v>
      </c>
      <c r="I2454" s="4" t="s">
        <v>3149</v>
      </c>
      <c r="J2454" s="4">
        <v>13.008599999999999</v>
      </c>
      <c r="K2454" s="4">
        <v>13.5585</v>
      </c>
      <c r="L2454" s="4">
        <v>12.8719</v>
      </c>
      <c r="M2454" s="4">
        <f t="shared" si="153"/>
        <v>13.146333333333333</v>
      </c>
      <c r="Q2454" s="43" t="s">
        <v>2910</v>
      </c>
      <c r="R2454" s="4">
        <v>12.941398177862901</v>
      </c>
      <c r="S2454" s="4">
        <v>13.1202782509925</v>
      </c>
      <c r="T2454" s="4">
        <v>13.2023208654886</v>
      </c>
      <c r="U2454" s="4">
        <f t="shared" si="154"/>
        <v>13.087999098114667</v>
      </c>
      <c r="X2454" s="43" t="s">
        <v>1497</v>
      </c>
      <c r="Y2454" s="4">
        <v>13.360367891835301</v>
      </c>
      <c r="Z2454" s="4">
        <v>13.4030281067487</v>
      </c>
      <c r="AA2454" s="4">
        <v>12.9365822379766</v>
      </c>
      <c r="AB2454" s="4">
        <f t="shared" si="155"/>
        <v>13.233326078853535</v>
      </c>
    </row>
    <row r="2455" spans="2:28" x14ac:dyDescent="0.2">
      <c r="B2455" s="4" t="s">
        <v>3449</v>
      </c>
      <c r="C2455" s="4">
        <v>12.972300000000001</v>
      </c>
      <c r="D2455" s="4">
        <v>13.113200000000001</v>
      </c>
      <c r="E2455" s="4">
        <v>13.2942</v>
      </c>
      <c r="F2455" s="4">
        <f t="shared" si="152"/>
        <v>13.126566666666667</v>
      </c>
      <c r="I2455" s="4" t="s">
        <v>3970</v>
      </c>
      <c r="J2455" s="4">
        <v>13.360799999999999</v>
      </c>
      <c r="K2455" s="4">
        <v>13.013500000000001</v>
      </c>
      <c r="L2455" s="4">
        <v>13.061400000000001</v>
      </c>
      <c r="M2455" s="4">
        <f t="shared" si="153"/>
        <v>13.145233333333332</v>
      </c>
      <c r="Q2455" s="43" t="s">
        <v>2273</v>
      </c>
      <c r="R2455" s="4">
        <v>12.844538735660199</v>
      </c>
      <c r="S2455" s="4">
        <v>13.142078523686299</v>
      </c>
      <c r="T2455" s="4">
        <v>13.269859608438299</v>
      </c>
      <c r="U2455" s="4">
        <f t="shared" si="154"/>
        <v>13.0854922892616</v>
      </c>
      <c r="X2455" s="43" t="s">
        <v>3990</v>
      </c>
      <c r="Y2455" s="4">
        <v>12.8796650134329</v>
      </c>
      <c r="Z2455" s="4">
        <v>13.220820288168801</v>
      </c>
      <c r="AA2455" s="4">
        <v>13.598837660577701</v>
      </c>
      <c r="AB2455" s="4">
        <f t="shared" si="155"/>
        <v>13.2331076540598</v>
      </c>
    </row>
    <row r="2456" spans="2:28" x14ac:dyDescent="0.2">
      <c r="B2456" s="4" t="s">
        <v>2720</v>
      </c>
      <c r="C2456" s="4">
        <v>12.398999999999999</v>
      </c>
      <c r="D2456" s="4">
        <v>13.394299999999999</v>
      </c>
      <c r="E2456" s="4">
        <v>13.584899999999999</v>
      </c>
      <c r="F2456" s="4">
        <f t="shared" si="152"/>
        <v>13.126066666666667</v>
      </c>
      <c r="I2456" s="4" t="s">
        <v>3665</v>
      </c>
      <c r="J2456" s="4">
        <v>13.3149</v>
      </c>
      <c r="K2456" s="4">
        <v>13.063700000000001</v>
      </c>
      <c r="L2456" s="4">
        <v>13.0548</v>
      </c>
      <c r="M2456" s="4">
        <f t="shared" si="153"/>
        <v>13.144466666666666</v>
      </c>
      <c r="Q2456" s="43" t="s">
        <v>3299</v>
      </c>
      <c r="R2456" s="4">
        <v>13.0386647152317</v>
      </c>
      <c r="S2456" s="4">
        <v>13.0637454495594</v>
      </c>
      <c r="T2456" s="4">
        <v>13.1527416149823</v>
      </c>
      <c r="U2456" s="4">
        <f t="shared" si="154"/>
        <v>13.085050593257799</v>
      </c>
      <c r="X2456" s="43" t="s">
        <v>153</v>
      </c>
      <c r="Y2456" s="4">
        <v>13.1352258648439</v>
      </c>
      <c r="Z2456" s="4">
        <v>13.405821717392699</v>
      </c>
      <c r="AA2456" s="4">
        <v>13.1520666150758</v>
      </c>
      <c r="AB2456" s="4">
        <f t="shared" si="155"/>
        <v>13.231038065770798</v>
      </c>
    </row>
    <row r="2457" spans="2:28" x14ac:dyDescent="0.2">
      <c r="B2457" s="4" t="s">
        <v>3207</v>
      </c>
      <c r="C2457" s="4">
        <v>12.815899999999999</v>
      </c>
      <c r="D2457" s="4">
        <v>13.016</v>
      </c>
      <c r="E2457" s="4">
        <v>13.5406</v>
      </c>
      <c r="F2457" s="4">
        <f t="shared" si="152"/>
        <v>13.124166666666666</v>
      </c>
      <c r="I2457" s="4" t="s">
        <v>2778</v>
      </c>
      <c r="J2457" s="4">
        <v>14.1957</v>
      </c>
      <c r="K2457" s="4">
        <v>14.4808</v>
      </c>
      <c r="L2457" s="4">
        <v>10.7559</v>
      </c>
      <c r="M2457" s="4">
        <f t="shared" si="153"/>
        <v>13.144133333333334</v>
      </c>
      <c r="Q2457" s="43" t="s">
        <v>795</v>
      </c>
      <c r="R2457" s="4">
        <v>12.5870787006308</v>
      </c>
      <c r="S2457" s="4">
        <v>13.3578185184072</v>
      </c>
      <c r="T2457" s="4">
        <v>13.3073734875698</v>
      </c>
      <c r="U2457" s="4">
        <f t="shared" si="154"/>
        <v>13.084090235535932</v>
      </c>
      <c r="X2457" s="43" t="s">
        <v>4164</v>
      </c>
      <c r="Y2457" s="4">
        <v>13.3060288613295</v>
      </c>
      <c r="Z2457" s="4">
        <v>13.0924588198825</v>
      </c>
      <c r="AA2457" s="4">
        <v>13.288360523069199</v>
      </c>
      <c r="AB2457" s="4">
        <f t="shared" si="155"/>
        <v>13.228949401427066</v>
      </c>
    </row>
    <row r="2458" spans="2:28" x14ac:dyDescent="0.2">
      <c r="B2458" s="4" t="s">
        <v>3663</v>
      </c>
      <c r="C2458" s="4">
        <v>13.354900000000001</v>
      </c>
      <c r="D2458" s="4">
        <v>12.9787</v>
      </c>
      <c r="E2458" s="4">
        <v>13.0297</v>
      </c>
      <c r="F2458" s="4">
        <f t="shared" si="152"/>
        <v>13.1211</v>
      </c>
      <c r="I2458" s="4" t="s">
        <v>2173</v>
      </c>
      <c r="J2458" s="4">
        <v>12.801600000000001</v>
      </c>
      <c r="K2458" s="4">
        <v>13.5822</v>
      </c>
      <c r="L2458" s="4">
        <v>13.045500000000001</v>
      </c>
      <c r="M2458" s="4">
        <f t="shared" si="153"/>
        <v>13.143099999999999</v>
      </c>
      <c r="Q2458" s="43" t="s">
        <v>335</v>
      </c>
      <c r="R2458" s="4">
        <v>13.093473766882999</v>
      </c>
      <c r="S2458" s="4">
        <v>13.050582463962799</v>
      </c>
      <c r="T2458" s="4">
        <v>13.105734146786</v>
      </c>
      <c r="U2458" s="4">
        <f t="shared" si="154"/>
        <v>13.083263459210599</v>
      </c>
      <c r="X2458" s="43" t="s">
        <v>4459</v>
      </c>
      <c r="Y2458" s="4">
        <v>13.1268286896715</v>
      </c>
      <c r="Z2458" s="4">
        <v>13.656897742206599</v>
      </c>
      <c r="AA2458" s="4">
        <v>12.8976578488528</v>
      </c>
      <c r="AB2458" s="4">
        <f t="shared" si="155"/>
        <v>13.227128093576967</v>
      </c>
    </row>
    <row r="2459" spans="2:28" x14ac:dyDescent="0.2">
      <c r="B2459" s="4" t="s">
        <v>1181</v>
      </c>
      <c r="C2459" s="4">
        <v>12.982900000000001</v>
      </c>
      <c r="D2459" s="4">
        <v>13.242100000000001</v>
      </c>
      <c r="E2459" s="4">
        <v>13.137</v>
      </c>
      <c r="F2459" s="4">
        <f t="shared" si="152"/>
        <v>13.120666666666667</v>
      </c>
      <c r="I2459" s="4" t="s">
        <v>2304</v>
      </c>
      <c r="J2459" s="4">
        <v>13.088200000000001</v>
      </c>
      <c r="K2459" s="4">
        <v>13.458399999999999</v>
      </c>
      <c r="L2459" s="4">
        <v>12.8813</v>
      </c>
      <c r="M2459" s="4">
        <f t="shared" si="153"/>
        <v>13.142633333333331</v>
      </c>
      <c r="Q2459" s="43" t="s">
        <v>3005</v>
      </c>
      <c r="R2459" s="4">
        <v>13.039886049057101</v>
      </c>
      <c r="S2459" s="4">
        <v>12.8306454959831</v>
      </c>
      <c r="T2459" s="4">
        <v>13.3792475238601</v>
      </c>
      <c r="U2459" s="4">
        <f t="shared" si="154"/>
        <v>13.083259689633435</v>
      </c>
      <c r="X2459" s="43" t="s">
        <v>1280</v>
      </c>
      <c r="Y2459" s="4">
        <v>13.599855495021099</v>
      </c>
      <c r="Z2459" s="4">
        <v>13.091801556663601</v>
      </c>
      <c r="AA2459" s="4">
        <v>12.9826758266351</v>
      </c>
      <c r="AB2459" s="4">
        <f t="shared" si="155"/>
        <v>13.224777626106601</v>
      </c>
    </row>
    <row r="2460" spans="2:28" x14ac:dyDescent="0.2">
      <c r="B2460" s="4" t="s">
        <v>3101</v>
      </c>
      <c r="C2460" s="4">
        <v>13.482900000000001</v>
      </c>
      <c r="D2460" s="4">
        <v>13.107200000000001</v>
      </c>
      <c r="E2460" s="4">
        <v>12.764699999999999</v>
      </c>
      <c r="F2460" s="4">
        <f t="shared" si="152"/>
        <v>13.118266666666665</v>
      </c>
      <c r="I2460" s="4" t="s">
        <v>1479</v>
      </c>
      <c r="J2460" s="4">
        <v>12.6051</v>
      </c>
      <c r="K2460" s="4">
        <v>15.038500000000001</v>
      </c>
      <c r="L2460" s="4">
        <v>11.7585</v>
      </c>
      <c r="M2460" s="4">
        <f t="shared" si="153"/>
        <v>13.134033333333333</v>
      </c>
      <c r="Q2460" s="43" t="s">
        <v>4132</v>
      </c>
      <c r="R2460" s="4">
        <v>13.1543579032965</v>
      </c>
      <c r="S2460" s="4">
        <v>13.269454882398099</v>
      </c>
      <c r="T2460" s="4">
        <v>12.820809618689299</v>
      </c>
      <c r="U2460" s="4">
        <f t="shared" si="154"/>
        <v>13.081540801461301</v>
      </c>
      <c r="X2460" s="43" t="s">
        <v>1021</v>
      </c>
      <c r="Y2460" s="4">
        <v>13.4236095951522</v>
      </c>
      <c r="Z2460" s="4">
        <v>13.1202150311309</v>
      </c>
      <c r="AA2460" s="4">
        <v>13.1254127406626</v>
      </c>
      <c r="AB2460" s="4">
        <f t="shared" si="155"/>
        <v>13.223079122315234</v>
      </c>
    </row>
    <row r="2461" spans="2:28" x14ac:dyDescent="0.2">
      <c r="B2461" s="4" t="s">
        <v>3768</v>
      </c>
      <c r="C2461" s="4">
        <v>13.067399999999999</v>
      </c>
      <c r="D2461" s="4">
        <v>13.1884</v>
      </c>
      <c r="E2461" s="4">
        <v>13.097</v>
      </c>
      <c r="F2461" s="4">
        <f t="shared" si="152"/>
        <v>13.117600000000001</v>
      </c>
      <c r="I2461" s="4" t="s">
        <v>1649</v>
      </c>
      <c r="J2461" s="4">
        <v>12.622400000000001</v>
      </c>
      <c r="K2461" s="4">
        <v>14.2659</v>
      </c>
      <c r="L2461" s="4">
        <v>12.5106</v>
      </c>
      <c r="M2461" s="4">
        <f t="shared" si="153"/>
        <v>13.132966666666666</v>
      </c>
      <c r="Q2461" s="43" t="s">
        <v>1174</v>
      </c>
      <c r="R2461" s="4">
        <v>12.957812663630399</v>
      </c>
      <c r="S2461" s="4">
        <v>13.071278831949799</v>
      </c>
      <c r="T2461" s="4">
        <v>13.2113473866091</v>
      </c>
      <c r="U2461" s="4">
        <f t="shared" si="154"/>
        <v>13.080146294063098</v>
      </c>
      <c r="X2461" s="43" t="s">
        <v>4514</v>
      </c>
      <c r="Y2461" s="4">
        <v>13.345853735426299</v>
      </c>
      <c r="Z2461" s="4">
        <v>13.4166015201146</v>
      </c>
      <c r="AA2461" s="4">
        <v>12.906567408801299</v>
      </c>
      <c r="AB2461" s="4">
        <f t="shared" si="155"/>
        <v>13.223007554780734</v>
      </c>
    </row>
    <row r="2462" spans="2:28" x14ac:dyDescent="0.2">
      <c r="B2462" s="4" t="s">
        <v>3920</v>
      </c>
      <c r="C2462" s="4">
        <v>13.475300000000001</v>
      </c>
      <c r="D2462" s="4">
        <v>13.2387</v>
      </c>
      <c r="E2462" s="4">
        <v>12.634499999999999</v>
      </c>
      <c r="F2462" s="4">
        <f t="shared" si="152"/>
        <v>13.116166666666667</v>
      </c>
      <c r="I2462" s="4" t="s">
        <v>3485</v>
      </c>
      <c r="J2462" s="4">
        <v>13.6037</v>
      </c>
      <c r="K2462" s="4">
        <v>12.404299999999999</v>
      </c>
      <c r="L2462" s="4">
        <v>13.3872</v>
      </c>
      <c r="M2462" s="4">
        <f t="shared" si="153"/>
        <v>13.131733333333335</v>
      </c>
      <c r="Q2462" s="43" t="s">
        <v>317</v>
      </c>
      <c r="R2462" s="4">
        <v>13.412284093875</v>
      </c>
      <c r="S2462" s="4">
        <v>13.065943432255199</v>
      </c>
      <c r="T2462" s="4">
        <v>12.759135411846399</v>
      </c>
      <c r="U2462" s="4">
        <f t="shared" si="154"/>
        <v>13.079120979325532</v>
      </c>
      <c r="X2462" s="43" t="s">
        <v>3502</v>
      </c>
      <c r="Y2462" s="4">
        <v>13.1244167919898</v>
      </c>
      <c r="Z2462" s="4">
        <v>13.1871606434519</v>
      </c>
      <c r="AA2462" s="4">
        <v>13.3562893824362</v>
      </c>
      <c r="AB2462" s="4">
        <f t="shared" si="155"/>
        <v>13.222622272625967</v>
      </c>
    </row>
    <row r="2463" spans="2:28" x14ac:dyDescent="0.2">
      <c r="B2463" s="4" t="s">
        <v>3245</v>
      </c>
      <c r="C2463" s="4">
        <v>13.3028</v>
      </c>
      <c r="D2463" s="4">
        <v>13.4816</v>
      </c>
      <c r="E2463" s="4">
        <v>12.5594</v>
      </c>
      <c r="F2463" s="4">
        <f t="shared" si="152"/>
        <v>13.114600000000001</v>
      </c>
      <c r="I2463" s="4" t="s">
        <v>1757</v>
      </c>
      <c r="J2463" s="4">
        <v>13.501899999999999</v>
      </c>
      <c r="K2463" s="4">
        <v>12.411899999999999</v>
      </c>
      <c r="L2463" s="4">
        <v>13.4795</v>
      </c>
      <c r="M2463" s="4">
        <f t="shared" si="153"/>
        <v>13.131099999999998</v>
      </c>
      <c r="Q2463" s="43" t="s">
        <v>3872</v>
      </c>
      <c r="R2463" s="4">
        <v>12.964282609112701</v>
      </c>
      <c r="S2463" s="4">
        <v>13.0503135584453</v>
      </c>
      <c r="T2463" s="4">
        <v>13.220411711383599</v>
      </c>
      <c r="U2463" s="4">
        <f t="shared" si="154"/>
        <v>13.0783359596472</v>
      </c>
      <c r="X2463" s="43" t="s">
        <v>2644</v>
      </c>
      <c r="Y2463" s="4">
        <v>13.1943050353996</v>
      </c>
      <c r="Z2463" s="4">
        <v>13.397541463485901</v>
      </c>
      <c r="AA2463" s="4">
        <v>13.0641836279737</v>
      </c>
      <c r="AB2463" s="4">
        <f t="shared" si="155"/>
        <v>13.218676708953067</v>
      </c>
    </row>
    <row r="2464" spans="2:28" x14ac:dyDescent="0.2">
      <c r="B2464" s="4" t="s">
        <v>301</v>
      </c>
      <c r="C2464" s="4">
        <v>12.5823</v>
      </c>
      <c r="D2464" s="4">
        <v>13.311999999999999</v>
      </c>
      <c r="E2464" s="4">
        <v>13.448700000000001</v>
      </c>
      <c r="F2464" s="4">
        <f t="shared" si="152"/>
        <v>13.114333333333335</v>
      </c>
      <c r="I2464" s="4" t="s">
        <v>3341</v>
      </c>
      <c r="J2464" s="4">
        <v>12.912100000000001</v>
      </c>
      <c r="K2464" s="4">
        <v>13.0639</v>
      </c>
      <c r="L2464" s="4">
        <v>13.4171</v>
      </c>
      <c r="M2464" s="4">
        <f t="shared" si="153"/>
        <v>13.131033333333333</v>
      </c>
      <c r="Q2464" s="43" t="s">
        <v>1401</v>
      </c>
      <c r="R2464" s="4">
        <v>13.059591386181101</v>
      </c>
      <c r="S2464" s="4">
        <v>13.0652475725554</v>
      </c>
      <c r="T2464" s="4">
        <v>13.109746008841601</v>
      </c>
      <c r="U2464" s="4">
        <f t="shared" si="154"/>
        <v>13.078194989192701</v>
      </c>
      <c r="X2464" s="43" t="s">
        <v>625</v>
      </c>
      <c r="Y2464" s="4">
        <v>13.273953739056701</v>
      </c>
      <c r="Z2464" s="4">
        <v>13.040721478625199</v>
      </c>
      <c r="AA2464" s="4">
        <v>13.339402260879501</v>
      </c>
      <c r="AB2464" s="4">
        <f t="shared" si="155"/>
        <v>13.218025826187136</v>
      </c>
    </row>
    <row r="2465" spans="2:28" x14ac:dyDescent="0.2">
      <c r="B2465" s="4" t="s">
        <v>1813</v>
      </c>
      <c r="C2465" s="4">
        <v>13.2949</v>
      </c>
      <c r="D2465" s="4">
        <v>13.6463</v>
      </c>
      <c r="E2465" s="4">
        <v>12.395</v>
      </c>
      <c r="F2465" s="4">
        <f t="shared" si="152"/>
        <v>13.112066666666669</v>
      </c>
      <c r="I2465" s="4" t="s">
        <v>3925</v>
      </c>
      <c r="J2465" s="4">
        <v>12.973599999999999</v>
      </c>
      <c r="K2465" s="4">
        <v>13.6266</v>
      </c>
      <c r="L2465" s="4">
        <v>12.792299999999999</v>
      </c>
      <c r="M2465" s="4">
        <f t="shared" si="153"/>
        <v>13.130833333333333</v>
      </c>
      <c r="Q2465" s="43" t="s">
        <v>1804</v>
      </c>
      <c r="R2465" s="4">
        <v>13.395889992419599</v>
      </c>
      <c r="S2465" s="4">
        <v>12.9284883504492</v>
      </c>
      <c r="T2465" s="4">
        <v>12.9035546694196</v>
      </c>
      <c r="U2465" s="4">
        <f t="shared" si="154"/>
        <v>13.075977670762798</v>
      </c>
      <c r="X2465" s="43" t="s">
        <v>510</v>
      </c>
      <c r="Y2465" s="4">
        <v>13.1004523726074</v>
      </c>
      <c r="Z2465" s="4">
        <v>13.171116593901401</v>
      </c>
      <c r="AA2465" s="4">
        <v>13.3792303123133</v>
      </c>
      <c r="AB2465" s="4">
        <f t="shared" si="155"/>
        <v>13.216933092940701</v>
      </c>
    </row>
    <row r="2466" spans="2:28" x14ac:dyDescent="0.2">
      <c r="B2466" s="4" t="s">
        <v>2884</v>
      </c>
      <c r="C2466" s="4">
        <v>12.8226</v>
      </c>
      <c r="D2466" s="4">
        <v>12.8172</v>
      </c>
      <c r="E2466" s="4">
        <v>13.696199999999999</v>
      </c>
      <c r="F2466" s="4">
        <f t="shared" si="152"/>
        <v>13.112</v>
      </c>
      <c r="I2466" s="4" t="s">
        <v>2771</v>
      </c>
      <c r="J2466" s="4">
        <v>14.1645</v>
      </c>
      <c r="K2466" s="4">
        <v>10.853199999999999</v>
      </c>
      <c r="L2466" s="4">
        <v>14.367699999999999</v>
      </c>
      <c r="M2466" s="4">
        <f t="shared" si="153"/>
        <v>13.128466666666666</v>
      </c>
      <c r="Q2466" s="43" t="s">
        <v>2497</v>
      </c>
      <c r="R2466" s="4">
        <v>12.884494520431099</v>
      </c>
      <c r="S2466" s="4">
        <v>12.997589644306199</v>
      </c>
      <c r="T2466" s="4">
        <v>13.338157889605901</v>
      </c>
      <c r="U2466" s="4">
        <f t="shared" si="154"/>
        <v>13.0734140181144</v>
      </c>
      <c r="X2466" s="43" t="s">
        <v>2961</v>
      </c>
      <c r="Y2466" s="4">
        <v>13.360525923403801</v>
      </c>
      <c r="Z2466" s="4">
        <v>13.4128530174257</v>
      </c>
      <c r="AA2466" s="4">
        <v>12.876022723702899</v>
      </c>
      <c r="AB2466" s="4">
        <f t="shared" si="155"/>
        <v>13.216467221510802</v>
      </c>
    </row>
    <row r="2467" spans="2:28" x14ac:dyDescent="0.2">
      <c r="B2467" s="4" t="s">
        <v>3212</v>
      </c>
      <c r="C2467" s="4">
        <v>12.834199999999999</v>
      </c>
      <c r="D2467" s="4">
        <v>13.1096</v>
      </c>
      <c r="E2467" s="4">
        <v>13.3894</v>
      </c>
      <c r="F2467" s="4">
        <f t="shared" si="152"/>
        <v>13.111066666666666</v>
      </c>
      <c r="I2467" s="4" t="s">
        <v>2537</v>
      </c>
      <c r="J2467" s="4">
        <v>13.3888</v>
      </c>
      <c r="K2467" s="4">
        <v>13.008699999999999</v>
      </c>
      <c r="L2467" s="4">
        <v>12.982799999999999</v>
      </c>
      <c r="M2467" s="4">
        <f t="shared" si="153"/>
        <v>13.126766666666667</v>
      </c>
      <c r="Q2467" s="43" t="s">
        <v>2682</v>
      </c>
      <c r="R2467" s="4">
        <v>13.005301792797599</v>
      </c>
      <c r="S2467" s="4">
        <v>13.1978790622268</v>
      </c>
      <c r="T2467" s="4">
        <v>13.014765995656999</v>
      </c>
      <c r="U2467" s="4">
        <f t="shared" si="154"/>
        <v>13.072648950227133</v>
      </c>
      <c r="X2467" s="43" t="s">
        <v>2422</v>
      </c>
      <c r="Y2467" s="4">
        <v>13.0634966892219</v>
      </c>
      <c r="Z2467" s="4">
        <v>13.289412056722099</v>
      </c>
      <c r="AA2467" s="4">
        <v>13.295022683810799</v>
      </c>
      <c r="AB2467" s="4">
        <f t="shared" si="155"/>
        <v>13.2159771432516</v>
      </c>
    </row>
    <row r="2468" spans="2:28" x14ac:dyDescent="0.2">
      <c r="B2468" s="4" t="s">
        <v>292</v>
      </c>
      <c r="C2468" s="4">
        <v>13.0624</v>
      </c>
      <c r="D2468" s="4">
        <v>13.1615</v>
      </c>
      <c r="E2468" s="4">
        <v>13.1046</v>
      </c>
      <c r="F2468" s="4">
        <f t="shared" si="152"/>
        <v>13.109499999999999</v>
      </c>
      <c r="I2468" s="4" t="s">
        <v>740</v>
      </c>
      <c r="J2468" s="4">
        <v>13.246600000000001</v>
      </c>
      <c r="K2468" s="4">
        <v>13.0832</v>
      </c>
      <c r="L2468" s="4">
        <v>13.0465</v>
      </c>
      <c r="M2468" s="4">
        <f t="shared" si="153"/>
        <v>13.125433333333334</v>
      </c>
      <c r="Q2468" s="43" t="s">
        <v>4234</v>
      </c>
      <c r="R2468" s="4">
        <v>13.041502950200201</v>
      </c>
      <c r="S2468" s="4">
        <v>13.0819441505404</v>
      </c>
      <c r="T2468" s="4">
        <v>13.089929648111699</v>
      </c>
      <c r="U2468" s="4">
        <f t="shared" si="154"/>
        <v>13.071125582950765</v>
      </c>
      <c r="X2468" s="43" t="s">
        <v>3545</v>
      </c>
      <c r="Y2468" s="4">
        <v>13.403800840432201</v>
      </c>
      <c r="Z2468" s="4">
        <v>12.9468353651939</v>
      </c>
      <c r="AA2468" s="4">
        <v>13.2971689870033</v>
      </c>
      <c r="AB2468" s="4">
        <f t="shared" si="155"/>
        <v>13.215935064209802</v>
      </c>
    </row>
    <row r="2469" spans="2:28" x14ac:dyDescent="0.2">
      <c r="B2469" s="4" t="s">
        <v>238</v>
      </c>
      <c r="C2469" s="4">
        <v>12.673299999999999</v>
      </c>
      <c r="D2469" s="4">
        <v>13.6593</v>
      </c>
      <c r="E2469" s="4">
        <v>12.9941</v>
      </c>
      <c r="F2469" s="4">
        <f t="shared" si="152"/>
        <v>13.1089</v>
      </c>
      <c r="I2469" s="4" t="s">
        <v>1391</v>
      </c>
      <c r="J2469" s="4">
        <v>11.431800000000001</v>
      </c>
      <c r="K2469" s="4">
        <v>15.833</v>
      </c>
      <c r="L2469" s="4">
        <v>12.108000000000001</v>
      </c>
      <c r="M2469" s="4">
        <f t="shared" si="153"/>
        <v>13.124266666666665</v>
      </c>
      <c r="Q2469" s="43" t="s">
        <v>3319</v>
      </c>
      <c r="R2469" s="4">
        <v>12.827583015394</v>
      </c>
      <c r="S2469" s="4">
        <v>13.056187622268199</v>
      </c>
      <c r="T2469" s="4">
        <v>13.326441632907599</v>
      </c>
      <c r="U2469" s="4">
        <f t="shared" si="154"/>
        <v>13.0700707568566</v>
      </c>
      <c r="X2469" s="43" t="s">
        <v>23</v>
      </c>
      <c r="Y2469" s="4">
        <v>13.526024208947099</v>
      </c>
      <c r="Z2469" s="4">
        <v>13.1516632645702</v>
      </c>
      <c r="AA2469" s="4">
        <v>12.965294470720499</v>
      </c>
      <c r="AB2469" s="4">
        <f t="shared" si="155"/>
        <v>13.214327314745931</v>
      </c>
    </row>
    <row r="2470" spans="2:28" x14ac:dyDescent="0.2">
      <c r="B2470" s="4" t="s">
        <v>2219</v>
      </c>
      <c r="C2470" s="4">
        <v>13.015000000000001</v>
      </c>
      <c r="D2470" s="4">
        <v>13.2226</v>
      </c>
      <c r="E2470" s="4">
        <v>13.0779</v>
      </c>
      <c r="F2470" s="4">
        <f t="shared" si="152"/>
        <v>13.105166666666667</v>
      </c>
      <c r="I2470" s="4" t="s">
        <v>3105</v>
      </c>
      <c r="J2470" s="4">
        <v>13.097099999999999</v>
      </c>
      <c r="K2470" s="4">
        <v>12.9671</v>
      </c>
      <c r="L2470" s="4">
        <v>13.302199999999999</v>
      </c>
      <c r="M2470" s="4">
        <f t="shared" si="153"/>
        <v>13.122133333333332</v>
      </c>
      <c r="Q2470" s="43" t="s">
        <v>1338</v>
      </c>
      <c r="R2470" s="4">
        <v>13.0947822151227</v>
      </c>
      <c r="S2470" s="4">
        <v>13.1746122193115</v>
      </c>
      <c r="T2470" s="4">
        <v>12.935069742009</v>
      </c>
      <c r="U2470" s="4">
        <f t="shared" si="154"/>
        <v>13.068154725481067</v>
      </c>
      <c r="X2470" s="43" t="s">
        <v>2775</v>
      </c>
      <c r="Y2470" s="4">
        <v>13.171786546248599</v>
      </c>
      <c r="Z2470" s="4">
        <v>13.3317703970088</v>
      </c>
      <c r="AA2470" s="4">
        <v>13.1377029089176</v>
      </c>
      <c r="AB2470" s="4">
        <f t="shared" si="155"/>
        <v>13.213753284058333</v>
      </c>
    </row>
    <row r="2471" spans="2:28" x14ac:dyDescent="0.2">
      <c r="B2471" s="4" t="s">
        <v>2366</v>
      </c>
      <c r="C2471" s="4">
        <v>12.9155</v>
      </c>
      <c r="D2471" s="4">
        <v>13.148</v>
      </c>
      <c r="E2471" s="4">
        <v>13.2491</v>
      </c>
      <c r="F2471" s="4">
        <f t="shared" si="152"/>
        <v>13.104199999999999</v>
      </c>
      <c r="I2471" s="4" t="s">
        <v>3693</v>
      </c>
      <c r="J2471" s="4">
        <v>12.888199999999999</v>
      </c>
      <c r="K2471" s="4">
        <v>12.7477</v>
      </c>
      <c r="L2471" s="4">
        <v>13.7195</v>
      </c>
      <c r="M2471" s="4">
        <f t="shared" si="153"/>
        <v>13.118466666666668</v>
      </c>
      <c r="Q2471" s="43" t="s">
        <v>258</v>
      </c>
      <c r="R2471" s="4">
        <v>13.2455858594282</v>
      </c>
      <c r="S2471" s="4">
        <v>12.6809864373975</v>
      </c>
      <c r="T2471" s="4">
        <v>13.268485367324001</v>
      </c>
      <c r="U2471" s="4">
        <f t="shared" si="154"/>
        <v>13.065019221383233</v>
      </c>
      <c r="X2471" s="43" t="s">
        <v>4470</v>
      </c>
      <c r="Y2471" s="4">
        <v>13.2706005660947</v>
      </c>
      <c r="Z2471" s="4">
        <v>13.179014283996001</v>
      </c>
      <c r="AA2471" s="4">
        <v>13.1751584741318</v>
      </c>
      <c r="AB2471" s="4">
        <f t="shared" si="155"/>
        <v>13.208257774740835</v>
      </c>
    </row>
    <row r="2472" spans="2:28" x14ac:dyDescent="0.2">
      <c r="B2472" s="4" t="s">
        <v>3800</v>
      </c>
      <c r="C2472" s="4">
        <v>13.342599999999999</v>
      </c>
      <c r="D2472" s="4">
        <v>13.2181</v>
      </c>
      <c r="E2472" s="4">
        <v>12.7509</v>
      </c>
      <c r="F2472" s="4">
        <f t="shared" si="152"/>
        <v>13.103866666666667</v>
      </c>
      <c r="I2472" s="4" t="s">
        <v>522</v>
      </c>
      <c r="J2472" s="4">
        <v>13.3222</v>
      </c>
      <c r="K2472" s="4">
        <v>13.2057</v>
      </c>
      <c r="L2472" s="4">
        <v>12.82</v>
      </c>
      <c r="M2472" s="4">
        <f t="shared" si="153"/>
        <v>13.115966666666667</v>
      </c>
      <c r="Q2472" s="43" t="s">
        <v>2641</v>
      </c>
      <c r="R2472" s="4">
        <v>12.850504259283101</v>
      </c>
      <c r="S2472" s="4">
        <v>13.2764480787833</v>
      </c>
      <c r="T2472" s="4">
        <v>13.067368070420301</v>
      </c>
      <c r="U2472" s="4">
        <f t="shared" si="154"/>
        <v>13.064773469495568</v>
      </c>
      <c r="X2472" s="43" t="s">
        <v>118</v>
      </c>
      <c r="Y2472" s="4">
        <v>13.3315451062201</v>
      </c>
      <c r="Z2472" s="4">
        <v>13.025064529431299</v>
      </c>
      <c r="AA2472" s="4">
        <v>13.2647126299315</v>
      </c>
      <c r="AB2472" s="4">
        <f t="shared" si="155"/>
        <v>13.207107421860966</v>
      </c>
    </row>
    <row r="2473" spans="2:28" x14ac:dyDescent="0.2">
      <c r="B2473" s="4" t="s">
        <v>3608</v>
      </c>
      <c r="C2473" s="4">
        <v>13.4709</v>
      </c>
      <c r="D2473" s="4">
        <v>13.0641</v>
      </c>
      <c r="E2473" s="4">
        <v>12.7675</v>
      </c>
      <c r="F2473" s="4">
        <f t="shared" si="152"/>
        <v>13.100833333333334</v>
      </c>
      <c r="I2473" s="4" t="s">
        <v>3135</v>
      </c>
      <c r="J2473" s="4">
        <v>13.082000000000001</v>
      </c>
      <c r="K2473" s="4">
        <v>12.9572</v>
      </c>
      <c r="L2473" s="4">
        <v>13.3017</v>
      </c>
      <c r="M2473" s="4">
        <f t="shared" si="153"/>
        <v>13.113633333333334</v>
      </c>
      <c r="Q2473" s="43" t="s">
        <v>3083</v>
      </c>
      <c r="R2473" s="4">
        <v>13.8824057392908</v>
      </c>
      <c r="S2473" s="4">
        <v>12.862537281850599</v>
      </c>
      <c r="T2473" s="4">
        <v>12.445622178156</v>
      </c>
      <c r="U2473" s="4">
        <f t="shared" si="154"/>
        <v>13.063521733099131</v>
      </c>
      <c r="X2473" s="43" t="s">
        <v>626</v>
      </c>
      <c r="Y2473" s="4">
        <v>13.0008344289521</v>
      </c>
      <c r="Z2473" s="4">
        <v>13.466069542072599</v>
      </c>
      <c r="AA2473" s="4">
        <v>13.1477921366765</v>
      </c>
      <c r="AB2473" s="4">
        <f t="shared" si="155"/>
        <v>13.204898702567066</v>
      </c>
    </row>
    <row r="2474" spans="2:28" x14ac:dyDescent="0.2">
      <c r="B2474" s="4" t="s">
        <v>3407</v>
      </c>
      <c r="C2474" s="4">
        <v>13.1579</v>
      </c>
      <c r="D2474" s="4">
        <v>13.177300000000001</v>
      </c>
      <c r="E2474" s="4">
        <v>12.959199999999999</v>
      </c>
      <c r="F2474" s="4">
        <f t="shared" si="152"/>
        <v>13.098133333333331</v>
      </c>
      <c r="I2474" s="4" t="s">
        <v>1489</v>
      </c>
      <c r="J2474" s="4">
        <v>13.196300000000001</v>
      </c>
      <c r="K2474" s="4">
        <v>13.844200000000001</v>
      </c>
      <c r="L2474" s="4">
        <v>12.296799999999999</v>
      </c>
      <c r="M2474" s="4">
        <f t="shared" si="153"/>
        <v>13.112433333333334</v>
      </c>
      <c r="Q2474" s="43" t="s">
        <v>4465</v>
      </c>
      <c r="R2474" s="4">
        <v>12.6958102420529</v>
      </c>
      <c r="S2474" s="4">
        <v>13.093272234683001</v>
      </c>
      <c r="T2474" s="4">
        <v>13.3989568380596</v>
      </c>
      <c r="U2474" s="4">
        <f t="shared" si="154"/>
        <v>13.062679771598502</v>
      </c>
      <c r="X2474" s="43" t="s">
        <v>3821</v>
      </c>
      <c r="Y2474" s="4">
        <v>13.128805402746201</v>
      </c>
      <c r="Z2474" s="4">
        <v>13.288436791694901</v>
      </c>
      <c r="AA2474" s="4">
        <v>13.1930770627312</v>
      </c>
      <c r="AB2474" s="4">
        <f t="shared" si="155"/>
        <v>13.203439752390766</v>
      </c>
    </row>
    <row r="2475" spans="2:28" x14ac:dyDescent="0.2">
      <c r="B2475" s="4" t="s">
        <v>2422</v>
      </c>
      <c r="C2475" s="4">
        <v>13.3878</v>
      </c>
      <c r="D2475" s="4">
        <v>12.9678</v>
      </c>
      <c r="E2475" s="4">
        <v>12.935499999999999</v>
      </c>
      <c r="F2475" s="4">
        <f t="shared" si="152"/>
        <v>13.097033333333334</v>
      </c>
      <c r="I2475" s="4" t="s">
        <v>3241</v>
      </c>
      <c r="J2475" s="4">
        <v>13.257099999999999</v>
      </c>
      <c r="K2475" s="4">
        <v>12.8956</v>
      </c>
      <c r="L2475" s="4">
        <v>13.1836</v>
      </c>
      <c r="M2475" s="4">
        <f t="shared" si="153"/>
        <v>13.1121</v>
      </c>
      <c r="Q2475" s="43" t="s">
        <v>165</v>
      </c>
      <c r="R2475" s="4">
        <v>13.1023670283834</v>
      </c>
      <c r="S2475" s="4">
        <v>13.2493372708935</v>
      </c>
      <c r="T2475" s="4">
        <v>12.8348372798315</v>
      </c>
      <c r="U2475" s="4">
        <f t="shared" si="154"/>
        <v>13.062180526369467</v>
      </c>
      <c r="X2475" s="43" t="s">
        <v>4571</v>
      </c>
      <c r="Y2475" s="4">
        <v>13.3641120077406</v>
      </c>
      <c r="Z2475" s="4">
        <v>13.144378767789799</v>
      </c>
      <c r="AA2475" s="4">
        <v>13.101795193621401</v>
      </c>
      <c r="AB2475" s="4">
        <f t="shared" si="155"/>
        <v>13.203428656383933</v>
      </c>
    </row>
    <row r="2476" spans="2:28" x14ac:dyDescent="0.2">
      <c r="B2476" s="4" t="s">
        <v>2346</v>
      </c>
      <c r="C2476" s="4">
        <v>12.9002</v>
      </c>
      <c r="D2476" s="4">
        <v>13.2319</v>
      </c>
      <c r="E2476" s="4">
        <v>13.1546</v>
      </c>
      <c r="F2476" s="4">
        <f t="shared" si="152"/>
        <v>13.095566666666668</v>
      </c>
      <c r="I2476" s="4" t="s">
        <v>3532</v>
      </c>
      <c r="J2476" s="4">
        <v>13.197800000000001</v>
      </c>
      <c r="K2476" s="4">
        <v>12.923400000000001</v>
      </c>
      <c r="L2476" s="4">
        <v>13.204499999999999</v>
      </c>
      <c r="M2476" s="4">
        <f t="shared" si="153"/>
        <v>13.108566666666666</v>
      </c>
      <c r="Q2476" s="43" t="s">
        <v>292</v>
      </c>
      <c r="R2476" s="4">
        <v>12.495950173780701</v>
      </c>
      <c r="S2476" s="4">
        <v>13.249734312860101</v>
      </c>
      <c r="T2476" s="4">
        <v>13.435120378761701</v>
      </c>
      <c r="U2476" s="4">
        <f t="shared" si="154"/>
        <v>13.060268288467499</v>
      </c>
      <c r="X2476" s="43" t="s">
        <v>742</v>
      </c>
      <c r="Y2476" s="4">
        <v>13.4262739466437</v>
      </c>
      <c r="Z2476" s="4">
        <v>13.311376686077301</v>
      </c>
      <c r="AA2476" s="4">
        <v>12.865546474581</v>
      </c>
      <c r="AB2476" s="4">
        <f t="shared" si="155"/>
        <v>13.201065702434001</v>
      </c>
    </row>
    <row r="2477" spans="2:28" x14ac:dyDescent="0.2">
      <c r="B2477" s="4" t="s">
        <v>337</v>
      </c>
      <c r="C2477" s="4">
        <v>12.9107</v>
      </c>
      <c r="D2477" s="4">
        <v>13.045</v>
      </c>
      <c r="E2477" s="4">
        <v>13.325900000000001</v>
      </c>
      <c r="F2477" s="4">
        <f t="shared" si="152"/>
        <v>13.093866666666665</v>
      </c>
      <c r="I2477" s="4" t="s">
        <v>2959</v>
      </c>
      <c r="J2477" s="4">
        <v>13.365</v>
      </c>
      <c r="K2477" s="4">
        <v>12.8873</v>
      </c>
      <c r="L2477" s="4">
        <v>13.0733</v>
      </c>
      <c r="M2477" s="4">
        <f t="shared" si="153"/>
        <v>13.108533333333332</v>
      </c>
      <c r="Q2477" s="43" t="s">
        <v>2855</v>
      </c>
      <c r="R2477" s="4">
        <v>12.9265499748845</v>
      </c>
      <c r="S2477" s="4">
        <v>13.3887759779373</v>
      </c>
      <c r="T2477" s="4">
        <v>12.860896543747799</v>
      </c>
      <c r="U2477" s="4">
        <f t="shared" si="154"/>
        <v>13.058740832189867</v>
      </c>
      <c r="X2477" s="43" t="s">
        <v>1177</v>
      </c>
      <c r="Y2477" s="4">
        <v>13.3062437434911</v>
      </c>
      <c r="Z2477" s="4">
        <v>13.100714855129301</v>
      </c>
      <c r="AA2477" s="4">
        <v>13.1913170353107</v>
      </c>
      <c r="AB2477" s="4">
        <f t="shared" si="155"/>
        <v>13.199425211310365</v>
      </c>
    </row>
    <row r="2478" spans="2:28" x14ac:dyDescent="0.2">
      <c r="B2478" s="4" t="s">
        <v>1274</v>
      </c>
      <c r="C2478" s="4">
        <v>13.374599999999999</v>
      </c>
      <c r="D2478" s="4">
        <v>12.960800000000001</v>
      </c>
      <c r="E2478" s="4">
        <v>12.946</v>
      </c>
      <c r="F2478" s="4">
        <f t="shared" si="152"/>
        <v>13.0938</v>
      </c>
      <c r="I2478" s="4" t="s">
        <v>3120</v>
      </c>
      <c r="J2478" s="4">
        <v>11.7445</v>
      </c>
      <c r="K2478" s="4">
        <v>15.111000000000001</v>
      </c>
      <c r="L2478" s="4">
        <v>12.4696</v>
      </c>
      <c r="M2478" s="4">
        <f t="shared" si="153"/>
        <v>13.108366666666667</v>
      </c>
      <c r="Q2478" s="43" t="s">
        <v>3866</v>
      </c>
      <c r="R2478" s="4">
        <v>13.3347263278055</v>
      </c>
      <c r="S2478" s="4">
        <v>12.7170779329299</v>
      </c>
      <c r="T2478" s="4">
        <v>13.122366300441399</v>
      </c>
      <c r="U2478" s="4">
        <f t="shared" si="154"/>
        <v>13.058056853725601</v>
      </c>
      <c r="X2478" s="43" t="s">
        <v>3677</v>
      </c>
      <c r="Y2478" s="4">
        <v>13.3391691595879</v>
      </c>
      <c r="Z2478" s="4">
        <v>13.1306575990521</v>
      </c>
      <c r="AA2478" s="4">
        <v>13.126791340511</v>
      </c>
      <c r="AB2478" s="4">
        <f t="shared" si="155"/>
        <v>13.198872699717001</v>
      </c>
    </row>
    <row r="2479" spans="2:28" x14ac:dyDescent="0.2">
      <c r="B2479" s="4" t="s">
        <v>77</v>
      </c>
      <c r="C2479" s="4">
        <v>12.9123</v>
      </c>
      <c r="D2479" s="4">
        <v>12.9755</v>
      </c>
      <c r="E2479" s="4">
        <v>13.3916</v>
      </c>
      <c r="F2479" s="4">
        <f t="shared" si="152"/>
        <v>13.093133333333332</v>
      </c>
      <c r="I2479" s="4" t="s">
        <v>1494</v>
      </c>
      <c r="J2479" s="4">
        <v>13.029199999999999</v>
      </c>
      <c r="K2479" s="4">
        <v>12.8332</v>
      </c>
      <c r="L2479" s="4">
        <v>13.439399999999999</v>
      </c>
      <c r="M2479" s="4">
        <f t="shared" si="153"/>
        <v>13.1006</v>
      </c>
      <c r="Q2479" s="43" t="s">
        <v>986</v>
      </c>
      <c r="R2479" s="4">
        <v>13.236345798255799</v>
      </c>
      <c r="S2479" s="4">
        <v>12.767939993181599</v>
      </c>
      <c r="T2479" s="4">
        <v>13.1686476148535</v>
      </c>
      <c r="U2479" s="4">
        <f t="shared" si="154"/>
        <v>13.057644468763632</v>
      </c>
      <c r="X2479" s="43" t="s">
        <v>529</v>
      </c>
      <c r="Y2479" s="4">
        <v>13.066508386818301</v>
      </c>
      <c r="Z2479" s="4">
        <v>13.363571730128699</v>
      </c>
      <c r="AA2479" s="4">
        <v>13.165067812735201</v>
      </c>
      <c r="AB2479" s="4">
        <f t="shared" si="155"/>
        <v>13.198382643227399</v>
      </c>
    </row>
    <row r="2480" spans="2:28" x14ac:dyDescent="0.2">
      <c r="B2480" s="4" t="s">
        <v>1653</v>
      </c>
      <c r="C2480" s="4">
        <v>13.2789</v>
      </c>
      <c r="D2480" s="4">
        <v>12.520099999999999</v>
      </c>
      <c r="E2480" s="4">
        <v>13.4773</v>
      </c>
      <c r="F2480" s="4">
        <f t="shared" si="152"/>
        <v>13.0921</v>
      </c>
      <c r="I2480" s="4" t="s">
        <v>427</v>
      </c>
      <c r="J2480" s="4">
        <v>12.444599999999999</v>
      </c>
      <c r="K2480" s="4">
        <v>13.5837</v>
      </c>
      <c r="L2480" s="4">
        <v>13.2659</v>
      </c>
      <c r="M2480" s="4">
        <f t="shared" si="153"/>
        <v>13.098066666666668</v>
      </c>
      <c r="Q2480" s="43" t="s">
        <v>1581</v>
      </c>
      <c r="R2480" s="4">
        <v>13.0172068414288</v>
      </c>
      <c r="S2480" s="4">
        <v>13.264357547343399</v>
      </c>
      <c r="T2480" s="4">
        <v>12.888072285684</v>
      </c>
      <c r="U2480" s="4">
        <f t="shared" si="154"/>
        <v>13.056545558152067</v>
      </c>
      <c r="X2480" s="43" t="s">
        <v>4273</v>
      </c>
      <c r="Y2480" s="4">
        <v>13.6876818307704</v>
      </c>
      <c r="Z2480" s="4">
        <v>13.452343872036099</v>
      </c>
      <c r="AA2480" s="4">
        <v>12.4529539536017</v>
      </c>
      <c r="AB2480" s="4">
        <f t="shared" si="155"/>
        <v>13.197659885469399</v>
      </c>
    </row>
    <row r="2481" spans="2:28" x14ac:dyDescent="0.2">
      <c r="B2481" s="4" t="s">
        <v>2018</v>
      </c>
      <c r="C2481" s="4">
        <v>13.0284</v>
      </c>
      <c r="D2481" s="4">
        <v>13.010199999999999</v>
      </c>
      <c r="E2481" s="4">
        <v>13.2361</v>
      </c>
      <c r="F2481" s="4">
        <f t="shared" si="152"/>
        <v>13.091566666666665</v>
      </c>
      <c r="I2481" s="4" t="s">
        <v>3905</v>
      </c>
      <c r="J2481" s="4">
        <v>12.986599999999999</v>
      </c>
      <c r="K2481" s="4">
        <v>12.603199999999999</v>
      </c>
      <c r="L2481" s="4">
        <v>13.6999</v>
      </c>
      <c r="M2481" s="4">
        <f t="shared" si="153"/>
        <v>13.096566666666666</v>
      </c>
      <c r="Q2481" s="43" t="s">
        <v>3009</v>
      </c>
      <c r="R2481" s="4">
        <v>12.9240013480642</v>
      </c>
      <c r="S2481" s="4">
        <v>13.1835047285476</v>
      </c>
      <c r="T2481" s="4">
        <v>13.055659063224899</v>
      </c>
      <c r="U2481" s="4">
        <f t="shared" si="154"/>
        <v>13.054388379945566</v>
      </c>
      <c r="X2481" s="43" t="s">
        <v>4329</v>
      </c>
      <c r="Y2481" s="4">
        <v>13.1671422559691</v>
      </c>
      <c r="Z2481" s="4">
        <v>13.368433441060301</v>
      </c>
      <c r="AA2481" s="4">
        <v>13.049476504270499</v>
      </c>
      <c r="AB2481" s="4">
        <f t="shared" si="155"/>
        <v>13.195017400433301</v>
      </c>
    </row>
    <row r="2482" spans="2:28" x14ac:dyDescent="0.2">
      <c r="B2482" s="4" t="s">
        <v>2792</v>
      </c>
      <c r="C2482" s="4">
        <v>12.8012</v>
      </c>
      <c r="D2482" s="4">
        <v>13.301</v>
      </c>
      <c r="E2482" s="4">
        <v>13.162800000000001</v>
      </c>
      <c r="F2482" s="4">
        <f t="shared" si="152"/>
        <v>13.088333333333333</v>
      </c>
      <c r="I2482" s="4" t="s">
        <v>1862</v>
      </c>
      <c r="J2482" s="4">
        <v>13.2721</v>
      </c>
      <c r="K2482" s="4">
        <v>12.6898</v>
      </c>
      <c r="L2482" s="4">
        <v>13.326499999999999</v>
      </c>
      <c r="M2482" s="4">
        <f t="shared" si="153"/>
        <v>13.096133333333333</v>
      </c>
      <c r="Q2482" s="43" t="s">
        <v>3773</v>
      </c>
      <c r="R2482" s="4">
        <v>13.063046268187</v>
      </c>
      <c r="S2482" s="4">
        <v>13.078143534559</v>
      </c>
      <c r="T2482" s="4">
        <v>13.0219068047994</v>
      </c>
      <c r="U2482" s="4">
        <f t="shared" si="154"/>
        <v>13.054365535848467</v>
      </c>
      <c r="X2482" s="43" t="s">
        <v>274</v>
      </c>
      <c r="Y2482" s="4">
        <v>13.166998521176099</v>
      </c>
      <c r="Z2482" s="4">
        <v>13.213649212340099</v>
      </c>
      <c r="AA2482" s="4">
        <v>13.2032620051998</v>
      </c>
      <c r="AB2482" s="4">
        <f t="shared" si="155"/>
        <v>13.194636579572</v>
      </c>
    </row>
    <row r="2483" spans="2:28" x14ac:dyDescent="0.2">
      <c r="B2483" s="4" t="s">
        <v>2133</v>
      </c>
      <c r="C2483" s="4">
        <v>13.063499999999999</v>
      </c>
      <c r="D2483" s="4">
        <v>13.382199999999999</v>
      </c>
      <c r="E2483" s="4">
        <v>12.8154</v>
      </c>
      <c r="F2483" s="4">
        <f t="shared" si="152"/>
        <v>13.087033333333332</v>
      </c>
      <c r="I2483" s="4" t="s">
        <v>2287</v>
      </c>
      <c r="J2483" s="4">
        <v>11.1631</v>
      </c>
      <c r="K2483" s="4">
        <v>16.049600000000002</v>
      </c>
      <c r="L2483" s="4">
        <v>12.0747</v>
      </c>
      <c r="M2483" s="4">
        <f t="shared" si="153"/>
        <v>13.095800000000002</v>
      </c>
      <c r="Q2483" s="43" t="s">
        <v>3023</v>
      </c>
      <c r="R2483" s="4">
        <v>13.102792042272901</v>
      </c>
      <c r="S2483" s="4">
        <v>12.8443391368346</v>
      </c>
      <c r="T2483" s="4">
        <v>13.2095964232409</v>
      </c>
      <c r="U2483" s="4">
        <f t="shared" si="154"/>
        <v>13.052242534116132</v>
      </c>
      <c r="X2483" s="43" t="s">
        <v>752</v>
      </c>
      <c r="Y2483" s="4">
        <v>13.2733251656918</v>
      </c>
      <c r="Z2483" s="4">
        <v>13.4899721710895</v>
      </c>
      <c r="AA2483" s="4">
        <v>12.820451996654</v>
      </c>
      <c r="AB2483" s="4">
        <f t="shared" si="155"/>
        <v>13.1945831111451</v>
      </c>
    </row>
    <row r="2484" spans="2:28" x14ac:dyDescent="0.2">
      <c r="B2484" s="4" t="s">
        <v>2729</v>
      </c>
      <c r="C2484" s="4">
        <v>13.178699999999999</v>
      </c>
      <c r="D2484" s="4">
        <v>12.611800000000001</v>
      </c>
      <c r="E2484" s="4">
        <v>13.470499999999999</v>
      </c>
      <c r="F2484" s="4">
        <f t="shared" si="152"/>
        <v>13.087000000000002</v>
      </c>
      <c r="I2484" s="4" t="s">
        <v>3022</v>
      </c>
      <c r="J2484" s="4">
        <v>13.8606</v>
      </c>
      <c r="K2484" s="4">
        <v>11.773099999999999</v>
      </c>
      <c r="L2484" s="4">
        <v>13.6487</v>
      </c>
      <c r="M2484" s="4">
        <f t="shared" si="153"/>
        <v>13.094133333333332</v>
      </c>
      <c r="Q2484" s="43" t="s">
        <v>2922</v>
      </c>
      <c r="R2484" s="4">
        <v>13.0082029713494</v>
      </c>
      <c r="S2484" s="4">
        <v>13.099755003996499</v>
      </c>
      <c r="T2484" s="4">
        <v>13.0467609765484</v>
      </c>
      <c r="U2484" s="4">
        <f t="shared" si="154"/>
        <v>13.051572983964766</v>
      </c>
      <c r="X2484" s="43" t="s">
        <v>3770</v>
      </c>
      <c r="Y2484" s="4">
        <v>13.375597535219599</v>
      </c>
      <c r="Z2484" s="4">
        <v>12.949117461493801</v>
      </c>
      <c r="AA2484" s="4">
        <v>13.2502009655186</v>
      </c>
      <c r="AB2484" s="4">
        <f t="shared" si="155"/>
        <v>13.191638654077332</v>
      </c>
    </row>
    <row r="2485" spans="2:28" x14ac:dyDescent="0.2">
      <c r="B2485" s="4" t="s">
        <v>527</v>
      </c>
      <c r="C2485" s="4">
        <v>12.504300000000001</v>
      </c>
      <c r="D2485" s="4">
        <v>13.261699999999999</v>
      </c>
      <c r="E2485" s="4">
        <v>13.4917</v>
      </c>
      <c r="F2485" s="4">
        <f t="shared" si="152"/>
        <v>13.085900000000001</v>
      </c>
      <c r="I2485" s="4" t="s">
        <v>1544</v>
      </c>
      <c r="J2485" s="4">
        <v>12.7372</v>
      </c>
      <c r="K2485" s="4">
        <v>13.8001</v>
      </c>
      <c r="L2485" s="4">
        <v>12.7378</v>
      </c>
      <c r="M2485" s="4">
        <f t="shared" si="153"/>
        <v>13.091700000000001</v>
      </c>
      <c r="Q2485" s="43" t="s">
        <v>2918</v>
      </c>
      <c r="R2485" s="4">
        <v>13.0572527592242</v>
      </c>
      <c r="S2485" s="4">
        <v>12.9732772307262</v>
      </c>
      <c r="T2485" s="4">
        <v>13.124060292025</v>
      </c>
      <c r="U2485" s="4">
        <f t="shared" si="154"/>
        <v>13.051530093991801</v>
      </c>
      <c r="X2485" s="43" t="s">
        <v>566</v>
      </c>
      <c r="Y2485" s="4">
        <v>12.985108888818401</v>
      </c>
      <c r="Z2485" s="4">
        <v>12.688795784880799</v>
      </c>
      <c r="AA2485" s="4">
        <v>13.9008233073091</v>
      </c>
      <c r="AB2485" s="4">
        <f t="shared" si="155"/>
        <v>13.191575993669431</v>
      </c>
    </row>
    <row r="2486" spans="2:28" x14ac:dyDescent="0.2">
      <c r="B2486" s="4" t="s">
        <v>3544</v>
      </c>
      <c r="C2486" s="4">
        <v>13.1921</v>
      </c>
      <c r="D2486" s="4">
        <v>13.294499999999999</v>
      </c>
      <c r="E2486" s="4">
        <v>12.768700000000001</v>
      </c>
      <c r="F2486" s="4">
        <f t="shared" si="152"/>
        <v>13.085099999999999</v>
      </c>
      <c r="I2486" s="4" t="s">
        <v>230</v>
      </c>
      <c r="J2486" s="4">
        <v>12.627700000000001</v>
      </c>
      <c r="K2486" s="4">
        <v>13.779299999999999</v>
      </c>
      <c r="L2486" s="4">
        <v>12.8649</v>
      </c>
      <c r="M2486" s="4">
        <f t="shared" si="153"/>
        <v>13.090633333333335</v>
      </c>
      <c r="Q2486" s="43" t="s">
        <v>4177</v>
      </c>
      <c r="R2486" s="4">
        <v>12.9808171313377</v>
      </c>
      <c r="S2486" s="4">
        <v>13.056332858106</v>
      </c>
      <c r="T2486" s="4">
        <v>13.1153083835147</v>
      </c>
      <c r="U2486" s="4">
        <f t="shared" si="154"/>
        <v>13.0508194576528</v>
      </c>
      <c r="X2486" s="43" t="s">
        <v>3396</v>
      </c>
      <c r="Y2486" s="4">
        <v>12.909033457129199</v>
      </c>
      <c r="Z2486" s="4">
        <v>13.6314389455066</v>
      </c>
      <c r="AA2486" s="4">
        <v>13.034101534652899</v>
      </c>
      <c r="AB2486" s="4">
        <f t="shared" si="155"/>
        <v>13.191524645762899</v>
      </c>
    </row>
    <row r="2487" spans="2:28" x14ac:dyDescent="0.2">
      <c r="B2487" s="4" t="s">
        <v>1363</v>
      </c>
      <c r="C2487" s="4">
        <v>13.286099999999999</v>
      </c>
      <c r="D2487" s="4">
        <v>13.377800000000001</v>
      </c>
      <c r="E2487" s="4">
        <v>12.5907</v>
      </c>
      <c r="F2487" s="4">
        <f t="shared" si="152"/>
        <v>13.084866666666665</v>
      </c>
      <c r="I2487" s="4" t="s">
        <v>1620</v>
      </c>
      <c r="J2487" s="4">
        <v>13.490399999999999</v>
      </c>
      <c r="K2487" s="4">
        <v>12.370100000000001</v>
      </c>
      <c r="L2487" s="4">
        <v>13.404400000000001</v>
      </c>
      <c r="M2487" s="4">
        <f t="shared" si="153"/>
        <v>13.088300000000002</v>
      </c>
      <c r="Q2487" s="43" t="s">
        <v>1540</v>
      </c>
      <c r="R2487" s="4">
        <v>13.257473659756799</v>
      </c>
      <c r="S2487" s="4">
        <v>13.2869166378117</v>
      </c>
      <c r="T2487" s="4">
        <v>12.606716810201</v>
      </c>
      <c r="U2487" s="4">
        <f t="shared" si="154"/>
        <v>13.050369035923167</v>
      </c>
      <c r="X2487" s="43" t="s">
        <v>569</v>
      </c>
      <c r="Y2487" s="4">
        <v>13.363957005973999</v>
      </c>
      <c r="Z2487" s="4">
        <v>12.960561623612</v>
      </c>
      <c r="AA2487" s="4">
        <v>13.2471673130991</v>
      </c>
      <c r="AB2487" s="4">
        <f t="shared" si="155"/>
        <v>13.190561980895033</v>
      </c>
    </row>
    <row r="2488" spans="2:28" x14ac:dyDescent="0.2">
      <c r="B2488" s="4" t="s">
        <v>2649</v>
      </c>
      <c r="C2488" s="4">
        <v>13.041399999999999</v>
      </c>
      <c r="D2488" s="4">
        <v>13.0296</v>
      </c>
      <c r="E2488" s="4">
        <v>13.1783</v>
      </c>
      <c r="F2488" s="4">
        <f t="shared" si="152"/>
        <v>13.0831</v>
      </c>
      <c r="I2488" s="4" t="s">
        <v>1435</v>
      </c>
      <c r="J2488" s="4">
        <v>11.9625</v>
      </c>
      <c r="K2488" s="4">
        <v>14.8454</v>
      </c>
      <c r="L2488" s="4">
        <v>12.454700000000001</v>
      </c>
      <c r="M2488" s="4">
        <f t="shared" si="153"/>
        <v>13.087533333333333</v>
      </c>
      <c r="Q2488" s="43" t="s">
        <v>568</v>
      </c>
      <c r="R2488" s="4">
        <v>12.964520120118101</v>
      </c>
      <c r="S2488" s="4">
        <v>12.970626908471299</v>
      </c>
      <c r="T2488" s="4">
        <v>13.2072833384382</v>
      </c>
      <c r="U2488" s="4">
        <f t="shared" si="154"/>
        <v>13.047476789009201</v>
      </c>
      <c r="X2488" s="43" t="s">
        <v>4481</v>
      </c>
      <c r="Y2488" s="4">
        <v>13.0195565226044</v>
      </c>
      <c r="Z2488" s="4">
        <v>13.2909869435657</v>
      </c>
      <c r="AA2488" s="4">
        <v>13.2593159450066</v>
      </c>
      <c r="AB2488" s="4">
        <f t="shared" si="155"/>
        <v>13.1899531370589</v>
      </c>
    </row>
    <row r="2489" spans="2:28" x14ac:dyDescent="0.2">
      <c r="B2489" s="4" t="s">
        <v>2770</v>
      </c>
      <c r="C2489" s="4">
        <v>13.278700000000001</v>
      </c>
      <c r="D2489" s="4">
        <v>13.209899999999999</v>
      </c>
      <c r="E2489" s="4">
        <v>12.7576</v>
      </c>
      <c r="F2489" s="4">
        <f t="shared" si="152"/>
        <v>13.082066666666668</v>
      </c>
      <c r="I2489" s="4" t="s">
        <v>2168</v>
      </c>
      <c r="J2489" s="4">
        <v>13.688599999999999</v>
      </c>
      <c r="K2489" s="4">
        <v>12.769600000000001</v>
      </c>
      <c r="L2489" s="4">
        <v>12.7989</v>
      </c>
      <c r="M2489" s="4">
        <f t="shared" si="153"/>
        <v>13.085699999999997</v>
      </c>
      <c r="Q2489" s="43" t="s">
        <v>2668</v>
      </c>
      <c r="R2489" s="4">
        <v>13.2917097797203</v>
      </c>
      <c r="S2489" s="4">
        <v>13.018194531144401</v>
      </c>
      <c r="T2489" s="4">
        <v>12.831812036749101</v>
      </c>
      <c r="U2489" s="4">
        <f t="shared" si="154"/>
        <v>13.047238782537933</v>
      </c>
      <c r="X2489" s="43" t="s">
        <v>344</v>
      </c>
      <c r="Y2489" s="4">
        <v>12.8837624449017</v>
      </c>
      <c r="Z2489" s="4">
        <v>13.047178968478001</v>
      </c>
      <c r="AA2489" s="4">
        <v>13.6386736210292</v>
      </c>
      <c r="AB2489" s="4">
        <f t="shared" si="155"/>
        <v>13.189871678136299</v>
      </c>
    </row>
    <row r="2490" spans="2:28" x14ac:dyDescent="0.2">
      <c r="B2490" s="4" t="s">
        <v>3460</v>
      </c>
      <c r="C2490" s="4">
        <v>12.4468</v>
      </c>
      <c r="D2490" s="4">
        <v>13.3894</v>
      </c>
      <c r="E2490" s="4">
        <v>13.4084</v>
      </c>
      <c r="F2490" s="4">
        <f t="shared" si="152"/>
        <v>13.081533333333333</v>
      </c>
      <c r="I2490" s="4" t="s">
        <v>2018</v>
      </c>
      <c r="J2490" s="4">
        <v>12.731299999999999</v>
      </c>
      <c r="K2490" s="4">
        <v>13.7036</v>
      </c>
      <c r="L2490" s="4">
        <v>12.822100000000001</v>
      </c>
      <c r="M2490" s="4">
        <f t="shared" si="153"/>
        <v>13.085666666666667</v>
      </c>
      <c r="Q2490" s="43" t="s">
        <v>1023</v>
      </c>
      <c r="R2490" s="4">
        <v>13.0884979764578</v>
      </c>
      <c r="S2490" s="4">
        <v>13.128550747270999</v>
      </c>
      <c r="T2490" s="4">
        <v>12.924044765503201</v>
      </c>
      <c r="U2490" s="4">
        <f t="shared" si="154"/>
        <v>13.047031163077335</v>
      </c>
      <c r="X2490" s="43" t="s">
        <v>3151</v>
      </c>
      <c r="Y2490" s="4">
        <v>13.106080119931899</v>
      </c>
      <c r="Z2490" s="4">
        <v>13.0624689236642</v>
      </c>
      <c r="AA2490" s="4">
        <v>13.399815448978201</v>
      </c>
      <c r="AB2490" s="4">
        <f t="shared" si="155"/>
        <v>13.189454830858102</v>
      </c>
    </row>
    <row r="2491" spans="2:28" x14ac:dyDescent="0.2">
      <c r="B2491" s="4" t="s">
        <v>2568</v>
      </c>
      <c r="C2491" s="4">
        <v>13.3873</v>
      </c>
      <c r="D2491" s="4">
        <v>13.001200000000001</v>
      </c>
      <c r="E2491" s="4">
        <v>12.855</v>
      </c>
      <c r="F2491" s="4">
        <f t="shared" si="152"/>
        <v>13.081166666666666</v>
      </c>
      <c r="I2491" s="4" t="s">
        <v>3623</v>
      </c>
      <c r="J2491" s="4">
        <v>13.1425</v>
      </c>
      <c r="K2491" s="4">
        <v>12.7323</v>
      </c>
      <c r="L2491" s="4">
        <v>13.3774</v>
      </c>
      <c r="M2491" s="4">
        <f t="shared" si="153"/>
        <v>13.084066666666667</v>
      </c>
      <c r="Q2491" s="43" t="s">
        <v>4608</v>
      </c>
      <c r="R2491" s="4">
        <v>12.7645255438742</v>
      </c>
      <c r="S2491" s="4">
        <v>13.0467544686034</v>
      </c>
      <c r="T2491" s="4">
        <v>13.3226828921972</v>
      </c>
      <c r="U2491" s="4">
        <f t="shared" si="154"/>
        <v>13.044654301558268</v>
      </c>
      <c r="X2491" s="43" t="s">
        <v>996</v>
      </c>
      <c r="Y2491" s="4">
        <v>13.480713305591699</v>
      </c>
      <c r="Z2491" s="4">
        <v>13.2556206435929</v>
      </c>
      <c r="AA2491" s="4">
        <v>12.8292166933303</v>
      </c>
      <c r="AB2491" s="4">
        <f t="shared" si="155"/>
        <v>13.1885168808383</v>
      </c>
    </row>
    <row r="2492" spans="2:28" x14ac:dyDescent="0.2">
      <c r="B2492" s="4" t="s">
        <v>3026</v>
      </c>
      <c r="C2492" s="4">
        <v>13.4998</v>
      </c>
      <c r="D2492" s="4">
        <v>12.668799999999999</v>
      </c>
      <c r="E2492" s="4">
        <v>13.068899999999999</v>
      </c>
      <c r="F2492" s="4">
        <f t="shared" si="152"/>
        <v>13.079166666666666</v>
      </c>
      <c r="I2492" s="4" t="s">
        <v>4</v>
      </c>
      <c r="J2492" s="4">
        <v>12.9071</v>
      </c>
      <c r="K2492" s="4">
        <v>13.218500000000001</v>
      </c>
      <c r="L2492" s="4">
        <v>13.125500000000001</v>
      </c>
      <c r="M2492" s="4">
        <f t="shared" si="153"/>
        <v>13.0837</v>
      </c>
      <c r="Q2492" s="43" t="s">
        <v>976</v>
      </c>
      <c r="R2492" s="4">
        <v>13.7054954576226</v>
      </c>
      <c r="S2492" s="4">
        <v>12.775953521087001</v>
      </c>
      <c r="T2492" s="4">
        <v>12.651913343097601</v>
      </c>
      <c r="U2492" s="4">
        <f t="shared" si="154"/>
        <v>13.044454107269067</v>
      </c>
      <c r="X2492" s="43" t="s">
        <v>4351</v>
      </c>
      <c r="Y2492" s="4">
        <v>13.311016300876901</v>
      </c>
      <c r="Z2492" s="4">
        <v>13.3121396192268</v>
      </c>
      <c r="AA2492" s="4">
        <v>12.9411738132306</v>
      </c>
      <c r="AB2492" s="4">
        <f t="shared" si="155"/>
        <v>13.188109911111432</v>
      </c>
    </row>
    <row r="2493" spans="2:28" x14ac:dyDescent="0.2">
      <c r="B2493" s="4" t="s">
        <v>950</v>
      </c>
      <c r="C2493" s="4">
        <v>13.664099999999999</v>
      </c>
      <c r="D2493" s="4">
        <v>13.302300000000001</v>
      </c>
      <c r="E2493" s="4">
        <v>12.263</v>
      </c>
      <c r="F2493" s="4">
        <f t="shared" si="152"/>
        <v>13.076466666666667</v>
      </c>
      <c r="I2493" s="4" t="s">
        <v>3445</v>
      </c>
      <c r="J2493" s="4">
        <v>13.175700000000001</v>
      </c>
      <c r="K2493" s="4">
        <v>13.167199999999999</v>
      </c>
      <c r="L2493" s="4">
        <v>12.9076</v>
      </c>
      <c r="M2493" s="4">
        <f t="shared" si="153"/>
        <v>13.083500000000001</v>
      </c>
      <c r="Q2493" s="43" t="s">
        <v>3742</v>
      </c>
      <c r="R2493" s="4">
        <v>12.852745598151801</v>
      </c>
      <c r="S2493" s="4">
        <v>13.1756908071692</v>
      </c>
      <c r="T2493" s="4">
        <v>13.1008340249357</v>
      </c>
      <c r="U2493" s="4">
        <f t="shared" si="154"/>
        <v>13.043090143418901</v>
      </c>
      <c r="X2493" s="43" t="s">
        <v>2662</v>
      </c>
      <c r="Y2493" s="4">
        <v>13.094980998675201</v>
      </c>
      <c r="Z2493" s="4">
        <v>13.0629324772845</v>
      </c>
      <c r="AA2493" s="4">
        <v>13.4055968558506</v>
      </c>
      <c r="AB2493" s="4">
        <f t="shared" si="155"/>
        <v>13.187836777270102</v>
      </c>
    </row>
    <row r="2494" spans="2:28" x14ac:dyDescent="0.2">
      <c r="B2494" s="4" t="s">
        <v>4027</v>
      </c>
      <c r="C2494" s="4">
        <v>13.0083</v>
      </c>
      <c r="D2494" s="4">
        <v>13.0242</v>
      </c>
      <c r="E2494" s="4">
        <v>13.1952</v>
      </c>
      <c r="F2494" s="4">
        <f t="shared" si="152"/>
        <v>13.075899999999999</v>
      </c>
      <c r="I2494" s="4" t="s">
        <v>2338</v>
      </c>
      <c r="J2494" s="4">
        <v>12.909599999999999</v>
      </c>
      <c r="K2494" s="4">
        <v>13.490500000000001</v>
      </c>
      <c r="L2494" s="4">
        <v>12.8492</v>
      </c>
      <c r="M2494" s="4">
        <f t="shared" si="153"/>
        <v>13.083100000000002</v>
      </c>
      <c r="Q2494" s="43" t="s">
        <v>1825</v>
      </c>
      <c r="R2494" s="4">
        <v>12.9254787563302</v>
      </c>
      <c r="S2494" s="4">
        <v>13.080169773478699</v>
      </c>
      <c r="T2494" s="4">
        <v>13.122616483017699</v>
      </c>
      <c r="U2494" s="4">
        <f t="shared" si="154"/>
        <v>13.042755004275534</v>
      </c>
      <c r="X2494" s="43" t="s">
        <v>1416</v>
      </c>
      <c r="Y2494" s="4">
        <v>13.329641466877</v>
      </c>
      <c r="Z2494" s="4">
        <v>12.8820875534304</v>
      </c>
      <c r="AA2494" s="4">
        <v>13.3408213541836</v>
      </c>
      <c r="AB2494" s="4">
        <f t="shared" si="155"/>
        <v>13.184183458163668</v>
      </c>
    </row>
    <row r="2495" spans="2:28" x14ac:dyDescent="0.2">
      <c r="B2495" s="4" t="s">
        <v>3502</v>
      </c>
      <c r="C2495" s="4">
        <v>13.079599999999999</v>
      </c>
      <c r="D2495" s="4">
        <v>13.1839</v>
      </c>
      <c r="E2495" s="4">
        <v>12.9495</v>
      </c>
      <c r="F2495" s="4">
        <f t="shared" si="152"/>
        <v>13.071</v>
      </c>
      <c r="I2495" s="4" t="s">
        <v>968</v>
      </c>
      <c r="J2495" s="4">
        <v>12.8544</v>
      </c>
      <c r="K2495" s="4">
        <v>13.4368</v>
      </c>
      <c r="L2495" s="4">
        <v>12.956799999999999</v>
      </c>
      <c r="M2495" s="4">
        <f t="shared" si="153"/>
        <v>13.082666666666666</v>
      </c>
      <c r="Q2495" s="43" t="s">
        <v>2580</v>
      </c>
      <c r="R2495" s="4">
        <v>12.7881807467285</v>
      </c>
      <c r="S2495" s="4">
        <v>13.1554035286852</v>
      </c>
      <c r="T2495" s="4">
        <v>13.1817910177974</v>
      </c>
      <c r="U2495" s="4">
        <f t="shared" si="154"/>
        <v>13.041791764403699</v>
      </c>
      <c r="X2495" s="43" t="s">
        <v>1035</v>
      </c>
      <c r="Y2495" s="4">
        <v>13.084198877439301</v>
      </c>
      <c r="Z2495" s="4">
        <v>13.3568943384787</v>
      </c>
      <c r="AA2495" s="4">
        <v>13.1066222266178</v>
      </c>
      <c r="AB2495" s="4">
        <f t="shared" si="155"/>
        <v>13.182571814178601</v>
      </c>
    </row>
    <row r="2496" spans="2:28" x14ac:dyDescent="0.2">
      <c r="B2496" s="4" t="s">
        <v>3904</v>
      </c>
      <c r="C2496" s="4">
        <v>13.155099999999999</v>
      </c>
      <c r="D2496" s="4">
        <v>12.892799999999999</v>
      </c>
      <c r="E2496" s="4">
        <v>13.161</v>
      </c>
      <c r="F2496" s="4">
        <f t="shared" si="152"/>
        <v>13.069633333333334</v>
      </c>
      <c r="I2496" s="4" t="s">
        <v>870</v>
      </c>
      <c r="J2496" s="4">
        <v>13.2577</v>
      </c>
      <c r="K2496" s="4">
        <v>12.7654</v>
      </c>
      <c r="L2496" s="4">
        <v>13.2242</v>
      </c>
      <c r="M2496" s="4">
        <f t="shared" si="153"/>
        <v>13.082433333333332</v>
      </c>
      <c r="Q2496" s="43" t="s">
        <v>3674</v>
      </c>
      <c r="R2496" s="4">
        <v>12.7478282054103</v>
      </c>
      <c r="S2496" s="4">
        <v>13.3709048652755</v>
      </c>
      <c r="T2496" s="4">
        <v>12.997805998615</v>
      </c>
      <c r="U2496" s="4">
        <f t="shared" si="154"/>
        <v>13.0388463564336</v>
      </c>
      <c r="X2496" s="43" t="s">
        <v>3016</v>
      </c>
      <c r="Y2496" s="4">
        <v>13.198034716113</v>
      </c>
      <c r="Z2496" s="4">
        <v>13.1047291076941</v>
      </c>
      <c r="AA2496" s="4">
        <v>13.2379786252946</v>
      </c>
      <c r="AB2496" s="4">
        <f t="shared" si="155"/>
        <v>13.1802474830339</v>
      </c>
    </row>
    <row r="2497" spans="2:28" x14ac:dyDescent="0.2">
      <c r="B2497" s="4" t="s">
        <v>2894</v>
      </c>
      <c r="C2497" s="4">
        <v>13.255599999999999</v>
      </c>
      <c r="D2497" s="4">
        <v>12.994</v>
      </c>
      <c r="E2497" s="4">
        <v>12.959099999999999</v>
      </c>
      <c r="F2497" s="4">
        <f t="shared" si="152"/>
        <v>13.069566666666667</v>
      </c>
      <c r="I2497" s="4" t="s">
        <v>79</v>
      </c>
      <c r="J2497" s="4">
        <v>12.7935</v>
      </c>
      <c r="K2497" s="4">
        <v>13.2936</v>
      </c>
      <c r="L2497" s="4">
        <v>13.1509</v>
      </c>
      <c r="M2497" s="4">
        <f t="shared" si="153"/>
        <v>13.079333333333333</v>
      </c>
      <c r="Q2497" s="43" t="s">
        <v>3907</v>
      </c>
      <c r="R2497" s="4">
        <v>12.8575835408933</v>
      </c>
      <c r="S2497" s="4">
        <v>13.363441598165201</v>
      </c>
      <c r="T2497" s="4">
        <v>12.8931875980716</v>
      </c>
      <c r="U2497" s="4">
        <f t="shared" si="154"/>
        <v>13.038070912376702</v>
      </c>
      <c r="X2497" s="43" t="s">
        <v>2760</v>
      </c>
      <c r="Y2497" s="4">
        <v>13.433876624303901</v>
      </c>
      <c r="Z2497" s="4">
        <v>13.517538296331001</v>
      </c>
      <c r="AA2497" s="4">
        <v>12.5861048154941</v>
      </c>
      <c r="AB2497" s="4">
        <f t="shared" si="155"/>
        <v>13.179173245376333</v>
      </c>
    </row>
    <row r="2498" spans="2:28" x14ac:dyDescent="0.2">
      <c r="B2498" s="4" t="s">
        <v>620</v>
      </c>
      <c r="C2498" s="4">
        <v>13.3544</v>
      </c>
      <c r="D2498" s="4">
        <v>13.0907</v>
      </c>
      <c r="E2498" s="4">
        <v>12.761799999999999</v>
      </c>
      <c r="F2498" s="4">
        <f t="shared" ref="F2498:F2561" si="156">(C2498+D2498+E2498)/3</f>
        <v>13.068966666666666</v>
      </c>
      <c r="I2498" s="4" t="s">
        <v>2773</v>
      </c>
      <c r="J2498" s="4">
        <v>13.360900000000001</v>
      </c>
      <c r="K2498" s="4">
        <v>13.052099999999999</v>
      </c>
      <c r="L2498" s="4">
        <v>12.8239</v>
      </c>
      <c r="M2498" s="4">
        <f t="shared" ref="M2498:M2561" si="157">(J2498+K2498+L2498)/3</f>
        <v>13.078966666666666</v>
      </c>
      <c r="Q2498" s="43" t="s">
        <v>1550</v>
      </c>
      <c r="R2498" s="4">
        <v>12.879656986635799</v>
      </c>
      <c r="S2498" s="4">
        <v>13.039787297370401</v>
      </c>
      <c r="T2498" s="4">
        <v>13.1921208876986</v>
      </c>
      <c r="U2498" s="4">
        <f t="shared" ref="U2498:U2561" si="158">(R2498+S2498+T2498)/3</f>
        <v>13.037188390568266</v>
      </c>
      <c r="X2498" s="43" t="s">
        <v>3113</v>
      </c>
      <c r="Y2498" s="4">
        <v>13.230220476630301</v>
      </c>
      <c r="Z2498" s="4">
        <v>12.909128378842601</v>
      </c>
      <c r="AA2498" s="4">
        <v>13.398036580537999</v>
      </c>
      <c r="AB2498" s="4">
        <f t="shared" ref="AB2498:AB2561" si="159">(Y2498+Z2498+AA2498)/3</f>
        <v>13.1791284786703</v>
      </c>
    </row>
    <row r="2499" spans="2:28" x14ac:dyDescent="0.2">
      <c r="B2499" s="4" t="s">
        <v>4015</v>
      </c>
      <c r="C2499" s="4">
        <v>12.513</v>
      </c>
      <c r="D2499" s="4">
        <v>13.0098</v>
      </c>
      <c r="E2499" s="4">
        <v>13.6831</v>
      </c>
      <c r="F2499" s="4">
        <f t="shared" si="156"/>
        <v>13.068633333333333</v>
      </c>
      <c r="I2499" s="4" t="s">
        <v>1910</v>
      </c>
      <c r="J2499" s="4">
        <v>13.216900000000001</v>
      </c>
      <c r="K2499" s="4">
        <v>12.727600000000001</v>
      </c>
      <c r="L2499" s="4">
        <v>13.2921</v>
      </c>
      <c r="M2499" s="4">
        <f t="shared" si="157"/>
        <v>13.078866666666668</v>
      </c>
      <c r="Q2499" s="43" t="s">
        <v>749</v>
      </c>
      <c r="R2499" s="4">
        <v>12.507347537104801</v>
      </c>
      <c r="S2499" s="4">
        <v>13.3268186926586</v>
      </c>
      <c r="T2499" s="4">
        <v>13.2765964358661</v>
      </c>
      <c r="U2499" s="4">
        <f t="shared" si="158"/>
        <v>13.036920888543166</v>
      </c>
      <c r="X2499" s="43" t="s">
        <v>721</v>
      </c>
      <c r="Y2499" s="4">
        <v>13.1595891846763</v>
      </c>
      <c r="Z2499" s="4">
        <v>13.1919733227554</v>
      </c>
      <c r="AA2499" s="4">
        <v>13.1852110044613</v>
      </c>
      <c r="AB2499" s="4">
        <f t="shared" si="159"/>
        <v>13.178924503964334</v>
      </c>
    </row>
    <row r="2500" spans="2:28" x14ac:dyDescent="0.2">
      <c r="B2500" s="4" t="s">
        <v>2348</v>
      </c>
      <c r="C2500" s="4">
        <v>12.6198</v>
      </c>
      <c r="D2500" s="4">
        <v>13.311</v>
      </c>
      <c r="E2500" s="4">
        <v>13.275</v>
      </c>
      <c r="F2500" s="4">
        <f t="shared" si="156"/>
        <v>13.068599999999998</v>
      </c>
      <c r="I2500" s="4" t="s">
        <v>3894</v>
      </c>
      <c r="J2500" s="4">
        <v>13.2807</v>
      </c>
      <c r="K2500" s="4">
        <v>12.8672</v>
      </c>
      <c r="L2500" s="4">
        <v>13.0784</v>
      </c>
      <c r="M2500" s="4">
        <f t="shared" si="157"/>
        <v>13.075433333333335</v>
      </c>
      <c r="Q2500" s="43" t="s">
        <v>700</v>
      </c>
      <c r="R2500" s="4">
        <v>12.8061569283611</v>
      </c>
      <c r="S2500" s="4">
        <v>13.1284030641998</v>
      </c>
      <c r="T2500" s="4">
        <v>13.1735205603204</v>
      </c>
      <c r="U2500" s="4">
        <f t="shared" si="158"/>
        <v>13.036026850960432</v>
      </c>
      <c r="X2500" s="43" t="s">
        <v>2461</v>
      </c>
      <c r="Y2500" s="4">
        <v>13.353915538672601</v>
      </c>
      <c r="Z2500" s="4">
        <v>13.1367851251829</v>
      </c>
      <c r="AA2500" s="4">
        <v>13.0453012390344</v>
      </c>
      <c r="AB2500" s="4">
        <f t="shared" si="159"/>
        <v>13.1786673009633</v>
      </c>
    </row>
    <row r="2501" spans="2:28" x14ac:dyDescent="0.2">
      <c r="B2501" s="4" t="s">
        <v>2206</v>
      </c>
      <c r="C2501" s="4">
        <v>12.8413</v>
      </c>
      <c r="D2501" s="4">
        <v>12.9221</v>
      </c>
      <c r="E2501" s="4">
        <v>13.435499999999999</v>
      </c>
      <c r="F2501" s="4">
        <f t="shared" si="156"/>
        <v>13.0663</v>
      </c>
      <c r="I2501" s="4" t="s">
        <v>2469</v>
      </c>
      <c r="J2501" s="4">
        <v>12.520099999999999</v>
      </c>
      <c r="K2501" s="4">
        <v>14.244300000000001</v>
      </c>
      <c r="L2501" s="4">
        <v>12.4611</v>
      </c>
      <c r="M2501" s="4">
        <f t="shared" si="157"/>
        <v>13.075166666666668</v>
      </c>
      <c r="Q2501" s="43" t="s">
        <v>3593</v>
      </c>
      <c r="R2501" s="4">
        <v>12.7493968114256</v>
      </c>
      <c r="S2501" s="4">
        <v>13.333149569613999</v>
      </c>
      <c r="T2501" s="4">
        <v>13.0229299078367</v>
      </c>
      <c r="U2501" s="4">
        <f t="shared" si="158"/>
        <v>13.035158762958766</v>
      </c>
      <c r="X2501" s="43" t="s">
        <v>1767</v>
      </c>
      <c r="Y2501" s="4">
        <v>12.981369963659599</v>
      </c>
      <c r="Z2501" s="4">
        <v>13.297660332143399</v>
      </c>
      <c r="AA2501" s="4">
        <v>13.2525049645472</v>
      </c>
      <c r="AB2501" s="4">
        <f t="shared" si="159"/>
        <v>13.177178420116732</v>
      </c>
    </row>
    <row r="2502" spans="2:28" x14ac:dyDescent="0.2">
      <c r="B2502" s="4" t="s">
        <v>2646</v>
      </c>
      <c r="C2502" s="4">
        <v>13.1044</v>
      </c>
      <c r="D2502" s="4">
        <v>13.150600000000001</v>
      </c>
      <c r="E2502" s="4">
        <v>12.941700000000001</v>
      </c>
      <c r="F2502" s="4">
        <f t="shared" si="156"/>
        <v>13.065566666666669</v>
      </c>
      <c r="I2502" s="4" t="s">
        <v>2572</v>
      </c>
      <c r="J2502" s="4">
        <v>13.852600000000001</v>
      </c>
      <c r="K2502" s="4">
        <v>11.616099999999999</v>
      </c>
      <c r="L2502" s="4">
        <v>13.752599999999999</v>
      </c>
      <c r="M2502" s="4">
        <f t="shared" si="157"/>
        <v>13.073766666666666</v>
      </c>
      <c r="Q2502" s="43" t="s">
        <v>2245</v>
      </c>
      <c r="R2502" s="4">
        <v>13.090277642550999</v>
      </c>
      <c r="S2502" s="4">
        <v>13.1841727490956</v>
      </c>
      <c r="T2502" s="4">
        <v>12.829475355937401</v>
      </c>
      <c r="U2502" s="4">
        <f t="shared" si="158"/>
        <v>13.034641915861334</v>
      </c>
      <c r="X2502" s="43" t="s">
        <v>2668</v>
      </c>
      <c r="Y2502" s="4">
        <v>13.1047688980613</v>
      </c>
      <c r="Z2502" s="4">
        <v>13.109361089896099</v>
      </c>
      <c r="AA2502" s="4">
        <v>13.315770416385</v>
      </c>
      <c r="AB2502" s="4">
        <f t="shared" si="159"/>
        <v>13.176633468114133</v>
      </c>
    </row>
    <row r="2503" spans="2:28" x14ac:dyDescent="0.2">
      <c r="B2503" s="4" t="s">
        <v>1620</v>
      </c>
      <c r="C2503" s="4">
        <v>12.9156</v>
      </c>
      <c r="D2503" s="4">
        <v>13.1602</v>
      </c>
      <c r="E2503" s="4">
        <v>13.1182</v>
      </c>
      <c r="F2503" s="4">
        <f t="shared" si="156"/>
        <v>13.064666666666668</v>
      </c>
      <c r="I2503" s="4" t="s">
        <v>1010</v>
      </c>
      <c r="J2503" s="4">
        <v>13.002000000000001</v>
      </c>
      <c r="K2503" s="4">
        <v>12.945600000000001</v>
      </c>
      <c r="L2503" s="4">
        <v>13.271699999999999</v>
      </c>
      <c r="M2503" s="4">
        <f t="shared" si="157"/>
        <v>13.073100000000002</v>
      </c>
      <c r="Q2503" s="43" t="s">
        <v>3426</v>
      </c>
      <c r="R2503" s="4">
        <v>13.176370327059001</v>
      </c>
      <c r="S2503" s="4">
        <v>13.0349942049415</v>
      </c>
      <c r="T2503" s="4">
        <v>12.891939131301401</v>
      </c>
      <c r="U2503" s="4">
        <f t="shared" si="158"/>
        <v>13.034434554433966</v>
      </c>
      <c r="X2503" s="43" t="s">
        <v>1399</v>
      </c>
      <c r="Y2503" s="4">
        <v>13.125621335702199</v>
      </c>
      <c r="Z2503" s="4">
        <v>13.220999770046401</v>
      </c>
      <c r="AA2503" s="4">
        <v>13.1796472100941</v>
      </c>
      <c r="AB2503" s="4">
        <f t="shared" si="159"/>
        <v>13.175422771947567</v>
      </c>
    </row>
    <row r="2504" spans="2:28" x14ac:dyDescent="0.2">
      <c r="B2504" s="4" t="s">
        <v>2919</v>
      </c>
      <c r="C2504" s="4">
        <v>13.4291</v>
      </c>
      <c r="D2504" s="4">
        <v>12.3851</v>
      </c>
      <c r="E2504" s="4">
        <v>13.3781</v>
      </c>
      <c r="F2504" s="4">
        <f t="shared" si="156"/>
        <v>13.064100000000002</v>
      </c>
      <c r="I2504" s="4" t="s">
        <v>456</v>
      </c>
      <c r="J2504" s="4">
        <v>13.3834</v>
      </c>
      <c r="K2504" s="4">
        <v>12.7173</v>
      </c>
      <c r="L2504" s="4">
        <v>13.1181</v>
      </c>
      <c r="M2504" s="4">
        <f t="shared" si="157"/>
        <v>13.072933333333333</v>
      </c>
      <c r="Q2504" s="43" t="s">
        <v>4348</v>
      </c>
      <c r="R2504" s="4">
        <v>13.1959795978219</v>
      </c>
      <c r="S2504" s="4">
        <v>12.9492219663085</v>
      </c>
      <c r="T2504" s="4">
        <v>12.9551979613812</v>
      </c>
      <c r="U2504" s="4">
        <f t="shared" si="158"/>
        <v>13.033466508503865</v>
      </c>
      <c r="X2504" s="43" t="s">
        <v>3075</v>
      </c>
      <c r="Y2504" s="4">
        <v>13.188500202919499</v>
      </c>
      <c r="Z2504" s="4">
        <v>13.1530203308601</v>
      </c>
      <c r="AA2504" s="4">
        <v>13.177838072780601</v>
      </c>
      <c r="AB2504" s="4">
        <f t="shared" si="159"/>
        <v>13.173119535520067</v>
      </c>
    </row>
    <row r="2505" spans="2:28" x14ac:dyDescent="0.2">
      <c r="B2505" s="4" t="s">
        <v>3906</v>
      </c>
      <c r="C2505" s="4">
        <v>13.1759</v>
      </c>
      <c r="D2505" s="4">
        <v>12.789400000000001</v>
      </c>
      <c r="E2505" s="4">
        <v>13.223100000000001</v>
      </c>
      <c r="F2505" s="4">
        <f t="shared" si="156"/>
        <v>13.062800000000001</v>
      </c>
      <c r="I2505" s="4" t="s">
        <v>3016</v>
      </c>
      <c r="J2505" s="4">
        <v>13.326599999999999</v>
      </c>
      <c r="K2505" s="4">
        <v>11.916600000000001</v>
      </c>
      <c r="L2505" s="4">
        <v>13.958299999999999</v>
      </c>
      <c r="M2505" s="4">
        <f t="shared" si="157"/>
        <v>13.067166666666667</v>
      </c>
      <c r="Q2505" s="43" t="s">
        <v>4422</v>
      </c>
      <c r="R2505" s="4">
        <v>13.2953644986037</v>
      </c>
      <c r="S2505" s="4">
        <v>13.005874297141499</v>
      </c>
      <c r="T2505" s="4">
        <v>12.798951846547199</v>
      </c>
      <c r="U2505" s="4">
        <f t="shared" si="158"/>
        <v>13.033396880764132</v>
      </c>
      <c r="X2505" s="43" t="s">
        <v>4301</v>
      </c>
      <c r="Y2505" s="4">
        <v>13.1245421883935</v>
      </c>
      <c r="Z2505" s="4">
        <v>13.359431092689</v>
      </c>
      <c r="AA2505" s="4">
        <v>13.032418125183799</v>
      </c>
      <c r="AB2505" s="4">
        <f t="shared" si="159"/>
        <v>13.172130468755432</v>
      </c>
    </row>
    <row r="2506" spans="2:28" x14ac:dyDescent="0.2">
      <c r="B2506" s="4" t="s">
        <v>3605</v>
      </c>
      <c r="C2506" s="4">
        <v>12.922499999999999</v>
      </c>
      <c r="D2506" s="4">
        <v>13.2934</v>
      </c>
      <c r="E2506" s="4">
        <v>12.9711</v>
      </c>
      <c r="F2506" s="4">
        <f t="shared" si="156"/>
        <v>13.062333333333333</v>
      </c>
      <c r="I2506" s="4" t="s">
        <v>3265</v>
      </c>
      <c r="J2506" s="4">
        <v>13.003299999999999</v>
      </c>
      <c r="K2506" s="4">
        <v>13.526199999999999</v>
      </c>
      <c r="L2506" s="4">
        <v>12.6693</v>
      </c>
      <c r="M2506" s="4">
        <f t="shared" si="157"/>
        <v>13.066266666666666</v>
      </c>
      <c r="Q2506" s="43" t="s">
        <v>1188</v>
      </c>
      <c r="R2506" s="4">
        <v>13.045317236520001</v>
      </c>
      <c r="S2506" s="4">
        <v>12.9294167736237</v>
      </c>
      <c r="T2506" s="4">
        <v>13.1216603045699</v>
      </c>
      <c r="U2506" s="4">
        <f t="shared" si="158"/>
        <v>13.032131438237867</v>
      </c>
      <c r="X2506" s="43" t="s">
        <v>139</v>
      </c>
      <c r="Y2506" s="4">
        <v>13.3252233451881</v>
      </c>
      <c r="Z2506" s="4">
        <v>13.0396308414134</v>
      </c>
      <c r="AA2506" s="4">
        <v>13.150675528572499</v>
      </c>
      <c r="AB2506" s="4">
        <f t="shared" si="159"/>
        <v>13.171843238391332</v>
      </c>
    </row>
    <row r="2507" spans="2:28" x14ac:dyDescent="0.2">
      <c r="B2507" s="4" t="s">
        <v>1010</v>
      </c>
      <c r="C2507" s="4">
        <v>13.228999999999999</v>
      </c>
      <c r="D2507" s="4">
        <v>13.348699999999999</v>
      </c>
      <c r="E2507" s="4">
        <v>12.597300000000001</v>
      </c>
      <c r="F2507" s="4">
        <f t="shared" si="156"/>
        <v>13.058333333333332</v>
      </c>
      <c r="I2507" s="4" t="s">
        <v>1288</v>
      </c>
      <c r="J2507" s="4">
        <v>13.253299999999999</v>
      </c>
      <c r="K2507" s="4">
        <v>12.7829</v>
      </c>
      <c r="L2507" s="4">
        <v>13.1609</v>
      </c>
      <c r="M2507" s="4">
        <f t="shared" si="157"/>
        <v>13.0657</v>
      </c>
      <c r="Q2507" s="43" t="s">
        <v>3975</v>
      </c>
      <c r="R2507" s="4">
        <v>13.1306520760917</v>
      </c>
      <c r="S2507" s="4">
        <v>12.7918979336996</v>
      </c>
      <c r="T2507" s="4">
        <v>13.170032929585201</v>
      </c>
      <c r="U2507" s="4">
        <f t="shared" si="158"/>
        <v>13.030860979792166</v>
      </c>
      <c r="X2507" s="43" t="s">
        <v>2135</v>
      </c>
      <c r="Y2507" s="4">
        <v>13.2127239670839</v>
      </c>
      <c r="Z2507" s="4">
        <v>13.118743524951601</v>
      </c>
      <c r="AA2507" s="4">
        <v>13.1793388515758</v>
      </c>
      <c r="AB2507" s="4">
        <f t="shared" si="159"/>
        <v>13.170268781203767</v>
      </c>
    </row>
    <row r="2508" spans="2:28" x14ac:dyDescent="0.2">
      <c r="B2508" s="4" t="s">
        <v>2308</v>
      </c>
      <c r="C2508" s="4">
        <v>13.059100000000001</v>
      </c>
      <c r="D2508" s="4">
        <v>13.380699999999999</v>
      </c>
      <c r="E2508" s="4">
        <v>12.732699999999999</v>
      </c>
      <c r="F2508" s="4">
        <f t="shared" si="156"/>
        <v>13.057499999999999</v>
      </c>
      <c r="I2508" s="4" t="s">
        <v>241</v>
      </c>
      <c r="J2508" s="4">
        <v>13.0198</v>
      </c>
      <c r="K2508" s="4">
        <v>13.0358</v>
      </c>
      <c r="L2508" s="4">
        <v>13.136699999999999</v>
      </c>
      <c r="M2508" s="4">
        <f t="shared" si="157"/>
        <v>13.064099999999998</v>
      </c>
      <c r="Q2508" s="43" t="s">
        <v>1141</v>
      </c>
      <c r="R2508" s="4">
        <v>12.791470288165799</v>
      </c>
      <c r="S2508" s="4">
        <v>13.2661526069183</v>
      </c>
      <c r="T2508" s="4">
        <v>13.034658360602</v>
      </c>
      <c r="U2508" s="4">
        <f t="shared" si="158"/>
        <v>13.030760418562034</v>
      </c>
      <c r="X2508" s="43" t="s">
        <v>2193</v>
      </c>
      <c r="Y2508" s="4">
        <v>13.185399473385999</v>
      </c>
      <c r="Z2508" s="4">
        <v>13.044796163770201</v>
      </c>
      <c r="AA2508" s="4">
        <v>13.2658660386895</v>
      </c>
      <c r="AB2508" s="4">
        <f t="shared" si="159"/>
        <v>13.165353891948568</v>
      </c>
    </row>
    <row r="2509" spans="2:28" x14ac:dyDescent="0.2">
      <c r="B2509" s="4" t="s">
        <v>2580</v>
      </c>
      <c r="C2509" s="4">
        <v>13.5121</v>
      </c>
      <c r="D2509" s="4">
        <v>12.9312</v>
      </c>
      <c r="E2509" s="4">
        <v>12.7273</v>
      </c>
      <c r="F2509" s="4">
        <f t="shared" si="156"/>
        <v>13.056866666666666</v>
      </c>
      <c r="I2509" s="4" t="s">
        <v>405</v>
      </c>
      <c r="J2509" s="4">
        <v>12.3207</v>
      </c>
      <c r="K2509" s="4">
        <v>14.6347</v>
      </c>
      <c r="L2509" s="4">
        <v>12.2347</v>
      </c>
      <c r="M2509" s="4">
        <f t="shared" si="157"/>
        <v>13.063366666666667</v>
      </c>
      <c r="Q2509" s="43" t="s">
        <v>4549</v>
      </c>
      <c r="R2509" s="4">
        <v>12.8311232959893</v>
      </c>
      <c r="S2509" s="4">
        <v>13.146736900949</v>
      </c>
      <c r="T2509" s="4">
        <v>13.1117547654696</v>
      </c>
      <c r="U2509" s="4">
        <f t="shared" si="158"/>
        <v>13.029871654135967</v>
      </c>
      <c r="X2509" s="43" t="s">
        <v>4249</v>
      </c>
      <c r="Y2509" s="4">
        <v>13.4226805585858</v>
      </c>
      <c r="Z2509" s="4">
        <v>13.482401804436</v>
      </c>
      <c r="AA2509" s="4">
        <v>12.590729288174</v>
      </c>
      <c r="AB2509" s="4">
        <f t="shared" si="159"/>
        <v>13.165270550398597</v>
      </c>
    </row>
    <row r="2510" spans="2:28" x14ac:dyDescent="0.2">
      <c r="B2510" s="4" t="s">
        <v>494</v>
      </c>
      <c r="C2510" s="4">
        <v>13.2965</v>
      </c>
      <c r="D2510" s="4">
        <v>12.901</v>
      </c>
      <c r="E2510" s="4">
        <v>12.9665</v>
      </c>
      <c r="F2510" s="4">
        <f t="shared" si="156"/>
        <v>13.054666666666668</v>
      </c>
      <c r="I2510" s="4" t="s">
        <v>2418</v>
      </c>
      <c r="J2510" s="4">
        <v>13.057499999999999</v>
      </c>
      <c r="K2510" s="4">
        <v>12.765499999999999</v>
      </c>
      <c r="L2510" s="4">
        <v>13.3666</v>
      </c>
      <c r="M2510" s="4">
        <f t="shared" si="157"/>
        <v>13.0632</v>
      </c>
      <c r="Q2510" s="43" t="s">
        <v>4430</v>
      </c>
      <c r="R2510" s="4">
        <v>12.554829246244999</v>
      </c>
      <c r="S2510" s="4">
        <v>13.368254163560501</v>
      </c>
      <c r="T2510" s="4">
        <v>13.1560795048239</v>
      </c>
      <c r="U2510" s="4">
        <f t="shared" si="158"/>
        <v>13.026387638209799</v>
      </c>
      <c r="X2510" s="43" t="s">
        <v>1007</v>
      </c>
      <c r="Y2510" s="4">
        <v>12.9420493840791</v>
      </c>
      <c r="Z2510" s="4">
        <v>13.513756598792</v>
      </c>
      <c r="AA2510" s="4">
        <v>13.0331943101653</v>
      </c>
      <c r="AB2510" s="4">
        <f t="shared" si="159"/>
        <v>13.163000097678799</v>
      </c>
    </row>
    <row r="2511" spans="2:28" x14ac:dyDescent="0.2">
      <c r="B2511" s="4" t="s">
        <v>2406</v>
      </c>
      <c r="C2511" s="4">
        <v>13.6196</v>
      </c>
      <c r="D2511" s="4">
        <v>12.6212</v>
      </c>
      <c r="E2511" s="4">
        <v>12.920999999999999</v>
      </c>
      <c r="F2511" s="4">
        <f t="shared" si="156"/>
        <v>13.053933333333333</v>
      </c>
      <c r="I2511" s="4" t="s">
        <v>3228</v>
      </c>
      <c r="J2511" s="4">
        <v>12.9308</v>
      </c>
      <c r="K2511" s="4">
        <v>13.228199999999999</v>
      </c>
      <c r="L2511" s="4">
        <v>13.0237</v>
      </c>
      <c r="M2511" s="4">
        <f t="shared" si="157"/>
        <v>13.060899999999998</v>
      </c>
      <c r="Q2511" s="43" t="s">
        <v>1414</v>
      </c>
      <c r="R2511" s="4">
        <v>12.762946102996301</v>
      </c>
      <c r="S2511" s="4">
        <v>12.8543813000204</v>
      </c>
      <c r="T2511" s="4">
        <v>13.4592595849258</v>
      </c>
      <c r="U2511" s="4">
        <f t="shared" si="158"/>
        <v>13.025528995980835</v>
      </c>
      <c r="X2511" s="43" t="s">
        <v>559</v>
      </c>
      <c r="Y2511" s="4">
        <v>13.114227163709099</v>
      </c>
      <c r="Z2511" s="4">
        <v>13.2706527046654</v>
      </c>
      <c r="AA2511" s="4">
        <v>13.099074255253599</v>
      </c>
      <c r="AB2511" s="4">
        <f t="shared" si="159"/>
        <v>13.161318041209364</v>
      </c>
    </row>
    <row r="2512" spans="2:28" x14ac:dyDescent="0.2">
      <c r="B2512" s="4" t="s">
        <v>228</v>
      </c>
      <c r="C2512" s="4">
        <v>12.8384</v>
      </c>
      <c r="D2512" s="4">
        <v>13.007</v>
      </c>
      <c r="E2512" s="4">
        <v>13.3119</v>
      </c>
      <c r="F2512" s="4">
        <f t="shared" si="156"/>
        <v>13.052433333333333</v>
      </c>
      <c r="I2512" s="4" t="s">
        <v>3815</v>
      </c>
      <c r="J2512" s="4">
        <v>13.2217</v>
      </c>
      <c r="K2512" s="4">
        <v>13.0794</v>
      </c>
      <c r="L2512" s="4">
        <v>12.8743</v>
      </c>
      <c r="M2512" s="4">
        <f t="shared" si="157"/>
        <v>13.058466666666666</v>
      </c>
      <c r="Q2512" s="43" t="s">
        <v>419</v>
      </c>
      <c r="R2512" s="4">
        <v>12.7301062228386</v>
      </c>
      <c r="S2512" s="4">
        <v>13.014011639827499</v>
      </c>
      <c r="T2512" s="4">
        <v>13.331140725895199</v>
      </c>
      <c r="U2512" s="4">
        <f t="shared" si="158"/>
        <v>13.025086196187099</v>
      </c>
      <c r="X2512" s="43" t="s">
        <v>2641</v>
      </c>
      <c r="Y2512" s="4">
        <v>13.186973982708</v>
      </c>
      <c r="Z2512" s="4">
        <v>13.1219453847794</v>
      </c>
      <c r="AA2512" s="4">
        <v>13.1705362747946</v>
      </c>
      <c r="AB2512" s="4">
        <f t="shared" si="159"/>
        <v>13.159818547427333</v>
      </c>
    </row>
    <row r="2513" spans="2:28" x14ac:dyDescent="0.2">
      <c r="B2513" s="4" t="s">
        <v>3280</v>
      </c>
      <c r="C2513" s="4">
        <v>13.363899999999999</v>
      </c>
      <c r="D2513" s="4">
        <v>12.8835</v>
      </c>
      <c r="E2513" s="4">
        <v>12.904400000000001</v>
      </c>
      <c r="F2513" s="4">
        <f t="shared" si="156"/>
        <v>13.050600000000001</v>
      </c>
      <c r="I2513" s="4" t="s">
        <v>3478</v>
      </c>
      <c r="J2513" s="4">
        <v>13.007400000000001</v>
      </c>
      <c r="K2513" s="4">
        <v>12.167</v>
      </c>
      <c r="L2513" s="4">
        <v>13.995799999999999</v>
      </c>
      <c r="M2513" s="4">
        <f t="shared" si="157"/>
        <v>13.056733333333332</v>
      </c>
      <c r="Q2513" s="43" t="s">
        <v>3916</v>
      </c>
      <c r="R2513" s="4">
        <v>13.0658515960386</v>
      </c>
      <c r="S2513" s="4">
        <v>13.0489913801519</v>
      </c>
      <c r="T2513" s="4">
        <v>12.958980597659799</v>
      </c>
      <c r="U2513" s="4">
        <f t="shared" si="158"/>
        <v>13.024607857950102</v>
      </c>
      <c r="X2513" s="43" t="s">
        <v>1753</v>
      </c>
      <c r="Y2513" s="4">
        <v>13.2295453139615</v>
      </c>
      <c r="Z2513" s="4">
        <v>13.1832574135851</v>
      </c>
      <c r="AA2513" s="4">
        <v>13.0565211824107</v>
      </c>
      <c r="AB2513" s="4">
        <f t="shared" si="159"/>
        <v>13.156441303319099</v>
      </c>
    </row>
    <row r="2514" spans="2:28" x14ac:dyDescent="0.2">
      <c r="B2514" s="4" t="s">
        <v>2663</v>
      </c>
      <c r="C2514" s="4">
        <v>13.718</v>
      </c>
      <c r="D2514" s="4">
        <v>12.826000000000001</v>
      </c>
      <c r="E2514" s="4">
        <v>12.606999999999999</v>
      </c>
      <c r="F2514" s="4">
        <f t="shared" si="156"/>
        <v>13.050333333333333</v>
      </c>
      <c r="I2514" s="4" t="s">
        <v>2493</v>
      </c>
      <c r="J2514" s="4">
        <v>13.177300000000001</v>
      </c>
      <c r="K2514" s="4">
        <v>12.9086</v>
      </c>
      <c r="L2514" s="4">
        <v>13.0822</v>
      </c>
      <c r="M2514" s="4">
        <f t="shared" si="157"/>
        <v>13.056033333333334</v>
      </c>
      <c r="Q2514" s="43" t="s">
        <v>4017</v>
      </c>
      <c r="R2514" s="4">
        <v>12.8877328404359</v>
      </c>
      <c r="S2514" s="4">
        <v>13.173031324292101</v>
      </c>
      <c r="T2514" s="4">
        <v>13.012213102889</v>
      </c>
      <c r="U2514" s="4">
        <f t="shared" si="158"/>
        <v>13.024325755872333</v>
      </c>
      <c r="X2514" s="43" t="s">
        <v>4580</v>
      </c>
      <c r="Y2514" s="4">
        <v>13.299640047860001</v>
      </c>
      <c r="Z2514" s="4">
        <v>13.177543984231001</v>
      </c>
      <c r="AA2514" s="4">
        <v>12.991221080534199</v>
      </c>
      <c r="AB2514" s="4">
        <f t="shared" si="159"/>
        <v>13.156135037541736</v>
      </c>
    </row>
    <row r="2515" spans="2:28" x14ac:dyDescent="0.2">
      <c r="B2515" s="4" t="s">
        <v>3545</v>
      </c>
      <c r="C2515" s="4">
        <v>13.3042</v>
      </c>
      <c r="D2515" s="4">
        <v>12.6991</v>
      </c>
      <c r="E2515" s="4">
        <v>13.1404</v>
      </c>
      <c r="F2515" s="4">
        <f t="shared" si="156"/>
        <v>13.047899999999998</v>
      </c>
      <c r="I2515" s="4" t="s">
        <v>1020</v>
      </c>
      <c r="J2515" s="4">
        <v>13.5756</v>
      </c>
      <c r="K2515" s="4">
        <v>12.51</v>
      </c>
      <c r="L2515" s="4">
        <v>13.0816</v>
      </c>
      <c r="M2515" s="4">
        <f t="shared" si="157"/>
        <v>13.055733333333334</v>
      </c>
      <c r="Q2515" s="43" t="s">
        <v>3575</v>
      </c>
      <c r="R2515" s="4">
        <v>13.098210175789699</v>
      </c>
      <c r="S2515" s="4">
        <v>12.930320870344699</v>
      </c>
      <c r="T2515" s="4">
        <v>13.039405550855699</v>
      </c>
      <c r="U2515" s="4">
        <f t="shared" si="158"/>
        <v>13.022645532330031</v>
      </c>
      <c r="X2515" s="43" t="s">
        <v>418</v>
      </c>
      <c r="Y2515" s="4">
        <v>13.302621162497701</v>
      </c>
      <c r="Z2515" s="4">
        <v>13.077693144336701</v>
      </c>
      <c r="AA2515" s="4">
        <v>13.0809220303085</v>
      </c>
      <c r="AB2515" s="4">
        <f t="shared" si="159"/>
        <v>13.1537454457143</v>
      </c>
    </row>
    <row r="2516" spans="2:28" x14ac:dyDescent="0.2">
      <c r="B2516" s="4" t="s">
        <v>4066</v>
      </c>
      <c r="C2516" s="4">
        <v>13.2258</v>
      </c>
      <c r="D2516" s="4">
        <v>13.138</v>
      </c>
      <c r="E2516" s="4">
        <v>12.779500000000001</v>
      </c>
      <c r="F2516" s="4">
        <f t="shared" si="156"/>
        <v>13.047766666666666</v>
      </c>
      <c r="I2516" s="4" t="s">
        <v>1758</v>
      </c>
      <c r="J2516" s="4">
        <v>13.2385</v>
      </c>
      <c r="K2516" s="4">
        <v>12.992599999999999</v>
      </c>
      <c r="L2516" s="4">
        <v>12.932700000000001</v>
      </c>
      <c r="M2516" s="4">
        <f t="shared" si="157"/>
        <v>13.054599999999999</v>
      </c>
      <c r="Q2516" s="43" t="s">
        <v>3662</v>
      </c>
      <c r="R2516" s="4">
        <v>13.0952487682093</v>
      </c>
      <c r="S2516" s="4">
        <v>12.9920320615135</v>
      </c>
      <c r="T2516" s="4">
        <v>12.979586053953</v>
      </c>
      <c r="U2516" s="4">
        <f t="shared" si="158"/>
        <v>13.022288961225266</v>
      </c>
      <c r="X2516" s="43" t="s">
        <v>2220</v>
      </c>
      <c r="Y2516" s="4">
        <v>12.9997343631139</v>
      </c>
      <c r="Z2516" s="4">
        <v>13.1378938521833</v>
      </c>
      <c r="AA2516" s="4">
        <v>13.323103148511199</v>
      </c>
      <c r="AB2516" s="4">
        <f t="shared" si="159"/>
        <v>13.153577121269466</v>
      </c>
    </row>
    <row r="2517" spans="2:28" x14ac:dyDescent="0.2">
      <c r="B2517" s="4" t="s">
        <v>2460</v>
      </c>
      <c r="C2517" s="4">
        <v>12.749599999999999</v>
      </c>
      <c r="D2517" s="4">
        <v>12.6478</v>
      </c>
      <c r="E2517" s="4">
        <v>13.7456</v>
      </c>
      <c r="F2517" s="4">
        <f t="shared" si="156"/>
        <v>13.047666666666666</v>
      </c>
      <c r="I2517" s="4" t="s">
        <v>2288</v>
      </c>
      <c r="J2517" s="4">
        <v>13.0359</v>
      </c>
      <c r="K2517" s="4">
        <v>13.3133</v>
      </c>
      <c r="L2517" s="4">
        <v>12.8119</v>
      </c>
      <c r="M2517" s="4">
        <f t="shared" si="157"/>
        <v>13.053699999999999</v>
      </c>
      <c r="Q2517" s="43" t="s">
        <v>1268</v>
      </c>
      <c r="R2517" s="4">
        <v>12.9869925243104</v>
      </c>
      <c r="S2517" s="4">
        <v>12.8698504635598</v>
      </c>
      <c r="T2517" s="4">
        <v>13.2099068537729</v>
      </c>
      <c r="U2517" s="4">
        <f t="shared" si="158"/>
        <v>13.022249947214368</v>
      </c>
      <c r="X2517" s="43" t="s">
        <v>872</v>
      </c>
      <c r="Y2517" s="4">
        <v>13.1268377328852</v>
      </c>
      <c r="Z2517" s="4">
        <v>13.0834640247105</v>
      </c>
      <c r="AA2517" s="4">
        <v>13.2436054134439</v>
      </c>
      <c r="AB2517" s="4">
        <f t="shared" si="159"/>
        <v>13.151302390346535</v>
      </c>
    </row>
    <row r="2518" spans="2:28" x14ac:dyDescent="0.2">
      <c r="B2518" s="4" t="s">
        <v>4047</v>
      </c>
      <c r="C2518" s="4">
        <v>13.2552</v>
      </c>
      <c r="D2518" s="4">
        <v>13.009499999999999</v>
      </c>
      <c r="E2518" s="4">
        <v>12.8711</v>
      </c>
      <c r="F2518" s="4">
        <f t="shared" si="156"/>
        <v>13.045266666666665</v>
      </c>
      <c r="I2518" s="4" t="s">
        <v>1772</v>
      </c>
      <c r="J2518" s="4">
        <v>13.457100000000001</v>
      </c>
      <c r="K2518" s="4">
        <v>12.9962</v>
      </c>
      <c r="L2518" s="4">
        <v>12.7074</v>
      </c>
      <c r="M2518" s="4">
        <f t="shared" si="157"/>
        <v>13.053566666666667</v>
      </c>
      <c r="Q2518" s="43" t="s">
        <v>428</v>
      </c>
      <c r="R2518" s="4">
        <v>13.050990583931201</v>
      </c>
      <c r="S2518" s="4">
        <v>13.2019060679683</v>
      </c>
      <c r="T2518" s="4">
        <v>12.812396673029101</v>
      </c>
      <c r="U2518" s="4">
        <f t="shared" si="158"/>
        <v>13.021764441642867</v>
      </c>
      <c r="X2518" s="43" t="s">
        <v>1211</v>
      </c>
      <c r="Y2518" s="4">
        <v>13.1829520560976</v>
      </c>
      <c r="Z2518" s="4">
        <v>13.098764114517101</v>
      </c>
      <c r="AA2518" s="4">
        <v>13.168122079541901</v>
      </c>
      <c r="AB2518" s="4">
        <f t="shared" si="159"/>
        <v>13.149946083385535</v>
      </c>
    </row>
    <row r="2519" spans="2:28" x14ac:dyDescent="0.2">
      <c r="B2519" s="4" t="s">
        <v>2700</v>
      </c>
      <c r="C2519" s="4">
        <v>13.430400000000001</v>
      </c>
      <c r="D2519" s="4">
        <v>13.7836</v>
      </c>
      <c r="E2519" s="4">
        <v>11.916399999999999</v>
      </c>
      <c r="F2519" s="4">
        <f t="shared" si="156"/>
        <v>13.043466666666665</v>
      </c>
      <c r="I2519" s="4" t="s">
        <v>2080</v>
      </c>
      <c r="J2519" s="4">
        <v>12.988899999999999</v>
      </c>
      <c r="K2519" s="4">
        <v>13.9445</v>
      </c>
      <c r="L2519" s="4">
        <v>12.2271</v>
      </c>
      <c r="M2519" s="4">
        <f t="shared" si="157"/>
        <v>13.0535</v>
      </c>
      <c r="Q2519" s="43" t="s">
        <v>4151</v>
      </c>
      <c r="R2519" s="4">
        <v>13.244025183604499</v>
      </c>
      <c r="S2519" s="4">
        <v>12.872052398138999</v>
      </c>
      <c r="T2519" s="4">
        <v>12.944776814926501</v>
      </c>
      <c r="U2519" s="4">
        <f t="shared" si="158"/>
        <v>13.020284798889998</v>
      </c>
      <c r="X2519" s="43" t="s">
        <v>4176</v>
      </c>
      <c r="Y2519" s="4">
        <v>13.0694717600513</v>
      </c>
      <c r="Z2519" s="4">
        <v>12.8638416979488</v>
      </c>
      <c r="AA2519" s="4">
        <v>13.515715265335499</v>
      </c>
      <c r="AB2519" s="4">
        <f t="shared" si="159"/>
        <v>13.149676241111868</v>
      </c>
    </row>
    <row r="2520" spans="2:28" x14ac:dyDescent="0.2">
      <c r="B2520" s="4" t="s">
        <v>3298</v>
      </c>
      <c r="C2520" s="4">
        <v>13.173500000000001</v>
      </c>
      <c r="D2520" s="4">
        <v>12.699</v>
      </c>
      <c r="E2520" s="4">
        <v>13.255599999999999</v>
      </c>
      <c r="F2520" s="4">
        <f t="shared" si="156"/>
        <v>13.042700000000002</v>
      </c>
      <c r="I2520" s="4" t="s">
        <v>2133</v>
      </c>
      <c r="J2520" s="4">
        <v>13.0944</v>
      </c>
      <c r="K2520" s="4">
        <v>12.978199999999999</v>
      </c>
      <c r="L2520" s="4">
        <v>13.0845</v>
      </c>
      <c r="M2520" s="4">
        <f t="shared" si="157"/>
        <v>13.052366666666666</v>
      </c>
      <c r="Q2520" s="43" t="s">
        <v>435</v>
      </c>
      <c r="R2520" s="4">
        <v>13.1616260317392</v>
      </c>
      <c r="S2520" s="4">
        <v>12.9444479024493</v>
      </c>
      <c r="T2520" s="4">
        <v>12.9541669977514</v>
      </c>
      <c r="U2520" s="4">
        <f t="shared" si="158"/>
        <v>13.020080310646634</v>
      </c>
      <c r="X2520" s="43" t="s">
        <v>1442</v>
      </c>
      <c r="Y2520" s="4">
        <v>13.385793709931001</v>
      </c>
      <c r="Z2520" s="4">
        <v>13.028475842455199</v>
      </c>
      <c r="AA2520" s="4">
        <v>13.0340758188948</v>
      </c>
      <c r="AB2520" s="4">
        <f t="shared" si="159"/>
        <v>13.149448457093667</v>
      </c>
    </row>
    <row r="2521" spans="2:28" x14ac:dyDescent="0.2">
      <c r="B2521" s="4" t="s">
        <v>2536</v>
      </c>
      <c r="C2521" s="4">
        <v>12.638199999999999</v>
      </c>
      <c r="D2521" s="4">
        <v>13.118499999999999</v>
      </c>
      <c r="E2521" s="4">
        <v>13.36</v>
      </c>
      <c r="F2521" s="4">
        <f t="shared" si="156"/>
        <v>13.038899999999998</v>
      </c>
      <c r="I2521" s="4" t="s">
        <v>2452</v>
      </c>
      <c r="J2521" s="4">
        <v>13.193300000000001</v>
      </c>
      <c r="K2521" s="4">
        <v>12.991099999999999</v>
      </c>
      <c r="L2521" s="4">
        <v>12.968999999999999</v>
      </c>
      <c r="M2521" s="4">
        <f t="shared" si="157"/>
        <v>13.051133333333333</v>
      </c>
      <c r="Q2521" s="43" t="s">
        <v>2471</v>
      </c>
      <c r="R2521" s="4">
        <v>12.800400024832401</v>
      </c>
      <c r="S2521" s="4">
        <v>13.1799130362181</v>
      </c>
      <c r="T2521" s="4">
        <v>13.079919754050801</v>
      </c>
      <c r="U2521" s="4">
        <f t="shared" si="158"/>
        <v>13.020077605033768</v>
      </c>
      <c r="X2521" s="43" t="s">
        <v>2145</v>
      </c>
      <c r="Y2521" s="4">
        <v>13.1609481401143</v>
      </c>
      <c r="Z2521" s="4">
        <v>13.221682801696</v>
      </c>
      <c r="AA2521" s="4">
        <v>13.063480531253299</v>
      </c>
      <c r="AB2521" s="4">
        <f t="shared" si="159"/>
        <v>13.148703824354532</v>
      </c>
    </row>
    <row r="2522" spans="2:28" x14ac:dyDescent="0.2">
      <c r="B2522" s="4" t="s">
        <v>2656</v>
      </c>
      <c r="C2522" s="4">
        <v>13.034599999999999</v>
      </c>
      <c r="D2522" s="4">
        <v>13.247999999999999</v>
      </c>
      <c r="E2522" s="4">
        <v>12.8325</v>
      </c>
      <c r="F2522" s="4">
        <f t="shared" si="156"/>
        <v>13.038366666666667</v>
      </c>
      <c r="I2522" s="4" t="s">
        <v>3950</v>
      </c>
      <c r="J2522" s="4">
        <v>12.7399</v>
      </c>
      <c r="K2522" s="4">
        <v>13.620100000000001</v>
      </c>
      <c r="L2522" s="4">
        <v>12.791399999999999</v>
      </c>
      <c r="M2522" s="4">
        <f t="shared" si="157"/>
        <v>13.050466666666665</v>
      </c>
      <c r="Q2522" s="43" t="s">
        <v>1483</v>
      </c>
      <c r="R2522" s="4">
        <v>13.2714694771186</v>
      </c>
      <c r="S2522" s="4">
        <v>12.9814645958252</v>
      </c>
      <c r="T2522" s="4">
        <v>12.8070817423993</v>
      </c>
      <c r="U2522" s="4">
        <f t="shared" si="158"/>
        <v>13.020005271781033</v>
      </c>
      <c r="X2522" s="43" t="s">
        <v>4382</v>
      </c>
      <c r="Y2522" s="4">
        <v>13.057211494428101</v>
      </c>
      <c r="Z2522" s="4">
        <v>13.2509166943548</v>
      </c>
      <c r="AA2522" s="4">
        <v>13.137681783</v>
      </c>
      <c r="AB2522" s="4">
        <f t="shared" si="159"/>
        <v>13.148603323927633</v>
      </c>
    </row>
    <row r="2523" spans="2:28" x14ac:dyDescent="0.2">
      <c r="B2523" s="4" t="s">
        <v>85</v>
      </c>
      <c r="C2523" s="4">
        <v>13.9123</v>
      </c>
      <c r="D2523" s="4">
        <v>13.1068</v>
      </c>
      <c r="E2523" s="4">
        <v>12.095599999999999</v>
      </c>
      <c r="F2523" s="4">
        <f t="shared" si="156"/>
        <v>13.038233333333332</v>
      </c>
      <c r="I2523" s="4" t="s">
        <v>2026</v>
      </c>
      <c r="J2523" s="4">
        <v>14.0959</v>
      </c>
      <c r="K2523" s="4">
        <v>10.8552</v>
      </c>
      <c r="L2523" s="4">
        <v>14.1996</v>
      </c>
      <c r="M2523" s="4">
        <f t="shared" si="157"/>
        <v>13.050233333333333</v>
      </c>
      <c r="Q2523" s="43" t="s">
        <v>4238</v>
      </c>
      <c r="R2523" s="4">
        <v>13.0268874800042</v>
      </c>
      <c r="S2523" s="4">
        <v>12.7337297413656</v>
      </c>
      <c r="T2523" s="4">
        <v>13.287975959299001</v>
      </c>
      <c r="U2523" s="4">
        <f t="shared" si="158"/>
        <v>13.016197726889601</v>
      </c>
      <c r="X2523" s="43" t="s">
        <v>1287</v>
      </c>
      <c r="Y2523" s="4">
        <v>13.1461752713075</v>
      </c>
      <c r="Z2523" s="4">
        <v>12.841202650648</v>
      </c>
      <c r="AA2523" s="4">
        <v>13.4569553215428</v>
      </c>
      <c r="AB2523" s="4">
        <f t="shared" si="159"/>
        <v>13.1481110811661</v>
      </c>
    </row>
    <row r="2524" spans="2:28" x14ac:dyDescent="0.2">
      <c r="B2524" s="4" t="s">
        <v>3019</v>
      </c>
      <c r="C2524" s="4">
        <v>12.923400000000001</v>
      </c>
      <c r="D2524" s="4">
        <v>12.977</v>
      </c>
      <c r="E2524" s="4">
        <v>13.208399999999999</v>
      </c>
      <c r="F2524" s="4">
        <f t="shared" si="156"/>
        <v>13.036266666666668</v>
      </c>
      <c r="I2524" s="4" t="s">
        <v>3997</v>
      </c>
      <c r="J2524" s="4">
        <v>13.2003</v>
      </c>
      <c r="K2524" s="4">
        <v>12.8306</v>
      </c>
      <c r="L2524" s="4">
        <v>13.1187</v>
      </c>
      <c r="M2524" s="4">
        <f t="shared" si="157"/>
        <v>13.049866666666668</v>
      </c>
      <c r="Q2524" s="43" t="s">
        <v>4442</v>
      </c>
      <c r="R2524" s="4">
        <v>12.9866351145981</v>
      </c>
      <c r="S2524" s="4">
        <v>13.2202937936833</v>
      </c>
      <c r="T2524" s="4">
        <v>12.839751754552999</v>
      </c>
      <c r="U2524" s="4">
        <f t="shared" si="158"/>
        <v>13.015560220944799</v>
      </c>
      <c r="X2524" s="43" t="s">
        <v>3964</v>
      </c>
      <c r="Y2524" s="4">
        <v>13.094627186048999</v>
      </c>
      <c r="Z2524" s="4">
        <v>13.055181523116399</v>
      </c>
      <c r="AA2524" s="4">
        <v>13.293641203709999</v>
      </c>
      <c r="AB2524" s="4">
        <f t="shared" si="159"/>
        <v>13.147816637625132</v>
      </c>
    </row>
    <row r="2525" spans="2:28" x14ac:dyDescent="0.2">
      <c r="B2525" s="4" t="s">
        <v>3707</v>
      </c>
      <c r="C2525" s="4">
        <v>12.6183</v>
      </c>
      <c r="D2525" s="4">
        <v>13.213699999999999</v>
      </c>
      <c r="E2525" s="4">
        <v>13.2638</v>
      </c>
      <c r="F2525" s="4">
        <f t="shared" si="156"/>
        <v>13.031933333333333</v>
      </c>
      <c r="I2525" s="4" t="s">
        <v>247</v>
      </c>
      <c r="J2525" s="4">
        <v>12.6526</v>
      </c>
      <c r="K2525" s="4">
        <v>13.5618</v>
      </c>
      <c r="L2525" s="4">
        <v>12.9343</v>
      </c>
      <c r="M2525" s="4">
        <f t="shared" si="157"/>
        <v>13.049566666666665</v>
      </c>
      <c r="Q2525" s="43" t="s">
        <v>4606</v>
      </c>
      <c r="R2525" s="4">
        <v>12.926135341152101</v>
      </c>
      <c r="S2525" s="4">
        <v>13.1530679919798</v>
      </c>
      <c r="T2525" s="4">
        <v>12.9588622675354</v>
      </c>
      <c r="U2525" s="4">
        <f t="shared" si="158"/>
        <v>13.012688533555767</v>
      </c>
      <c r="X2525" s="43" t="s">
        <v>3979</v>
      </c>
      <c r="Y2525" s="4">
        <v>13.1874218431433</v>
      </c>
      <c r="Z2525" s="4">
        <v>13.163345861218801</v>
      </c>
      <c r="AA2525" s="4">
        <v>13.0913739248758</v>
      </c>
      <c r="AB2525" s="4">
        <f t="shared" si="159"/>
        <v>13.147380543079299</v>
      </c>
    </row>
    <row r="2526" spans="2:28" x14ac:dyDescent="0.2">
      <c r="B2526" s="4" t="s">
        <v>2443</v>
      </c>
      <c r="C2526" s="4">
        <v>12.1653</v>
      </c>
      <c r="D2526" s="4">
        <v>13.3339</v>
      </c>
      <c r="E2526" s="4">
        <v>13.5962</v>
      </c>
      <c r="F2526" s="4">
        <f t="shared" si="156"/>
        <v>13.031799999999999</v>
      </c>
      <c r="I2526" s="4" t="s">
        <v>3380</v>
      </c>
      <c r="J2526" s="4">
        <v>12.9992</v>
      </c>
      <c r="K2526" s="4">
        <v>13.1861</v>
      </c>
      <c r="L2526" s="4">
        <v>12.9581</v>
      </c>
      <c r="M2526" s="4">
        <f t="shared" si="157"/>
        <v>13.047800000000001</v>
      </c>
      <c r="Q2526" s="43" t="s">
        <v>357</v>
      </c>
      <c r="R2526" s="4">
        <v>12.8172820327094</v>
      </c>
      <c r="S2526" s="4">
        <v>13.1589582602354</v>
      </c>
      <c r="T2526" s="4">
        <v>13.061369133920699</v>
      </c>
      <c r="U2526" s="4">
        <f t="shared" si="158"/>
        <v>13.012536475621834</v>
      </c>
      <c r="X2526" s="43" t="s">
        <v>998</v>
      </c>
      <c r="Y2526" s="4">
        <v>12.824736494163201</v>
      </c>
      <c r="Z2526" s="4">
        <v>13.379992477739799</v>
      </c>
      <c r="AA2526" s="4">
        <v>13.233288037798401</v>
      </c>
      <c r="AB2526" s="4">
        <f t="shared" si="159"/>
        <v>13.146005669900468</v>
      </c>
    </row>
    <row r="2527" spans="2:28" x14ac:dyDescent="0.2">
      <c r="B2527" s="4" t="s">
        <v>1772</v>
      </c>
      <c r="C2527" s="4">
        <v>12.992000000000001</v>
      </c>
      <c r="D2527" s="4">
        <v>12.8903</v>
      </c>
      <c r="E2527" s="4">
        <v>13.2026</v>
      </c>
      <c r="F2527" s="4">
        <f t="shared" si="156"/>
        <v>13.028300000000002</v>
      </c>
      <c r="I2527" s="4" t="s">
        <v>1664</v>
      </c>
      <c r="J2527" s="4">
        <v>12.634</v>
      </c>
      <c r="K2527" s="4">
        <v>13.3604</v>
      </c>
      <c r="L2527" s="4">
        <v>13.148</v>
      </c>
      <c r="M2527" s="4">
        <f t="shared" si="157"/>
        <v>13.047466666666665</v>
      </c>
      <c r="Q2527" s="43" t="s">
        <v>4301</v>
      </c>
      <c r="R2527" s="4">
        <v>13.0180378989684</v>
      </c>
      <c r="S2527" s="4">
        <v>13.294922973424701</v>
      </c>
      <c r="T2527" s="4">
        <v>12.7204342991334</v>
      </c>
      <c r="U2527" s="4">
        <f t="shared" si="158"/>
        <v>13.011131723842167</v>
      </c>
      <c r="X2527" s="43" t="s">
        <v>531</v>
      </c>
      <c r="Y2527" s="4">
        <v>12.940327839744</v>
      </c>
      <c r="Z2527" s="4">
        <v>13.2134331572425</v>
      </c>
      <c r="AA2527" s="4">
        <v>13.2828657929829</v>
      </c>
      <c r="AB2527" s="4">
        <f t="shared" si="159"/>
        <v>13.145542263323131</v>
      </c>
    </row>
    <row r="2528" spans="2:28" x14ac:dyDescent="0.2">
      <c r="B2528" s="4" t="s">
        <v>2152</v>
      </c>
      <c r="C2528" s="4">
        <v>12.571</v>
      </c>
      <c r="D2528" s="4">
        <v>12.9602</v>
      </c>
      <c r="E2528" s="4">
        <v>13.549099999999999</v>
      </c>
      <c r="F2528" s="4">
        <f t="shared" si="156"/>
        <v>13.026766666666665</v>
      </c>
      <c r="I2528" s="4" t="s">
        <v>843</v>
      </c>
      <c r="J2528" s="4">
        <v>12.195399999999999</v>
      </c>
      <c r="K2528" s="4">
        <v>14.2852</v>
      </c>
      <c r="L2528" s="4">
        <v>12.6546</v>
      </c>
      <c r="M2528" s="4">
        <f t="shared" si="157"/>
        <v>13.045066666666665</v>
      </c>
      <c r="Q2528" s="43" t="s">
        <v>248</v>
      </c>
      <c r="R2528" s="4">
        <v>12.8557570981331</v>
      </c>
      <c r="S2528" s="4">
        <v>13.2681600559344</v>
      </c>
      <c r="T2528" s="4">
        <v>12.908502874824901</v>
      </c>
      <c r="U2528" s="4">
        <f t="shared" si="158"/>
        <v>13.010806676297468</v>
      </c>
      <c r="X2528" s="43" t="s">
        <v>513</v>
      </c>
      <c r="Y2528" s="4">
        <v>13.117483951386699</v>
      </c>
      <c r="Z2528" s="4">
        <v>12.9547326413881</v>
      </c>
      <c r="AA2528" s="4">
        <v>13.3631038021871</v>
      </c>
      <c r="AB2528" s="4">
        <f t="shared" si="159"/>
        <v>13.145106798320633</v>
      </c>
    </row>
    <row r="2529" spans="2:28" x14ac:dyDescent="0.2">
      <c r="B2529" s="4" t="s">
        <v>31</v>
      </c>
      <c r="C2529" s="4">
        <v>12.920999999999999</v>
      </c>
      <c r="D2529" s="4">
        <v>13.135400000000001</v>
      </c>
      <c r="E2529" s="4">
        <v>13.014799999999999</v>
      </c>
      <c r="F2529" s="4">
        <f t="shared" si="156"/>
        <v>13.023733333333332</v>
      </c>
      <c r="I2529" s="4" t="s">
        <v>3898</v>
      </c>
      <c r="J2529" s="4">
        <v>13.2768</v>
      </c>
      <c r="K2529" s="4">
        <v>12.668799999999999</v>
      </c>
      <c r="L2529" s="4">
        <v>13.184100000000001</v>
      </c>
      <c r="M2529" s="4">
        <f t="shared" si="157"/>
        <v>13.043233333333333</v>
      </c>
      <c r="Q2529" s="43" t="s">
        <v>1089</v>
      </c>
      <c r="R2529" s="4">
        <v>13.010281540250499</v>
      </c>
      <c r="S2529" s="4">
        <v>12.97823402038</v>
      </c>
      <c r="T2529" s="4">
        <v>13.040439878689099</v>
      </c>
      <c r="U2529" s="4">
        <f t="shared" si="158"/>
        <v>13.009651813106535</v>
      </c>
      <c r="X2529" s="43">
        <v>45932</v>
      </c>
      <c r="Y2529" s="4">
        <v>13.4325819019297</v>
      </c>
      <c r="Z2529" s="4">
        <v>12.7260783887894</v>
      </c>
      <c r="AA2529" s="4">
        <v>13.272856804330599</v>
      </c>
      <c r="AB2529" s="4">
        <f t="shared" si="159"/>
        <v>13.143839031683234</v>
      </c>
    </row>
    <row r="2530" spans="2:28" x14ac:dyDescent="0.2">
      <c r="B2530" s="4" t="s">
        <v>400</v>
      </c>
      <c r="C2530" s="4">
        <v>13.6595</v>
      </c>
      <c r="D2530" s="4">
        <v>12.737399999999999</v>
      </c>
      <c r="E2530" s="4">
        <v>12.6736</v>
      </c>
      <c r="F2530" s="4">
        <f t="shared" si="156"/>
        <v>13.023499999999999</v>
      </c>
      <c r="I2530" s="4" t="s">
        <v>76</v>
      </c>
      <c r="J2530" s="4">
        <v>13.203799999999999</v>
      </c>
      <c r="K2530" s="4">
        <v>12.8437</v>
      </c>
      <c r="L2530" s="4">
        <v>13.081</v>
      </c>
      <c r="M2530" s="4">
        <f t="shared" si="157"/>
        <v>13.042833333333334</v>
      </c>
      <c r="Q2530" s="43" t="s">
        <v>3162</v>
      </c>
      <c r="R2530" s="4">
        <v>12.8749356443631</v>
      </c>
      <c r="S2530" s="4">
        <v>13.0649804909342</v>
      </c>
      <c r="T2530" s="4">
        <v>13.085768472103201</v>
      </c>
      <c r="U2530" s="4">
        <f t="shared" si="158"/>
        <v>13.008561535800169</v>
      </c>
      <c r="X2530" s="43" t="s">
        <v>4186</v>
      </c>
      <c r="Y2530" s="4">
        <v>13.270290891243199</v>
      </c>
      <c r="Z2530" s="4">
        <v>13.018137757456801</v>
      </c>
      <c r="AA2530" s="4">
        <v>13.142458520662201</v>
      </c>
      <c r="AB2530" s="4">
        <f t="shared" si="159"/>
        <v>13.143629056454067</v>
      </c>
    </row>
    <row r="2531" spans="2:28" x14ac:dyDescent="0.2">
      <c r="B2531" s="4" t="s">
        <v>3073</v>
      </c>
      <c r="C2531" s="4">
        <v>13.244400000000001</v>
      </c>
      <c r="D2531" s="4">
        <v>12.6707</v>
      </c>
      <c r="E2531" s="4">
        <v>13.149699999999999</v>
      </c>
      <c r="F2531" s="4">
        <f t="shared" si="156"/>
        <v>13.021600000000001</v>
      </c>
      <c r="I2531" s="4" t="s">
        <v>3698</v>
      </c>
      <c r="J2531" s="4">
        <v>12.3141</v>
      </c>
      <c r="K2531" s="4">
        <v>14.4231</v>
      </c>
      <c r="L2531" s="4">
        <v>12.3752</v>
      </c>
      <c r="M2531" s="4">
        <f t="shared" si="157"/>
        <v>13.037466666666667</v>
      </c>
      <c r="Q2531" s="43" t="s">
        <v>4227</v>
      </c>
      <c r="R2531" s="4">
        <v>13.487738454388801</v>
      </c>
      <c r="S2531" s="4">
        <v>12.9556141352656</v>
      </c>
      <c r="T2531" s="4">
        <v>12.578923042706499</v>
      </c>
      <c r="U2531" s="4">
        <f t="shared" si="158"/>
        <v>13.007425210786968</v>
      </c>
      <c r="X2531" s="43" t="s">
        <v>2965</v>
      </c>
      <c r="Y2531" s="4">
        <v>13.017103591853401</v>
      </c>
      <c r="Z2531" s="4">
        <v>13.4381763694153</v>
      </c>
      <c r="AA2531" s="4">
        <v>12.9754463648634</v>
      </c>
      <c r="AB2531" s="4">
        <f t="shared" si="159"/>
        <v>13.143575442044034</v>
      </c>
    </row>
    <row r="2532" spans="2:28" x14ac:dyDescent="0.2">
      <c r="B2532" s="4" t="s">
        <v>421</v>
      </c>
      <c r="C2532" s="4">
        <v>12.7479</v>
      </c>
      <c r="D2532" s="4">
        <v>13.1188</v>
      </c>
      <c r="E2532" s="4">
        <v>13.1959</v>
      </c>
      <c r="F2532" s="4">
        <f t="shared" si="156"/>
        <v>13.020866666666668</v>
      </c>
      <c r="I2532" s="4" t="s">
        <v>2967</v>
      </c>
      <c r="J2532" s="4">
        <v>12.1867</v>
      </c>
      <c r="K2532" s="4">
        <v>14.2844</v>
      </c>
      <c r="L2532" s="4">
        <v>12.628299999999999</v>
      </c>
      <c r="M2532" s="4">
        <f t="shared" si="157"/>
        <v>13.033133333333334</v>
      </c>
      <c r="Q2532" s="43" t="s">
        <v>874</v>
      </c>
      <c r="R2532" s="4">
        <v>12.9210584460173</v>
      </c>
      <c r="S2532" s="4">
        <v>13.2180862376732</v>
      </c>
      <c r="T2532" s="4">
        <v>12.880447008182699</v>
      </c>
      <c r="U2532" s="4">
        <f t="shared" si="158"/>
        <v>13.006530563957734</v>
      </c>
      <c r="X2532" s="43" t="s">
        <v>1446</v>
      </c>
      <c r="Y2532" s="4">
        <v>13.003216403894999</v>
      </c>
      <c r="Z2532" s="4">
        <v>12.588574951752699</v>
      </c>
      <c r="AA2532" s="4">
        <v>13.836088215614501</v>
      </c>
      <c r="AB2532" s="4">
        <f t="shared" si="159"/>
        <v>13.142626523754068</v>
      </c>
    </row>
    <row r="2533" spans="2:28" x14ac:dyDescent="0.2">
      <c r="B2533" s="4" t="s">
        <v>3145</v>
      </c>
      <c r="C2533" s="4">
        <v>13.2912</v>
      </c>
      <c r="D2533" s="4">
        <v>12.4016</v>
      </c>
      <c r="E2533" s="4">
        <v>13.363</v>
      </c>
      <c r="F2533" s="4">
        <f t="shared" si="156"/>
        <v>13.018599999999999</v>
      </c>
      <c r="I2533" s="4" t="s">
        <v>3377</v>
      </c>
      <c r="J2533" s="4">
        <v>13.1259</v>
      </c>
      <c r="K2533" s="4">
        <v>12.484999999999999</v>
      </c>
      <c r="L2533" s="4">
        <v>13.466100000000001</v>
      </c>
      <c r="M2533" s="4">
        <f t="shared" si="157"/>
        <v>13.025666666666666</v>
      </c>
      <c r="Q2533" s="43" t="s">
        <v>3639</v>
      </c>
      <c r="R2533" s="4">
        <v>12.900205435333</v>
      </c>
      <c r="S2533" s="4">
        <v>12.9961582052167</v>
      </c>
      <c r="T2533" s="4">
        <v>13.1220243702513</v>
      </c>
      <c r="U2533" s="4">
        <f t="shared" si="158"/>
        <v>13.006129336933668</v>
      </c>
      <c r="X2533" s="43" t="s">
        <v>2901</v>
      </c>
      <c r="Y2533" s="4">
        <v>13.10784407887</v>
      </c>
      <c r="Z2533" s="4">
        <v>12.8990147434964</v>
      </c>
      <c r="AA2533" s="4">
        <v>13.4204856083074</v>
      </c>
      <c r="AB2533" s="4">
        <f t="shared" si="159"/>
        <v>13.142448143557933</v>
      </c>
    </row>
    <row r="2534" spans="2:28" x14ac:dyDescent="0.2">
      <c r="B2534" s="4" t="s">
        <v>2724</v>
      </c>
      <c r="C2534" s="4">
        <v>13.149100000000001</v>
      </c>
      <c r="D2534" s="4">
        <v>13.1501</v>
      </c>
      <c r="E2534" s="4">
        <v>12.754799999999999</v>
      </c>
      <c r="F2534" s="4">
        <f t="shared" si="156"/>
        <v>13.018000000000001</v>
      </c>
      <c r="I2534" s="4" t="s">
        <v>2668</v>
      </c>
      <c r="J2534" s="4">
        <v>12.463800000000001</v>
      </c>
      <c r="K2534" s="4">
        <v>14.099600000000001</v>
      </c>
      <c r="L2534" s="4">
        <v>12.509</v>
      </c>
      <c r="M2534" s="4">
        <f t="shared" si="157"/>
        <v>13.024133333333333</v>
      </c>
      <c r="Q2534" s="43" t="s">
        <v>2459</v>
      </c>
      <c r="R2534" s="4">
        <v>12.6911022080366</v>
      </c>
      <c r="S2534" s="4">
        <v>12.837750493770701</v>
      </c>
      <c r="T2534" s="4">
        <v>13.4851845044361</v>
      </c>
      <c r="U2534" s="4">
        <f t="shared" si="158"/>
        <v>13.0046790687478</v>
      </c>
      <c r="X2534" s="43" t="s">
        <v>376</v>
      </c>
      <c r="Y2534" s="4">
        <v>12.925599516515099</v>
      </c>
      <c r="Z2534" s="4">
        <v>13.1177756248838</v>
      </c>
      <c r="AA2534" s="4">
        <v>13.3838990549377</v>
      </c>
      <c r="AB2534" s="4">
        <f t="shared" si="159"/>
        <v>13.142424732112199</v>
      </c>
    </row>
    <row r="2535" spans="2:28" x14ac:dyDescent="0.2">
      <c r="B2535" s="4" t="s">
        <v>3457</v>
      </c>
      <c r="C2535" s="4">
        <v>13.314500000000001</v>
      </c>
      <c r="D2535" s="4">
        <v>12.9963</v>
      </c>
      <c r="E2535" s="4">
        <v>12.734299999999999</v>
      </c>
      <c r="F2535" s="4">
        <f t="shared" si="156"/>
        <v>13.015033333333333</v>
      </c>
      <c r="I2535" s="4" t="s">
        <v>3583</v>
      </c>
      <c r="J2535" s="4">
        <v>13.541</v>
      </c>
      <c r="K2535" s="4">
        <v>12.1004</v>
      </c>
      <c r="L2535" s="4">
        <v>13.4168</v>
      </c>
      <c r="M2535" s="4">
        <f t="shared" si="157"/>
        <v>13.019399999999999</v>
      </c>
      <c r="Q2535" s="43" t="s">
        <v>990</v>
      </c>
      <c r="R2535" s="4">
        <v>12.949668656579901</v>
      </c>
      <c r="S2535" s="4">
        <v>13.1101248168252</v>
      </c>
      <c r="T2535" s="4">
        <v>12.953404775020701</v>
      </c>
      <c r="U2535" s="4">
        <f t="shared" si="158"/>
        <v>13.004399416141935</v>
      </c>
      <c r="X2535" s="43" t="s">
        <v>3351</v>
      </c>
      <c r="Y2535" s="4">
        <v>12.815970297184901</v>
      </c>
      <c r="Z2535" s="4">
        <v>13.392735431292101</v>
      </c>
      <c r="AA2535" s="4">
        <v>13.215783779817899</v>
      </c>
      <c r="AB2535" s="4">
        <f t="shared" si="159"/>
        <v>13.141496502764966</v>
      </c>
    </row>
    <row r="2536" spans="2:28" x14ac:dyDescent="0.2">
      <c r="B2536" s="4" t="s">
        <v>652</v>
      </c>
      <c r="C2536" s="4">
        <v>12.7273</v>
      </c>
      <c r="D2536" s="4">
        <v>13.2804</v>
      </c>
      <c r="E2536" s="4">
        <v>13.035</v>
      </c>
      <c r="F2536" s="4">
        <f t="shared" si="156"/>
        <v>13.014233333333332</v>
      </c>
      <c r="I2536" s="4" t="s">
        <v>428</v>
      </c>
      <c r="J2536" s="4">
        <v>13.151899999999999</v>
      </c>
      <c r="K2536" s="4">
        <v>12.721500000000001</v>
      </c>
      <c r="L2536" s="4">
        <v>13.183299999999999</v>
      </c>
      <c r="M2536" s="4">
        <f t="shared" si="157"/>
        <v>13.0189</v>
      </c>
      <c r="Q2536" s="43" t="s">
        <v>598</v>
      </c>
      <c r="R2536" s="4">
        <v>12.6161865744428</v>
      </c>
      <c r="S2536" s="4">
        <v>13.0917704414212</v>
      </c>
      <c r="T2536" s="4">
        <v>13.2981719005382</v>
      </c>
      <c r="U2536" s="4">
        <f t="shared" si="158"/>
        <v>13.002042972134069</v>
      </c>
      <c r="X2536" s="43" t="s">
        <v>3236</v>
      </c>
      <c r="Y2536" s="4">
        <v>13.169520731670101</v>
      </c>
      <c r="Z2536" s="4">
        <v>13.3684514673319</v>
      </c>
      <c r="AA2536" s="4">
        <v>12.8863919353883</v>
      </c>
      <c r="AB2536" s="4">
        <f t="shared" si="159"/>
        <v>13.141454711463433</v>
      </c>
    </row>
    <row r="2537" spans="2:28" x14ac:dyDescent="0.2">
      <c r="B2537" s="4" t="s">
        <v>732</v>
      </c>
      <c r="C2537" s="4">
        <v>12.825799999999999</v>
      </c>
      <c r="D2537" s="4">
        <v>13.1166</v>
      </c>
      <c r="E2537" s="4">
        <v>13.0982</v>
      </c>
      <c r="F2537" s="4">
        <f t="shared" si="156"/>
        <v>13.013533333333333</v>
      </c>
      <c r="I2537" s="4" t="s">
        <v>28</v>
      </c>
      <c r="J2537" s="4">
        <v>12.7583</v>
      </c>
      <c r="K2537" s="4">
        <v>12.842000000000001</v>
      </c>
      <c r="L2537" s="4">
        <v>13.4316</v>
      </c>
      <c r="M2537" s="4">
        <f t="shared" si="157"/>
        <v>13.010633333333333</v>
      </c>
      <c r="Q2537" s="43" t="s">
        <v>1687</v>
      </c>
      <c r="R2537" s="4">
        <v>13.247362231121</v>
      </c>
      <c r="S2537" s="4">
        <v>12.8027508633587</v>
      </c>
      <c r="T2537" s="4">
        <v>12.955223343726599</v>
      </c>
      <c r="U2537" s="4">
        <f t="shared" si="158"/>
        <v>13.001778812735433</v>
      </c>
      <c r="X2537" s="43" t="s">
        <v>4244</v>
      </c>
      <c r="Y2537" s="4">
        <v>13.3529580210704</v>
      </c>
      <c r="Z2537" s="4">
        <v>13.7603624829253</v>
      </c>
      <c r="AA2537" s="4">
        <v>12.3074862650976</v>
      </c>
      <c r="AB2537" s="4">
        <f t="shared" si="159"/>
        <v>13.140268923031101</v>
      </c>
    </row>
    <row r="2538" spans="2:28" x14ac:dyDescent="0.2">
      <c r="B2538" s="4" t="s">
        <v>418</v>
      </c>
      <c r="C2538" s="4">
        <v>12.1622</v>
      </c>
      <c r="D2538" s="4">
        <v>13.5059</v>
      </c>
      <c r="E2538" s="4">
        <v>13.3687</v>
      </c>
      <c r="F2538" s="4">
        <f t="shared" si="156"/>
        <v>13.012266666666667</v>
      </c>
      <c r="I2538" s="4" t="s">
        <v>278</v>
      </c>
      <c r="J2538" s="4">
        <v>13.369300000000001</v>
      </c>
      <c r="K2538" s="4">
        <v>11.9847</v>
      </c>
      <c r="L2538" s="4">
        <v>13.674200000000001</v>
      </c>
      <c r="M2538" s="4">
        <f t="shared" si="157"/>
        <v>13.009399999999999</v>
      </c>
      <c r="Q2538" s="43" t="s">
        <v>742</v>
      </c>
      <c r="R2538" s="4">
        <v>12.594921817161399</v>
      </c>
      <c r="S2538" s="4">
        <v>13.016434919709701</v>
      </c>
      <c r="T2538" s="4">
        <v>13.389540739937001</v>
      </c>
      <c r="U2538" s="4">
        <f t="shared" si="158"/>
        <v>13.000299158936036</v>
      </c>
      <c r="X2538" s="43" t="s">
        <v>116</v>
      </c>
      <c r="Y2538" s="4">
        <v>13.1393725067035</v>
      </c>
      <c r="Z2538" s="4">
        <v>13.1841011339618</v>
      </c>
      <c r="AA2538" s="4">
        <v>13.0955651820558</v>
      </c>
      <c r="AB2538" s="4">
        <f t="shared" si="159"/>
        <v>13.139679607573699</v>
      </c>
    </row>
    <row r="2539" spans="2:28" x14ac:dyDescent="0.2">
      <c r="B2539" s="4" t="s">
        <v>3141</v>
      </c>
      <c r="C2539" s="4">
        <v>13.2149</v>
      </c>
      <c r="D2539" s="4">
        <v>12.7163</v>
      </c>
      <c r="E2539" s="4">
        <v>13.105</v>
      </c>
      <c r="F2539" s="4">
        <f t="shared" si="156"/>
        <v>13.012066666666668</v>
      </c>
      <c r="I2539" s="4" t="s">
        <v>2981</v>
      </c>
      <c r="J2539" s="4">
        <v>12.743499999999999</v>
      </c>
      <c r="K2539" s="4">
        <v>13.5289</v>
      </c>
      <c r="L2539" s="4">
        <v>12.7514</v>
      </c>
      <c r="M2539" s="4">
        <f t="shared" si="157"/>
        <v>13.007933333333332</v>
      </c>
      <c r="Q2539" s="43" t="s">
        <v>3093</v>
      </c>
      <c r="R2539" s="4">
        <v>13.6036016785398</v>
      </c>
      <c r="S2539" s="4">
        <v>12.378599607668299</v>
      </c>
      <c r="T2539" s="4">
        <v>13.0169762240072</v>
      </c>
      <c r="U2539" s="4">
        <f t="shared" si="158"/>
        <v>12.999725836738433</v>
      </c>
      <c r="X2539" s="43" t="s">
        <v>3260</v>
      </c>
      <c r="Y2539" s="4">
        <v>12.8943064739428</v>
      </c>
      <c r="Z2539" s="4">
        <v>13.128182748417</v>
      </c>
      <c r="AA2539" s="4">
        <v>13.396432436253701</v>
      </c>
      <c r="AB2539" s="4">
        <f t="shared" si="159"/>
        <v>13.139640552871166</v>
      </c>
    </row>
    <row r="2540" spans="2:28" x14ac:dyDescent="0.2">
      <c r="B2540" s="4" t="s">
        <v>3476</v>
      </c>
      <c r="C2540" s="4">
        <v>12.865600000000001</v>
      </c>
      <c r="D2540" s="4">
        <v>12.9048</v>
      </c>
      <c r="E2540" s="4">
        <v>13.2651</v>
      </c>
      <c r="F2540" s="4">
        <f t="shared" si="156"/>
        <v>13.011833333333334</v>
      </c>
      <c r="I2540" s="4" t="s">
        <v>2551</v>
      </c>
      <c r="J2540" s="4">
        <v>12.5776</v>
      </c>
      <c r="K2540" s="4">
        <v>13.0578</v>
      </c>
      <c r="L2540" s="4">
        <v>13.382199999999999</v>
      </c>
      <c r="M2540" s="4">
        <f t="shared" si="157"/>
        <v>13.005866666666668</v>
      </c>
      <c r="Q2540" s="43" t="s">
        <v>2892</v>
      </c>
      <c r="R2540" s="4">
        <v>12.9577036405004</v>
      </c>
      <c r="S2540" s="4">
        <v>13.164705017913199</v>
      </c>
      <c r="T2540" s="4">
        <v>12.8738484665617</v>
      </c>
      <c r="U2540" s="4">
        <f t="shared" si="158"/>
        <v>12.998752374991767</v>
      </c>
      <c r="X2540" s="43" t="s">
        <v>4269</v>
      </c>
      <c r="Y2540" s="4">
        <v>13.1801159678768</v>
      </c>
      <c r="Z2540" s="4">
        <v>13.096111420952701</v>
      </c>
      <c r="AA2540" s="4">
        <v>13.1356402023677</v>
      </c>
      <c r="AB2540" s="4">
        <f t="shared" si="159"/>
        <v>13.137289197065734</v>
      </c>
    </row>
    <row r="2541" spans="2:28" x14ac:dyDescent="0.2">
      <c r="B2541" s="4" t="s">
        <v>3414</v>
      </c>
      <c r="C2541" s="4">
        <v>12.9109</v>
      </c>
      <c r="D2541" s="4">
        <v>13.063700000000001</v>
      </c>
      <c r="E2541" s="4">
        <v>13.0579</v>
      </c>
      <c r="F2541" s="4">
        <f t="shared" si="156"/>
        <v>13.010833333333332</v>
      </c>
      <c r="I2541" s="4" t="s">
        <v>3345</v>
      </c>
      <c r="J2541" s="4">
        <v>12.0189</v>
      </c>
      <c r="K2541" s="4">
        <v>13.7539</v>
      </c>
      <c r="L2541" s="4">
        <v>13.2403</v>
      </c>
      <c r="M2541" s="4">
        <f t="shared" si="157"/>
        <v>13.004366666666668</v>
      </c>
      <c r="Q2541" s="43" t="s">
        <v>2516</v>
      </c>
      <c r="R2541" s="4">
        <v>13.006617716696701</v>
      </c>
      <c r="S2541" s="4">
        <v>13.179794824179901</v>
      </c>
      <c r="T2541" s="4">
        <v>12.798688816210801</v>
      </c>
      <c r="U2541" s="4">
        <f t="shared" si="158"/>
        <v>12.995033785695801</v>
      </c>
      <c r="X2541" s="43" t="s">
        <v>3934</v>
      </c>
      <c r="Y2541" s="4">
        <v>13.1603036829227</v>
      </c>
      <c r="Z2541" s="4">
        <v>13.072320672024899</v>
      </c>
      <c r="AA2541" s="4">
        <v>13.1759349986194</v>
      </c>
      <c r="AB2541" s="4">
        <f t="shared" si="159"/>
        <v>13.136186451188999</v>
      </c>
    </row>
    <row r="2542" spans="2:28" x14ac:dyDescent="0.2">
      <c r="B2542" s="4" t="s">
        <v>3529</v>
      </c>
      <c r="C2542" s="4">
        <v>13.16</v>
      </c>
      <c r="D2542" s="4">
        <v>12.4521</v>
      </c>
      <c r="E2542" s="4">
        <v>13.4177</v>
      </c>
      <c r="F2542" s="4">
        <f t="shared" si="156"/>
        <v>13.009933333333331</v>
      </c>
      <c r="I2542" s="4" t="s">
        <v>3072</v>
      </c>
      <c r="J2542" s="4">
        <v>13.3605</v>
      </c>
      <c r="K2542" s="4">
        <v>12.735099999999999</v>
      </c>
      <c r="L2542" s="4">
        <v>12.9148</v>
      </c>
      <c r="M2542" s="4">
        <f t="shared" si="157"/>
        <v>13.003466666666666</v>
      </c>
      <c r="Q2542" s="43" t="s">
        <v>544</v>
      </c>
      <c r="R2542" s="4">
        <v>12.9412567620406</v>
      </c>
      <c r="S2542" s="4">
        <v>12.984985353446699</v>
      </c>
      <c r="T2542" s="4">
        <v>13.054436699019799</v>
      </c>
      <c r="U2542" s="4">
        <f t="shared" si="158"/>
        <v>12.993559604835701</v>
      </c>
      <c r="X2542" s="43" t="s">
        <v>4274</v>
      </c>
      <c r="Y2542" s="4">
        <v>13.1166289626756</v>
      </c>
      <c r="Z2542" s="4">
        <v>13.1858046976203</v>
      </c>
      <c r="AA2542" s="4">
        <v>13.1036327738178</v>
      </c>
      <c r="AB2542" s="4">
        <f t="shared" si="159"/>
        <v>13.1353554780379</v>
      </c>
    </row>
    <row r="2543" spans="2:28" x14ac:dyDescent="0.2">
      <c r="B2543" s="4" t="s">
        <v>33</v>
      </c>
      <c r="C2543" s="4">
        <v>12.6945</v>
      </c>
      <c r="D2543" s="4">
        <v>13.360900000000001</v>
      </c>
      <c r="E2543" s="4">
        <v>12.967599999999999</v>
      </c>
      <c r="F2543" s="4">
        <f t="shared" si="156"/>
        <v>13.007666666666665</v>
      </c>
      <c r="I2543" s="4" t="s">
        <v>840</v>
      </c>
      <c r="J2543" s="4">
        <v>13.104900000000001</v>
      </c>
      <c r="K2543" s="4">
        <v>12.714600000000001</v>
      </c>
      <c r="L2543" s="4">
        <v>13.1828</v>
      </c>
      <c r="M2543" s="4">
        <f t="shared" si="157"/>
        <v>13.000766666666669</v>
      </c>
      <c r="Q2543" s="43" t="s">
        <v>2233</v>
      </c>
      <c r="R2543" s="4">
        <v>12.7328558270348</v>
      </c>
      <c r="S2543" s="4">
        <v>13.0583785771904</v>
      </c>
      <c r="T2543" s="4">
        <v>13.188716740950801</v>
      </c>
      <c r="U2543" s="4">
        <f t="shared" si="158"/>
        <v>12.993317048392001</v>
      </c>
      <c r="X2543" s="43" t="s">
        <v>3314</v>
      </c>
      <c r="Y2543" s="4">
        <v>12.612779477313</v>
      </c>
      <c r="Z2543" s="4">
        <v>12.893492692567699</v>
      </c>
      <c r="AA2543" s="4">
        <v>13.887063818021501</v>
      </c>
      <c r="AB2543" s="4">
        <f t="shared" si="159"/>
        <v>13.1311119959674</v>
      </c>
    </row>
    <row r="2544" spans="2:28" x14ac:dyDescent="0.2">
      <c r="B2544" s="4" t="s">
        <v>2259</v>
      </c>
      <c r="C2544" s="4">
        <v>13.1249</v>
      </c>
      <c r="D2544" s="4">
        <v>12.987399999999999</v>
      </c>
      <c r="E2544" s="4">
        <v>12.910299999999999</v>
      </c>
      <c r="F2544" s="4">
        <f t="shared" si="156"/>
        <v>13.007533333333333</v>
      </c>
      <c r="I2544" s="4" t="s">
        <v>3678</v>
      </c>
      <c r="J2544" s="4">
        <v>13.179500000000001</v>
      </c>
      <c r="K2544" s="4">
        <v>13.2803</v>
      </c>
      <c r="L2544" s="4">
        <v>12.538399999999999</v>
      </c>
      <c r="M2544" s="4">
        <f t="shared" si="157"/>
        <v>12.9994</v>
      </c>
      <c r="Q2544" s="43" t="s">
        <v>3700</v>
      </c>
      <c r="R2544" s="4">
        <v>13.261524749124799</v>
      </c>
      <c r="S2544" s="4">
        <v>12.9320641238814</v>
      </c>
      <c r="T2544" s="4">
        <v>12.782616657006299</v>
      </c>
      <c r="U2544" s="4">
        <f t="shared" si="158"/>
        <v>12.992068510004167</v>
      </c>
      <c r="X2544" s="43" t="s">
        <v>4504</v>
      </c>
      <c r="Y2544" s="4">
        <v>13.227629669125299</v>
      </c>
      <c r="Z2544" s="4">
        <v>13.042625903185799</v>
      </c>
      <c r="AA2544" s="4">
        <v>13.118117076251901</v>
      </c>
      <c r="AB2544" s="4">
        <f t="shared" si="159"/>
        <v>13.129457549521</v>
      </c>
    </row>
    <row r="2545" spans="2:28" x14ac:dyDescent="0.2">
      <c r="B2545" s="4" t="s">
        <v>1595</v>
      </c>
      <c r="C2545" s="4">
        <v>12.999599999999999</v>
      </c>
      <c r="D2545" s="4">
        <v>13.181100000000001</v>
      </c>
      <c r="E2545" s="4">
        <v>12.833600000000001</v>
      </c>
      <c r="F2545" s="4">
        <f t="shared" si="156"/>
        <v>13.004766666666669</v>
      </c>
      <c r="I2545" s="4" t="s">
        <v>3980</v>
      </c>
      <c r="J2545" s="4">
        <v>12.9503</v>
      </c>
      <c r="K2545" s="4">
        <v>12.9062</v>
      </c>
      <c r="L2545" s="4">
        <v>13.1412</v>
      </c>
      <c r="M2545" s="4">
        <f t="shared" si="157"/>
        <v>12.999233333333335</v>
      </c>
      <c r="Q2545" s="43" t="s">
        <v>4358</v>
      </c>
      <c r="R2545" s="4">
        <v>13.0908412323775</v>
      </c>
      <c r="S2545" s="4">
        <v>13.043069348489</v>
      </c>
      <c r="T2545" s="4">
        <v>12.840632847278</v>
      </c>
      <c r="U2545" s="4">
        <f t="shared" si="158"/>
        <v>12.991514476048167</v>
      </c>
      <c r="X2545" s="43" t="s">
        <v>2025</v>
      </c>
      <c r="Y2545" s="4">
        <v>13.1303902944291</v>
      </c>
      <c r="Z2545" s="4">
        <v>13.0769337215932</v>
      </c>
      <c r="AA2545" s="4">
        <v>13.179880967911901</v>
      </c>
      <c r="AB2545" s="4">
        <f t="shared" si="159"/>
        <v>13.129068327978066</v>
      </c>
    </row>
    <row r="2546" spans="2:28" x14ac:dyDescent="0.2">
      <c r="B2546" s="4" t="s">
        <v>2080</v>
      </c>
      <c r="C2546" s="4">
        <v>13.2698</v>
      </c>
      <c r="D2546" s="4">
        <v>13.3218</v>
      </c>
      <c r="E2546" s="4">
        <v>12.4175</v>
      </c>
      <c r="F2546" s="4">
        <f t="shared" si="156"/>
        <v>13.003033333333335</v>
      </c>
      <c r="I2546" s="4" t="s">
        <v>3292</v>
      </c>
      <c r="J2546" s="4">
        <v>13.006500000000001</v>
      </c>
      <c r="K2546" s="4">
        <v>13.012700000000001</v>
      </c>
      <c r="L2546" s="4">
        <v>12.969900000000001</v>
      </c>
      <c r="M2546" s="4">
        <f t="shared" si="157"/>
        <v>12.996366666666667</v>
      </c>
      <c r="Q2546" s="43" t="s">
        <v>2121</v>
      </c>
      <c r="R2546" s="4">
        <v>13.3385497626905</v>
      </c>
      <c r="S2546" s="4">
        <v>12.8305793579399</v>
      </c>
      <c r="T2546" s="4">
        <v>12.8042821410704</v>
      </c>
      <c r="U2546" s="4">
        <f t="shared" si="158"/>
        <v>12.991137087233602</v>
      </c>
      <c r="X2546" s="43" t="s">
        <v>2975</v>
      </c>
      <c r="Y2546" s="4">
        <v>13.2283372054141</v>
      </c>
      <c r="Z2546" s="4">
        <v>13.0594478226151</v>
      </c>
      <c r="AA2546" s="4">
        <v>13.0940982485878</v>
      </c>
      <c r="AB2546" s="4">
        <f t="shared" si="159"/>
        <v>13.127294425538999</v>
      </c>
    </row>
    <row r="2547" spans="2:28" x14ac:dyDescent="0.2">
      <c r="B2547" s="4" t="s">
        <v>50</v>
      </c>
      <c r="C2547" s="4">
        <v>12.866300000000001</v>
      </c>
      <c r="D2547" s="4">
        <v>13.367599999999999</v>
      </c>
      <c r="E2547" s="4">
        <v>12.7745</v>
      </c>
      <c r="F2547" s="4">
        <f t="shared" si="156"/>
        <v>13.002799999999999</v>
      </c>
      <c r="I2547" s="4" t="s">
        <v>2472</v>
      </c>
      <c r="J2547" s="4">
        <v>13.049899999999999</v>
      </c>
      <c r="K2547" s="4">
        <v>13.049099999999999</v>
      </c>
      <c r="L2547" s="4">
        <v>12.8705</v>
      </c>
      <c r="M2547" s="4">
        <f t="shared" si="157"/>
        <v>12.989833333333332</v>
      </c>
      <c r="Q2547" s="43" t="s">
        <v>87</v>
      </c>
      <c r="R2547" s="4">
        <v>12.7463165381905</v>
      </c>
      <c r="S2547" s="4">
        <v>13.227158016248</v>
      </c>
      <c r="T2547" s="4">
        <v>12.998419822336</v>
      </c>
      <c r="U2547" s="4">
        <f t="shared" si="158"/>
        <v>12.990631458924833</v>
      </c>
      <c r="X2547" s="43" t="s">
        <v>2601</v>
      </c>
      <c r="Y2547" s="4">
        <v>12.9948590158155</v>
      </c>
      <c r="Z2547" s="4">
        <v>13.2704182898435</v>
      </c>
      <c r="AA2547" s="4">
        <v>13.1163548595525</v>
      </c>
      <c r="AB2547" s="4">
        <f t="shared" si="159"/>
        <v>13.127210721737166</v>
      </c>
    </row>
    <row r="2548" spans="2:28" x14ac:dyDescent="0.2">
      <c r="B2548" s="4" t="s">
        <v>378</v>
      </c>
      <c r="C2548" s="4">
        <v>12.7544</v>
      </c>
      <c r="D2548" s="4">
        <v>13.065</v>
      </c>
      <c r="E2548" s="4">
        <v>13.180899999999999</v>
      </c>
      <c r="F2548" s="4">
        <f t="shared" si="156"/>
        <v>13.000100000000002</v>
      </c>
      <c r="I2548" s="4" t="s">
        <v>493</v>
      </c>
      <c r="J2548" s="4">
        <v>12.4452</v>
      </c>
      <c r="K2548" s="4">
        <v>12.6121</v>
      </c>
      <c r="L2548" s="4">
        <v>13.9084</v>
      </c>
      <c r="M2548" s="4">
        <f t="shared" si="157"/>
        <v>12.988566666666665</v>
      </c>
      <c r="Q2548" s="43" t="s">
        <v>2985</v>
      </c>
      <c r="R2548" s="4">
        <v>13.0745247346842</v>
      </c>
      <c r="S2548" s="4">
        <v>13.094382520986599</v>
      </c>
      <c r="T2548" s="4">
        <v>12.798455176242699</v>
      </c>
      <c r="U2548" s="4">
        <f t="shared" si="158"/>
        <v>12.989120810637834</v>
      </c>
      <c r="X2548" s="43" t="s">
        <v>727</v>
      </c>
      <c r="Y2548" s="4">
        <v>13.144654111342501</v>
      </c>
      <c r="Z2548" s="4">
        <v>13.3007380065768</v>
      </c>
      <c r="AA2548" s="4">
        <v>12.9332907322236</v>
      </c>
      <c r="AB2548" s="4">
        <f t="shared" si="159"/>
        <v>13.126227616714301</v>
      </c>
    </row>
    <row r="2549" spans="2:28" x14ac:dyDescent="0.2">
      <c r="B2549" s="4" t="s">
        <v>3395</v>
      </c>
      <c r="C2549" s="4">
        <v>12.653700000000001</v>
      </c>
      <c r="D2549" s="4">
        <v>12.8452</v>
      </c>
      <c r="E2549" s="4">
        <v>13.500500000000001</v>
      </c>
      <c r="F2549" s="4">
        <f t="shared" si="156"/>
        <v>12.9998</v>
      </c>
      <c r="I2549" s="4" t="s">
        <v>339</v>
      </c>
      <c r="J2549" s="4">
        <v>13.298500000000001</v>
      </c>
      <c r="K2549" s="4">
        <v>12.482900000000001</v>
      </c>
      <c r="L2549" s="4">
        <v>13.184200000000001</v>
      </c>
      <c r="M2549" s="4">
        <f t="shared" si="157"/>
        <v>12.988533333333335</v>
      </c>
      <c r="Q2549" s="43" t="s">
        <v>2465</v>
      </c>
      <c r="R2549" s="4">
        <v>12.3404284362258</v>
      </c>
      <c r="S2549" s="4">
        <v>13.300195959948701</v>
      </c>
      <c r="T2549" s="4">
        <v>13.323164906780301</v>
      </c>
      <c r="U2549" s="4">
        <f t="shared" si="158"/>
        <v>12.9879297676516</v>
      </c>
      <c r="X2549" s="43" t="s">
        <v>4255</v>
      </c>
      <c r="Y2549" s="4">
        <v>13.158865349588099</v>
      </c>
      <c r="Z2549" s="4">
        <v>13.0099573269815</v>
      </c>
      <c r="AA2549" s="4">
        <v>13.206470124785801</v>
      </c>
      <c r="AB2549" s="4">
        <f t="shared" si="159"/>
        <v>13.125097600451801</v>
      </c>
    </row>
    <row r="2550" spans="2:28" x14ac:dyDescent="0.2">
      <c r="B2550" s="4" t="s">
        <v>1020</v>
      </c>
      <c r="C2550" s="4">
        <v>12.7605</v>
      </c>
      <c r="D2550" s="4">
        <v>13.043900000000001</v>
      </c>
      <c r="E2550" s="4">
        <v>13.186999999999999</v>
      </c>
      <c r="F2550" s="4">
        <f t="shared" si="156"/>
        <v>12.997133333333332</v>
      </c>
      <c r="I2550" s="4" t="s">
        <v>2422</v>
      </c>
      <c r="J2550" s="4">
        <v>12.879099999999999</v>
      </c>
      <c r="K2550" s="4">
        <v>13.223599999999999</v>
      </c>
      <c r="L2550" s="4">
        <v>12.862299999999999</v>
      </c>
      <c r="M2550" s="4">
        <f t="shared" si="157"/>
        <v>12.988333333333332</v>
      </c>
      <c r="Q2550" s="43" t="s">
        <v>182</v>
      </c>
      <c r="R2550" s="4">
        <v>13.3231461097928</v>
      </c>
      <c r="S2550" s="4">
        <v>12.9042562832639</v>
      </c>
      <c r="T2550" s="4">
        <v>12.730446725097</v>
      </c>
      <c r="U2550" s="4">
        <f t="shared" si="158"/>
        <v>12.985949706051235</v>
      </c>
      <c r="X2550" s="43" t="s">
        <v>3693</v>
      </c>
      <c r="Y2550" s="4">
        <v>13.1003087455044</v>
      </c>
      <c r="Z2550" s="4">
        <v>12.9905285428614</v>
      </c>
      <c r="AA2550" s="4">
        <v>13.284435902804301</v>
      </c>
      <c r="AB2550" s="4">
        <f t="shared" si="159"/>
        <v>13.125091063723366</v>
      </c>
    </row>
    <row r="2551" spans="2:28" x14ac:dyDescent="0.2">
      <c r="B2551" s="4" t="s">
        <v>3854</v>
      </c>
      <c r="C2551" s="4">
        <v>13.2102</v>
      </c>
      <c r="D2551" s="4">
        <v>12.897500000000001</v>
      </c>
      <c r="E2551" s="4">
        <v>12.877599999999999</v>
      </c>
      <c r="F2551" s="4">
        <f t="shared" si="156"/>
        <v>12.995100000000001</v>
      </c>
      <c r="I2551" s="4" t="s">
        <v>629</v>
      </c>
      <c r="J2551" s="4">
        <v>11.685</v>
      </c>
      <c r="K2551" s="4">
        <v>15.4034</v>
      </c>
      <c r="L2551" s="4">
        <v>11.8756</v>
      </c>
      <c r="M2551" s="4">
        <f t="shared" si="157"/>
        <v>12.988</v>
      </c>
      <c r="Q2551" s="43" t="s">
        <v>1416</v>
      </c>
      <c r="R2551" s="4">
        <v>12.7880716580023</v>
      </c>
      <c r="S2551" s="4">
        <v>12.967687313489799</v>
      </c>
      <c r="T2551" s="4">
        <v>13.2017940715391</v>
      </c>
      <c r="U2551" s="4">
        <f t="shared" si="158"/>
        <v>12.985851014343732</v>
      </c>
      <c r="X2551" s="43" t="s">
        <v>1439</v>
      </c>
      <c r="Y2551" s="4">
        <v>13.1968190336385</v>
      </c>
      <c r="Z2551" s="4">
        <v>13.019327242325099</v>
      </c>
      <c r="AA2551" s="4">
        <v>13.1543649337457</v>
      </c>
      <c r="AB2551" s="4">
        <f t="shared" si="159"/>
        <v>13.123503736569766</v>
      </c>
    </row>
    <row r="2552" spans="2:28" x14ac:dyDescent="0.2">
      <c r="B2552" s="4" t="s">
        <v>792</v>
      </c>
      <c r="C2552" s="4">
        <v>12.959199999999999</v>
      </c>
      <c r="D2552" s="4">
        <v>13.2156</v>
      </c>
      <c r="E2552" s="4">
        <v>12.8096</v>
      </c>
      <c r="F2552" s="4">
        <f t="shared" si="156"/>
        <v>12.994799999999998</v>
      </c>
      <c r="I2552" s="4" t="s">
        <v>718</v>
      </c>
      <c r="J2552" s="4">
        <v>12.885199999999999</v>
      </c>
      <c r="K2552" s="4">
        <v>13.288</v>
      </c>
      <c r="L2552" s="4">
        <v>12.7879</v>
      </c>
      <c r="M2552" s="4">
        <f t="shared" si="157"/>
        <v>12.987033333333335</v>
      </c>
      <c r="Q2552" s="43" t="s">
        <v>3001</v>
      </c>
      <c r="R2552" s="4">
        <v>13.0442599516877</v>
      </c>
      <c r="S2552" s="4">
        <v>13.0797550204177</v>
      </c>
      <c r="T2552" s="4">
        <v>12.8206632998518</v>
      </c>
      <c r="U2552" s="4">
        <f t="shared" si="158"/>
        <v>12.981559423985734</v>
      </c>
      <c r="X2552" s="43" t="s">
        <v>831</v>
      </c>
      <c r="Y2552" s="4">
        <v>12.984756388347</v>
      </c>
      <c r="Z2552" s="4">
        <v>13.598357340920201</v>
      </c>
      <c r="AA2552" s="4">
        <v>12.784295766057401</v>
      </c>
      <c r="AB2552" s="4">
        <f t="shared" si="159"/>
        <v>13.122469831774866</v>
      </c>
    </row>
    <row r="2553" spans="2:28" x14ac:dyDescent="0.2">
      <c r="B2553" s="4" t="s">
        <v>3087</v>
      </c>
      <c r="C2553" s="4">
        <v>13.1167</v>
      </c>
      <c r="D2553" s="4">
        <v>12.9328</v>
      </c>
      <c r="E2553" s="4">
        <v>12.932499999999999</v>
      </c>
      <c r="F2553" s="4">
        <f t="shared" si="156"/>
        <v>12.994</v>
      </c>
      <c r="I2553" s="4" t="s">
        <v>1404</v>
      </c>
      <c r="J2553" s="4">
        <v>13.0265</v>
      </c>
      <c r="K2553" s="4">
        <v>13.040699999999999</v>
      </c>
      <c r="L2553" s="4">
        <v>12.888999999999999</v>
      </c>
      <c r="M2553" s="4">
        <f t="shared" si="157"/>
        <v>12.985399999999998</v>
      </c>
      <c r="Q2553" s="43" t="s">
        <v>1451</v>
      </c>
      <c r="R2553" s="4">
        <v>13.064835426421</v>
      </c>
      <c r="S2553" s="4">
        <v>13.020365937002</v>
      </c>
      <c r="T2553" s="4">
        <v>12.859218070931499</v>
      </c>
      <c r="U2553" s="4">
        <f t="shared" si="158"/>
        <v>12.981473144784834</v>
      </c>
      <c r="X2553" s="43" t="s">
        <v>630</v>
      </c>
      <c r="Y2553" s="4">
        <v>13.3115203885312</v>
      </c>
      <c r="Z2553" s="4">
        <v>12.839898762230201</v>
      </c>
      <c r="AA2553" s="4">
        <v>13.215943999934501</v>
      </c>
      <c r="AB2553" s="4">
        <f t="shared" si="159"/>
        <v>13.1224543835653</v>
      </c>
    </row>
    <row r="2554" spans="2:28" x14ac:dyDescent="0.2">
      <c r="B2554" s="4" t="s">
        <v>2876</v>
      </c>
      <c r="C2554" s="4">
        <v>13.0326</v>
      </c>
      <c r="D2554" s="4">
        <v>13.5761</v>
      </c>
      <c r="E2554" s="4">
        <v>12.3729</v>
      </c>
      <c r="F2554" s="4">
        <f t="shared" si="156"/>
        <v>12.993866666666667</v>
      </c>
      <c r="I2554" s="4" t="s">
        <v>4041</v>
      </c>
      <c r="J2554" s="4">
        <v>12.7522</v>
      </c>
      <c r="K2554" s="4">
        <v>12.894299999999999</v>
      </c>
      <c r="L2554" s="4">
        <v>13.2988</v>
      </c>
      <c r="M2554" s="4">
        <f t="shared" si="157"/>
        <v>12.981766666666667</v>
      </c>
      <c r="Q2554" s="43" t="s">
        <v>780</v>
      </c>
      <c r="R2554" s="4">
        <v>13.1492100002237</v>
      </c>
      <c r="S2554" s="4">
        <v>12.850759856425601</v>
      </c>
      <c r="T2554" s="4">
        <v>12.9438812302917</v>
      </c>
      <c r="U2554" s="4">
        <f t="shared" si="158"/>
        <v>12.981283695647001</v>
      </c>
      <c r="X2554" s="43" t="s">
        <v>4508</v>
      </c>
      <c r="Y2554" s="4">
        <v>13.2704968369002</v>
      </c>
      <c r="Z2554" s="4">
        <v>12.9731504040075</v>
      </c>
      <c r="AA2554" s="4">
        <v>13.123666979180699</v>
      </c>
      <c r="AB2554" s="4">
        <f t="shared" si="159"/>
        <v>13.122438073362799</v>
      </c>
    </row>
    <row r="2555" spans="2:28" x14ac:dyDescent="0.2">
      <c r="B2555" s="4" t="s">
        <v>1451</v>
      </c>
      <c r="C2555" s="4">
        <v>12.3773</v>
      </c>
      <c r="D2555" s="4">
        <v>13.326599999999999</v>
      </c>
      <c r="E2555" s="4">
        <v>13.275600000000001</v>
      </c>
      <c r="F2555" s="4">
        <f t="shared" si="156"/>
        <v>12.993166666666667</v>
      </c>
      <c r="I2555" s="4" t="s">
        <v>2462</v>
      </c>
      <c r="J2555" s="4">
        <v>12.794600000000001</v>
      </c>
      <c r="K2555" s="4">
        <v>13.571099999999999</v>
      </c>
      <c r="L2555" s="4">
        <v>12.577199999999999</v>
      </c>
      <c r="M2555" s="4">
        <f t="shared" si="157"/>
        <v>12.980966666666667</v>
      </c>
      <c r="Q2555" s="43" t="s">
        <v>4004</v>
      </c>
      <c r="R2555" s="4">
        <v>12.922901006234101</v>
      </c>
      <c r="S2555" s="4">
        <v>12.9196506654977</v>
      </c>
      <c r="T2555" s="4">
        <v>13.092303109371199</v>
      </c>
      <c r="U2555" s="4">
        <f t="shared" si="158"/>
        <v>12.978284927034332</v>
      </c>
      <c r="X2555" s="43" t="s">
        <v>3827</v>
      </c>
      <c r="Y2555" s="4">
        <v>12.766558483147399</v>
      </c>
      <c r="Z2555" s="4">
        <v>13.526363433182899</v>
      </c>
      <c r="AA2555" s="4">
        <v>13.071859333865</v>
      </c>
      <c r="AB2555" s="4">
        <f t="shared" si="159"/>
        <v>13.121593750065101</v>
      </c>
    </row>
    <row r="2556" spans="2:28" x14ac:dyDescent="0.2">
      <c r="B2556" s="4" t="s">
        <v>1582</v>
      </c>
      <c r="C2556" s="4">
        <v>12.875299999999999</v>
      </c>
      <c r="D2556" s="4">
        <v>13.105399999999999</v>
      </c>
      <c r="E2556" s="4">
        <v>12.9915</v>
      </c>
      <c r="F2556" s="4">
        <f t="shared" si="156"/>
        <v>12.990733333333333</v>
      </c>
      <c r="I2556" s="4" t="s">
        <v>527</v>
      </c>
      <c r="J2556" s="4">
        <v>13.382099999999999</v>
      </c>
      <c r="K2556" s="4">
        <v>11.6067</v>
      </c>
      <c r="L2556" s="4">
        <v>13.944800000000001</v>
      </c>
      <c r="M2556" s="4">
        <f t="shared" si="157"/>
        <v>12.977866666666666</v>
      </c>
      <c r="Q2556" s="43" t="s">
        <v>1499</v>
      </c>
      <c r="R2556" s="4">
        <v>12.776916514477801</v>
      </c>
      <c r="S2556" s="4">
        <v>12.6693059160699</v>
      </c>
      <c r="T2556" s="4">
        <v>13.482740922908301</v>
      </c>
      <c r="U2556" s="4">
        <f t="shared" si="158"/>
        <v>12.976321117818665</v>
      </c>
      <c r="X2556" s="43" t="s">
        <v>3479</v>
      </c>
      <c r="Y2556" s="4">
        <v>13.215333018758599</v>
      </c>
      <c r="Z2556" s="4">
        <v>12.9152541973257</v>
      </c>
      <c r="AA2556" s="4">
        <v>13.2340043871065</v>
      </c>
      <c r="AB2556" s="4">
        <f t="shared" si="159"/>
        <v>13.121530534396934</v>
      </c>
    </row>
    <row r="2557" spans="2:28" x14ac:dyDescent="0.2">
      <c r="B2557" s="4" t="s">
        <v>1439</v>
      </c>
      <c r="C2557" s="4">
        <v>13.0899</v>
      </c>
      <c r="D2557" s="4">
        <v>12.5845</v>
      </c>
      <c r="E2557" s="4">
        <v>13.2958</v>
      </c>
      <c r="F2557" s="4">
        <f t="shared" si="156"/>
        <v>12.990066666666666</v>
      </c>
      <c r="I2557" s="4" t="s">
        <v>3846</v>
      </c>
      <c r="J2557" s="4">
        <v>13.1584</v>
      </c>
      <c r="K2557" s="4">
        <v>12.3409</v>
      </c>
      <c r="L2557" s="4">
        <v>13.427099999999999</v>
      </c>
      <c r="M2557" s="4">
        <f t="shared" si="157"/>
        <v>12.975466666666668</v>
      </c>
      <c r="Q2557" s="43" t="s">
        <v>3183</v>
      </c>
      <c r="R2557" s="4">
        <v>12.5425737212979</v>
      </c>
      <c r="S2557" s="4">
        <v>13.238846780502801</v>
      </c>
      <c r="T2557" s="4">
        <v>13.1466316814055</v>
      </c>
      <c r="U2557" s="4">
        <f t="shared" si="158"/>
        <v>12.976017394402069</v>
      </c>
      <c r="X2557" s="43" t="s">
        <v>2490</v>
      </c>
      <c r="Y2557" s="4">
        <v>12.9500617700439</v>
      </c>
      <c r="Z2557" s="4">
        <v>13.2657853439459</v>
      </c>
      <c r="AA2557" s="4">
        <v>13.143843169991699</v>
      </c>
      <c r="AB2557" s="4">
        <f t="shared" si="159"/>
        <v>13.119896761327167</v>
      </c>
    </row>
    <row r="2558" spans="2:28" x14ac:dyDescent="0.2">
      <c r="B2558" s="4" t="s">
        <v>4112</v>
      </c>
      <c r="C2558" s="4">
        <v>13.1137</v>
      </c>
      <c r="D2558" s="4">
        <v>12.7508</v>
      </c>
      <c r="E2558" s="4">
        <v>13.102600000000001</v>
      </c>
      <c r="F2558" s="4">
        <f t="shared" si="156"/>
        <v>12.989033333333333</v>
      </c>
      <c r="I2558" s="4" t="s">
        <v>1308</v>
      </c>
      <c r="J2558" s="4">
        <v>13.117800000000001</v>
      </c>
      <c r="K2558" s="4">
        <v>12.6708</v>
      </c>
      <c r="L2558" s="4">
        <v>13.133900000000001</v>
      </c>
      <c r="M2558" s="4">
        <f t="shared" si="157"/>
        <v>12.974166666666667</v>
      </c>
      <c r="Q2558" s="43" t="s">
        <v>2490</v>
      </c>
      <c r="R2558" s="4">
        <v>12.9497088996514</v>
      </c>
      <c r="S2558" s="4">
        <v>12.9245419215969</v>
      </c>
      <c r="T2558" s="4">
        <v>13.0512188712563</v>
      </c>
      <c r="U2558" s="4">
        <f t="shared" si="158"/>
        <v>12.9751565641682</v>
      </c>
      <c r="X2558" s="43" t="s">
        <v>523</v>
      </c>
      <c r="Y2558" s="4">
        <v>13.0616128806648</v>
      </c>
      <c r="Z2558" s="4">
        <v>12.963700567379799</v>
      </c>
      <c r="AA2558" s="4">
        <v>13.3271922911666</v>
      </c>
      <c r="AB2558" s="4">
        <f t="shared" si="159"/>
        <v>13.117501913070399</v>
      </c>
    </row>
    <row r="2559" spans="2:28" x14ac:dyDescent="0.2">
      <c r="B2559" s="4" t="s">
        <v>2933</v>
      </c>
      <c r="C2559" s="4">
        <v>13.1792</v>
      </c>
      <c r="D2559" s="4">
        <v>13.0116</v>
      </c>
      <c r="E2559" s="4">
        <v>12.776199999999999</v>
      </c>
      <c r="F2559" s="4">
        <f t="shared" si="156"/>
        <v>12.988999999999999</v>
      </c>
      <c r="I2559" s="4" t="s">
        <v>2938</v>
      </c>
      <c r="J2559" s="4">
        <v>12.956899999999999</v>
      </c>
      <c r="K2559" s="4">
        <v>13.4331</v>
      </c>
      <c r="L2559" s="4">
        <v>12.530200000000001</v>
      </c>
      <c r="M2559" s="4">
        <f t="shared" si="157"/>
        <v>12.9734</v>
      </c>
      <c r="Q2559" s="43" t="s">
        <v>3110</v>
      </c>
      <c r="R2559" s="4">
        <v>12.877885325268201</v>
      </c>
      <c r="S2559" s="4">
        <v>12.9788204878105</v>
      </c>
      <c r="T2559" s="4">
        <v>13.063660303120701</v>
      </c>
      <c r="U2559" s="4">
        <f t="shared" si="158"/>
        <v>12.973455372066468</v>
      </c>
      <c r="X2559" s="43" t="s">
        <v>464</v>
      </c>
      <c r="Y2559" s="4">
        <v>13.045578517688201</v>
      </c>
      <c r="Z2559" s="4">
        <v>13.250084605388</v>
      </c>
      <c r="AA2559" s="4">
        <v>13.0557222105479</v>
      </c>
      <c r="AB2559" s="4">
        <f t="shared" si="159"/>
        <v>13.117128444541367</v>
      </c>
    </row>
    <row r="2560" spans="2:28" x14ac:dyDescent="0.2">
      <c r="B2560" s="4" t="s">
        <v>1018</v>
      </c>
      <c r="C2560" s="4">
        <v>12.904299999999999</v>
      </c>
      <c r="D2560" s="4">
        <v>13.175000000000001</v>
      </c>
      <c r="E2560" s="4">
        <v>12.8833</v>
      </c>
      <c r="F2560" s="4">
        <f t="shared" si="156"/>
        <v>12.987533333333333</v>
      </c>
      <c r="I2560" s="4" t="s">
        <v>3900</v>
      </c>
      <c r="J2560" s="4">
        <v>13.525499999999999</v>
      </c>
      <c r="K2560" s="4">
        <v>12.4604</v>
      </c>
      <c r="L2560" s="4">
        <v>12.931800000000001</v>
      </c>
      <c r="M2560" s="4">
        <f t="shared" si="157"/>
        <v>12.972566666666667</v>
      </c>
      <c r="Q2560" s="43" t="s">
        <v>3688</v>
      </c>
      <c r="R2560" s="4">
        <v>12.713330112908</v>
      </c>
      <c r="S2560" s="4">
        <v>13.1071565590237</v>
      </c>
      <c r="T2560" s="4">
        <v>13.086777799587299</v>
      </c>
      <c r="U2560" s="4">
        <f t="shared" si="158"/>
        <v>12.969088157172999</v>
      </c>
      <c r="X2560" s="43" t="s">
        <v>3542</v>
      </c>
      <c r="Y2560" s="4">
        <v>12.9543597858612</v>
      </c>
      <c r="Z2560" s="4">
        <v>13.031195687451699</v>
      </c>
      <c r="AA2560" s="4">
        <v>13.360581165476701</v>
      </c>
      <c r="AB2560" s="4">
        <f t="shared" si="159"/>
        <v>13.115378879596534</v>
      </c>
    </row>
    <row r="2561" spans="2:28" x14ac:dyDescent="0.2">
      <c r="B2561" s="4" t="s">
        <v>2288</v>
      </c>
      <c r="C2561" s="4">
        <v>12.865500000000001</v>
      </c>
      <c r="D2561" s="4">
        <v>13.005699999999999</v>
      </c>
      <c r="E2561" s="4">
        <v>13.088200000000001</v>
      </c>
      <c r="F2561" s="4">
        <f t="shared" si="156"/>
        <v>12.986466666666667</v>
      </c>
      <c r="I2561" s="4" t="s">
        <v>1249</v>
      </c>
      <c r="J2561" s="4">
        <v>13.2354</v>
      </c>
      <c r="K2561" s="4">
        <v>12.669</v>
      </c>
      <c r="L2561" s="4">
        <v>13.004200000000001</v>
      </c>
      <c r="M2561" s="4">
        <f t="shared" si="157"/>
        <v>12.969533333333336</v>
      </c>
      <c r="Q2561" s="43" t="s">
        <v>4201</v>
      </c>
      <c r="R2561" s="4">
        <v>12.627541642482001</v>
      </c>
      <c r="S2561" s="4">
        <v>13.1813982899591</v>
      </c>
      <c r="T2561" s="4">
        <v>13.0979144475412</v>
      </c>
      <c r="U2561" s="4">
        <f t="shared" si="158"/>
        <v>12.9689514599941</v>
      </c>
      <c r="X2561" s="43" t="s">
        <v>2826</v>
      </c>
      <c r="Y2561" s="4">
        <v>13.0525642875032</v>
      </c>
      <c r="Z2561" s="4">
        <v>12.8687190163933</v>
      </c>
      <c r="AA2561" s="4">
        <v>13.4186984971142</v>
      </c>
      <c r="AB2561" s="4">
        <f t="shared" si="159"/>
        <v>13.113327267003568</v>
      </c>
    </row>
    <row r="2562" spans="2:28" x14ac:dyDescent="0.2">
      <c r="B2562" s="4" t="s">
        <v>2426</v>
      </c>
      <c r="C2562" s="4">
        <v>12.757400000000001</v>
      </c>
      <c r="D2562" s="4">
        <v>12.948</v>
      </c>
      <c r="E2562" s="4">
        <v>13.249000000000001</v>
      </c>
      <c r="F2562" s="4">
        <f t="shared" ref="F2562:F2625" si="160">(C2562+D2562+E2562)/3</f>
        <v>12.9848</v>
      </c>
      <c r="I2562" s="4" t="s">
        <v>679</v>
      </c>
      <c r="J2562" s="4">
        <v>13.143700000000001</v>
      </c>
      <c r="K2562" s="4">
        <v>12.453200000000001</v>
      </c>
      <c r="L2562" s="4">
        <v>13.307499999999999</v>
      </c>
      <c r="M2562" s="4">
        <f t="shared" ref="M2562:M2625" si="161">(J2562+K2562+L2562)/3</f>
        <v>12.968133333333334</v>
      </c>
      <c r="Q2562" s="43" t="s">
        <v>2191</v>
      </c>
      <c r="R2562" s="4">
        <v>12.449898840391899</v>
      </c>
      <c r="S2562" s="4">
        <v>13.354844019045901</v>
      </c>
      <c r="T2562" s="4">
        <v>13.094697719451601</v>
      </c>
      <c r="U2562" s="4">
        <f t="shared" ref="U2562:U2625" si="162">(R2562+S2562+T2562)/3</f>
        <v>12.966480192963134</v>
      </c>
      <c r="X2562" s="43" t="s">
        <v>41</v>
      </c>
      <c r="Y2562" s="4">
        <v>13.1848671064744</v>
      </c>
      <c r="Z2562" s="4">
        <v>13.2565979890826</v>
      </c>
      <c r="AA2562" s="4">
        <v>12.897983190540099</v>
      </c>
      <c r="AB2562" s="4">
        <f t="shared" ref="AB2562:AB2625" si="163">(Y2562+Z2562+AA2562)/3</f>
        <v>13.113149428699032</v>
      </c>
    </row>
    <row r="2563" spans="2:28" x14ac:dyDescent="0.2">
      <c r="B2563" s="4" t="s">
        <v>2537</v>
      </c>
      <c r="C2563" s="4">
        <v>12.632400000000001</v>
      </c>
      <c r="D2563" s="4">
        <v>13.203200000000001</v>
      </c>
      <c r="E2563" s="4">
        <v>13.103</v>
      </c>
      <c r="F2563" s="4">
        <f t="shared" si="160"/>
        <v>12.979533333333334</v>
      </c>
      <c r="I2563" s="4" t="s">
        <v>1400</v>
      </c>
      <c r="J2563" s="4">
        <v>12.439500000000001</v>
      </c>
      <c r="K2563" s="4">
        <v>13.446099999999999</v>
      </c>
      <c r="L2563" s="4">
        <v>13.0146</v>
      </c>
      <c r="M2563" s="4">
        <f t="shared" si="161"/>
        <v>12.966733333333332</v>
      </c>
      <c r="Q2563" s="43" t="s">
        <v>4552</v>
      </c>
      <c r="R2563" s="4">
        <v>12.9478230271241</v>
      </c>
      <c r="S2563" s="4">
        <v>13.240006685629499</v>
      </c>
      <c r="T2563" s="4">
        <v>12.708305741134099</v>
      </c>
      <c r="U2563" s="4">
        <f t="shared" si="162"/>
        <v>12.965378484629232</v>
      </c>
      <c r="X2563" s="43" t="s">
        <v>4214</v>
      </c>
      <c r="Y2563" s="4">
        <v>13.0322560684202</v>
      </c>
      <c r="Z2563" s="4">
        <v>13.4158669428809</v>
      </c>
      <c r="AA2563" s="4">
        <v>12.8876826237702</v>
      </c>
      <c r="AB2563" s="4">
        <f t="shared" si="163"/>
        <v>13.111935211690431</v>
      </c>
    </row>
    <row r="2564" spans="2:28" x14ac:dyDescent="0.2">
      <c r="B2564" s="4" t="s">
        <v>945</v>
      </c>
      <c r="C2564" s="4">
        <v>13.2601</v>
      </c>
      <c r="D2564" s="4">
        <v>12.2995</v>
      </c>
      <c r="E2564" s="4">
        <v>13.374000000000001</v>
      </c>
      <c r="F2564" s="4">
        <f t="shared" si="160"/>
        <v>12.977866666666666</v>
      </c>
      <c r="I2564" s="4" t="s">
        <v>481</v>
      </c>
      <c r="J2564" s="4">
        <v>12.8874</v>
      </c>
      <c r="K2564" s="4">
        <v>12.114000000000001</v>
      </c>
      <c r="L2564" s="4">
        <v>13.897399999999999</v>
      </c>
      <c r="M2564" s="4">
        <f t="shared" si="161"/>
        <v>12.966266666666668</v>
      </c>
      <c r="Q2564" s="43" t="s">
        <v>4251</v>
      </c>
      <c r="R2564" s="4">
        <v>12.730638014376</v>
      </c>
      <c r="S2564" s="4">
        <v>13.0951050543386</v>
      </c>
      <c r="T2564" s="4">
        <v>13.069764784451699</v>
      </c>
      <c r="U2564" s="4">
        <f t="shared" si="162"/>
        <v>12.965169284388766</v>
      </c>
      <c r="X2564" s="43" t="s">
        <v>4501</v>
      </c>
      <c r="Y2564" s="4">
        <v>13.084571407157</v>
      </c>
      <c r="Z2564" s="4">
        <v>13.0516769448804</v>
      </c>
      <c r="AA2564" s="4">
        <v>13.198766283336401</v>
      </c>
      <c r="AB2564" s="4">
        <f t="shared" si="163"/>
        <v>13.111671545124599</v>
      </c>
    </row>
    <row r="2565" spans="2:28" x14ac:dyDescent="0.2">
      <c r="B2565" s="4" t="s">
        <v>3023</v>
      </c>
      <c r="C2565" s="4">
        <v>13.0824</v>
      </c>
      <c r="D2565" s="4">
        <v>12.8146</v>
      </c>
      <c r="E2565" s="4">
        <v>13.027100000000001</v>
      </c>
      <c r="F2565" s="4">
        <f t="shared" si="160"/>
        <v>12.974699999999999</v>
      </c>
      <c r="I2565" s="4" t="s">
        <v>2348</v>
      </c>
      <c r="J2565" s="4">
        <v>12.803000000000001</v>
      </c>
      <c r="K2565" s="4">
        <v>12.8025</v>
      </c>
      <c r="L2565" s="4">
        <v>13.2783</v>
      </c>
      <c r="M2565" s="4">
        <f t="shared" si="161"/>
        <v>12.961266666666667</v>
      </c>
      <c r="Q2565" s="43" t="s">
        <v>3374</v>
      </c>
      <c r="R2565" s="4">
        <v>12.8726998172852</v>
      </c>
      <c r="S2565" s="4">
        <v>12.8967113874491</v>
      </c>
      <c r="T2565" s="4">
        <v>13.1185990552248</v>
      </c>
      <c r="U2565" s="4">
        <f t="shared" si="162"/>
        <v>12.962670086653034</v>
      </c>
      <c r="X2565" s="43" t="s">
        <v>2283</v>
      </c>
      <c r="Y2565" s="4">
        <v>13.2391987698627</v>
      </c>
      <c r="Z2565" s="4">
        <v>13.272608878975699</v>
      </c>
      <c r="AA2565" s="4">
        <v>12.8188559006415</v>
      </c>
      <c r="AB2565" s="4">
        <f t="shared" si="163"/>
        <v>13.110221183159966</v>
      </c>
    </row>
    <row r="2566" spans="2:28" x14ac:dyDescent="0.2">
      <c r="B2566" s="4" t="s">
        <v>2947</v>
      </c>
      <c r="C2566" s="4">
        <v>12.808199999999999</v>
      </c>
      <c r="D2566" s="4">
        <v>12.924200000000001</v>
      </c>
      <c r="E2566" s="4">
        <v>13.1905</v>
      </c>
      <c r="F2566" s="4">
        <f t="shared" si="160"/>
        <v>12.974299999999999</v>
      </c>
      <c r="I2566" s="4" t="s">
        <v>3899</v>
      </c>
      <c r="J2566" s="4">
        <v>12.9979</v>
      </c>
      <c r="K2566" s="4">
        <v>12.5876</v>
      </c>
      <c r="L2566" s="4">
        <v>13.2905</v>
      </c>
      <c r="M2566" s="4">
        <f t="shared" si="161"/>
        <v>12.958666666666666</v>
      </c>
      <c r="Q2566" s="43" t="s">
        <v>1815</v>
      </c>
      <c r="R2566" s="4">
        <v>13.075224600277799</v>
      </c>
      <c r="S2566" s="4">
        <v>12.9658409773405</v>
      </c>
      <c r="T2566" s="4">
        <v>12.8418264707554</v>
      </c>
      <c r="U2566" s="4">
        <f t="shared" si="162"/>
        <v>12.960964016124565</v>
      </c>
      <c r="X2566" s="43" t="s">
        <v>474</v>
      </c>
      <c r="Y2566" s="4">
        <v>13.106865307172701</v>
      </c>
      <c r="Z2566" s="4">
        <v>12.9938615609496</v>
      </c>
      <c r="AA2566" s="4">
        <v>13.221687995681901</v>
      </c>
      <c r="AB2566" s="4">
        <f t="shared" si="163"/>
        <v>13.107471621268067</v>
      </c>
    </row>
    <row r="2567" spans="2:28" x14ac:dyDescent="0.2">
      <c r="B2567" s="4" t="s">
        <v>2399</v>
      </c>
      <c r="C2567" s="4">
        <v>13.026199999999999</v>
      </c>
      <c r="D2567" s="4">
        <v>13.106999999999999</v>
      </c>
      <c r="E2567" s="4">
        <v>12.785399999999999</v>
      </c>
      <c r="F2567" s="4">
        <f t="shared" si="160"/>
        <v>12.972866666666667</v>
      </c>
      <c r="I2567" s="4" t="s">
        <v>2035</v>
      </c>
      <c r="J2567" s="4">
        <v>12.715299999999999</v>
      </c>
      <c r="K2567" s="4">
        <v>13.098599999999999</v>
      </c>
      <c r="L2567" s="4">
        <v>13.030099999999999</v>
      </c>
      <c r="M2567" s="4">
        <f t="shared" si="161"/>
        <v>12.947999999999999</v>
      </c>
      <c r="Q2567" s="43" t="s">
        <v>3692</v>
      </c>
      <c r="R2567" s="4">
        <v>12.6780955706316</v>
      </c>
      <c r="S2567" s="4">
        <v>13.3523459699617</v>
      </c>
      <c r="T2567" s="4">
        <v>12.847707719802001</v>
      </c>
      <c r="U2567" s="4">
        <f t="shared" si="162"/>
        <v>12.959383086798434</v>
      </c>
      <c r="X2567" s="43" t="s">
        <v>3576</v>
      </c>
      <c r="Y2567" s="4">
        <v>13.2772499956396</v>
      </c>
      <c r="Z2567" s="4">
        <v>12.755183861840299</v>
      </c>
      <c r="AA2567" s="4">
        <v>13.2885708115325</v>
      </c>
      <c r="AB2567" s="4">
        <f t="shared" si="163"/>
        <v>13.107001556337467</v>
      </c>
    </row>
    <row r="2568" spans="2:28" x14ac:dyDescent="0.2">
      <c r="B2568" s="4" t="s">
        <v>4010</v>
      </c>
      <c r="C2568" s="4">
        <v>12.8018</v>
      </c>
      <c r="D2568" s="4">
        <v>13.0717</v>
      </c>
      <c r="E2568" s="4">
        <v>13.044700000000001</v>
      </c>
      <c r="F2568" s="4">
        <f t="shared" si="160"/>
        <v>12.972733333333332</v>
      </c>
      <c r="I2568" s="4" t="s">
        <v>2735</v>
      </c>
      <c r="J2568" s="4">
        <v>12.9343</v>
      </c>
      <c r="K2568" s="4">
        <v>12.7057</v>
      </c>
      <c r="L2568" s="4">
        <v>13.203799999999999</v>
      </c>
      <c r="M2568" s="4">
        <f t="shared" si="161"/>
        <v>12.947933333333333</v>
      </c>
      <c r="Q2568" s="43" t="s">
        <v>2813</v>
      </c>
      <c r="R2568" s="4">
        <v>12.7380650391693</v>
      </c>
      <c r="S2568" s="4">
        <v>13.2440156974984</v>
      </c>
      <c r="T2568" s="4">
        <v>12.8930661330273</v>
      </c>
      <c r="U2568" s="4">
        <f t="shared" si="162"/>
        <v>12.958382289898333</v>
      </c>
      <c r="X2568" s="43" t="s">
        <v>3674</v>
      </c>
      <c r="Y2568" s="4">
        <v>12.9618850955487</v>
      </c>
      <c r="Z2568" s="4">
        <v>12.974777148328499</v>
      </c>
      <c r="AA2568" s="4">
        <v>13.3833854743737</v>
      </c>
      <c r="AB2568" s="4">
        <f t="shared" si="163"/>
        <v>13.106682572750302</v>
      </c>
    </row>
    <row r="2569" spans="2:28" x14ac:dyDescent="0.2">
      <c r="B2569" s="4" t="s">
        <v>3770</v>
      </c>
      <c r="C2569" s="4">
        <v>12.5525</v>
      </c>
      <c r="D2569" s="4">
        <v>13.497400000000001</v>
      </c>
      <c r="E2569" s="4">
        <v>12.864000000000001</v>
      </c>
      <c r="F2569" s="4">
        <f t="shared" si="160"/>
        <v>12.971299999999999</v>
      </c>
      <c r="I2569" s="4" t="s">
        <v>2152</v>
      </c>
      <c r="J2569" s="4">
        <v>12.9087</v>
      </c>
      <c r="K2569" s="4">
        <v>12.238300000000001</v>
      </c>
      <c r="L2569" s="4">
        <v>13.6967</v>
      </c>
      <c r="M2569" s="4">
        <f t="shared" si="161"/>
        <v>12.947899999999999</v>
      </c>
      <c r="Q2569" s="43" t="s">
        <v>3931</v>
      </c>
      <c r="R2569" s="4">
        <v>12.878342459627399</v>
      </c>
      <c r="S2569" s="4">
        <v>13.004336129617201</v>
      </c>
      <c r="T2569" s="4">
        <v>12.9915794123889</v>
      </c>
      <c r="U2569" s="4">
        <f t="shared" si="162"/>
        <v>12.958086000544499</v>
      </c>
      <c r="X2569" s="43" t="s">
        <v>4290</v>
      </c>
      <c r="Y2569" s="4">
        <v>13.3852338871701</v>
      </c>
      <c r="Z2569" s="4">
        <v>12.8223683182862</v>
      </c>
      <c r="AA2569" s="4">
        <v>13.112088372983401</v>
      </c>
      <c r="AB2569" s="4">
        <f t="shared" si="163"/>
        <v>13.106563526146568</v>
      </c>
    </row>
    <row r="2570" spans="2:28" x14ac:dyDescent="0.2">
      <c r="B2570" s="4" t="s">
        <v>3007</v>
      </c>
      <c r="C2570" s="4">
        <v>12.4384</v>
      </c>
      <c r="D2570" s="4">
        <v>13.3918</v>
      </c>
      <c r="E2570" s="4">
        <v>13.0746</v>
      </c>
      <c r="F2570" s="4">
        <f t="shared" si="160"/>
        <v>12.968266666666665</v>
      </c>
      <c r="I2570" s="4" t="s">
        <v>14</v>
      </c>
      <c r="J2570" s="4">
        <v>12.8583</v>
      </c>
      <c r="K2570" s="4">
        <v>12.318199999999999</v>
      </c>
      <c r="L2570" s="4">
        <v>13.660600000000001</v>
      </c>
      <c r="M2570" s="4">
        <f t="shared" si="161"/>
        <v>12.9457</v>
      </c>
      <c r="Q2570" s="43" t="s">
        <v>4197</v>
      </c>
      <c r="R2570" s="4">
        <v>13.1586209930369</v>
      </c>
      <c r="S2570" s="4">
        <v>12.915267906492501</v>
      </c>
      <c r="T2570" s="4">
        <v>12.7954476947865</v>
      </c>
      <c r="U2570" s="4">
        <f t="shared" si="162"/>
        <v>12.956445531438632</v>
      </c>
      <c r="X2570" s="43" t="s">
        <v>4555</v>
      </c>
      <c r="Y2570" s="4">
        <v>12.8256016425994</v>
      </c>
      <c r="Z2570" s="4">
        <v>13.2319868541434</v>
      </c>
      <c r="AA2570" s="4">
        <v>13.2620235576402</v>
      </c>
      <c r="AB2570" s="4">
        <f t="shared" si="163"/>
        <v>13.106537351461</v>
      </c>
    </row>
    <row r="2571" spans="2:28" x14ac:dyDescent="0.2">
      <c r="B2571" s="4" t="s">
        <v>3940</v>
      </c>
      <c r="C2571" s="4">
        <v>13.074299999999999</v>
      </c>
      <c r="D2571" s="4">
        <v>12.9244</v>
      </c>
      <c r="E2571" s="4">
        <v>12.9055</v>
      </c>
      <c r="F2571" s="4">
        <f t="shared" si="160"/>
        <v>12.968066666666667</v>
      </c>
      <c r="I2571" s="4" t="s">
        <v>3653</v>
      </c>
      <c r="J2571" s="4">
        <v>12.9442</v>
      </c>
      <c r="K2571" s="4">
        <v>13.204000000000001</v>
      </c>
      <c r="L2571" s="4">
        <v>12.6882</v>
      </c>
      <c r="M2571" s="4">
        <f t="shared" si="161"/>
        <v>12.945466666666668</v>
      </c>
      <c r="Q2571" s="43" t="s">
        <v>452</v>
      </c>
      <c r="R2571" s="4">
        <v>13.1245267736661</v>
      </c>
      <c r="S2571" s="4">
        <v>12.8848883243008</v>
      </c>
      <c r="T2571" s="4">
        <v>12.8578015459911</v>
      </c>
      <c r="U2571" s="4">
        <f t="shared" si="162"/>
        <v>12.955738881319334</v>
      </c>
      <c r="X2571" s="43" t="s">
        <v>2848</v>
      </c>
      <c r="Y2571" s="4">
        <v>12.998668590476299</v>
      </c>
      <c r="Z2571" s="4">
        <v>13.243078198925501</v>
      </c>
      <c r="AA2571" s="4">
        <v>13.0721951773239</v>
      </c>
      <c r="AB2571" s="4">
        <f t="shared" si="163"/>
        <v>13.104647322241901</v>
      </c>
    </row>
    <row r="2572" spans="2:28" x14ac:dyDescent="0.2">
      <c r="B2572" s="4" t="s">
        <v>1664</v>
      </c>
      <c r="C2572" s="4">
        <v>12.8695</v>
      </c>
      <c r="D2572" s="4">
        <v>12.6783</v>
      </c>
      <c r="E2572" s="4">
        <v>13.355499999999999</v>
      </c>
      <c r="F2572" s="4">
        <f t="shared" si="160"/>
        <v>12.967766666666668</v>
      </c>
      <c r="I2572" s="4" t="s">
        <v>3895</v>
      </c>
      <c r="J2572" s="4">
        <v>13.047599999999999</v>
      </c>
      <c r="K2572" s="4">
        <v>13.2409</v>
      </c>
      <c r="L2572" s="4">
        <v>12.545299999999999</v>
      </c>
      <c r="M2572" s="4">
        <f t="shared" si="161"/>
        <v>12.944599999999999</v>
      </c>
      <c r="Q2572" s="43" t="s">
        <v>3597</v>
      </c>
      <c r="R2572" s="4">
        <v>13.1752572110685</v>
      </c>
      <c r="S2572" s="4">
        <v>12.8487145395854</v>
      </c>
      <c r="T2572" s="4">
        <v>12.8432343112519</v>
      </c>
      <c r="U2572" s="4">
        <f t="shared" si="162"/>
        <v>12.955735353968599</v>
      </c>
      <c r="X2572" s="43" t="s">
        <v>1525</v>
      </c>
      <c r="Y2572" s="4">
        <v>13.0089140516945</v>
      </c>
      <c r="Z2572" s="4">
        <v>12.802120103118501</v>
      </c>
      <c r="AA2572" s="4">
        <v>13.5016305886993</v>
      </c>
      <c r="AB2572" s="4">
        <f t="shared" si="163"/>
        <v>13.104221581170767</v>
      </c>
    </row>
    <row r="2573" spans="2:28" x14ac:dyDescent="0.2">
      <c r="B2573" s="4" t="s">
        <v>898</v>
      </c>
      <c r="C2573" s="4">
        <v>12.912800000000001</v>
      </c>
      <c r="D2573" s="4">
        <v>13.3186</v>
      </c>
      <c r="E2573" s="4">
        <v>12.668699999999999</v>
      </c>
      <c r="F2573" s="4">
        <f t="shared" si="160"/>
        <v>12.966700000000001</v>
      </c>
      <c r="I2573" s="4" t="s">
        <v>3790</v>
      </c>
      <c r="J2573" s="4">
        <v>12.162699999999999</v>
      </c>
      <c r="K2573" s="4">
        <v>13.9985</v>
      </c>
      <c r="L2573" s="4">
        <v>12.6517</v>
      </c>
      <c r="M2573" s="4">
        <f t="shared" si="161"/>
        <v>12.937633333333332</v>
      </c>
      <c r="Q2573" s="43" t="s">
        <v>2601</v>
      </c>
      <c r="R2573" s="4">
        <v>12.901034072980501</v>
      </c>
      <c r="S2573" s="4">
        <v>12.965605234875801</v>
      </c>
      <c r="T2573" s="4">
        <v>12.994014740202999</v>
      </c>
      <c r="U2573" s="4">
        <f t="shared" si="162"/>
        <v>12.9535513493531</v>
      </c>
      <c r="X2573" s="43" t="s">
        <v>4566</v>
      </c>
      <c r="Y2573" s="4">
        <v>12.772629906450099</v>
      </c>
      <c r="Z2573" s="4">
        <v>13.0611083978837</v>
      </c>
      <c r="AA2573" s="4">
        <v>13.472906546087501</v>
      </c>
      <c r="AB2573" s="4">
        <f t="shared" si="163"/>
        <v>13.102214950140434</v>
      </c>
    </row>
    <row r="2574" spans="2:28" x14ac:dyDescent="0.2">
      <c r="B2574" s="4" t="s">
        <v>3182</v>
      </c>
      <c r="C2574" s="4">
        <v>13.496600000000001</v>
      </c>
      <c r="D2574" s="4">
        <v>12.5693</v>
      </c>
      <c r="E2574" s="4">
        <v>12.8269</v>
      </c>
      <c r="F2574" s="4">
        <f t="shared" si="160"/>
        <v>12.964266666666667</v>
      </c>
      <c r="I2574" s="4" t="s">
        <v>3836</v>
      </c>
      <c r="J2574" s="4">
        <v>12.9718</v>
      </c>
      <c r="K2574" s="4">
        <v>12.7881</v>
      </c>
      <c r="L2574" s="4">
        <v>13.039199999999999</v>
      </c>
      <c r="M2574" s="4">
        <f t="shared" si="161"/>
        <v>12.933033333333334</v>
      </c>
      <c r="Q2574" s="43" t="s">
        <v>2787</v>
      </c>
      <c r="R2574" s="4">
        <v>12.9850765561957</v>
      </c>
      <c r="S2574" s="4">
        <v>13.098928582784399</v>
      </c>
      <c r="T2574" s="4">
        <v>12.7743885126362</v>
      </c>
      <c r="U2574" s="4">
        <f t="shared" si="162"/>
        <v>12.952797883872099</v>
      </c>
      <c r="X2574" s="43" t="s">
        <v>1521</v>
      </c>
      <c r="Y2574" s="4">
        <v>13.1263860681232</v>
      </c>
      <c r="Z2574" s="4">
        <v>13.222267554350299</v>
      </c>
      <c r="AA2574" s="4">
        <v>12.9545720436923</v>
      </c>
      <c r="AB2574" s="4">
        <f t="shared" si="163"/>
        <v>13.101075222055266</v>
      </c>
    </row>
    <row r="2575" spans="2:28" x14ac:dyDescent="0.2">
      <c r="B2575" s="4" t="s">
        <v>3227</v>
      </c>
      <c r="C2575" s="4">
        <v>12.6235</v>
      </c>
      <c r="D2575" s="4">
        <v>13.3912</v>
      </c>
      <c r="E2575" s="4">
        <v>12.8775</v>
      </c>
      <c r="F2575" s="4">
        <f t="shared" si="160"/>
        <v>12.964066666666666</v>
      </c>
      <c r="I2575" s="4" t="s">
        <v>3948</v>
      </c>
      <c r="J2575" s="4">
        <v>12.4171</v>
      </c>
      <c r="K2575" s="4">
        <v>13.0471</v>
      </c>
      <c r="L2575" s="4">
        <v>13.3346</v>
      </c>
      <c r="M2575" s="4">
        <f t="shared" si="161"/>
        <v>12.932933333333333</v>
      </c>
      <c r="Q2575" s="43" t="s">
        <v>195</v>
      </c>
      <c r="R2575" s="4">
        <v>13.0355468377133</v>
      </c>
      <c r="S2575" s="4">
        <v>12.993512788938901</v>
      </c>
      <c r="T2575" s="4">
        <v>12.8288440238332</v>
      </c>
      <c r="U2575" s="4">
        <f t="shared" si="162"/>
        <v>12.952634550161799</v>
      </c>
      <c r="X2575" s="43" t="s">
        <v>282</v>
      </c>
      <c r="Y2575" s="4">
        <v>12.8831970128261</v>
      </c>
      <c r="Z2575" s="4">
        <v>13.0988098832196</v>
      </c>
      <c r="AA2575" s="4">
        <v>13.316675407277399</v>
      </c>
      <c r="AB2575" s="4">
        <f t="shared" si="163"/>
        <v>13.099560767774365</v>
      </c>
    </row>
    <row r="2576" spans="2:28" x14ac:dyDescent="0.2">
      <c r="B2576" s="4" t="s">
        <v>3258</v>
      </c>
      <c r="C2576" s="4">
        <v>12.434200000000001</v>
      </c>
      <c r="D2576" s="4">
        <v>13.480399999999999</v>
      </c>
      <c r="E2576" s="4">
        <v>12.969200000000001</v>
      </c>
      <c r="F2576" s="4">
        <f t="shared" si="160"/>
        <v>12.961266666666667</v>
      </c>
      <c r="I2576" s="4" t="s">
        <v>2714</v>
      </c>
      <c r="J2576" s="4">
        <v>12.7623</v>
      </c>
      <c r="K2576" s="4">
        <v>12.690799999999999</v>
      </c>
      <c r="L2576" s="4">
        <v>13.3383</v>
      </c>
      <c r="M2576" s="4">
        <f t="shared" si="161"/>
        <v>12.930466666666666</v>
      </c>
      <c r="Q2576" s="43" t="s">
        <v>2045</v>
      </c>
      <c r="R2576" s="4">
        <v>12.929016145025299</v>
      </c>
      <c r="S2576" s="4">
        <v>13.0614717026811</v>
      </c>
      <c r="T2576" s="4">
        <v>12.865259896166</v>
      </c>
      <c r="U2576" s="4">
        <f t="shared" si="162"/>
        <v>12.951915914624132</v>
      </c>
      <c r="X2576" s="43" t="s">
        <v>3680</v>
      </c>
      <c r="Y2576" s="4">
        <v>13.3654447191687</v>
      </c>
      <c r="Z2576" s="4">
        <v>12.772183188483099</v>
      </c>
      <c r="AA2576" s="4">
        <v>13.159766197378501</v>
      </c>
      <c r="AB2576" s="4">
        <f t="shared" si="163"/>
        <v>13.099131368343434</v>
      </c>
    </row>
    <row r="2577" spans="2:28" x14ac:dyDescent="0.2">
      <c r="B2577" s="4" t="s">
        <v>1306</v>
      </c>
      <c r="C2577" s="4">
        <v>13.0436</v>
      </c>
      <c r="D2577" s="4">
        <v>12.998799999999999</v>
      </c>
      <c r="E2577" s="4">
        <v>12.8383</v>
      </c>
      <c r="F2577" s="4">
        <f t="shared" si="160"/>
        <v>12.960233333333335</v>
      </c>
      <c r="I2577" s="4" t="s">
        <v>2709</v>
      </c>
      <c r="J2577" s="4">
        <v>13.195600000000001</v>
      </c>
      <c r="K2577" s="4">
        <v>12.075699999999999</v>
      </c>
      <c r="L2577" s="4">
        <v>13.5144</v>
      </c>
      <c r="M2577" s="4">
        <f t="shared" si="161"/>
        <v>12.928566666666667</v>
      </c>
      <c r="Q2577" s="43" t="s">
        <v>3432</v>
      </c>
      <c r="R2577" s="4">
        <v>12.5992629791458</v>
      </c>
      <c r="S2577" s="4">
        <v>12.987854032682501</v>
      </c>
      <c r="T2577" s="4">
        <v>13.268122819243899</v>
      </c>
      <c r="U2577" s="4">
        <f t="shared" si="162"/>
        <v>12.951746610357398</v>
      </c>
      <c r="X2577" s="43" t="s">
        <v>3195</v>
      </c>
      <c r="Y2577" s="4">
        <v>13.0866941539783</v>
      </c>
      <c r="Z2577" s="4">
        <v>13.0943753569473</v>
      </c>
      <c r="AA2577" s="4">
        <v>13.114351070826199</v>
      </c>
      <c r="AB2577" s="4">
        <f t="shared" si="163"/>
        <v>13.098473527250599</v>
      </c>
    </row>
    <row r="2578" spans="2:28" x14ac:dyDescent="0.2">
      <c r="B2578" s="4" t="s">
        <v>1855</v>
      </c>
      <c r="C2578" s="4">
        <v>13.2479</v>
      </c>
      <c r="D2578" s="4">
        <v>12.921200000000001</v>
      </c>
      <c r="E2578" s="4">
        <v>12.7005</v>
      </c>
      <c r="F2578" s="4">
        <f t="shared" si="160"/>
        <v>12.956533333333333</v>
      </c>
      <c r="I2578" s="4" t="s">
        <v>3682</v>
      </c>
      <c r="J2578" s="4">
        <v>12.8878</v>
      </c>
      <c r="K2578" s="4">
        <v>13.4328</v>
      </c>
      <c r="L2578" s="4">
        <v>12.4648</v>
      </c>
      <c r="M2578" s="4">
        <f t="shared" si="161"/>
        <v>12.928466666666665</v>
      </c>
      <c r="Q2578" s="43" t="s">
        <v>210</v>
      </c>
      <c r="R2578" s="4">
        <v>13.0578036627887</v>
      </c>
      <c r="S2578" s="4">
        <v>12.866080342237799</v>
      </c>
      <c r="T2578" s="4">
        <v>12.9308220452022</v>
      </c>
      <c r="U2578" s="4">
        <f t="shared" si="162"/>
        <v>12.951568683409567</v>
      </c>
      <c r="X2578" s="43" t="s">
        <v>838</v>
      </c>
      <c r="Y2578" s="4">
        <v>12.980894372491401</v>
      </c>
      <c r="Z2578" s="4">
        <v>13.4256357838458</v>
      </c>
      <c r="AA2578" s="4">
        <v>12.886920615357001</v>
      </c>
      <c r="AB2578" s="4">
        <f t="shared" si="163"/>
        <v>13.097816923898067</v>
      </c>
    </row>
    <row r="2579" spans="2:28" x14ac:dyDescent="0.2">
      <c r="B2579" s="4" t="s">
        <v>2235</v>
      </c>
      <c r="C2579" s="4">
        <v>12.817600000000001</v>
      </c>
      <c r="D2579" s="4">
        <v>13.1568</v>
      </c>
      <c r="E2579" s="4">
        <v>12.894</v>
      </c>
      <c r="F2579" s="4">
        <f t="shared" si="160"/>
        <v>12.956133333333334</v>
      </c>
      <c r="I2579" s="4" t="s">
        <v>803</v>
      </c>
      <c r="J2579" s="4">
        <v>12.735099999999999</v>
      </c>
      <c r="K2579" s="4">
        <v>13.976599999999999</v>
      </c>
      <c r="L2579" s="4">
        <v>12.0725</v>
      </c>
      <c r="M2579" s="4">
        <f t="shared" si="161"/>
        <v>12.928066666666666</v>
      </c>
      <c r="Q2579" s="43" t="s">
        <v>845</v>
      </c>
      <c r="R2579" s="4">
        <v>12.6613304509169</v>
      </c>
      <c r="S2579" s="4">
        <v>13.0187970122997</v>
      </c>
      <c r="T2579" s="4">
        <v>13.1717820727279</v>
      </c>
      <c r="U2579" s="4">
        <f t="shared" si="162"/>
        <v>12.9506365119815</v>
      </c>
      <c r="X2579" s="43" t="s">
        <v>2867</v>
      </c>
      <c r="Y2579" s="4">
        <v>13.0049107641973</v>
      </c>
      <c r="Z2579" s="4">
        <v>13.024677342379</v>
      </c>
      <c r="AA2579" s="4">
        <v>13.2611446194942</v>
      </c>
      <c r="AB2579" s="4">
        <f t="shared" si="163"/>
        <v>13.096910908690168</v>
      </c>
    </row>
    <row r="2580" spans="2:28" x14ac:dyDescent="0.2">
      <c r="B2580" s="4" t="s">
        <v>723</v>
      </c>
      <c r="C2580" s="4">
        <v>12.9457</v>
      </c>
      <c r="D2580" s="4">
        <v>13.0441</v>
      </c>
      <c r="E2580" s="4">
        <v>12.875299999999999</v>
      </c>
      <c r="F2580" s="4">
        <f t="shared" si="160"/>
        <v>12.955033333333333</v>
      </c>
      <c r="I2580" s="4" t="s">
        <v>2988</v>
      </c>
      <c r="J2580" s="4">
        <v>12.516299999999999</v>
      </c>
      <c r="K2580" s="4">
        <v>13.9626</v>
      </c>
      <c r="L2580" s="4">
        <v>12.299300000000001</v>
      </c>
      <c r="M2580" s="4">
        <f t="shared" si="161"/>
        <v>12.926066666666665</v>
      </c>
      <c r="Q2580" s="43" t="s">
        <v>2499</v>
      </c>
      <c r="R2580" s="4">
        <v>13.021300053788901</v>
      </c>
      <c r="S2580" s="4">
        <v>12.8635626882115</v>
      </c>
      <c r="T2580" s="4">
        <v>12.9664897322022</v>
      </c>
      <c r="U2580" s="4">
        <f t="shared" si="162"/>
        <v>12.950450824734199</v>
      </c>
      <c r="X2580" s="43" t="s">
        <v>1845</v>
      </c>
      <c r="Y2580" s="4">
        <v>13.2304607593484</v>
      </c>
      <c r="Z2580" s="4">
        <v>13.1293942596582</v>
      </c>
      <c r="AA2580" s="4">
        <v>12.930846891768599</v>
      </c>
      <c r="AB2580" s="4">
        <f t="shared" si="163"/>
        <v>13.096900636925065</v>
      </c>
    </row>
    <row r="2581" spans="2:28" x14ac:dyDescent="0.2">
      <c r="B2581" s="4" t="s">
        <v>124</v>
      </c>
      <c r="C2581" s="4">
        <v>12.330299999999999</v>
      </c>
      <c r="D2581" s="4">
        <v>13.1394</v>
      </c>
      <c r="E2581" s="4">
        <v>13.3926</v>
      </c>
      <c r="F2581" s="4">
        <f t="shared" si="160"/>
        <v>12.954099999999999</v>
      </c>
      <c r="I2581" s="4" t="s">
        <v>2568</v>
      </c>
      <c r="J2581" s="4">
        <v>13.1119</v>
      </c>
      <c r="K2581" s="4">
        <v>12.646599999999999</v>
      </c>
      <c r="L2581" s="4">
        <v>13.0184</v>
      </c>
      <c r="M2581" s="4">
        <f t="shared" si="161"/>
        <v>12.925633333333332</v>
      </c>
      <c r="Q2581" s="43" t="s">
        <v>2660</v>
      </c>
      <c r="R2581" s="4">
        <v>12.812825335480801</v>
      </c>
      <c r="S2581" s="4">
        <v>13.1481294033313</v>
      </c>
      <c r="T2581" s="4">
        <v>12.8854550297745</v>
      </c>
      <c r="U2581" s="4">
        <f t="shared" si="162"/>
        <v>12.948803256195532</v>
      </c>
      <c r="X2581" s="43" t="s">
        <v>3216</v>
      </c>
      <c r="Y2581" s="4">
        <v>12.935351748479899</v>
      </c>
      <c r="Z2581" s="4">
        <v>13.296009807354499</v>
      </c>
      <c r="AA2581" s="4">
        <v>13.0575314667178</v>
      </c>
      <c r="AB2581" s="4">
        <f t="shared" si="163"/>
        <v>13.096297674184065</v>
      </c>
    </row>
    <row r="2582" spans="2:28" x14ac:dyDescent="0.2">
      <c r="B2582" s="4" t="s">
        <v>1953</v>
      </c>
      <c r="C2582" s="4">
        <v>12.566599999999999</v>
      </c>
      <c r="D2582" s="4">
        <v>13.3582</v>
      </c>
      <c r="E2582" s="4">
        <v>12.929399999999999</v>
      </c>
      <c r="F2582" s="4">
        <f t="shared" si="160"/>
        <v>12.9514</v>
      </c>
      <c r="I2582" s="4" t="s">
        <v>1395</v>
      </c>
      <c r="J2582" s="4">
        <v>13.063499999999999</v>
      </c>
      <c r="K2582" s="4">
        <v>13.0977</v>
      </c>
      <c r="L2582" s="4">
        <v>12.612500000000001</v>
      </c>
      <c r="M2582" s="4">
        <f t="shared" si="161"/>
        <v>12.924566666666669</v>
      </c>
      <c r="Q2582" s="43" t="s">
        <v>14</v>
      </c>
      <c r="R2582" s="4">
        <v>12.887959397174299</v>
      </c>
      <c r="S2582" s="4">
        <v>13.0883647431541</v>
      </c>
      <c r="T2582" s="4">
        <v>12.8675811747753</v>
      </c>
      <c r="U2582" s="4">
        <f t="shared" si="162"/>
        <v>12.9479684383679</v>
      </c>
      <c r="X2582" s="43" t="s">
        <v>225</v>
      </c>
      <c r="Y2582" s="4">
        <v>13.287369313354001</v>
      </c>
      <c r="Z2582" s="4">
        <v>12.8323194534108</v>
      </c>
      <c r="AA2582" s="4">
        <v>13.1688189168453</v>
      </c>
      <c r="AB2582" s="4">
        <f t="shared" si="163"/>
        <v>13.096169227870035</v>
      </c>
    </row>
    <row r="2583" spans="2:28" x14ac:dyDescent="0.2">
      <c r="B2583" s="4" t="s">
        <v>123</v>
      </c>
      <c r="C2583" s="4">
        <v>12.8881</v>
      </c>
      <c r="D2583" s="4">
        <v>12.5989</v>
      </c>
      <c r="E2583" s="4">
        <v>13.3666</v>
      </c>
      <c r="F2583" s="4">
        <f t="shared" si="160"/>
        <v>12.9512</v>
      </c>
      <c r="I2583" s="4" t="s">
        <v>2975</v>
      </c>
      <c r="J2583" s="4">
        <v>12.8429</v>
      </c>
      <c r="K2583" s="4">
        <v>12.514200000000001</v>
      </c>
      <c r="L2583" s="4">
        <v>13.416</v>
      </c>
      <c r="M2583" s="4">
        <f t="shared" si="161"/>
        <v>12.924366666666666</v>
      </c>
      <c r="Q2583" s="43" t="s">
        <v>771</v>
      </c>
      <c r="R2583" s="4">
        <v>12.377243568545699</v>
      </c>
      <c r="S2583" s="4">
        <v>13.4907606201864</v>
      </c>
      <c r="T2583" s="4">
        <v>12.9745906469901</v>
      </c>
      <c r="U2583" s="4">
        <f t="shared" si="162"/>
        <v>12.947531611907401</v>
      </c>
      <c r="X2583" s="43" t="s">
        <v>3363</v>
      </c>
      <c r="Y2583" s="4">
        <v>13.1379511416254</v>
      </c>
      <c r="Z2583" s="4">
        <v>12.964971205102501</v>
      </c>
      <c r="AA2583" s="4">
        <v>13.182431530140899</v>
      </c>
      <c r="AB2583" s="4">
        <f t="shared" si="163"/>
        <v>13.095117958956266</v>
      </c>
    </row>
    <row r="2584" spans="2:28" x14ac:dyDescent="0.2">
      <c r="B2584" s="4" t="s">
        <v>2782</v>
      </c>
      <c r="C2584" s="4">
        <v>13.4975</v>
      </c>
      <c r="D2584" s="4">
        <v>12.816599999999999</v>
      </c>
      <c r="E2584" s="4">
        <v>12.5345</v>
      </c>
      <c r="F2584" s="4">
        <f t="shared" si="160"/>
        <v>12.949533333333333</v>
      </c>
      <c r="I2584" s="4" t="s">
        <v>3761</v>
      </c>
      <c r="J2584" s="4">
        <v>13.2744</v>
      </c>
      <c r="K2584" s="4">
        <v>13.225199999999999</v>
      </c>
      <c r="L2584" s="4">
        <v>12.2651</v>
      </c>
      <c r="M2584" s="4">
        <f t="shared" si="161"/>
        <v>12.921566666666669</v>
      </c>
      <c r="Q2584" s="43" t="s">
        <v>366</v>
      </c>
      <c r="R2584" s="4">
        <v>13.0759003770335</v>
      </c>
      <c r="S2584" s="4">
        <v>12.886101909134799</v>
      </c>
      <c r="T2584" s="4">
        <v>12.875844442290999</v>
      </c>
      <c r="U2584" s="4">
        <f t="shared" si="162"/>
        <v>12.945948909486432</v>
      </c>
      <c r="X2584" s="43" t="s">
        <v>863</v>
      </c>
      <c r="Y2584" s="4">
        <v>13.1508378290058</v>
      </c>
      <c r="Z2584" s="4">
        <v>13.053554069269399</v>
      </c>
      <c r="AA2584" s="4">
        <v>13.079231700359101</v>
      </c>
      <c r="AB2584" s="4">
        <f t="shared" si="163"/>
        <v>13.094541199544766</v>
      </c>
    </row>
    <row r="2585" spans="2:28" x14ac:dyDescent="0.2">
      <c r="B2585" s="4" t="s">
        <v>1482</v>
      </c>
      <c r="C2585" s="4">
        <v>12.9107</v>
      </c>
      <c r="D2585" s="4">
        <v>12.93</v>
      </c>
      <c r="E2585" s="4">
        <v>13.0068</v>
      </c>
      <c r="F2585" s="4">
        <f t="shared" si="160"/>
        <v>12.949166666666665</v>
      </c>
      <c r="I2585" s="4" t="s">
        <v>3500</v>
      </c>
      <c r="J2585" s="4">
        <v>12.8253</v>
      </c>
      <c r="K2585" s="4">
        <v>13.4557</v>
      </c>
      <c r="L2585" s="4">
        <v>12.4825</v>
      </c>
      <c r="M2585" s="4">
        <f t="shared" si="161"/>
        <v>12.921166666666666</v>
      </c>
      <c r="Q2585" s="43" t="s">
        <v>2530</v>
      </c>
      <c r="R2585" s="4">
        <v>12.606563172529601</v>
      </c>
      <c r="S2585" s="4">
        <v>13.007002247933899</v>
      </c>
      <c r="T2585" s="4">
        <v>13.215951607729799</v>
      </c>
      <c r="U2585" s="4">
        <f t="shared" si="162"/>
        <v>12.943172342731101</v>
      </c>
      <c r="X2585" s="43" t="s">
        <v>1413</v>
      </c>
      <c r="Y2585" s="4">
        <v>13.1440179709564</v>
      </c>
      <c r="Z2585" s="4">
        <v>13.3848691545178</v>
      </c>
      <c r="AA2585" s="4">
        <v>12.7538786852679</v>
      </c>
      <c r="AB2585" s="4">
        <f t="shared" si="163"/>
        <v>13.094255270247366</v>
      </c>
    </row>
    <row r="2586" spans="2:28" x14ac:dyDescent="0.2">
      <c r="B2586" s="4" t="s">
        <v>559</v>
      </c>
      <c r="C2586" s="4">
        <v>12.7704</v>
      </c>
      <c r="D2586" s="4">
        <v>12.9384</v>
      </c>
      <c r="E2586" s="4">
        <v>13.1373</v>
      </c>
      <c r="F2586" s="4">
        <f t="shared" si="160"/>
        <v>12.948700000000001</v>
      </c>
      <c r="I2586" s="4" t="s">
        <v>441</v>
      </c>
      <c r="J2586" s="4">
        <v>13.2217</v>
      </c>
      <c r="K2586" s="4">
        <v>12.4275</v>
      </c>
      <c r="L2586" s="4">
        <v>13.1114</v>
      </c>
      <c r="M2586" s="4">
        <f t="shared" si="161"/>
        <v>12.920199999999999</v>
      </c>
      <c r="Q2586" s="43" t="s">
        <v>3436</v>
      </c>
      <c r="R2586" s="4">
        <v>12.6043592437785</v>
      </c>
      <c r="S2586" s="4">
        <v>13.3089480670348</v>
      </c>
      <c r="T2586" s="4">
        <v>12.916090537188801</v>
      </c>
      <c r="U2586" s="4">
        <f t="shared" si="162"/>
        <v>12.943132616000701</v>
      </c>
      <c r="X2586" s="43" t="s">
        <v>304</v>
      </c>
      <c r="Y2586" s="4">
        <v>13.121576604274299</v>
      </c>
      <c r="Z2586" s="4">
        <v>12.954725397249099</v>
      </c>
      <c r="AA2586" s="4">
        <v>13.2042167505428</v>
      </c>
      <c r="AB2586" s="4">
        <f t="shared" si="163"/>
        <v>13.093506250688733</v>
      </c>
    </row>
    <row r="2587" spans="2:28" x14ac:dyDescent="0.2">
      <c r="B2587" s="4" t="s">
        <v>2966</v>
      </c>
      <c r="C2587" s="4">
        <v>12.5266</v>
      </c>
      <c r="D2587" s="4">
        <v>13.168100000000001</v>
      </c>
      <c r="E2587" s="4">
        <v>13.150399999999999</v>
      </c>
      <c r="F2587" s="4">
        <f t="shared" si="160"/>
        <v>12.948366666666667</v>
      </c>
      <c r="I2587" s="4" t="s">
        <v>2649</v>
      </c>
      <c r="J2587" s="4">
        <v>12.9716</v>
      </c>
      <c r="K2587" s="4">
        <v>13.1927</v>
      </c>
      <c r="L2587" s="4">
        <v>12.5883</v>
      </c>
      <c r="M2587" s="4">
        <f t="shared" si="161"/>
        <v>12.917533333333333</v>
      </c>
      <c r="Q2587" s="43" t="s">
        <v>591</v>
      </c>
      <c r="R2587" s="4">
        <v>12.8192348726422</v>
      </c>
      <c r="S2587" s="4">
        <v>12.968284430254901</v>
      </c>
      <c r="T2587" s="4">
        <v>13.040506528932401</v>
      </c>
      <c r="U2587" s="4">
        <f t="shared" si="162"/>
        <v>12.942675277276502</v>
      </c>
      <c r="X2587" s="43" t="s">
        <v>1187</v>
      </c>
      <c r="Y2587" s="4">
        <v>13.1551897311074</v>
      </c>
      <c r="Z2587" s="4">
        <v>13.089632990115099</v>
      </c>
      <c r="AA2587" s="4">
        <v>13.028264817280199</v>
      </c>
      <c r="AB2587" s="4">
        <f t="shared" si="163"/>
        <v>13.091029179500898</v>
      </c>
    </row>
    <row r="2588" spans="2:28" x14ac:dyDescent="0.2">
      <c r="B2588" s="4" t="s">
        <v>3326</v>
      </c>
      <c r="C2588" s="4">
        <v>12.76</v>
      </c>
      <c r="D2588" s="4">
        <v>13.302199999999999</v>
      </c>
      <c r="E2588" s="4">
        <v>12.7766</v>
      </c>
      <c r="F2588" s="4">
        <f t="shared" si="160"/>
        <v>12.946266666666666</v>
      </c>
      <c r="I2588" s="4" t="s">
        <v>4050</v>
      </c>
      <c r="J2588" s="4">
        <v>12.558199999999999</v>
      </c>
      <c r="K2588" s="4">
        <v>13.3752</v>
      </c>
      <c r="L2588" s="4">
        <v>12.819000000000001</v>
      </c>
      <c r="M2588" s="4">
        <f t="shared" si="161"/>
        <v>12.917466666666668</v>
      </c>
      <c r="Q2588" s="43" t="s">
        <v>867</v>
      </c>
      <c r="R2588" s="4">
        <v>13.061870894029701</v>
      </c>
      <c r="S2588" s="4">
        <v>13.173960837030799</v>
      </c>
      <c r="T2588" s="4">
        <v>12.588659283238099</v>
      </c>
      <c r="U2588" s="4">
        <f t="shared" si="162"/>
        <v>12.9414970047662</v>
      </c>
      <c r="X2588" s="43" t="s">
        <v>893</v>
      </c>
      <c r="Y2588" s="4">
        <v>12.9880845585065</v>
      </c>
      <c r="Z2588" s="4">
        <v>13.449134375014101</v>
      </c>
      <c r="AA2588" s="4">
        <v>12.832827618939399</v>
      </c>
      <c r="AB2588" s="4">
        <f t="shared" si="163"/>
        <v>13.090015517486668</v>
      </c>
    </row>
    <row r="2589" spans="2:28" x14ac:dyDescent="0.2">
      <c r="B2589" s="4" t="s">
        <v>3433</v>
      </c>
      <c r="C2589" s="4">
        <v>12.704499999999999</v>
      </c>
      <c r="D2589" s="4">
        <v>13.091200000000001</v>
      </c>
      <c r="E2589" s="4">
        <v>13.041600000000001</v>
      </c>
      <c r="F2589" s="4">
        <f t="shared" si="160"/>
        <v>12.945766666666666</v>
      </c>
      <c r="I2589" s="4" t="s">
        <v>2911</v>
      </c>
      <c r="J2589" s="4">
        <v>13.3604</v>
      </c>
      <c r="K2589" s="4">
        <v>12.0525</v>
      </c>
      <c r="L2589" s="4">
        <v>13.330500000000001</v>
      </c>
      <c r="M2589" s="4">
        <f t="shared" si="161"/>
        <v>12.914466666666668</v>
      </c>
      <c r="Q2589" s="43" t="s">
        <v>1772</v>
      </c>
      <c r="R2589" s="4">
        <v>13.020180447345</v>
      </c>
      <c r="S2589" s="4">
        <v>12.854462619384201</v>
      </c>
      <c r="T2589" s="4">
        <v>12.9494594046462</v>
      </c>
      <c r="U2589" s="4">
        <f t="shared" si="162"/>
        <v>12.941367490458466</v>
      </c>
      <c r="X2589" s="43" t="s">
        <v>4408</v>
      </c>
      <c r="Y2589" s="4">
        <v>12.8569444573364</v>
      </c>
      <c r="Z2589" s="4">
        <v>13.101432661429399</v>
      </c>
      <c r="AA2589" s="4">
        <v>13.302937792662201</v>
      </c>
      <c r="AB2589" s="4">
        <f t="shared" si="163"/>
        <v>13.087104970476</v>
      </c>
    </row>
    <row r="2590" spans="2:28" x14ac:dyDescent="0.2">
      <c r="B2590" s="4" t="s">
        <v>1554</v>
      </c>
      <c r="C2590" s="4">
        <v>12.530799999999999</v>
      </c>
      <c r="D2590" s="4">
        <v>13.0029</v>
      </c>
      <c r="E2590" s="4">
        <v>13.2964</v>
      </c>
      <c r="F2590" s="4">
        <f t="shared" si="160"/>
        <v>12.943366666666668</v>
      </c>
      <c r="I2590" s="4" t="s">
        <v>3162</v>
      </c>
      <c r="J2590" s="4">
        <v>13.070600000000001</v>
      </c>
      <c r="K2590" s="4">
        <v>12.7591</v>
      </c>
      <c r="L2590" s="4">
        <v>12.904199999999999</v>
      </c>
      <c r="M2590" s="4">
        <f t="shared" si="161"/>
        <v>12.911300000000002</v>
      </c>
      <c r="Q2590" s="43" t="s">
        <v>2193</v>
      </c>
      <c r="R2590" s="4">
        <v>12.9491861566162</v>
      </c>
      <c r="S2590" s="4">
        <v>12.859691377555899</v>
      </c>
      <c r="T2590" s="4">
        <v>13.0088189383467</v>
      </c>
      <c r="U2590" s="4">
        <f t="shared" si="162"/>
        <v>12.939232157506266</v>
      </c>
      <c r="X2590" s="43" t="s">
        <v>1401</v>
      </c>
      <c r="Y2590" s="4">
        <v>13.348233840120299</v>
      </c>
      <c r="Z2590" s="4">
        <v>12.668766266001001</v>
      </c>
      <c r="AA2590" s="4">
        <v>13.242326997462101</v>
      </c>
      <c r="AB2590" s="4">
        <f t="shared" si="163"/>
        <v>13.086442367861133</v>
      </c>
    </row>
    <row r="2591" spans="2:28" x14ac:dyDescent="0.2">
      <c r="B2591" s="4" t="s">
        <v>1605</v>
      </c>
      <c r="C2591" s="4">
        <v>11.8515</v>
      </c>
      <c r="D2591" s="4">
        <v>13.424099999999999</v>
      </c>
      <c r="E2591" s="4">
        <v>13.552099999999999</v>
      </c>
      <c r="F2591" s="4">
        <f t="shared" si="160"/>
        <v>12.942566666666664</v>
      </c>
      <c r="I2591" s="4" t="s">
        <v>2839</v>
      </c>
      <c r="J2591" s="4">
        <v>13.2752</v>
      </c>
      <c r="K2591" s="4">
        <v>12.682700000000001</v>
      </c>
      <c r="L2591" s="4">
        <v>12.7729</v>
      </c>
      <c r="M2591" s="4">
        <f t="shared" si="161"/>
        <v>12.910266666666667</v>
      </c>
      <c r="Q2591" s="43" t="s">
        <v>2399</v>
      </c>
      <c r="R2591" s="4">
        <v>12.7833108831201</v>
      </c>
      <c r="S2591" s="4">
        <v>13.0630015393874</v>
      </c>
      <c r="T2591" s="4">
        <v>12.9660707610077</v>
      </c>
      <c r="U2591" s="4">
        <f t="shared" si="162"/>
        <v>12.937461061171733</v>
      </c>
      <c r="X2591" s="43" t="s">
        <v>424</v>
      </c>
      <c r="Y2591" s="4">
        <v>13.1119498541971</v>
      </c>
      <c r="Z2591" s="4">
        <v>12.7168350174613</v>
      </c>
      <c r="AA2591" s="4">
        <v>13.427013529713401</v>
      </c>
      <c r="AB2591" s="4">
        <f t="shared" si="163"/>
        <v>13.085266133790599</v>
      </c>
    </row>
    <row r="2592" spans="2:28" x14ac:dyDescent="0.2">
      <c r="B2592" s="4" t="s">
        <v>3068</v>
      </c>
      <c r="C2592" s="4">
        <v>12.6433</v>
      </c>
      <c r="D2592" s="4">
        <v>13.1456</v>
      </c>
      <c r="E2592" s="4">
        <v>13.034700000000001</v>
      </c>
      <c r="F2592" s="4">
        <f t="shared" si="160"/>
        <v>12.9412</v>
      </c>
      <c r="I2592" s="4" t="s">
        <v>1634</v>
      </c>
      <c r="J2592" s="4">
        <v>13.0139</v>
      </c>
      <c r="K2592" s="4">
        <v>12.787000000000001</v>
      </c>
      <c r="L2592" s="4">
        <v>12.914899999999999</v>
      </c>
      <c r="M2592" s="4">
        <f t="shared" si="161"/>
        <v>12.905266666666668</v>
      </c>
      <c r="Q2592" s="43" t="s">
        <v>2775</v>
      </c>
      <c r="R2592" s="4">
        <v>12.8482250229718</v>
      </c>
      <c r="S2592" s="4">
        <v>13.0041461964903</v>
      </c>
      <c r="T2592" s="4">
        <v>12.9592019000479</v>
      </c>
      <c r="U2592" s="4">
        <f t="shared" si="162"/>
        <v>12.937191039836668</v>
      </c>
      <c r="X2592" s="45" t="s">
        <v>406</v>
      </c>
      <c r="Y2592" s="24">
        <v>13.225383568336399</v>
      </c>
      <c r="Z2592" s="24">
        <v>12.8541997097569</v>
      </c>
      <c r="AA2592" s="24">
        <v>13.1749361981435</v>
      </c>
      <c r="AB2592" s="4">
        <f t="shared" si="163"/>
        <v>13.084839825412267</v>
      </c>
    </row>
    <row r="2593" spans="2:28" x14ac:dyDescent="0.2">
      <c r="B2593" s="4" t="s">
        <v>3869</v>
      </c>
      <c r="C2593" s="4">
        <v>13.291</v>
      </c>
      <c r="D2593" s="4">
        <v>12.8239</v>
      </c>
      <c r="E2593" s="4">
        <v>12.708299999999999</v>
      </c>
      <c r="F2593" s="4">
        <f t="shared" si="160"/>
        <v>12.941066666666666</v>
      </c>
      <c r="I2593" s="44">
        <v>45357</v>
      </c>
      <c r="J2593" s="4">
        <v>13.4153</v>
      </c>
      <c r="K2593" s="4">
        <v>11.821899999999999</v>
      </c>
      <c r="L2593" s="4">
        <v>13.4758</v>
      </c>
      <c r="M2593" s="4">
        <f t="shared" si="161"/>
        <v>12.904333333333334</v>
      </c>
      <c r="Q2593" s="43" t="s">
        <v>2620</v>
      </c>
      <c r="R2593" s="4">
        <v>12.654670919408799</v>
      </c>
      <c r="S2593" s="4">
        <v>13.117532027218999</v>
      </c>
      <c r="T2593" s="4">
        <v>13.0294273084391</v>
      </c>
      <c r="U2593" s="4">
        <f t="shared" si="162"/>
        <v>12.933876751688965</v>
      </c>
      <c r="X2593" s="43" t="s">
        <v>1101</v>
      </c>
      <c r="Y2593" s="4">
        <v>13.134081758674601</v>
      </c>
      <c r="Z2593" s="4">
        <v>13.2402209769485</v>
      </c>
      <c r="AA2593" s="4">
        <v>12.875199357082</v>
      </c>
      <c r="AB2593" s="4">
        <f t="shared" si="163"/>
        <v>13.083167364235033</v>
      </c>
    </row>
    <row r="2594" spans="2:28" x14ac:dyDescent="0.2">
      <c r="B2594" s="4" t="s">
        <v>3313</v>
      </c>
      <c r="C2594" s="4">
        <v>12.899800000000001</v>
      </c>
      <c r="D2594" s="4">
        <v>13.093500000000001</v>
      </c>
      <c r="E2594" s="4">
        <v>12.829499999999999</v>
      </c>
      <c r="F2594" s="4">
        <f t="shared" si="160"/>
        <v>12.940933333333334</v>
      </c>
      <c r="I2594" s="4" t="s">
        <v>837</v>
      </c>
      <c r="J2594" s="4">
        <v>13.086499999999999</v>
      </c>
      <c r="K2594" s="4">
        <v>12.0032</v>
      </c>
      <c r="L2594" s="4">
        <v>13.623100000000001</v>
      </c>
      <c r="M2594" s="4">
        <f t="shared" si="161"/>
        <v>12.904266666666667</v>
      </c>
      <c r="Q2594" s="43" t="s">
        <v>4461</v>
      </c>
      <c r="R2594" s="4">
        <v>13.126894260136501</v>
      </c>
      <c r="S2594" s="4">
        <v>12.850205697707</v>
      </c>
      <c r="T2594" s="4">
        <v>12.8194998356275</v>
      </c>
      <c r="U2594" s="4">
        <f t="shared" si="162"/>
        <v>12.932199931157001</v>
      </c>
      <c r="X2594" s="43" t="s">
        <v>4393</v>
      </c>
      <c r="Y2594" s="4">
        <v>13.2081148552508</v>
      </c>
      <c r="Z2594" s="4">
        <v>13.0069192164214</v>
      </c>
      <c r="AA2594" s="4">
        <v>13.033096123838099</v>
      </c>
      <c r="AB2594" s="4">
        <f t="shared" si="163"/>
        <v>13.082710065170099</v>
      </c>
    </row>
    <row r="2595" spans="2:28" x14ac:dyDescent="0.2">
      <c r="B2595" s="4" t="s">
        <v>2797</v>
      </c>
      <c r="C2595" s="4">
        <v>13.238</v>
      </c>
      <c r="D2595" s="4">
        <v>13.071300000000001</v>
      </c>
      <c r="E2595" s="4">
        <v>12.5121</v>
      </c>
      <c r="F2595" s="4">
        <f t="shared" si="160"/>
        <v>12.940466666666666</v>
      </c>
      <c r="I2595" s="4" t="s">
        <v>864</v>
      </c>
      <c r="J2595" s="4">
        <v>12.8848</v>
      </c>
      <c r="K2595" s="4">
        <v>12.5647</v>
      </c>
      <c r="L2595" s="4">
        <v>13.2585</v>
      </c>
      <c r="M2595" s="4">
        <f t="shared" si="161"/>
        <v>12.902666666666667</v>
      </c>
      <c r="Q2595" s="43" t="s">
        <v>388</v>
      </c>
      <c r="R2595" s="4">
        <v>12.69009857759</v>
      </c>
      <c r="S2595" s="4">
        <v>13.030731252929399</v>
      </c>
      <c r="T2595" s="4">
        <v>13.072649256473801</v>
      </c>
      <c r="U2595" s="4">
        <f t="shared" si="162"/>
        <v>12.9311596956644</v>
      </c>
      <c r="X2595" s="43" t="s">
        <v>4197</v>
      </c>
      <c r="Y2595" s="4">
        <v>13.399893500621401</v>
      </c>
      <c r="Z2595" s="4">
        <v>12.9908266175793</v>
      </c>
      <c r="AA2595" s="4">
        <v>12.856813253774799</v>
      </c>
      <c r="AB2595" s="4">
        <f t="shared" si="163"/>
        <v>13.082511123991834</v>
      </c>
    </row>
    <row r="2596" spans="2:28" x14ac:dyDescent="0.2">
      <c r="B2596" s="4" t="s">
        <v>1416</v>
      </c>
      <c r="C2596" s="4">
        <v>13.164400000000001</v>
      </c>
      <c r="D2596" s="4">
        <v>12.4411</v>
      </c>
      <c r="E2596" s="4">
        <v>13.213900000000001</v>
      </c>
      <c r="F2596" s="4">
        <f t="shared" si="160"/>
        <v>12.9398</v>
      </c>
      <c r="I2596" s="46" t="s">
        <v>3932</v>
      </c>
      <c r="J2596" s="4">
        <v>13.270799999999999</v>
      </c>
      <c r="K2596" s="4">
        <v>12.6081</v>
      </c>
      <c r="L2596" s="4">
        <v>12.829000000000001</v>
      </c>
      <c r="M2596" s="4">
        <f t="shared" si="161"/>
        <v>12.902633333333334</v>
      </c>
      <c r="Q2596" s="43" t="s">
        <v>2397</v>
      </c>
      <c r="R2596" s="4">
        <v>12.797442659694999</v>
      </c>
      <c r="S2596" s="4">
        <v>13.117742156919901</v>
      </c>
      <c r="T2596" s="4">
        <v>12.8734545959335</v>
      </c>
      <c r="U2596" s="4">
        <f t="shared" si="162"/>
        <v>12.929546470849466</v>
      </c>
      <c r="X2596" s="43" t="s">
        <v>4219</v>
      </c>
      <c r="Y2596" s="4">
        <v>12.961722235421901</v>
      </c>
      <c r="Z2596" s="4">
        <v>13.1547480082696</v>
      </c>
      <c r="AA2596" s="4">
        <v>13.120591853293201</v>
      </c>
      <c r="AB2596" s="4">
        <f t="shared" si="163"/>
        <v>13.079020698994901</v>
      </c>
    </row>
    <row r="2597" spans="2:28" x14ac:dyDescent="0.2">
      <c r="B2597" s="4" t="s">
        <v>2035</v>
      </c>
      <c r="C2597" s="4">
        <v>12.9695</v>
      </c>
      <c r="D2597" s="4">
        <v>12.7499</v>
      </c>
      <c r="E2597" s="4">
        <v>13.094200000000001</v>
      </c>
      <c r="F2597" s="4">
        <f t="shared" si="160"/>
        <v>12.937866666666666</v>
      </c>
      <c r="I2597" s="4" t="s">
        <v>1775</v>
      </c>
      <c r="J2597" s="4">
        <v>12.9674</v>
      </c>
      <c r="K2597" s="4">
        <v>12.9231</v>
      </c>
      <c r="L2597" s="4">
        <v>12.816800000000001</v>
      </c>
      <c r="M2597" s="4">
        <f t="shared" si="161"/>
        <v>12.902433333333335</v>
      </c>
      <c r="Q2597" s="43" t="s">
        <v>1509</v>
      </c>
      <c r="R2597" s="4">
        <v>12.6290615342899</v>
      </c>
      <c r="S2597" s="4">
        <v>13.0074066305157</v>
      </c>
      <c r="T2597" s="4">
        <v>13.1445534171517</v>
      </c>
      <c r="U2597" s="4">
        <f t="shared" si="162"/>
        <v>12.927007193985766</v>
      </c>
      <c r="X2597" s="43" t="s">
        <v>1432</v>
      </c>
      <c r="Y2597" s="4">
        <v>13.114949092125601</v>
      </c>
      <c r="Z2597" s="4">
        <v>13.1979855814081</v>
      </c>
      <c r="AA2597" s="4">
        <v>12.922353727769799</v>
      </c>
      <c r="AB2597" s="4">
        <f t="shared" si="163"/>
        <v>13.078429467101166</v>
      </c>
    </row>
    <row r="2598" spans="2:28" x14ac:dyDescent="0.2">
      <c r="B2598" s="4" t="s">
        <v>2137</v>
      </c>
      <c r="C2598" s="4">
        <v>13.2302</v>
      </c>
      <c r="D2598" s="4">
        <v>12.786899999999999</v>
      </c>
      <c r="E2598" s="4">
        <v>12.7949</v>
      </c>
      <c r="F2598" s="4">
        <f t="shared" si="160"/>
        <v>12.937333333333333</v>
      </c>
      <c r="I2598" s="4" t="s">
        <v>413</v>
      </c>
      <c r="J2598" s="4">
        <v>13.067299999999999</v>
      </c>
      <c r="K2598" s="4">
        <v>12.423500000000001</v>
      </c>
      <c r="L2598" s="4">
        <v>13.215400000000001</v>
      </c>
      <c r="M2598" s="4">
        <f t="shared" si="161"/>
        <v>12.902066666666668</v>
      </c>
      <c r="Q2598" s="43" t="s">
        <v>2482</v>
      </c>
      <c r="R2598" s="4">
        <v>12.834827812919899</v>
      </c>
      <c r="S2598" s="4">
        <v>12.887050213201899</v>
      </c>
      <c r="T2598" s="4">
        <v>13.05484012456</v>
      </c>
      <c r="U2598" s="4">
        <f t="shared" si="162"/>
        <v>12.925572716893933</v>
      </c>
      <c r="X2598" s="43" t="s">
        <v>2858</v>
      </c>
      <c r="Y2598" s="4">
        <v>13.1023646463102</v>
      </c>
      <c r="Z2598" s="4">
        <v>13.2702156385213</v>
      </c>
      <c r="AA2598" s="4">
        <v>12.8624294696886</v>
      </c>
      <c r="AB2598" s="4">
        <f t="shared" si="163"/>
        <v>13.078336584840033</v>
      </c>
    </row>
    <row r="2599" spans="2:28" x14ac:dyDescent="0.2">
      <c r="B2599" s="4" t="s">
        <v>1301</v>
      </c>
      <c r="C2599" s="4">
        <v>12.4877</v>
      </c>
      <c r="D2599" s="4">
        <v>13.048999999999999</v>
      </c>
      <c r="E2599" s="4">
        <v>13.2736</v>
      </c>
      <c r="F2599" s="4">
        <f t="shared" si="160"/>
        <v>12.936766666666665</v>
      </c>
      <c r="I2599" s="4" t="s">
        <v>3558</v>
      </c>
      <c r="J2599" s="4">
        <v>12.877599999999999</v>
      </c>
      <c r="K2599" s="4">
        <v>12.5411</v>
      </c>
      <c r="L2599" s="4">
        <v>13.280099999999999</v>
      </c>
      <c r="M2599" s="4">
        <f t="shared" si="161"/>
        <v>12.8996</v>
      </c>
      <c r="Q2599" s="43" t="s">
        <v>2680</v>
      </c>
      <c r="R2599" s="4">
        <v>13.058607271453999</v>
      </c>
      <c r="S2599" s="4">
        <v>12.924593767389901</v>
      </c>
      <c r="T2599" s="4">
        <v>12.7895624962421</v>
      </c>
      <c r="U2599" s="4">
        <f t="shared" si="162"/>
        <v>12.924254511695333</v>
      </c>
      <c r="X2599" s="43" t="s">
        <v>3759</v>
      </c>
      <c r="Y2599" s="4">
        <v>13.1210019932644</v>
      </c>
      <c r="Z2599" s="4">
        <v>12.882876106758999</v>
      </c>
      <c r="AA2599" s="4">
        <v>13.2238914693389</v>
      </c>
      <c r="AB2599" s="4">
        <f t="shared" si="163"/>
        <v>13.075923189787433</v>
      </c>
    </row>
    <row r="2600" spans="2:28" x14ac:dyDescent="0.2">
      <c r="B2600" s="4" t="s">
        <v>3881</v>
      </c>
      <c r="C2600" s="4">
        <v>12.893800000000001</v>
      </c>
      <c r="D2600" s="4">
        <v>12.962899999999999</v>
      </c>
      <c r="E2600" s="4">
        <v>12.949199999999999</v>
      </c>
      <c r="F2600" s="4">
        <f t="shared" si="160"/>
        <v>12.9353</v>
      </c>
      <c r="I2600" s="4" t="s">
        <v>4044</v>
      </c>
      <c r="J2600" s="4">
        <v>12.934200000000001</v>
      </c>
      <c r="K2600" s="4">
        <v>13.0227</v>
      </c>
      <c r="L2600" s="4">
        <v>12.738</v>
      </c>
      <c r="M2600" s="4">
        <f t="shared" si="161"/>
        <v>12.898300000000001</v>
      </c>
      <c r="Q2600" s="43" t="s">
        <v>694</v>
      </c>
      <c r="R2600" s="4">
        <v>12.844034081530999</v>
      </c>
      <c r="S2600" s="4">
        <v>12.9047369427251</v>
      </c>
      <c r="T2600" s="4">
        <v>13.0222999403631</v>
      </c>
      <c r="U2600" s="4">
        <f t="shared" si="162"/>
        <v>12.923690321539732</v>
      </c>
      <c r="X2600" s="43" t="s">
        <v>3748</v>
      </c>
      <c r="Y2600" s="4">
        <v>13.190301629598</v>
      </c>
      <c r="Z2600" s="4">
        <v>13.3504036250624</v>
      </c>
      <c r="AA2600" s="4">
        <v>12.682447645452999</v>
      </c>
      <c r="AB2600" s="4">
        <f t="shared" si="163"/>
        <v>13.074384300037801</v>
      </c>
    </row>
    <row r="2601" spans="2:28" x14ac:dyDescent="0.2">
      <c r="B2601" s="4" t="s">
        <v>2753</v>
      </c>
      <c r="C2601" s="4">
        <v>12.182499999999999</v>
      </c>
      <c r="D2601" s="4">
        <v>12.9095</v>
      </c>
      <c r="E2601" s="4">
        <v>13.709199999999999</v>
      </c>
      <c r="F2601" s="4">
        <f t="shared" si="160"/>
        <v>12.933733333333331</v>
      </c>
      <c r="I2601" s="4" t="s">
        <v>1920</v>
      </c>
      <c r="J2601" s="4">
        <v>12.928599999999999</v>
      </c>
      <c r="K2601" s="4">
        <v>12.777799999999999</v>
      </c>
      <c r="L2601" s="4">
        <v>12.985200000000001</v>
      </c>
      <c r="M2601" s="4">
        <f t="shared" si="161"/>
        <v>12.8972</v>
      </c>
      <c r="Q2601" s="43" t="s">
        <v>4511</v>
      </c>
      <c r="R2601" s="4">
        <v>12.712625489998</v>
      </c>
      <c r="S2601" s="4">
        <v>13.2071097518484</v>
      </c>
      <c r="T2601" s="4">
        <v>12.849682750638401</v>
      </c>
      <c r="U2601" s="4">
        <f t="shared" si="162"/>
        <v>12.923139330828269</v>
      </c>
      <c r="X2601" s="43" t="s">
        <v>185</v>
      </c>
      <c r="Y2601" s="4">
        <v>13.094760977586899</v>
      </c>
      <c r="Z2601" s="4">
        <v>13.1917538829377</v>
      </c>
      <c r="AA2601" s="4">
        <v>12.9341693761148</v>
      </c>
      <c r="AB2601" s="4">
        <f t="shared" si="163"/>
        <v>13.073561412213133</v>
      </c>
    </row>
    <row r="2602" spans="2:28" x14ac:dyDescent="0.2">
      <c r="B2602" s="4" t="s">
        <v>2201</v>
      </c>
      <c r="C2602" s="4">
        <v>12.970499999999999</v>
      </c>
      <c r="D2602" s="4">
        <v>13.4245</v>
      </c>
      <c r="E2602" s="4">
        <v>12.4032</v>
      </c>
      <c r="F2602" s="4">
        <f t="shared" si="160"/>
        <v>12.932733333333333</v>
      </c>
      <c r="I2602" s="4" t="s">
        <v>3992</v>
      </c>
      <c r="J2602" s="4">
        <v>12.825900000000001</v>
      </c>
      <c r="K2602" s="4">
        <v>12.9175</v>
      </c>
      <c r="L2602" s="4">
        <v>12.9361</v>
      </c>
      <c r="M2602" s="4">
        <f t="shared" si="161"/>
        <v>12.893166666666668</v>
      </c>
      <c r="Q2602" s="43" t="s">
        <v>609</v>
      </c>
      <c r="R2602" s="4">
        <v>12.6664312165456</v>
      </c>
      <c r="S2602" s="4">
        <v>12.9827586920225</v>
      </c>
      <c r="T2602" s="4">
        <v>13.119916234977</v>
      </c>
      <c r="U2602" s="4">
        <f t="shared" si="162"/>
        <v>12.9230353811817</v>
      </c>
      <c r="X2602" s="43" t="s">
        <v>3338</v>
      </c>
      <c r="Y2602" s="4">
        <v>12.8572845564799</v>
      </c>
      <c r="Z2602" s="4">
        <v>13.2816945141153</v>
      </c>
      <c r="AA2602" s="4">
        <v>13.0802512563039</v>
      </c>
      <c r="AB2602" s="4">
        <f t="shared" si="163"/>
        <v>13.073076775633032</v>
      </c>
    </row>
    <row r="2603" spans="2:28" x14ac:dyDescent="0.2">
      <c r="B2603" s="4" t="s">
        <v>3142</v>
      </c>
      <c r="C2603" s="4">
        <v>12.901</v>
      </c>
      <c r="D2603" s="4">
        <v>13.179</v>
      </c>
      <c r="E2603" s="4">
        <v>12.716900000000001</v>
      </c>
      <c r="F2603" s="4">
        <f t="shared" si="160"/>
        <v>12.9323</v>
      </c>
      <c r="I2603" s="4" t="s">
        <v>940</v>
      </c>
      <c r="J2603" s="4">
        <v>13.353999999999999</v>
      </c>
      <c r="K2603" s="4">
        <v>12.7433</v>
      </c>
      <c r="L2603" s="4">
        <v>12.580399999999999</v>
      </c>
      <c r="M2603" s="4">
        <f t="shared" si="161"/>
        <v>12.892566666666665</v>
      </c>
      <c r="Q2603" s="43" t="s">
        <v>4280</v>
      </c>
      <c r="R2603" s="4">
        <v>12.916879530451601</v>
      </c>
      <c r="S2603" s="4">
        <v>12.992774499072199</v>
      </c>
      <c r="T2603" s="4">
        <v>12.8559169006438</v>
      </c>
      <c r="U2603" s="4">
        <f t="shared" si="162"/>
        <v>12.921856976722532</v>
      </c>
      <c r="X2603" s="43" t="s">
        <v>3894</v>
      </c>
      <c r="Y2603" s="4">
        <v>12.9491014600453</v>
      </c>
      <c r="Z2603" s="4">
        <v>13.177015680023199</v>
      </c>
      <c r="AA2603" s="4">
        <v>13.0918305906782</v>
      </c>
      <c r="AB2603" s="4">
        <f t="shared" si="163"/>
        <v>13.072649243582234</v>
      </c>
    </row>
    <row r="2604" spans="2:28" x14ac:dyDescent="0.2">
      <c r="B2604" s="4" t="s">
        <v>683</v>
      </c>
      <c r="C2604" s="4">
        <v>13.0329</v>
      </c>
      <c r="D2604" s="4">
        <v>12.9978</v>
      </c>
      <c r="E2604" s="4">
        <v>12.7662</v>
      </c>
      <c r="F2604" s="4">
        <f t="shared" si="160"/>
        <v>12.9323</v>
      </c>
      <c r="I2604" s="4" t="s">
        <v>2076</v>
      </c>
      <c r="J2604" s="4">
        <v>12.514900000000001</v>
      </c>
      <c r="K2604" s="4">
        <v>13.9879</v>
      </c>
      <c r="L2604" s="4">
        <v>12.1745</v>
      </c>
      <c r="M2604" s="4">
        <f t="shared" si="161"/>
        <v>12.892433333333335</v>
      </c>
      <c r="Q2604" s="43" t="s">
        <v>877</v>
      </c>
      <c r="R2604" s="4">
        <v>12.7209764353297</v>
      </c>
      <c r="S2604" s="4">
        <v>12.9600294172942</v>
      </c>
      <c r="T2604" s="4">
        <v>13.081672961027699</v>
      </c>
      <c r="U2604" s="4">
        <f t="shared" si="162"/>
        <v>12.920892937883865</v>
      </c>
      <c r="X2604" s="43" t="s">
        <v>2423</v>
      </c>
      <c r="Y2604" s="4">
        <v>13.470372641374301</v>
      </c>
      <c r="Z2604" s="4">
        <v>13.0297354174237</v>
      </c>
      <c r="AA2604" s="4">
        <v>12.7095389713039</v>
      </c>
      <c r="AB2604" s="4">
        <f t="shared" si="163"/>
        <v>13.069882343367299</v>
      </c>
    </row>
    <row r="2605" spans="2:28" x14ac:dyDescent="0.2">
      <c r="B2605" s="4" t="s">
        <v>2833</v>
      </c>
      <c r="C2605" s="4">
        <v>12.4915</v>
      </c>
      <c r="D2605" s="4">
        <v>12.375</v>
      </c>
      <c r="E2605" s="4">
        <v>13.926299999999999</v>
      </c>
      <c r="F2605" s="4">
        <f t="shared" si="160"/>
        <v>12.930933333333334</v>
      </c>
      <c r="I2605" s="4" t="s">
        <v>2406</v>
      </c>
      <c r="J2605" s="4">
        <v>13.1104</v>
      </c>
      <c r="K2605" s="4">
        <v>13.177</v>
      </c>
      <c r="L2605" s="4">
        <v>12.3887</v>
      </c>
      <c r="M2605" s="4">
        <f t="shared" si="161"/>
        <v>12.892033333333332</v>
      </c>
      <c r="Q2605" s="43" t="s">
        <v>2079</v>
      </c>
      <c r="R2605" s="4">
        <v>13.2992678961891</v>
      </c>
      <c r="S2605" s="4">
        <v>12.4936428051181</v>
      </c>
      <c r="T2605" s="4">
        <v>12.969496947034999</v>
      </c>
      <c r="U2605" s="4">
        <f t="shared" si="162"/>
        <v>12.9208025494474</v>
      </c>
      <c r="X2605" s="43" t="s">
        <v>2976</v>
      </c>
      <c r="Y2605" s="4">
        <v>12.721818133180401</v>
      </c>
      <c r="Z2605" s="4">
        <v>13.346966220856199</v>
      </c>
      <c r="AA2605" s="4">
        <v>13.1377521123871</v>
      </c>
      <c r="AB2605" s="4">
        <f t="shared" si="163"/>
        <v>13.0688454888079</v>
      </c>
    </row>
    <row r="2606" spans="2:28" x14ac:dyDescent="0.2">
      <c r="B2606" s="4" t="s">
        <v>4110</v>
      </c>
      <c r="C2606" s="4">
        <v>12.7118</v>
      </c>
      <c r="D2606" s="4">
        <v>12.694699999999999</v>
      </c>
      <c r="E2606" s="4">
        <v>13.3812</v>
      </c>
      <c r="F2606" s="4">
        <f t="shared" si="160"/>
        <v>12.929233333333334</v>
      </c>
      <c r="I2606" s="4" t="s">
        <v>3363</v>
      </c>
      <c r="J2606" s="4">
        <v>12.679600000000001</v>
      </c>
      <c r="K2606" s="4">
        <v>13.2485</v>
      </c>
      <c r="L2606" s="4">
        <v>12.747299999999999</v>
      </c>
      <c r="M2606" s="4">
        <f t="shared" si="161"/>
        <v>12.891799999999998</v>
      </c>
      <c r="Q2606" s="43" t="s">
        <v>3217</v>
      </c>
      <c r="R2606" s="4">
        <v>12.851412787132499</v>
      </c>
      <c r="S2606" s="4">
        <v>13.196478983836901</v>
      </c>
      <c r="T2606" s="4">
        <v>12.711365304988201</v>
      </c>
      <c r="U2606" s="4">
        <f t="shared" si="162"/>
        <v>12.919752358652532</v>
      </c>
      <c r="X2606" s="43" t="s">
        <v>1509</v>
      </c>
      <c r="Y2606" s="4">
        <v>12.898945857296701</v>
      </c>
      <c r="Z2606" s="4">
        <v>13.2154396431559</v>
      </c>
      <c r="AA2606" s="4">
        <v>13.0903041703002</v>
      </c>
      <c r="AB2606" s="4">
        <f t="shared" si="163"/>
        <v>13.068229890250933</v>
      </c>
    </row>
    <row r="2607" spans="2:28" x14ac:dyDescent="0.2">
      <c r="B2607" s="4" t="s">
        <v>3534</v>
      </c>
      <c r="C2607" s="4">
        <v>13.0602</v>
      </c>
      <c r="D2607" s="4">
        <v>12.6838</v>
      </c>
      <c r="E2607" s="4">
        <v>13.0305</v>
      </c>
      <c r="F2607" s="4">
        <f t="shared" si="160"/>
        <v>12.924833333333334</v>
      </c>
      <c r="I2607" s="4" t="s">
        <v>3692</v>
      </c>
      <c r="J2607" s="4">
        <v>12.8581</v>
      </c>
      <c r="K2607" s="4">
        <v>12.8245</v>
      </c>
      <c r="L2607" s="4">
        <v>12.987500000000001</v>
      </c>
      <c r="M2607" s="4">
        <f t="shared" si="161"/>
        <v>12.890033333333335</v>
      </c>
      <c r="Q2607" s="43" t="s">
        <v>3296</v>
      </c>
      <c r="R2607" s="4">
        <v>12.869294458429501</v>
      </c>
      <c r="S2607" s="4">
        <v>12.9746368748112</v>
      </c>
      <c r="T2607" s="4">
        <v>12.9134012222076</v>
      </c>
      <c r="U2607" s="4">
        <f t="shared" si="162"/>
        <v>12.9191108518161</v>
      </c>
      <c r="X2607" s="43" t="s">
        <v>4212</v>
      </c>
      <c r="Y2607" s="4">
        <v>13.131935712651099</v>
      </c>
      <c r="Z2607" s="4">
        <v>12.908447555373799</v>
      </c>
      <c r="AA2607" s="4">
        <v>13.164202190131</v>
      </c>
      <c r="AB2607" s="4">
        <f t="shared" si="163"/>
        <v>13.068195152718632</v>
      </c>
    </row>
    <row r="2608" spans="2:28" x14ac:dyDescent="0.2">
      <c r="B2608" s="4" t="s">
        <v>480</v>
      </c>
      <c r="C2608" s="4">
        <v>12.8461</v>
      </c>
      <c r="D2608" s="4">
        <v>13.0014</v>
      </c>
      <c r="E2608" s="4">
        <v>12.9222</v>
      </c>
      <c r="F2608" s="4">
        <f t="shared" si="160"/>
        <v>12.923233333333334</v>
      </c>
      <c r="I2608" s="4" t="s">
        <v>2682</v>
      </c>
      <c r="J2608" s="4">
        <v>13.082100000000001</v>
      </c>
      <c r="K2608" s="4">
        <v>13.0291</v>
      </c>
      <c r="L2608" s="4">
        <v>12.5471</v>
      </c>
      <c r="M2608" s="4">
        <f t="shared" si="161"/>
        <v>12.886099999999999</v>
      </c>
      <c r="Q2608" s="43" t="s">
        <v>3545</v>
      </c>
      <c r="R2608" s="4">
        <v>12.4623550933064</v>
      </c>
      <c r="S2608" s="4">
        <v>13.0973241473594</v>
      </c>
      <c r="T2608" s="4">
        <v>13.1961144188336</v>
      </c>
      <c r="U2608" s="4">
        <f t="shared" si="162"/>
        <v>12.918597886499802</v>
      </c>
      <c r="X2608" s="43" t="s">
        <v>206</v>
      </c>
      <c r="Y2608" s="4">
        <v>13.3851999837529</v>
      </c>
      <c r="Z2608" s="4">
        <v>12.7871747536893</v>
      </c>
      <c r="AA2608" s="4">
        <v>13.030333531376799</v>
      </c>
      <c r="AB2608" s="4">
        <f t="shared" si="163"/>
        <v>13.067569422939664</v>
      </c>
    </row>
    <row r="2609" spans="2:28" x14ac:dyDescent="0.2">
      <c r="B2609" s="4" t="s">
        <v>3044</v>
      </c>
      <c r="C2609" s="4">
        <v>13.439</v>
      </c>
      <c r="D2609" s="4">
        <v>12.3794</v>
      </c>
      <c r="E2609" s="4">
        <v>12.9427</v>
      </c>
      <c r="F2609" s="4">
        <f t="shared" si="160"/>
        <v>12.920366666666666</v>
      </c>
      <c r="I2609" s="4" t="s">
        <v>541</v>
      </c>
      <c r="J2609" s="4">
        <v>12.8528</v>
      </c>
      <c r="K2609" s="4">
        <v>12.9727</v>
      </c>
      <c r="L2609" s="4">
        <v>12.821899999999999</v>
      </c>
      <c r="M2609" s="4">
        <f t="shared" si="161"/>
        <v>12.882466666666666</v>
      </c>
      <c r="Q2609" s="43" t="s">
        <v>4157</v>
      </c>
      <c r="R2609" s="4">
        <v>12.6941246903944</v>
      </c>
      <c r="S2609" s="4">
        <v>13.1282541869352</v>
      </c>
      <c r="T2609" s="4">
        <v>12.932253110007499</v>
      </c>
      <c r="U2609" s="4">
        <f t="shared" si="162"/>
        <v>12.9182106624457</v>
      </c>
      <c r="X2609" s="43" t="s">
        <v>2733</v>
      </c>
      <c r="Y2609" s="4">
        <v>12.905365060256001</v>
      </c>
      <c r="Z2609" s="4">
        <v>13.0029856163169</v>
      </c>
      <c r="AA2609" s="4">
        <v>13.2934881843318</v>
      </c>
      <c r="AB2609" s="4">
        <f t="shared" si="163"/>
        <v>13.067279620301568</v>
      </c>
    </row>
    <row r="2610" spans="2:28" x14ac:dyDescent="0.2">
      <c r="B2610" s="4" t="s">
        <v>1549</v>
      </c>
      <c r="C2610" s="4">
        <v>12.905900000000001</v>
      </c>
      <c r="D2610" s="4">
        <v>12.5366</v>
      </c>
      <c r="E2610" s="4">
        <v>13.316800000000001</v>
      </c>
      <c r="F2610" s="4">
        <f t="shared" si="160"/>
        <v>12.919766666666668</v>
      </c>
      <c r="I2610" s="4" t="s">
        <v>1753</v>
      </c>
      <c r="J2610" s="4">
        <v>13.120100000000001</v>
      </c>
      <c r="K2610" s="4">
        <v>12.3902</v>
      </c>
      <c r="L2610" s="4">
        <v>13.1275</v>
      </c>
      <c r="M2610" s="4">
        <f t="shared" si="161"/>
        <v>12.879266666666666</v>
      </c>
      <c r="Q2610" s="43">
        <v>45932</v>
      </c>
      <c r="R2610" s="4">
        <v>12.494713740618</v>
      </c>
      <c r="S2610" s="4">
        <v>13.0197360294842</v>
      </c>
      <c r="T2610" s="4">
        <v>13.2333143069344</v>
      </c>
      <c r="U2610" s="4">
        <f t="shared" si="162"/>
        <v>12.9159213590122</v>
      </c>
      <c r="X2610" s="43" t="s">
        <v>2225</v>
      </c>
      <c r="Y2610" s="4">
        <v>12.8903539555566</v>
      </c>
      <c r="Z2610" s="4">
        <v>13.1319165110396</v>
      </c>
      <c r="AA2610" s="4">
        <v>13.179241550394799</v>
      </c>
      <c r="AB2610" s="4">
        <f t="shared" si="163"/>
        <v>13.067170672330334</v>
      </c>
    </row>
    <row r="2611" spans="2:28" x14ac:dyDescent="0.2">
      <c r="B2611" s="4" t="s">
        <v>3482</v>
      </c>
      <c r="C2611" s="4">
        <v>12.5779</v>
      </c>
      <c r="D2611" s="4">
        <v>12.2531</v>
      </c>
      <c r="E2611" s="4">
        <v>13.9262</v>
      </c>
      <c r="F2611" s="4">
        <f t="shared" si="160"/>
        <v>12.919066666666666</v>
      </c>
      <c r="I2611" s="4" t="s">
        <v>3283</v>
      </c>
      <c r="J2611" s="4">
        <v>11.688499999999999</v>
      </c>
      <c r="K2611" s="4">
        <v>13.855</v>
      </c>
      <c r="L2611" s="4">
        <v>13.0936</v>
      </c>
      <c r="M2611" s="4">
        <f t="shared" si="161"/>
        <v>12.879033333333334</v>
      </c>
      <c r="Q2611" s="43" t="s">
        <v>1544</v>
      </c>
      <c r="R2611" s="4">
        <v>12.860362227539101</v>
      </c>
      <c r="S2611" s="4">
        <v>12.9470480287575</v>
      </c>
      <c r="T2611" s="4">
        <v>12.9371382642745</v>
      </c>
      <c r="U2611" s="4">
        <f t="shared" si="162"/>
        <v>12.914849506857033</v>
      </c>
      <c r="X2611" s="43" t="s">
        <v>4344</v>
      </c>
      <c r="Y2611" s="4">
        <v>13.1639730596837</v>
      </c>
      <c r="Z2611" s="4">
        <v>13.159244048364201</v>
      </c>
      <c r="AA2611" s="4">
        <v>12.877139169930199</v>
      </c>
      <c r="AB2611" s="4">
        <f t="shared" si="163"/>
        <v>13.0667854259927</v>
      </c>
    </row>
    <row r="2612" spans="2:28" x14ac:dyDescent="0.2">
      <c r="B2612" s="4" t="s">
        <v>442</v>
      </c>
      <c r="C2612" s="4">
        <v>12.58</v>
      </c>
      <c r="D2612" s="4">
        <v>12.954700000000001</v>
      </c>
      <c r="E2612" s="4">
        <v>13.2209</v>
      </c>
      <c r="F2612" s="4">
        <f t="shared" si="160"/>
        <v>12.918533333333334</v>
      </c>
      <c r="I2612" s="4" t="s">
        <v>3489</v>
      </c>
      <c r="J2612" s="4">
        <v>12.946099999999999</v>
      </c>
      <c r="K2612" s="4">
        <v>11.7972</v>
      </c>
      <c r="L2612" s="4">
        <v>13.882199999999999</v>
      </c>
      <c r="M2612" s="4">
        <f t="shared" si="161"/>
        <v>12.875166666666665</v>
      </c>
      <c r="Q2612" s="43" t="s">
        <v>4563</v>
      </c>
      <c r="R2612" s="4">
        <v>13.0259460405328</v>
      </c>
      <c r="S2612" s="4">
        <v>12.752716545386299</v>
      </c>
      <c r="T2612" s="4">
        <v>12.9653425912585</v>
      </c>
      <c r="U2612" s="4">
        <f t="shared" si="162"/>
        <v>12.914668392392533</v>
      </c>
      <c r="X2612" s="43" t="s">
        <v>3742</v>
      </c>
      <c r="Y2612" s="4">
        <v>13.2752313554991</v>
      </c>
      <c r="Z2612" s="4">
        <v>13.2137321724878</v>
      </c>
      <c r="AA2612" s="4">
        <v>12.706916709522501</v>
      </c>
      <c r="AB2612" s="4">
        <f t="shared" si="163"/>
        <v>13.065293412503133</v>
      </c>
    </row>
    <row r="2613" spans="2:28" x14ac:dyDescent="0.2">
      <c r="B2613" s="4" t="s">
        <v>153</v>
      </c>
      <c r="C2613" s="4">
        <v>12.864000000000001</v>
      </c>
      <c r="D2613" s="4">
        <v>13.043100000000001</v>
      </c>
      <c r="E2613" s="4">
        <v>12.8483</v>
      </c>
      <c r="F2613" s="4">
        <f t="shared" si="160"/>
        <v>12.918466666666667</v>
      </c>
      <c r="I2613" s="4" t="s">
        <v>2792</v>
      </c>
      <c r="J2613" s="4">
        <v>12.6511</v>
      </c>
      <c r="K2613" s="4">
        <v>12.899900000000001</v>
      </c>
      <c r="L2613" s="4">
        <v>13.0731</v>
      </c>
      <c r="M2613" s="4">
        <f t="shared" si="161"/>
        <v>12.874699999999999</v>
      </c>
      <c r="Q2613" s="43" t="s">
        <v>1413</v>
      </c>
      <c r="R2613" s="4">
        <v>12.634636997965901</v>
      </c>
      <c r="S2613" s="4">
        <v>13.091822109382299</v>
      </c>
      <c r="T2613" s="4">
        <v>13.0124576784995</v>
      </c>
      <c r="U2613" s="4">
        <f t="shared" si="162"/>
        <v>12.912972261949234</v>
      </c>
      <c r="X2613" s="43" t="s">
        <v>779</v>
      </c>
      <c r="Y2613" s="4">
        <v>12.9208287604327</v>
      </c>
      <c r="Z2613" s="4">
        <v>13.124404949457301</v>
      </c>
      <c r="AA2613" s="4">
        <v>13.1408809725599</v>
      </c>
      <c r="AB2613" s="4">
        <f t="shared" si="163"/>
        <v>13.062038227483299</v>
      </c>
    </row>
    <row r="2614" spans="2:28" x14ac:dyDescent="0.2">
      <c r="B2614" s="4" t="s">
        <v>289</v>
      </c>
      <c r="C2614" s="4">
        <v>12.6448</v>
      </c>
      <c r="D2614" s="4">
        <v>12.908200000000001</v>
      </c>
      <c r="E2614" s="4">
        <v>13.1991</v>
      </c>
      <c r="F2614" s="4">
        <f t="shared" si="160"/>
        <v>12.917366666666666</v>
      </c>
      <c r="I2614" s="4" t="s">
        <v>2722</v>
      </c>
      <c r="J2614" s="4">
        <v>12.402799999999999</v>
      </c>
      <c r="K2614" s="4">
        <v>13.081200000000001</v>
      </c>
      <c r="L2614" s="4">
        <v>13.136699999999999</v>
      </c>
      <c r="M2614" s="4">
        <f t="shared" si="161"/>
        <v>12.873566666666667</v>
      </c>
      <c r="Q2614" s="43" t="s">
        <v>4134</v>
      </c>
      <c r="R2614" s="4">
        <v>13.032434397893599</v>
      </c>
      <c r="S2614" s="4">
        <v>12.8841491589992</v>
      </c>
      <c r="T2614" s="4">
        <v>12.806863698212499</v>
      </c>
      <c r="U2614" s="4">
        <f t="shared" si="162"/>
        <v>12.907815751701767</v>
      </c>
      <c r="X2614" s="43" t="s">
        <v>3393</v>
      </c>
      <c r="Y2614" s="4">
        <v>13.0191104854167</v>
      </c>
      <c r="Z2614" s="4">
        <v>13.0374208683424</v>
      </c>
      <c r="AA2614" s="4">
        <v>13.129119755040801</v>
      </c>
      <c r="AB2614" s="4">
        <f t="shared" si="163"/>
        <v>13.061883702933301</v>
      </c>
    </row>
    <row r="2615" spans="2:28" x14ac:dyDescent="0.2">
      <c r="B2615" s="4" t="s">
        <v>2501</v>
      </c>
      <c r="C2615" s="4">
        <v>13.032500000000001</v>
      </c>
      <c r="D2615" s="4">
        <v>12.8102</v>
      </c>
      <c r="E2615" s="4">
        <v>12.902900000000001</v>
      </c>
      <c r="F2615" s="4">
        <f t="shared" si="160"/>
        <v>12.9152</v>
      </c>
      <c r="I2615" s="4" t="s">
        <v>3252</v>
      </c>
      <c r="J2615" s="4">
        <v>13.221399999999999</v>
      </c>
      <c r="K2615" s="4">
        <v>12.6191</v>
      </c>
      <c r="L2615" s="4">
        <v>12.7704</v>
      </c>
      <c r="M2615" s="4">
        <f t="shared" si="161"/>
        <v>12.8703</v>
      </c>
      <c r="Q2615" s="43" t="s">
        <v>2443</v>
      </c>
      <c r="R2615" s="4">
        <v>12.5546939756843</v>
      </c>
      <c r="S2615" s="4">
        <v>12.961591226696701</v>
      </c>
      <c r="T2615" s="4">
        <v>13.203931276331399</v>
      </c>
      <c r="U2615" s="4">
        <f t="shared" si="162"/>
        <v>12.906738826237467</v>
      </c>
      <c r="X2615" s="43" t="s">
        <v>2872</v>
      </c>
      <c r="Y2615" s="4">
        <v>13.1341431960959</v>
      </c>
      <c r="Z2615" s="4">
        <v>13.0821778146626</v>
      </c>
      <c r="AA2615" s="4">
        <v>12.9667153606086</v>
      </c>
      <c r="AB2615" s="4">
        <f t="shared" si="163"/>
        <v>13.061012123789032</v>
      </c>
    </row>
    <row r="2616" spans="2:28" x14ac:dyDescent="0.2">
      <c r="B2616" s="4" t="s">
        <v>3306</v>
      </c>
      <c r="C2616" s="4">
        <v>12.9511</v>
      </c>
      <c r="D2616" s="4">
        <v>13.0344</v>
      </c>
      <c r="E2616" s="4">
        <v>12.757999999999999</v>
      </c>
      <c r="F2616" s="4">
        <f t="shared" si="160"/>
        <v>12.914499999999999</v>
      </c>
      <c r="I2616" s="4" t="s">
        <v>3624</v>
      </c>
      <c r="J2616" s="4">
        <v>13.278</v>
      </c>
      <c r="K2616" s="4">
        <v>12.551</v>
      </c>
      <c r="L2616" s="4">
        <v>12.775</v>
      </c>
      <c r="M2616" s="4">
        <f t="shared" si="161"/>
        <v>12.868</v>
      </c>
      <c r="Q2616" s="43" t="s">
        <v>2501</v>
      </c>
      <c r="R2616" s="4">
        <v>12.6586431032317</v>
      </c>
      <c r="S2616" s="4">
        <v>13.1153642644519</v>
      </c>
      <c r="T2616" s="4">
        <v>12.9449324291979</v>
      </c>
      <c r="U2616" s="4">
        <f t="shared" si="162"/>
        <v>12.906313265627167</v>
      </c>
      <c r="X2616" s="43" t="s">
        <v>501</v>
      </c>
      <c r="Y2616" s="4">
        <v>13.156529857232499</v>
      </c>
      <c r="Z2616" s="4">
        <v>12.8530471556346</v>
      </c>
      <c r="AA2616" s="4">
        <v>13.169602391312001</v>
      </c>
      <c r="AB2616" s="4">
        <f t="shared" si="163"/>
        <v>13.059726468059699</v>
      </c>
    </row>
    <row r="2617" spans="2:28" x14ac:dyDescent="0.2">
      <c r="B2617" s="4" t="s">
        <v>1492</v>
      </c>
      <c r="C2617" s="4">
        <v>12.7956</v>
      </c>
      <c r="D2617" s="4">
        <v>12.928699999999999</v>
      </c>
      <c r="E2617" s="4">
        <v>13.015499999999999</v>
      </c>
      <c r="F2617" s="4">
        <f t="shared" si="160"/>
        <v>12.913266666666667</v>
      </c>
      <c r="I2617" s="4" t="s">
        <v>3302</v>
      </c>
      <c r="J2617" s="4">
        <v>12.791499999999999</v>
      </c>
      <c r="K2617" s="4">
        <v>13.474299999999999</v>
      </c>
      <c r="L2617" s="4">
        <v>12.3256</v>
      </c>
      <c r="M2617" s="4">
        <f t="shared" si="161"/>
        <v>12.863799999999999</v>
      </c>
      <c r="Q2617" s="43" t="s">
        <v>360</v>
      </c>
      <c r="R2617" s="4">
        <v>12.9835325683555</v>
      </c>
      <c r="S2617" s="4">
        <v>12.754314620722001</v>
      </c>
      <c r="T2617" s="4">
        <v>12.9805040588891</v>
      </c>
      <c r="U2617" s="4">
        <f t="shared" si="162"/>
        <v>12.906117082655532</v>
      </c>
      <c r="X2617" s="43" t="s">
        <v>1199</v>
      </c>
      <c r="Y2617" s="4">
        <v>13.386537442076399</v>
      </c>
      <c r="Z2617" s="4">
        <v>12.749029545209201</v>
      </c>
      <c r="AA2617" s="4">
        <v>13.041067533602</v>
      </c>
      <c r="AB2617" s="4">
        <f t="shared" si="163"/>
        <v>13.058878173629202</v>
      </c>
    </row>
    <row r="2618" spans="2:28" x14ac:dyDescent="0.2">
      <c r="B2618" s="4" t="s">
        <v>1661</v>
      </c>
      <c r="C2618" s="4">
        <v>12.8477</v>
      </c>
      <c r="D2618" s="4">
        <v>13.0753</v>
      </c>
      <c r="E2618" s="4">
        <v>12.805199999999999</v>
      </c>
      <c r="F2618" s="4">
        <f t="shared" si="160"/>
        <v>12.9094</v>
      </c>
      <c r="I2618" s="4" t="s">
        <v>2994</v>
      </c>
      <c r="J2618" s="4">
        <v>12.843999999999999</v>
      </c>
      <c r="K2618" s="4">
        <v>12.722</v>
      </c>
      <c r="L2618" s="4">
        <v>13.0252</v>
      </c>
      <c r="M2618" s="4">
        <f t="shared" si="161"/>
        <v>12.863733333333334</v>
      </c>
      <c r="Q2618" s="43" t="s">
        <v>3234</v>
      </c>
      <c r="R2618" s="4">
        <v>12.9255335258812</v>
      </c>
      <c r="S2618" s="4">
        <v>13.2054095526239</v>
      </c>
      <c r="T2618" s="4">
        <v>12.5865013002316</v>
      </c>
      <c r="U2618" s="4">
        <f t="shared" si="162"/>
        <v>12.905814792912233</v>
      </c>
      <c r="X2618" s="43" t="s">
        <v>3848</v>
      </c>
      <c r="Y2618" s="4">
        <v>13.113650045226899</v>
      </c>
      <c r="Z2618" s="4">
        <v>13.287879429437499</v>
      </c>
      <c r="AA2618" s="4">
        <v>12.7741349917461</v>
      </c>
      <c r="AB2618" s="4">
        <f t="shared" si="163"/>
        <v>13.058554822136834</v>
      </c>
    </row>
    <row r="2619" spans="2:28" x14ac:dyDescent="0.2">
      <c r="B2619" s="4" t="s">
        <v>2764</v>
      </c>
      <c r="C2619" s="4">
        <v>13.2661</v>
      </c>
      <c r="D2619" s="4">
        <v>12.7334</v>
      </c>
      <c r="E2619" s="4">
        <v>12.724399999999999</v>
      </c>
      <c r="F2619" s="4">
        <f t="shared" si="160"/>
        <v>12.907966666666667</v>
      </c>
      <c r="I2619" s="4" t="s">
        <v>2206</v>
      </c>
      <c r="J2619" s="4">
        <v>11.2303</v>
      </c>
      <c r="K2619" s="4">
        <v>14.791399999999999</v>
      </c>
      <c r="L2619" s="4">
        <v>12.5662</v>
      </c>
      <c r="M2619" s="4">
        <f t="shared" si="161"/>
        <v>12.862633333333333</v>
      </c>
      <c r="Q2619" s="43" t="s">
        <v>4324</v>
      </c>
      <c r="R2619" s="4">
        <v>13.1420466140708</v>
      </c>
      <c r="S2619" s="4">
        <v>12.6984311016641</v>
      </c>
      <c r="T2619" s="4">
        <v>12.8696586890473</v>
      </c>
      <c r="U2619" s="4">
        <f t="shared" si="162"/>
        <v>12.903378801594066</v>
      </c>
      <c r="X2619" s="43" t="s">
        <v>2947</v>
      </c>
      <c r="Y2619" s="4">
        <v>12.9249253532421</v>
      </c>
      <c r="Z2619" s="4">
        <v>13.0488295871224</v>
      </c>
      <c r="AA2619" s="4">
        <v>13.1955254247932</v>
      </c>
      <c r="AB2619" s="4">
        <f t="shared" si="163"/>
        <v>13.056426788385901</v>
      </c>
    </row>
    <row r="2620" spans="2:28" x14ac:dyDescent="0.2">
      <c r="B2620" s="4" t="s">
        <v>3480</v>
      </c>
      <c r="C2620" s="4">
        <v>12.977600000000001</v>
      </c>
      <c r="D2620" s="4">
        <v>12.7475</v>
      </c>
      <c r="E2620" s="4">
        <v>12.9954</v>
      </c>
      <c r="F2620" s="4">
        <f t="shared" si="160"/>
        <v>12.906833333333333</v>
      </c>
      <c r="I2620" s="4" t="s">
        <v>2201</v>
      </c>
      <c r="J2620" s="4">
        <v>13.009</v>
      </c>
      <c r="K2620" s="4">
        <v>12.613799999999999</v>
      </c>
      <c r="L2620" s="4">
        <v>12.963800000000001</v>
      </c>
      <c r="M2620" s="4">
        <f t="shared" si="161"/>
        <v>12.8622</v>
      </c>
      <c r="Q2620" s="43" t="s">
        <v>716</v>
      </c>
      <c r="R2620" s="4">
        <v>12.847682904158299</v>
      </c>
      <c r="S2620" s="4">
        <v>13.0548143140478</v>
      </c>
      <c r="T2620" s="4">
        <v>12.8015782004587</v>
      </c>
      <c r="U2620" s="4">
        <f t="shared" si="162"/>
        <v>12.901358472888267</v>
      </c>
      <c r="X2620" s="43" t="s">
        <v>2120</v>
      </c>
      <c r="Y2620" s="4">
        <v>13.191572936877201</v>
      </c>
      <c r="Z2620" s="4">
        <v>12.884711620608</v>
      </c>
      <c r="AA2620" s="4">
        <v>13.087726874177701</v>
      </c>
      <c r="AB2620" s="4">
        <f t="shared" si="163"/>
        <v>13.054670477220967</v>
      </c>
    </row>
    <row r="2621" spans="2:28" x14ac:dyDescent="0.2">
      <c r="B2621" s="4" t="s">
        <v>4079</v>
      </c>
      <c r="C2621" s="4">
        <v>12.476000000000001</v>
      </c>
      <c r="D2621" s="4">
        <v>12.8523</v>
      </c>
      <c r="E2621" s="4">
        <v>13.3856</v>
      </c>
      <c r="F2621" s="4">
        <f t="shared" si="160"/>
        <v>12.904633333333331</v>
      </c>
      <c r="I2621" s="4" t="s">
        <v>3463</v>
      </c>
      <c r="J2621" s="4">
        <v>13.2956</v>
      </c>
      <c r="K2621" s="4">
        <v>12.6136</v>
      </c>
      <c r="L2621" s="4">
        <v>12.6745</v>
      </c>
      <c r="M2621" s="4">
        <f t="shared" si="161"/>
        <v>12.861233333333333</v>
      </c>
      <c r="Q2621" s="43" t="s">
        <v>1836</v>
      </c>
      <c r="R2621" s="4">
        <v>12.692600740997101</v>
      </c>
      <c r="S2621" s="4">
        <v>13.073944047929499</v>
      </c>
      <c r="T2621" s="4">
        <v>12.9369179419775</v>
      </c>
      <c r="U2621" s="4">
        <f t="shared" si="162"/>
        <v>12.9011542436347</v>
      </c>
      <c r="X2621" s="43" t="s">
        <v>3296</v>
      </c>
      <c r="Y2621" s="4">
        <v>12.924323962584801</v>
      </c>
      <c r="Z2621" s="4">
        <v>13.1956875773839</v>
      </c>
      <c r="AA2621" s="4">
        <v>13.0434704327593</v>
      </c>
      <c r="AB2621" s="4">
        <f t="shared" si="163"/>
        <v>13.054493990909334</v>
      </c>
    </row>
    <row r="2622" spans="2:28" x14ac:dyDescent="0.2">
      <c r="B2622" s="4" t="s">
        <v>1594</v>
      </c>
      <c r="C2622" s="4">
        <v>12.824199999999999</v>
      </c>
      <c r="D2622" s="4">
        <v>12.757099999999999</v>
      </c>
      <c r="E2622" s="4">
        <v>13.132400000000001</v>
      </c>
      <c r="F2622" s="4">
        <f t="shared" si="160"/>
        <v>12.904566666666668</v>
      </c>
      <c r="I2622" s="4" t="s">
        <v>3737</v>
      </c>
      <c r="J2622" s="4">
        <v>13.160500000000001</v>
      </c>
      <c r="K2622" s="4">
        <v>12.5082</v>
      </c>
      <c r="L2622" s="4">
        <v>12.9116</v>
      </c>
      <c r="M2622" s="4">
        <f t="shared" si="161"/>
        <v>12.860100000000001</v>
      </c>
      <c r="Q2622" s="43" t="s">
        <v>3778</v>
      </c>
      <c r="R2622" s="4">
        <v>12.6885511484871</v>
      </c>
      <c r="S2622" s="4">
        <v>13.0149013673594</v>
      </c>
      <c r="T2622" s="4">
        <v>12.9932984694467</v>
      </c>
      <c r="U2622" s="4">
        <f t="shared" si="162"/>
        <v>12.898916995097734</v>
      </c>
      <c r="X2622" s="43" t="s">
        <v>4247</v>
      </c>
      <c r="Y2622" s="4">
        <v>13.4334115903665</v>
      </c>
      <c r="Z2622" s="4">
        <v>12.781159619135099</v>
      </c>
      <c r="AA2622" s="4">
        <v>12.945351364129801</v>
      </c>
      <c r="AB2622" s="4">
        <f t="shared" si="163"/>
        <v>13.053307524543799</v>
      </c>
    </row>
    <row r="2623" spans="2:28" x14ac:dyDescent="0.2">
      <c r="B2623" s="4" t="s">
        <v>3571</v>
      </c>
      <c r="C2623" s="4">
        <v>13.092599999999999</v>
      </c>
      <c r="D2623" s="4">
        <v>12.9404</v>
      </c>
      <c r="E2623" s="4">
        <v>12.674899999999999</v>
      </c>
      <c r="F2623" s="4">
        <f t="shared" si="160"/>
        <v>12.902633333333334</v>
      </c>
      <c r="I2623" s="4" t="s">
        <v>2030</v>
      </c>
      <c r="J2623" s="4">
        <v>13.0777</v>
      </c>
      <c r="K2623" s="4">
        <v>12.2377</v>
      </c>
      <c r="L2623" s="4">
        <v>13.256500000000001</v>
      </c>
      <c r="M2623" s="4">
        <f t="shared" si="161"/>
        <v>12.8573</v>
      </c>
      <c r="Q2623" s="43" t="s">
        <v>1614</v>
      </c>
      <c r="R2623" s="4">
        <v>12.964895824804</v>
      </c>
      <c r="S2623" s="4">
        <v>12.8626046770298</v>
      </c>
      <c r="T2623" s="4">
        <v>12.8689031950156</v>
      </c>
      <c r="U2623" s="4">
        <f t="shared" si="162"/>
        <v>12.898801232283134</v>
      </c>
      <c r="X2623" s="43" t="s">
        <v>3220</v>
      </c>
      <c r="Y2623" s="4">
        <v>12.760206184706</v>
      </c>
      <c r="Z2623" s="4">
        <v>13.231959069296501</v>
      </c>
      <c r="AA2623" s="4">
        <v>13.1643919996379</v>
      </c>
      <c r="AB2623" s="4">
        <f t="shared" si="163"/>
        <v>13.052185751213466</v>
      </c>
    </row>
    <row r="2624" spans="2:28" x14ac:dyDescent="0.2">
      <c r="B2624" s="4" t="s">
        <v>370</v>
      </c>
      <c r="C2624" s="4">
        <v>12.0204</v>
      </c>
      <c r="D2624" s="4">
        <v>12.732699999999999</v>
      </c>
      <c r="E2624" s="4">
        <v>13.950200000000001</v>
      </c>
      <c r="F2624" s="4">
        <f t="shared" si="160"/>
        <v>12.9011</v>
      </c>
      <c r="I2624" s="4" t="s">
        <v>2399</v>
      </c>
      <c r="J2624" s="4">
        <v>12.979900000000001</v>
      </c>
      <c r="K2624" s="4">
        <v>12.3973</v>
      </c>
      <c r="L2624" s="4">
        <v>13.186199999999999</v>
      </c>
      <c r="M2624" s="4">
        <f t="shared" si="161"/>
        <v>12.854466666666667</v>
      </c>
      <c r="Q2624" s="43" t="s">
        <v>2249</v>
      </c>
      <c r="R2624" s="4">
        <v>12.8171862892927</v>
      </c>
      <c r="S2624" s="4">
        <v>13.083844247771401</v>
      </c>
      <c r="T2624" s="4">
        <v>12.7920878914203</v>
      </c>
      <c r="U2624" s="4">
        <f t="shared" si="162"/>
        <v>12.897706142828135</v>
      </c>
      <c r="X2624" s="43" t="s">
        <v>4521</v>
      </c>
      <c r="Y2624" s="4">
        <v>13.405448184736301</v>
      </c>
      <c r="Z2624" s="4">
        <v>12.858652627711299</v>
      </c>
      <c r="AA2624" s="4">
        <v>12.883664227902999</v>
      </c>
      <c r="AB2624" s="4">
        <f t="shared" si="163"/>
        <v>13.0492550134502</v>
      </c>
    </row>
    <row r="2625" spans="2:28" x14ac:dyDescent="0.2">
      <c r="B2625" s="4" t="s">
        <v>2475</v>
      </c>
      <c r="C2625" s="4">
        <v>13.3185</v>
      </c>
      <c r="D2625" s="4">
        <v>12.828099999999999</v>
      </c>
      <c r="E2625" s="4">
        <v>12.5556</v>
      </c>
      <c r="F2625" s="4">
        <f t="shared" si="160"/>
        <v>12.900733333333333</v>
      </c>
      <c r="I2625" s="4" t="s">
        <v>1083</v>
      </c>
      <c r="J2625" s="4">
        <v>13.529500000000001</v>
      </c>
      <c r="K2625" s="4">
        <v>12.903700000000001</v>
      </c>
      <c r="L2625" s="4">
        <v>12.1211</v>
      </c>
      <c r="M2625" s="4">
        <f t="shared" si="161"/>
        <v>12.851433333333333</v>
      </c>
      <c r="Q2625" s="43" t="s">
        <v>4200</v>
      </c>
      <c r="R2625" s="4">
        <v>13.1554117826938</v>
      </c>
      <c r="S2625" s="4">
        <v>12.7358694875478</v>
      </c>
      <c r="T2625" s="4">
        <v>12.799955910804799</v>
      </c>
      <c r="U2625" s="4">
        <f t="shared" si="162"/>
        <v>12.897079060348799</v>
      </c>
      <c r="X2625" s="43" t="s">
        <v>4404</v>
      </c>
      <c r="Y2625" s="4">
        <v>12.9021908951204</v>
      </c>
      <c r="Z2625" s="4">
        <v>12.852195458401599</v>
      </c>
      <c r="AA2625" s="4">
        <v>13.3872841090466</v>
      </c>
      <c r="AB2625" s="4">
        <f t="shared" si="163"/>
        <v>13.047223487522865</v>
      </c>
    </row>
    <row r="2626" spans="2:28" x14ac:dyDescent="0.2">
      <c r="B2626" s="4" t="s">
        <v>3328</v>
      </c>
      <c r="C2626" s="4">
        <v>12.9442</v>
      </c>
      <c r="D2626" s="4">
        <v>12.882899999999999</v>
      </c>
      <c r="E2626" s="4">
        <v>12.871</v>
      </c>
      <c r="F2626" s="4">
        <f t="shared" ref="F2626:F2689" si="164">(C2626+D2626+E2626)/3</f>
        <v>12.899366666666667</v>
      </c>
      <c r="I2626" s="4" t="s">
        <v>868</v>
      </c>
      <c r="J2626" s="4">
        <v>13.681699999999999</v>
      </c>
      <c r="K2626" s="4">
        <v>11.415800000000001</v>
      </c>
      <c r="L2626" s="4">
        <v>13.4535</v>
      </c>
      <c r="M2626" s="4">
        <f t="shared" ref="M2626:M2689" si="165">(J2626+K2626+L2626)/3</f>
        <v>12.850333333333333</v>
      </c>
      <c r="Q2626" s="43" t="s">
        <v>2980</v>
      </c>
      <c r="R2626" s="4">
        <v>12.9412849651548</v>
      </c>
      <c r="S2626" s="4">
        <v>12.868361386032101</v>
      </c>
      <c r="T2626" s="4">
        <v>12.8815797843749</v>
      </c>
      <c r="U2626" s="4">
        <f t="shared" ref="U2626:U2689" si="166">(R2626+S2626+T2626)/3</f>
        <v>12.897075378520599</v>
      </c>
      <c r="X2626" s="43" t="s">
        <v>4478</v>
      </c>
      <c r="Y2626" s="4">
        <v>13.0074561003811</v>
      </c>
      <c r="Z2626" s="4">
        <v>13.230564268847299</v>
      </c>
      <c r="AA2626" s="4">
        <v>12.902993303409501</v>
      </c>
      <c r="AB2626" s="4">
        <f t="shared" ref="AB2626:AB2689" si="167">(Y2626+Z2626+AA2626)/3</f>
        <v>13.047004557545968</v>
      </c>
    </row>
    <row r="2627" spans="2:28" x14ac:dyDescent="0.2">
      <c r="B2627" s="4" t="s">
        <v>3391</v>
      </c>
      <c r="C2627" s="4">
        <v>12.994</v>
      </c>
      <c r="D2627" s="4">
        <v>12.992100000000001</v>
      </c>
      <c r="E2627" s="4">
        <v>12.709899999999999</v>
      </c>
      <c r="F2627" s="4">
        <f t="shared" si="164"/>
        <v>12.898666666666665</v>
      </c>
      <c r="I2627" s="4" t="s">
        <v>58</v>
      </c>
      <c r="J2627" s="4">
        <v>13.2721</v>
      </c>
      <c r="K2627" s="4">
        <v>13.1822</v>
      </c>
      <c r="L2627" s="4">
        <v>12.0778</v>
      </c>
      <c r="M2627" s="4">
        <f t="shared" si="165"/>
        <v>12.844033333333334</v>
      </c>
      <c r="Q2627" s="43" t="s">
        <v>438</v>
      </c>
      <c r="R2627" s="4">
        <v>12.9983127277672</v>
      </c>
      <c r="S2627" s="4">
        <v>13.059473426499499</v>
      </c>
      <c r="T2627" s="4">
        <v>12.631019431484701</v>
      </c>
      <c r="U2627" s="4">
        <f t="shared" si="166"/>
        <v>12.896268528583802</v>
      </c>
      <c r="X2627" s="43" t="s">
        <v>3234</v>
      </c>
      <c r="Y2627" s="4">
        <v>13.1555411897469</v>
      </c>
      <c r="Z2627" s="4">
        <v>13.102880398922199</v>
      </c>
      <c r="AA2627" s="4">
        <v>12.880714071812401</v>
      </c>
      <c r="AB2627" s="4">
        <f t="shared" si="167"/>
        <v>13.046378553493833</v>
      </c>
    </row>
    <row r="2628" spans="2:28" x14ac:dyDescent="0.2">
      <c r="B2628" s="4" t="s">
        <v>2872</v>
      </c>
      <c r="C2628" s="4">
        <v>12.275600000000001</v>
      </c>
      <c r="D2628" s="4">
        <v>13.6065</v>
      </c>
      <c r="E2628" s="4">
        <v>12.8126</v>
      </c>
      <c r="F2628" s="4">
        <f t="shared" si="164"/>
        <v>12.898233333333332</v>
      </c>
      <c r="I2628" s="4" t="s">
        <v>687</v>
      </c>
      <c r="J2628" s="4">
        <v>12.3955</v>
      </c>
      <c r="K2628" s="4">
        <v>14.466900000000001</v>
      </c>
      <c r="L2628" s="4">
        <v>11.668799999999999</v>
      </c>
      <c r="M2628" s="4">
        <f t="shared" si="165"/>
        <v>12.843733333333333</v>
      </c>
      <c r="Q2628" s="43" t="s">
        <v>92</v>
      </c>
      <c r="R2628" s="4">
        <v>13.4928511176628</v>
      </c>
      <c r="S2628" s="4">
        <v>12.6091021439437</v>
      </c>
      <c r="T2628" s="4">
        <v>12.585645166454601</v>
      </c>
      <c r="U2628" s="4">
        <f t="shared" si="166"/>
        <v>12.895866142687034</v>
      </c>
      <c r="X2628" s="43" t="s">
        <v>4305</v>
      </c>
      <c r="Y2628" s="4">
        <v>13.0837875278191</v>
      </c>
      <c r="Z2628" s="4">
        <v>13.4105129258937</v>
      </c>
      <c r="AA2628" s="4">
        <v>12.6446981202758</v>
      </c>
      <c r="AB2628" s="4">
        <f t="shared" si="167"/>
        <v>13.0463328579962</v>
      </c>
    </row>
    <row r="2629" spans="2:28" x14ac:dyDescent="0.2">
      <c r="B2629" s="4" t="s">
        <v>2032</v>
      </c>
      <c r="C2629" s="4">
        <v>13.139200000000001</v>
      </c>
      <c r="D2629" s="4">
        <v>12.9465</v>
      </c>
      <c r="E2629" s="4">
        <v>12.6068</v>
      </c>
      <c r="F2629" s="4">
        <f t="shared" si="164"/>
        <v>12.897500000000001</v>
      </c>
      <c r="I2629" s="4" t="s">
        <v>2705</v>
      </c>
      <c r="J2629" s="4">
        <v>13.096</v>
      </c>
      <c r="K2629" s="4">
        <v>12.847200000000001</v>
      </c>
      <c r="L2629" s="4">
        <v>12.5869</v>
      </c>
      <c r="M2629" s="4">
        <f t="shared" si="165"/>
        <v>12.843366666666668</v>
      </c>
      <c r="Q2629" s="43" t="s">
        <v>3854</v>
      </c>
      <c r="R2629" s="4">
        <v>12.863036291187701</v>
      </c>
      <c r="S2629" s="4">
        <v>12.853479935678401</v>
      </c>
      <c r="T2629" s="4">
        <v>12.9660460382187</v>
      </c>
      <c r="U2629" s="4">
        <f t="shared" si="166"/>
        <v>12.894187421694932</v>
      </c>
      <c r="X2629" s="43" t="s">
        <v>4018</v>
      </c>
      <c r="Y2629" s="4">
        <v>13.2346494728835</v>
      </c>
      <c r="Z2629" s="4">
        <v>12.864924275635399</v>
      </c>
      <c r="AA2629" s="4">
        <v>13.0320907311791</v>
      </c>
      <c r="AB2629" s="4">
        <f t="shared" si="167"/>
        <v>13.043888159899334</v>
      </c>
    </row>
    <row r="2630" spans="2:28" x14ac:dyDescent="0.2">
      <c r="B2630" s="4" t="s">
        <v>514</v>
      </c>
      <c r="C2630" s="4">
        <v>12.512499999999999</v>
      </c>
      <c r="D2630" s="4">
        <v>13.0166</v>
      </c>
      <c r="E2630" s="4">
        <v>13.160500000000001</v>
      </c>
      <c r="F2630" s="4">
        <f t="shared" si="164"/>
        <v>12.896533333333332</v>
      </c>
      <c r="I2630" s="4" t="s">
        <v>3541</v>
      </c>
      <c r="J2630" s="4">
        <v>13.0379</v>
      </c>
      <c r="K2630" s="4">
        <v>12.8385</v>
      </c>
      <c r="L2630" s="4">
        <v>12.6408</v>
      </c>
      <c r="M2630" s="4">
        <f t="shared" si="165"/>
        <v>12.839066666666668</v>
      </c>
      <c r="Q2630" s="43" t="s">
        <v>685</v>
      </c>
      <c r="R2630" s="4">
        <v>12.598064409259701</v>
      </c>
      <c r="S2630" s="4">
        <v>13.083596839288999</v>
      </c>
      <c r="T2630" s="4">
        <v>12.9994672033926</v>
      </c>
      <c r="U2630" s="4">
        <f t="shared" si="166"/>
        <v>12.893709483980432</v>
      </c>
      <c r="X2630" s="43" t="s">
        <v>3767</v>
      </c>
      <c r="Y2630" s="4">
        <v>13.0718368801545</v>
      </c>
      <c r="Z2630" s="4">
        <v>13.0019098191695</v>
      </c>
      <c r="AA2630" s="4">
        <v>13.057822755304</v>
      </c>
      <c r="AB2630" s="4">
        <f t="shared" si="167"/>
        <v>13.043856484876001</v>
      </c>
    </row>
    <row r="2631" spans="2:28" x14ac:dyDescent="0.2">
      <c r="B2631" s="4" t="s">
        <v>428</v>
      </c>
      <c r="C2631" s="4">
        <v>12.6778</v>
      </c>
      <c r="D2631" s="4">
        <v>12.691599999999999</v>
      </c>
      <c r="E2631" s="4">
        <v>13.3125</v>
      </c>
      <c r="F2631" s="4">
        <f t="shared" si="164"/>
        <v>12.893966666666666</v>
      </c>
      <c r="I2631" s="4" t="s">
        <v>2580</v>
      </c>
      <c r="J2631" s="4">
        <v>13.2028</v>
      </c>
      <c r="K2631" s="4">
        <v>12.3127</v>
      </c>
      <c r="L2631" s="4">
        <v>12.9975</v>
      </c>
      <c r="M2631" s="4">
        <f t="shared" si="165"/>
        <v>12.837666666666665</v>
      </c>
      <c r="Q2631" s="43" t="s">
        <v>1454</v>
      </c>
      <c r="R2631" s="4">
        <v>12.545990024377399</v>
      </c>
      <c r="S2631" s="4">
        <v>13.070016584904</v>
      </c>
      <c r="T2631" s="4">
        <v>13.057409818703</v>
      </c>
      <c r="U2631" s="4">
        <f t="shared" si="166"/>
        <v>12.891138809328133</v>
      </c>
      <c r="X2631" s="43" t="s">
        <v>1257</v>
      </c>
      <c r="Y2631" s="4">
        <v>13.174955180115401</v>
      </c>
      <c r="Z2631" s="4">
        <v>12.976589569803201</v>
      </c>
      <c r="AA2631" s="4">
        <v>12.9798935663142</v>
      </c>
      <c r="AB2631" s="4">
        <f t="shared" si="167"/>
        <v>13.043812772077601</v>
      </c>
    </row>
    <row r="2632" spans="2:28" x14ac:dyDescent="0.2">
      <c r="B2632" s="4" t="s">
        <v>3921</v>
      </c>
      <c r="C2632" s="4">
        <v>12.7821</v>
      </c>
      <c r="D2632" s="4">
        <v>13.148300000000001</v>
      </c>
      <c r="E2632" s="4">
        <v>12.749700000000001</v>
      </c>
      <c r="F2632" s="4">
        <f t="shared" si="164"/>
        <v>12.893366666666665</v>
      </c>
      <c r="I2632" s="4" t="s">
        <v>2488</v>
      </c>
      <c r="J2632" s="4">
        <v>13.3292</v>
      </c>
      <c r="K2632" s="4">
        <v>11.572699999999999</v>
      </c>
      <c r="L2632" s="4">
        <v>13.6081</v>
      </c>
      <c r="M2632" s="4">
        <f t="shared" si="165"/>
        <v>12.836666666666666</v>
      </c>
      <c r="Q2632" s="43" t="s">
        <v>4225</v>
      </c>
      <c r="R2632" s="4">
        <v>12.8881411853337</v>
      </c>
      <c r="S2632" s="4">
        <v>12.935692672405199</v>
      </c>
      <c r="T2632" s="4">
        <v>12.847845122516899</v>
      </c>
      <c r="U2632" s="4">
        <f t="shared" si="166"/>
        <v>12.890559660085266</v>
      </c>
      <c r="X2632" s="43" t="s">
        <v>2968</v>
      </c>
      <c r="Y2632" s="4">
        <v>13.4317503634972</v>
      </c>
      <c r="Z2632" s="4">
        <v>13.060909249683</v>
      </c>
      <c r="AA2632" s="4">
        <v>12.6386804168535</v>
      </c>
      <c r="AB2632" s="4">
        <f t="shared" si="167"/>
        <v>13.043780010011233</v>
      </c>
    </row>
    <row r="2633" spans="2:28" x14ac:dyDescent="0.2">
      <c r="B2633" s="4" t="s">
        <v>3709</v>
      </c>
      <c r="C2633" s="4">
        <v>12.8492</v>
      </c>
      <c r="D2633" s="4">
        <v>12.9443</v>
      </c>
      <c r="E2633" s="4">
        <v>12.8832</v>
      </c>
      <c r="F2633" s="4">
        <f t="shared" si="164"/>
        <v>12.892233333333335</v>
      </c>
      <c r="I2633" s="4" t="s">
        <v>3922</v>
      </c>
      <c r="J2633" s="4">
        <v>12.646000000000001</v>
      </c>
      <c r="K2633" s="4">
        <v>13.201599999999999</v>
      </c>
      <c r="L2633" s="4">
        <v>12.660399999999999</v>
      </c>
      <c r="M2633" s="4">
        <f t="shared" si="165"/>
        <v>12.835999999999999</v>
      </c>
      <c r="Q2633" s="43" t="s">
        <v>2466</v>
      </c>
      <c r="R2633" s="4">
        <v>12.7969983970449</v>
      </c>
      <c r="S2633" s="4">
        <v>13.010509339945401</v>
      </c>
      <c r="T2633" s="4">
        <v>12.8618127581074</v>
      </c>
      <c r="U2633" s="4">
        <f t="shared" si="166"/>
        <v>12.8897734983659</v>
      </c>
      <c r="X2633" s="43" t="s">
        <v>765</v>
      </c>
      <c r="Y2633" s="4">
        <v>12.971125979908001</v>
      </c>
      <c r="Z2633" s="4">
        <v>13.06138289818</v>
      </c>
      <c r="AA2633" s="4">
        <v>13.098806975069699</v>
      </c>
      <c r="AB2633" s="4">
        <f t="shared" si="167"/>
        <v>13.043771951052568</v>
      </c>
    </row>
    <row r="2634" spans="2:28" x14ac:dyDescent="0.2">
      <c r="B2634" s="4" t="s">
        <v>2384</v>
      </c>
      <c r="C2634" s="4">
        <v>12.633100000000001</v>
      </c>
      <c r="D2634" s="4">
        <v>12.952199999999999</v>
      </c>
      <c r="E2634" s="4">
        <v>13.087199999999999</v>
      </c>
      <c r="F2634" s="4">
        <f t="shared" si="164"/>
        <v>12.890833333333333</v>
      </c>
      <c r="I2634" s="4" t="s">
        <v>2024</v>
      </c>
      <c r="J2634" s="4">
        <v>13.178599999999999</v>
      </c>
      <c r="K2634" s="4">
        <v>11.3393</v>
      </c>
      <c r="L2634" s="4">
        <v>13.950100000000001</v>
      </c>
      <c r="M2634" s="4">
        <f t="shared" si="165"/>
        <v>12.822666666666665</v>
      </c>
      <c r="Q2634" s="43" t="s">
        <v>399</v>
      </c>
      <c r="R2634" s="4">
        <v>12.9461599697918</v>
      </c>
      <c r="S2634" s="4">
        <v>12.9392458906034</v>
      </c>
      <c r="T2634" s="4">
        <v>12.7834266050049</v>
      </c>
      <c r="U2634" s="4">
        <f t="shared" si="166"/>
        <v>12.889610821800034</v>
      </c>
      <c r="X2634" s="43" t="s">
        <v>3093</v>
      </c>
      <c r="Y2634" s="4">
        <v>13.0559368555897</v>
      </c>
      <c r="Z2634" s="4">
        <v>13.6368198017928</v>
      </c>
      <c r="AA2634" s="4">
        <v>12.438208236346</v>
      </c>
      <c r="AB2634" s="4">
        <f t="shared" si="167"/>
        <v>13.043654964576168</v>
      </c>
    </row>
    <row r="2635" spans="2:28" x14ac:dyDescent="0.2">
      <c r="B2635" s="4" t="s">
        <v>1941</v>
      </c>
      <c r="C2635" s="4">
        <v>12.665800000000001</v>
      </c>
      <c r="D2635" s="4">
        <v>12.983599999999999</v>
      </c>
      <c r="E2635" s="4">
        <v>13.0228</v>
      </c>
      <c r="F2635" s="4">
        <f t="shared" si="164"/>
        <v>12.890733333333335</v>
      </c>
      <c r="I2635" s="4" t="s">
        <v>3835</v>
      </c>
      <c r="J2635" s="4">
        <v>12.364000000000001</v>
      </c>
      <c r="K2635" s="4">
        <v>13.617000000000001</v>
      </c>
      <c r="L2635" s="4">
        <v>12.4826</v>
      </c>
      <c r="M2635" s="4">
        <f t="shared" si="165"/>
        <v>12.821199999999999</v>
      </c>
      <c r="Q2635" s="43" t="s">
        <v>3135</v>
      </c>
      <c r="R2635" s="4">
        <v>12.6850287291161</v>
      </c>
      <c r="S2635" s="4">
        <v>13.128725418181199</v>
      </c>
      <c r="T2635" s="4">
        <v>12.8543627254721</v>
      </c>
      <c r="U2635" s="4">
        <f t="shared" si="166"/>
        <v>12.889372290923134</v>
      </c>
      <c r="X2635" s="43" t="s">
        <v>4157</v>
      </c>
      <c r="Y2635" s="4">
        <v>13.045305379406299</v>
      </c>
      <c r="Z2635" s="4">
        <v>12.957834215717501</v>
      </c>
      <c r="AA2635" s="4">
        <v>13.124214899149599</v>
      </c>
      <c r="AB2635" s="4">
        <f t="shared" si="167"/>
        <v>13.042451498091133</v>
      </c>
    </row>
    <row r="2636" spans="2:28" x14ac:dyDescent="0.2">
      <c r="B2636" s="4" t="s">
        <v>2554</v>
      </c>
      <c r="C2636" s="4">
        <v>12.665699999999999</v>
      </c>
      <c r="D2636" s="4">
        <v>12.922499999999999</v>
      </c>
      <c r="E2636" s="4">
        <v>13.082800000000001</v>
      </c>
      <c r="F2636" s="4">
        <f t="shared" si="164"/>
        <v>12.890333333333333</v>
      </c>
      <c r="I2636" s="4" t="s">
        <v>886</v>
      </c>
      <c r="J2636" s="4">
        <v>12.843500000000001</v>
      </c>
      <c r="K2636" s="4">
        <v>12.751300000000001</v>
      </c>
      <c r="L2636" s="4">
        <v>12.8668</v>
      </c>
      <c r="M2636" s="4">
        <f t="shared" si="165"/>
        <v>12.820533333333332</v>
      </c>
      <c r="Q2636" s="43" t="s">
        <v>4162</v>
      </c>
      <c r="R2636" s="4">
        <v>12.9965129018845</v>
      </c>
      <c r="S2636" s="4">
        <v>12.904189303674301</v>
      </c>
      <c r="T2636" s="4">
        <v>12.7605780874968</v>
      </c>
      <c r="U2636" s="4">
        <f t="shared" si="166"/>
        <v>12.887093431018533</v>
      </c>
      <c r="X2636" s="43" t="s">
        <v>709</v>
      </c>
      <c r="Y2636" s="4">
        <v>12.9431878892781</v>
      </c>
      <c r="Z2636" s="4">
        <v>13.1226101970343</v>
      </c>
      <c r="AA2636" s="4">
        <v>13.061034757569599</v>
      </c>
      <c r="AB2636" s="4">
        <f t="shared" si="167"/>
        <v>13.042277614627332</v>
      </c>
    </row>
    <row r="2637" spans="2:28" x14ac:dyDescent="0.2">
      <c r="B2637" s="4" t="s">
        <v>2865</v>
      </c>
      <c r="C2637" s="4">
        <v>12.9323</v>
      </c>
      <c r="D2637" s="4">
        <v>12.657</v>
      </c>
      <c r="E2637" s="4">
        <v>13.0808</v>
      </c>
      <c r="F2637" s="4">
        <f t="shared" si="164"/>
        <v>12.890033333333335</v>
      </c>
      <c r="I2637" s="4" t="s">
        <v>1860</v>
      </c>
      <c r="J2637" s="4">
        <v>12.963699999999999</v>
      </c>
      <c r="K2637" s="4">
        <v>12.7408</v>
      </c>
      <c r="L2637" s="4">
        <v>12.7559</v>
      </c>
      <c r="M2637" s="4">
        <f t="shared" si="165"/>
        <v>12.820133333333333</v>
      </c>
      <c r="Q2637" s="43" t="s">
        <v>4571</v>
      </c>
      <c r="R2637" s="4">
        <v>12.701320641139301</v>
      </c>
      <c r="S2637" s="4">
        <v>13.0546367775723</v>
      </c>
      <c r="T2637" s="4">
        <v>12.9044825728144</v>
      </c>
      <c r="U2637" s="4">
        <f t="shared" si="166"/>
        <v>12.886813330508668</v>
      </c>
      <c r="X2637" s="43" t="s">
        <v>2086</v>
      </c>
      <c r="Y2637" s="4">
        <v>13.226505803101499</v>
      </c>
      <c r="Z2637" s="4">
        <v>12.830766173060301</v>
      </c>
      <c r="AA2637" s="4">
        <v>13.0685278738991</v>
      </c>
      <c r="AB2637" s="4">
        <f t="shared" si="167"/>
        <v>13.041933283353634</v>
      </c>
    </row>
    <row r="2638" spans="2:28" x14ac:dyDescent="0.2">
      <c r="B2638" s="4" t="s">
        <v>2614</v>
      </c>
      <c r="C2638" s="4">
        <v>12.162100000000001</v>
      </c>
      <c r="D2638" s="4">
        <v>13.377800000000001</v>
      </c>
      <c r="E2638" s="4">
        <v>13.109299999999999</v>
      </c>
      <c r="F2638" s="4">
        <f t="shared" si="164"/>
        <v>12.883066666666666</v>
      </c>
      <c r="I2638" s="4" t="s">
        <v>2460</v>
      </c>
      <c r="J2638" s="4">
        <v>12.2309</v>
      </c>
      <c r="K2638" s="4">
        <v>13.4663</v>
      </c>
      <c r="L2638" s="4">
        <v>12.7475</v>
      </c>
      <c r="M2638" s="4">
        <f t="shared" si="165"/>
        <v>12.814900000000002</v>
      </c>
      <c r="Q2638" s="43" t="s">
        <v>688</v>
      </c>
      <c r="R2638" s="4">
        <v>12.2370614234844</v>
      </c>
      <c r="S2638" s="4">
        <v>13.143475633526901</v>
      </c>
      <c r="T2638" s="4">
        <v>13.2707747891158</v>
      </c>
      <c r="U2638" s="4">
        <f t="shared" si="166"/>
        <v>12.883770615375701</v>
      </c>
      <c r="X2638" s="43" t="s">
        <v>4601</v>
      </c>
      <c r="Y2638" s="4">
        <v>13.0779513860761</v>
      </c>
      <c r="Z2638" s="4">
        <v>12.9229883165386</v>
      </c>
      <c r="AA2638" s="4">
        <v>13.1248395089209</v>
      </c>
      <c r="AB2638" s="4">
        <f t="shared" si="167"/>
        <v>13.041926403845201</v>
      </c>
    </row>
    <row r="2639" spans="2:28" x14ac:dyDescent="0.2">
      <c r="B2639" s="4" t="s">
        <v>3271</v>
      </c>
      <c r="C2639" s="4">
        <v>12.916600000000001</v>
      </c>
      <c r="D2639" s="4">
        <v>12.920299999999999</v>
      </c>
      <c r="E2639" s="4">
        <v>12.7935</v>
      </c>
      <c r="F2639" s="4">
        <f t="shared" si="164"/>
        <v>12.876800000000001</v>
      </c>
      <c r="I2639" s="4" t="s">
        <v>2658</v>
      </c>
      <c r="J2639" s="4">
        <v>12.324299999999999</v>
      </c>
      <c r="K2639" s="4">
        <v>13.180199999999999</v>
      </c>
      <c r="L2639" s="4">
        <v>12.914099999999999</v>
      </c>
      <c r="M2639" s="4">
        <f t="shared" si="165"/>
        <v>12.806199999999999</v>
      </c>
      <c r="Q2639" s="43" t="s">
        <v>862</v>
      </c>
      <c r="R2639" s="4">
        <v>12.9546615139368</v>
      </c>
      <c r="S2639" s="4">
        <v>12.6240235171043</v>
      </c>
      <c r="T2639" s="4">
        <v>13.069327566340901</v>
      </c>
      <c r="U2639" s="4">
        <f t="shared" si="166"/>
        <v>12.882670865793999</v>
      </c>
      <c r="X2639" s="43" t="s">
        <v>4077</v>
      </c>
      <c r="Y2639" s="4">
        <v>13.0501959439981</v>
      </c>
      <c r="Z2639" s="4">
        <v>12.879659246040699</v>
      </c>
      <c r="AA2639" s="4">
        <v>13.193263111296501</v>
      </c>
      <c r="AB2639" s="4">
        <f t="shared" si="167"/>
        <v>13.041039433778435</v>
      </c>
    </row>
    <row r="2640" spans="2:28" x14ac:dyDescent="0.2">
      <c r="B2640" s="4" t="s">
        <v>194</v>
      </c>
      <c r="C2640" s="4">
        <v>13.0288</v>
      </c>
      <c r="D2640" s="4">
        <v>12.7075</v>
      </c>
      <c r="E2640" s="4">
        <v>12.8932</v>
      </c>
      <c r="F2640" s="4">
        <f t="shared" si="164"/>
        <v>12.8765</v>
      </c>
      <c r="I2640" s="4" t="s">
        <v>2293</v>
      </c>
      <c r="J2640" s="4">
        <v>13.0221</v>
      </c>
      <c r="K2640" s="4">
        <v>12.3401</v>
      </c>
      <c r="L2640" s="4">
        <v>13.0505</v>
      </c>
      <c r="M2640" s="4">
        <f t="shared" si="165"/>
        <v>12.804233333333334</v>
      </c>
      <c r="Q2640" s="43" t="s">
        <v>4011</v>
      </c>
      <c r="R2640" s="4">
        <v>12.576571292475199</v>
      </c>
      <c r="S2640" s="4">
        <v>13.0551833034558</v>
      </c>
      <c r="T2640" s="4">
        <v>13.0098865776819</v>
      </c>
      <c r="U2640" s="4">
        <f t="shared" si="166"/>
        <v>12.880547057870965</v>
      </c>
      <c r="X2640" s="43" t="s">
        <v>2033</v>
      </c>
      <c r="Y2640" s="4">
        <v>12.813521019093701</v>
      </c>
      <c r="Z2640" s="4">
        <v>13.1262938348403</v>
      </c>
      <c r="AA2640" s="4">
        <v>13.1795708409991</v>
      </c>
      <c r="AB2640" s="4">
        <f t="shared" si="167"/>
        <v>13.039795231644367</v>
      </c>
    </row>
    <row r="2641" spans="2:28" x14ac:dyDescent="0.2">
      <c r="B2641" s="4" t="s">
        <v>3822</v>
      </c>
      <c r="C2641" s="4">
        <v>12.7532</v>
      </c>
      <c r="D2641" s="4">
        <v>13.0793</v>
      </c>
      <c r="E2641" s="4">
        <v>12.7967</v>
      </c>
      <c r="F2641" s="4">
        <f t="shared" si="164"/>
        <v>12.876399999999999</v>
      </c>
      <c r="I2641" s="4" t="s">
        <v>1637</v>
      </c>
      <c r="J2641" s="4">
        <v>12.7193</v>
      </c>
      <c r="K2641" s="4">
        <v>12.904400000000001</v>
      </c>
      <c r="L2641" s="4">
        <v>12.789</v>
      </c>
      <c r="M2641" s="4">
        <f t="shared" si="165"/>
        <v>12.804233333333334</v>
      </c>
      <c r="Q2641" s="43" t="s">
        <v>1010</v>
      </c>
      <c r="R2641" s="4">
        <v>13.221247115917899</v>
      </c>
      <c r="S2641" s="4">
        <v>12.6564560628329</v>
      </c>
      <c r="T2641" s="4">
        <v>12.760597753660001</v>
      </c>
      <c r="U2641" s="4">
        <f t="shared" si="166"/>
        <v>12.879433644136933</v>
      </c>
      <c r="X2641" s="43" t="s">
        <v>656</v>
      </c>
      <c r="Y2641" s="4">
        <v>12.839818443104001</v>
      </c>
      <c r="Z2641" s="4">
        <v>12.9646185770755</v>
      </c>
      <c r="AA2641" s="4">
        <v>13.312656505700801</v>
      </c>
      <c r="AB2641" s="4">
        <f t="shared" si="167"/>
        <v>13.039031175293433</v>
      </c>
    </row>
    <row r="2642" spans="2:28" x14ac:dyDescent="0.2">
      <c r="B2642" s="4" t="s">
        <v>3646</v>
      </c>
      <c r="C2642" s="4">
        <v>13.0876</v>
      </c>
      <c r="D2642" s="4">
        <v>12.5914</v>
      </c>
      <c r="E2642" s="4">
        <v>12.949400000000001</v>
      </c>
      <c r="F2642" s="4">
        <f t="shared" si="164"/>
        <v>12.876133333333334</v>
      </c>
      <c r="I2642" s="4" t="s">
        <v>2766</v>
      </c>
      <c r="J2642" s="4">
        <v>13.0814</v>
      </c>
      <c r="K2642" s="4">
        <v>12.0015</v>
      </c>
      <c r="L2642" s="4">
        <v>13.3277</v>
      </c>
      <c r="M2642" s="4">
        <f t="shared" si="165"/>
        <v>12.803533333333334</v>
      </c>
      <c r="Q2642" s="43" t="s">
        <v>4308</v>
      </c>
      <c r="R2642" s="4">
        <v>12.7823963684523</v>
      </c>
      <c r="S2642" s="4">
        <v>12.9736161283921</v>
      </c>
      <c r="T2642" s="4">
        <v>12.8656362992401</v>
      </c>
      <c r="U2642" s="4">
        <f t="shared" si="166"/>
        <v>12.873882932028167</v>
      </c>
      <c r="X2642" s="43" t="s">
        <v>1810</v>
      </c>
      <c r="Y2642" s="4">
        <v>13.0090758872326</v>
      </c>
      <c r="Z2642" s="4">
        <v>13.1081610968187</v>
      </c>
      <c r="AA2642" s="4">
        <v>12.995573811399501</v>
      </c>
      <c r="AB2642" s="4">
        <f t="shared" si="167"/>
        <v>13.037603598483599</v>
      </c>
    </row>
    <row r="2643" spans="2:28" x14ac:dyDescent="0.2">
      <c r="B2643" s="4" t="s">
        <v>2417</v>
      </c>
      <c r="C2643" s="4">
        <v>11.868</v>
      </c>
      <c r="D2643" s="4">
        <v>13.2417</v>
      </c>
      <c r="E2643" s="4">
        <v>13.5174</v>
      </c>
      <c r="F2643" s="4">
        <f t="shared" si="164"/>
        <v>12.8757</v>
      </c>
      <c r="I2643" s="4" t="s">
        <v>2501</v>
      </c>
      <c r="J2643" s="4">
        <v>12.823600000000001</v>
      </c>
      <c r="K2643" s="4">
        <v>12.6067</v>
      </c>
      <c r="L2643" s="4">
        <v>12.9773</v>
      </c>
      <c r="M2643" s="4">
        <f t="shared" si="165"/>
        <v>12.802533333333335</v>
      </c>
      <c r="Q2643" s="43" t="s">
        <v>4581</v>
      </c>
      <c r="R2643" s="4">
        <v>12.679997542758899</v>
      </c>
      <c r="S2643" s="4">
        <v>13.03810244914</v>
      </c>
      <c r="T2643" s="4">
        <v>12.9031603278641</v>
      </c>
      <c r="U2643" s="4">
        <f t="shared" si="166"/>
        <v>12.873753439920998</v>
      </c>
      <c r="X2643" s="43" t="s">
        <v>4098</v>
      </c>
      <c r="Y2643" s="4">
        <v>12.808399059393899</v>
      </c>
      <c r="Z2643" s="4">
        <v>13.270267489787599</v>
      </c>
      <c r="AA2643" s="4">
        <v>13.033831137105301</v>
      </c>
      <c r="AB2643" s="4">
        <f t="shared" si="167"/>
        <v>13.037499228762266</v>
      </c>
    </row>
    <row r="2644" spans="2:28" x14ac:dyDescent="0.2">
      <c r="B2644" s="4" t="s">
        <v>3255</v>
      </c>
      <c r="C2644" s="4">
        <v>13.100199999999999</v>
      </c>
      <c r="D2644" s="4">
        <v>12.354699999999999</v>
      </c>
      <c r="E2644" s="4">
        <v>13.1715</v>
      </c>
      <c r="F2644" s="4">
        <f t="shared" si="164"/>
        <v>12.875466666666666</v>
      </c>
      <c r="I2644" s="4" t="s">
        <v>2807</v>
      </c>
      <c r="J2644" s="4">
        <v>13.135300000000001</v>
      </c>
      <c r="K2644" s="4">
        <v>12.0936</v>
      </c>
      <c r="L2644" s="4">
        <v>13.176</v>
      </c>
      <c r="M2644" s="4">
        <f t="shared" si="165"/>
        <v>12.801633333333335</v>
      </c>
      <c r="Q2644" s="43" t="s">
        <v>3993</v>
      </c>
      <c r="R2644" s="4">
        <v>13.0733616411482</v>
      </c>
      <c r="S2644" s="4">
        <v>12.498295423122901</v>
      </c>
      <c r="T2644" s="4">
        <v>13.049501416222</v>
      </c>
      <c r="U2644" s="4">
        <f t="shared" si="166"/>
        <v>12.873719493497701</v>
      </c>
      <c r="X2644" s="43" t="s">
        <v>873</v>
      </c>
      <c r="Y2644" s="4">
        <v>13.027900567693701</v>
      </c>
      <c r="Z2644" s="4">
        <v>12.865623377536499</v>
      </c>
      <c r="AA2644" s="4">
        <v>13.214628908828599</v>
      </c>
      <c r="AB2644" s="4">
        <f t="shared" si="167"/>
        <v>13.036050951352934</v>
      </c>
    </row>
    <row r="2645" spans="2:28" x14ac:dyDescent="0.2">
      <c r="B2645" s="4" t="s">
        <v>3587</v>
      </c>
      <c r="C2645" s="4">
        <v>13.295299999999999</v>
      </c>
      <c r="D2645" s="4">
        <v>12.901</v>
      </c>
      <c r="E2645" s="4">
        <v>12.4224</v>
      </c>
      <c r="F2645" s="4">
        <f t="shared" si="164"/>
        <v>12.872900000000001</v>
      </c>
      <c r="I2645" s="4" t="s">
        <v>3937</v>
      </c>
      <c r="J2645" s="4">
        <v>12.598000000000001</v>
      </c>
      <c r="K2645" s="4">
        <v>12.6761</v>
      </c>
      <c r="L2645" s="4">
        <v>13.1274</v>
      </c>
      <c r="M2645" s="4">
        <f t="shared" si="165"/>
        <v>12.8005</v>
      </c>
      <c r="Q2645" s="43" t="s">
        <v>2979</v>
      </c>
      <c r="R2645" s="4">
        <v>12.6867298972643</v>
      </c>
      <c r="S2645" s="4">
        <v>12.913845395169799</v>
      </c>
      <c r="T2645" s="4">
        <v>13.0131028621164</v>
      </c>
      <c r="U2645" s="4">
        <f t="shared" si="166"/>
        <v>12.871226051516834</v>
      </c>
      <c r="X2645" s="43" t="s">
        <v>2979</v>
      </c>
      <c r="Y2645" s="4">
        <v>13.1169653281768</v>
      </c>
      <c r="Z2645" s="4">
        <v>12.8454890371685</v>
      </c>
      <c r="AA2645" s="4">
        <v>13.1387568064203</v>
      </c>
      <c r="AB2645" s="4">
        <f t="shared" si="167"/>
        <v>13.0337370572552</v>
      </c>
    </row>
    <row r="2646" spans="2:28" x14ac:dyDescent="0.2">
      <c r="B2646" s="4" t="s">
        <v>2459</v>
      </c>
      <c r="C2646" s="4">
        <v>13.029400000000001</v>
      </c>
      <c r="D2646" s="4">
        <v>12.777100000000001</v>
      </c>
      <c r="E2646" s="4">
        <v>12.8081</v>
      </c>
      <c r="F2646" s="4">
        <f t="shared" si="164"/>
        <v>12.871533333333332</v>
      </c>
      <c r="I2646" s="4" t="s">
        <v>2237</v>
      </c>
      <c r="J2646" s="4">
        <v>12.9956</v>
      </c>
      <c r="K2646" s="4">
        <v>12.386799999999999</v>
      </c>
      <c r="L2646" s="4">
        <v>13.016299999999999</v>
      </c>
      <c r="M2646" s="4">
        <f t="shared" si="165"/>
        <v>12.799566666666665</v>
      </c>
      <c r="Q2646" s="43" t="s">
        <v>1400</v>
      </c>
      <c r="R2646" s="4">
        <v>12.7061243487918</v>
      </c>
      <c r="S2646" s="4">
        <v>12.9077902694819</v>
      </c>
      <c r="T2646" s="4">
        <v>12.995486921165901</v>
      </c>
      <c r="U2646" s="4">
        <f t="shared" si="166"/>
        <v>12.869800513146535</v>
      </c>
      <c r="X2646" s="43" t="s">
        <v>4278</v>
      </c>
      <c r="Y2646" s="4">
        <v>12.941319314464099</v>
      </c>
      <c r="Z2646" s="4">
        <v>13.443956624479</v>
      </c>
      <c r="AA2646" s="4">
        <v>12.7154629681249</v>
      </c>
      <c r="AB2646" s="4">
        <f t="shared" si="167"/>
        <v>13.033579635689334</v>
      </c>
    </row>
    <row r="2647" spans="2:28" x14ac:dyDescent="0.2">
      <c r="B2647" s="4" t="s">
        <v>2030</v>
      </c>
      <c r="C2647" s="4">
        <v>12.759600000000001</v>
      </c>
      <c r="D2647" s="4">
        <v>12.719099999999999</v>
      </c>
      <c r="E2647" s="4">
        <v>13.1295</v>
      </c>
      <c r="F2647" s="4">
        <f t="shared" si="164"/>
        <v>12.869399999999999</v>
      </c>
      <c r="I2647" s="4" t="s">
        <v>183</v>
      </c>
      <c r="J2647" s="4">
        <v>12.797800000000001</v>
      </c>
      <c r="K2647" s="4">
        <v>12.491400000000001</v>
      </c>
      <c r="L2647" s="4">
        <v>13.090999999999999</v>
      </c>
      <c r="M2647" s="4">
        <f t="shared" si="165"/>
        <v>12.7934</v>
      </c>
      <c r="Q2647" s="43" t="s">
        <v>926</v>
      </c>
      <c r="R2647" s="4">
        <v>12.519497846499601</v>
      </c>
      <c r="S2647" s="4">
        <v>13.060508579580199</v>
      </c>
      <c r="T2647" s="4">
        <v>13.022737275618301</v>
      </c>
      <c r="U2647" s="4">
        <f t="shared" si="166"/>
        <v>12.867581233899367</v>
      </c>
      <c r="X2647" s="43" t="s">
        <v>3526</v>
      </c>
      <c r="Y2647" s="4">
        <v>13.001582084269099</v>
      </c>
      <c r="Z2647" s="4">
        <v>13.081853441932999</v>
      </c>
      <c r="AA2647" s="4">
        <v>13.010401785049501</v>
      </c>
      <c r="AB2647" s="4">
        <f t="shared" si="167"/>
        <v>13.031279103750533</v>
      </c>
    </row>
    <row r="2648" spans="2:28" x14ac:dyDescent="0.2">
      <c r="B2648" s="4" t="s">
        <v>2765</v>
      </c>
      <c r="C2648" s="4">
        <v>11.882899999999999</v>
      </c>
      <c r="D2648" s="4">
        <v>13.107200000000001</v>
      </c>
      <c r="E2648" s="4">
        <v>13.6168</v>
      </c>
      <c r="F2648" s="4">
        <f t="shared" si="164"/>
        <v>12.868966666666665</v>
      </c>
      <c r="I2648" s="4" t="s">
        <v>3850</v>
      </c>
      <c r="J2648" s="4">
        <v>12.924200000000001</v>
      </c>
      <c r="K2648" s="4">
        <v>12.653600000000001</v>
      </c>
      <c r="L2648" s="4">
        <v>12.802199999999999</v>
      </c>
      <c r="M2648" s="4">
        <f t="shared" si="165"/>
        <v>12.793333333333335</v>
      </c>
      <c r="Q2648" s="43" t="s">
        <v>56</v>
      </c>
      <c r="R2648" s="4">
        <v>12.7350976220508</v>
      </c>
      <c r="S2648" s="4">
        <v>13.0344339130212</v>
      </c>
      <c r="T2648" s="4">
        <v>12.828748340740599</v>
      </c>
      <c r="U2648" s="4">
        <f t="shared" si="166"/>
        <v>12.866093291937531</v>
      </c>
      <c r="X2648" s="43" t="s">
        <v>1268</v>
      </c>
      <c r="Y2648" s="4">
        <v>12.9392402599173</v>
      </c>
      <c r="Z2648" s="4">
        <v>12.9347428138658</v>
      </c>
      <c r="AA2648" s="4">
        <v>13.217483865199499</v>
      </c>
      <c r="AB2648" s="4">
        <f t="shared" si="167"/>
        <v>13.030488979660866</v>
      </c>
    </row>
    <row r="2649" spans="2:28" x14ac:dyDescent="0.2">
      <c r="B2649" s="4" t="s">
        <v>2237</v>
      </c>
      <c r="C2649" s="4">
        <v>12.8743</v>
      </c>
      <c r="D2649" s="4">
        <v>12.7948</v>
      </c>
      <c r="E2649" s="4">
        <v>12.925800000000001</v>
      </c>
      <c r="F2649" s="4">
        <f t="shared" si="164"/>
        <v>12.864966666666668</v>
      </c>
      <c r="I2649" s="4" t="s">
        <v>3901</v>
      </c>
      <c r="J2649" s="4">
        <v>11.7631</v>
      </c>
      <c r="K2649" s="4">
        <v>13.975</v>
      </c>
      <c r="L2649" s="4">
        <v>12.636699999999999</v>
      </c>
      <c r="M2649" s="4">
        <f t="shared" si="165"/>
        <v>12.791600000000001</v>
      </c>
      <c r="Q2649" s="43" t="s">
        <v>1184</v>
      </c>
      <c r="R2649" s="4">
        <v>12.593255498742501</v>
      </c>
      <c r="S2649" s="4">
        <v>12.939279248858499</v>
      </c>
      <c r="T2649" s="4">
        <v>13.061255468642001</v>
      </c>
      <c r="U2649" s="4">
        <f t="shared" si="166"/>
        <v>12.864596738747666</v>
      </c>
      <c r="X2649" s="43" t="s">
        <v>2152</v>
      </c>
      <c r="Y2649" s="4">
        <v>13.2491308154812</v>
      </c>
      <c r="Z2649" s="4">
        <v>12.8936701603511</v>
      </c>
      <c r="AA2649" s="4">
        <v>12.9475323679191</v>
      </c>
      <c r="AB2649" s="4">
        <f t="shared" si="167"/>
        <v>13.030111114583802</v>
      </c>
    </row>
    <row r="2650" spans="2:28" x14ac:dyDescent="0.2">
      <c r="B2650" s="4" t="s">
        <v>1376</v>
      </c>
      <c r="C2650" s="4">
        <v>13.0456</v>
      </c>
      <c r="D2650" s="4">
        <v>11.918100000000001</v>
      </c>
      <c r="E2650" s="4">
        <v>13.628299999999999</v>
      </c>
      <c r="F2650" s="4">
        <f t="shared" si="164"/>
        <v>12.863999999999999</v>
      </c>
      <c r="I2650" s="4" t="s">
        <v>3675</v>
      </c>
      <c r="J2650" s="4">
        <v>12.473000000000001</v>
      </c>
      <c r="K2650" s="4">
        <v>13.329800000000001</v>
      </c>
      <c r="L2650" s="4">
        <v>12.5684</v>
      </c>
      <c r="M2650" s="4">
        <f t="shared" si="165"/>
        <v>12.7904</v>
      </c>
      <c r="Q2650" s="43" t="s">
        <v>3922</v>
      </c>
      <c r="R2650" s="4">
        <v>12.8606067482849</v>
      </c>
      <c r="S2650" s="4">
        <v>12.8161082965046</v>
      </c>
      <c r="T2650" s="4">
        <v>12.9148418812998</v>
      </c>
      <c r="U2650" s="4">
        <f t="shared" si="166"/>
        <v>12.863852308696432</v>
      </c>
      <c r="X2650" s="43" t="s">
        <v>4612</v>
      </c>
      <c r="Y2650" s="4">
        <v>12.855892905118999</v>
      </c>
      <c r="Z2650" s="4">
        <v>13.08951349787</v>
      </c>
      <c r="AA2650" s="4">
        <v>13.1430196003168</v>
      </c>
      <c r="AB2650" s="4">
        <f t="shared" si="167"/>
        <v>13.029475334435267</v>
      </c>
    </row>
    <row r="2651" spans="2:28" x14ac:dyDescent="0.2">
      <c r="B2651" s="4" t="s">
        <v>566</v>
      </c>
      <c r="C2651" s="4">
        <v>12.8355</v>
      </c>
      <c r="D2651" s="4">
        <v>12.715299999999999</v>
      </c>
      <c r="E2651" s="4">
        <v>13.034800000000001</v>
      </c>
      <c r="F2651" s="4">
        <f t="shared" si="164"/>
        <v>12.861866666666666</v>
      </c>
      <c r="I2651" s="4" t="s">
        <v>3069</v>
      </c>
      <c r="J2651" s="4">
        <v>13.428699999999999</v>
      </c>
      <c r="K2651" s="4">
        <v>11.8995</v>
      </c>
      <c r="L2651" s="4">
        <v>13.031700000000001</v>
      </c>
      <c r="M2651" s="4">
        <f t="shared" si="165"/>
        <v>12.786633333333333</v>
      </c>
      <c r="Q2651" s="43" t="s">
        <v>2965</v>
      </c>
      <c r="R2651" s="4">
        <v>12.754864939992601</v>
      </c>
      <c r="S2651" s="4">
        <v>12.978839628411</v>
      </c>
      <c r="T2651" s="4">
        <v>12.8566712905643</v>
      </c>
      <c r="U2651" s="4">
        <f t="shared" si="166"/>
        <v>12.863458619655967</v>
      </c>
      <c r="X2651" s="43" t="s">
        <v>2556</v>
      </c>
      <c r="Y2651" s="4">
        <v>12.9818869569824</v>
      </c>
      <c r="Z2651" s="4">
        <v>13.0178759622346</v>
      </c>
      <c r="AA2651" s="4">
        <v>13.0879652141425</v>
      </c>
      <c r="AB2651" s="4">
        <f t="shared" si="167"/>
        <v>13.029242711119833</v>
      </c>
    </row>
    <row r="2652" spans="2:28" x14ac:dyDescent="0.2">
      <c r="B2652" s="4" t="s">
        <v>4032</v>
      </c>
      <c r="C2652" s="4">
        <v>12.8766</v>
      </c>
      <c r="D2652" s="4">
        <v>12.861700000000001</v>
      </c>
      <c r="E2652" s="4">
        <v>12.8432</v>
      </c>
      <c r="F2652" s="4">
        <f t="shared" si="164"/>
        <v>12.860500000000002</v>
      </c>
      <c r="I2652" s="4" t="s">
        <v>1229</v>
      </c>
      <c r="J2652" s="4">
        <v>13.0501</v>
      </c>
      <c r="K2652" s="4">
        <v>12.1959</v>
      </c>
      <c r="L2652" s="4">
        <v>13.1134</v>
      </c>
      <c r="M2652" s="4">
        <f t="shared" si="165"/>
        <v>12.786466666666668</v>
      </c>
      <c r="Q2652" s="43" t="s">
        <v>2973</v>
      </c>
      <c r="R2652" s="4">
        <v>12.737730967521401</v>
      </c>
      <c r="S2652" s="4">
        <v>12.9290374279117</v>
      </c>
      <c r="T2652" s="4">
        <v>12.9224898240647</v>
      </c>
      <c r="U2652" s="4">
        <f t="shared" si="166"/>
        <v>12.863086073165933</v>
      </c>
      <c r="X2652" s="43" t="s">
        <v>1658</v>
      </c>
      <c r="Y2652" s="4">
        <v>13.317967945611899</v>
      </c>
      <c r="Z2652" s="4">
        <v>13.0972395636608</v>
      </c>
      <c r="AA2652" s="4">
        <v>12.671364969735199</v>
      </c>
      <c r="AB2652" s="4">
        <f t="shared" si="167"/>
        <v>13.028857493002633</v>
      </c>
    </row>
    <row r="2653" spans="2:28" x14ac:dyDescent="0.2">
      <c r="B2653" s="4" t="s">
        <v>160</v>
      </c>
      <c r="C2653" s="4">
        <v>12.9419</v>
      </c>
      <c r="D2653" s="4">
        <v>13.193</v>
      </c>
      <c r="E2653" s="4">
        <v>12.4429</v>
      </c>
      <c r="F2653" s="4">
        <f t="shared" si="164"/>
        <v>12.859266666666668</v>
      </c>
      <c r="I2653" s="4" t="s">
        <v>2504</v>
      </c>
      <c r="J2653" s="4">
        <v>13.143000000000001</v>
      </c>
      <c r="K2653" s="4">
        <v>12.0624</v>
      </c>
      <c r="L2653" s="4">
        <v>13.1341</v>
      </c>
      <c r="M2653" s="4">
        <f t="shared" si="165"/>
        <v>12.779833333333334</v>
      </c>
      <c r="Q2653" s="43" t="s">
        <v>3196</v>
      </c>
      <c r="R2653" s="4">
        <v>12.8878129605234</v>
      </c>
      <c r="S2653" s="4">
        <v>12.8696621047458</v>
      </c>
      <c r="T2653" s="4">
        <v>12.826501320424001</v>
      </c>
      <c r="U2653" s="4">
        <f t="shared" si="166"/>
        <v>12.861325461897733</v>
      </c>
      <c r="X2653" s="43" t="s">
        <v>2623</v>
      </c>
      <c r="Y2653" s="4">
        <v>13.2487089822604</v>
      </c>
      <c r="Z2653" s="4">
        <v>13.023743960629201</v>
      </c>
      <c r="AA2653" s="4">
        <v>12.808267285289499</v>
      </c>
      <c r="AB2653" s="4">
        <f t="shared" si="167"/>
        <v>13.026906742726368</v>
      </c>
    </row>
    <row r="2654" spans="2:28" x14ac:dyDescent="0.2">
      <c r="B2654" s="4" t="s">
        <v>3054</v>
      </c>
      <c r="C2654" s="4">
        <v>12.708299999999999</v>
      </c>
      <c r="D2654" s="4">
        <v>13.0328</v>
      </c>
      <c r="E2654" s="4">
        <v>12.833600000000001</v>
      </c>
      <c r="F2654" s="4">
        <f t="shared" si="164"/>
        <v>12.858233333333333</v>
      </c>
      <c r="I2654" s="4" t="s">
        <v>3194</v>
      </c>
      <c r="J2654" s="4">
        <v>13.016999999999999</v>
      </c>
      <c r="K2654" s="4">
        <v>12.547499999999999</v>
      </c>
      <c r="L2654" s="4">
        <v>12.7684</v>
      </c>
      <c r="M2654" s="4">
        <f t="shared" si="165"/>
        <v>12.777633333333332</v>
      </c>
      <c r="Q2654" s="43" t="s">
        <v>206</v>
      </c>
      <c r="R2654" s="4">
        <v>14.3734121415189</v>
      </c>
      <c r="S2654" s="4">
        <v>13.097043004151701</v>
      </c>
      <c r="T2654" s="4">
        <v>11.113453621118399</v>
      </c>
      <c r="U2654" s="4">
        <f t="shared" si="166"/>
        <v>12.861302922262999</v>
      </c>
      <c r="X2654" s="43" t="s">
        <v>4322</v>
      </c>
      <c r="Y2654" s="4">
        <v>12.7130290552976</v>
      </c>
      <c r="Z2654" s="4">
        <v>13.295886969066499</v>
      </c>
      <c r="AA2654" s="4">
        <v>13.067011831274</v>
      </c>
      <c r="AB2654" s="4">
        <f t="shared" si="167"/>
        <v>13.0253092852127</v>
      </c>
    </row>
    <row r="2655" spans="2:28" x14ac:dyDescent="0.2">
      <c r="B2655" s="4" t="s">
        <v>182</v>
      </c>
      <c r="C2655" s="4">
        <v>12.9305</v>
      </c>
      <c r="D2655" s="4">
        <v>12.9846</v>
      </c>
      <c r="E2655" s="4">
        <v>12.6592</v>
      </c>
      <c r="F2655" s="4">
        <f t="shared" si="164"/>
        <v>12.8581</v>
      </c>
      <c r="I2655" s="4" t="s">
        <v>2194</v>
      </c>
      <c r="J2655" s="4">
        <v>12.076000000000001</v>
      </c>
      <c r="K2655" s="4">
        <v>13.1387</v>
      </c>
      <c r="L2655" s="4">
        <v>13.114699999999999</v>
      </c>
      <c r="M2655" s="4">
        <f t="shared" si="165"/>
        <v>12.776466666666666</v>
      </c>
      <c r="Q2655" s="43" t="s">
        <v>1012</v>
      </c>
      <c r="R2655" s="4">
        <v>12.9849459523319</v>
      </c>
      <c r="S2655" s="4">
        <v>12.8886915581413</v>
      </c>
      <c r="T2655" s="4">
        <v>12.709818720249199</v>
      </c>
      <c r="U2655" s="4">
        <f t="shared" si="166"/>
        <v>12.861152076907468</v>
      </c>
      <c r="X2655" s="43" t="s">
        <v>1174</v>
      </c>
      <c r="Y2655" s="4">
        <v>12.7849892808803</v>
      </c>
      <c r="Z2655" s="4">
        <v>13.047165756918</v>
      </c>
      <c r="AA2655" s="4">
        <v>13.2308742788021</v>
      </c>
      <c r="AB2655" s="4">
        <f t="shared" si="167"/>
        <v>13.021009772200133</v>
      </c>
    </row>
    <row r="2656" spans="2:28" x14ac:dyDescent="0.2">
      <c r="B2656" s="4" t="s">
        <v>993</v>
      </c>
      <c r="C2656" s="4">
        <v>12.2759</v>
      </c>
      <c r="D2656" s="4">
        <v>12.8102</v>
      </c>
      <c r="E2656" s="4">
        <v>13.483700000000001</v>
      </c>
      <c r="F2656" s="4">
        <f t="shared" si="164"/>
        <v>12.8566</v>
      </c>
      <c r="I2656" s="4" t="s">
        <v>2426</v>
      </c>
      <c r="J2656" s="4">
        <v>12.6119</v>
      </c>
      <c r="K2656" s="4">
        <v>13.6584</v>
      </c>
      <c r="L2656" s="4">
        <v>12.0556</v>
      </c>
      <c r="M2656" s="4">
        <f t="shared" si="165"/>
        <v>12.7753</v>
      </c>
      <c r="Q2656" s="43" t="s">
        <v>4357</v>
      </c>
      <c r="R2656" s="4">
        <v>12.6377317868118</v>
      </c>
      <c r="S2656" s="4">
        <v>12.429052728325701</v>
      </c>
      <c r="T2656" s="4">
        <v>13.5161561942476</v>
      </c>
      <c r="U2656" s="4">
        <f t="shared" si="166"/>
        <v>12.8609802364617</v>
      </c>
      <c r="X2656" s="43" t="s">
        <v>2481</v>
      </c>
      <c r="Y2656" s="4">
        <v>13.1759799387348</v>
      </c>
      <c r="Z2656" s="4">
        <v>13.074618855740599</v>
      </c>
      <c r="AA2656" s="4">
        <v>12.810042606044901</v>
      </c>
      <c r="AB2656" s="4">
        <f t="shared" si="167"/>
        <v>13.020213800173435</v>
      </c>
    </row>
    <row r="2657" spans="2:28" x14ac:dyDescent="0.2">
      <c r="B2657" s="4" t="s">
        <v>3501</v>
      </c>
      <c r="C2657" s="4">
        <v>12.672000000000001</v>
      </c>
      <c r="D2657" s="4">
        <v>12.928000000000001</v>
      </c>
      <c r="E2657" s="4">
        <v>12.9682</v>
      </c>
      <c r="F2657" s="4">
        <f t="shared" si="164"/>
        <v>12.856066666666669</v>
      </c>
      <c r="I2657" s="4" t="s">
        <v>3299</v>
      </c>
      <c r="J2657" s="4">
        <v>12.858599999999999</v>
      </c>
      <c r="K2657" s="4">
        <v>12.4909</v>
      </c>
      <c r="L2657" s="4">
        <v>12.9756</v>
      </c>
      <c r="M2657" s="4">
        <f t="shared" si="165"/>
        <v>12.775033333333333</v>
      </c>
      <c r="Q2657" s="43" t="s">
        <v>854</v>
      </c>
      <c r="R2657" s="4">
        <v>12.3473758925557</v>
      </c>
      <c r="S2657" s="4">
        <v>13.0880412886152</v>
      </c>
      <c r="T2657" s="4">
        <v>13.1463907385199</v>
      </c>
      <c r="U2657" s="4">
        <f t="shared" si="166"/>
        <v>12.860602639896932</v>
      </c>
      <c r="X2657" s="43" t="s">
        <v>3786</v>
      </c>
      <c r="Y2657" s="4">
        <v>13.18633237183</v>
      </c>
      <c r="Z2657" s="4">
        <v>13.0319116622543</v>
      </c>
      <c r="AA2657" s="4">
        <v>12.8408348622928</v>
      </c>
      <c r="AB2657" s="4">
        <f t="shared" si="167"/>
        <v>13.019692965459035</v>
      </c>
    </row>
    <row r="2658" spans="2:28" x14ac:dyDescent="0.2">
      <c r="B2658" s="4" t="s">
        <v>2241</v>
      </c>
      <c r="C2658" s="4">
        <v>13.039199999999999</v>
      </c>
      <c r="D2658" s="4">
        <v>12.635999999999999</v>
      </c>
      <c r="E2658" s="4">
        <v>12.891500000000001</v>
      </c>
      <c r="F2658" s="4">
        <f t="shared" si="164"/>
        <v>12.855566666666666</v>
      </c>
      <c r="I2658" s="4" t="s">
        <v>3599</v>
      </c>
      <c r="J2658" s="4">
        <v>12.8405</v>
      </c>
      <c r="K2658" s="4">
        <v>12.9366</v>
      </c>
      <c r="L2658" s="4">
        <v>12.539400000000001</v>
      </c>
      <c r="M2658" s="4">
        <f t="shared" si="165"/>
        <v>12.772166666666669</v>
      </c>
      <c r="Q2658" s="43" t="s">
        <v>2308</v>
      </c>
      <c r="R2658" s="4">
        <v>12.3951191252313</v>
      </c>
      <c r="S2658" s="4">
        <v>13.0376111635616</v>
      </c>
      <c r="T2658" s="4">
        <v>13.1466637120425</v>
      </c>
      <c r="U2658" s="4">
        <f t="shared" si="166"/>
        <v>12.859798000278467</v>
      </c>
      <c r="X2658" s="43" t="s">
        <v>410</v>
      </c>
      <c r="Y2658" s="4">
        <v>13.122664773363899</v>
      </c>
      <c r="Z2658" s="4">
        <v>12.7950114152508</v>
      </c>
      <c r="AA2658" s="4">
        <v>13.1406099850134</v>
      </c>
      <c r="AB2658" s="4">
        <f t="shared" si="167"/>
        <v>13.019428724542699</v>
      </c>
    </row>
    <row r="2659" spans="2:28" x14ac:dyDescent="0.2">
      <c r="B2659" s="4" t="s">
        <v>2461</v>
      </c>
      <c r="C2659" s="4">
        <v>12.388</v>
      </c>
      <c r="D2659" s="4">
        <v>12.719799999999999</v>
      </c>
      <c r="E2659" s="4">
        <v>13.4582</v>
      </c>
      <c r="F2659" s="4">
        <f t="shared" si="164"/>
        <v>12.855333333333332</v>
      </c>
      <c r="I2659" s="4" t="s">
        <v>159</v>
      </c>
      <c r="J2659" s="4">
        <v>12.832800000000001</v>
      </c>
      <c r="K2659" s="4">
        <v>13.2212</v>
      </c>
      <c r="L2659" s="4">
        <v>12.261200000000001</v>
      </c>
      <c r="M2659" s="4">
        <f t="shared" si="165"/>
        <v>12.771733333333335</v>
      </c>
      <c r="Q2659" s="43" t="s">
        <v>522</v>
      </c>
      <c r="R2659" s="4">
        <v>12.9876558960067</v>
      </c>
      <c r="S2659" s="4">
        <v>12.657793097790201</v>
      </c>
      <c r="T2659" s="4">
        <v>12.9297366019688</v>
      </c>
      <c r="U2659" s="4">
        <f t="shared" si="166"/>
        <v>12.858395198588568</v>
      </c>
      <c r="X2659" s="43" t="s">
        <v>3916</v>
      </c>
      <c r="Y2659" s="4">
        <v>13.0379712929718</v>
      </c>
      <c r="Z2659" s="4">
        <v>13.1831816137041</v>
      </c>
      <c r="AA2659" s="4">
        <v>12.833356562369801</v>
      </c>
      <c r="AB2659" s="4">
        <f t="shared" si="167"/>
        <v>13.018169823015233</v>
      </c>
    </row>
    <row r="2660" spans="2:28" x14ac:dyDescent="0.2">
      <c r="B2660" s="4" t="s">
        <v>2343</v>
      </c>
      <c r="C2660" s="4">
        <v>13.5007</v>
      </c>
      <c r="D2660" s="4">
        <v>12.6351</v>
      </c>
      <c r="E2660" s="4">
        <v>12.409700000000001</v>
      </c>
      <c r="F2660" s="4">
        <f t="shared" si="164"/>
        <v>12.848500000000001</v>
      </c>
      <c r="I2660" s="4" t="s">
        <v>483</v>
      </c>
      <c r="J2660" s="4">
        <v>11.607699999999999</v>
      </c>
      <c r="K2660" s="4">
        <v>14.629300000000001</v>
      </c>
      <c r="L2660" s="4">
        <v>12.0754</v>
      </c>
      <c r="M2660" s="4">
        <f t="shared" si="165"/>
        <v>12.770800000000001</v>
      </c>
      <c r="Q2660" s="43" t="s">
        <v>3912</v>
      </c>
      <c r="R2660" s="4">
        <v>12.5045105742995</v>
      </c>
      <c r="S2660" s="4">
        <v>12.9860627969853</v>
      </c>
      <c r="T2660" s="4">
        <v>13.0762424063466</v>
      </c>
      <c r="U2660" s="4">
        <f t="shared" si="166"/>
        <v>12.855605259210465</v>
      </c>
      <c r="X2660" s="43" t="s">
        <v>680</v>
      </c>
      <c r="Y2660" s="4">
        <v>13.2333569152633</v>
      </c>
      <c r="Z2660" s="4">
        <v>12.826774568050901</v>
      </c>
      <c r="AA2660" s="4">
        <v>12.993968012217501</v>
      </c>
      <c r="AB2660" s="4">
        <f t="shared" si="167"/>
        <v>13.018033165177235</v>
      </c>
    </row>
    <row r="2661" spans="2:28" x14ac:dyDescent="0.2">
      <c r="B2661" s="4" t="s">
        <v>541</v>
      </c>
      <c r="C2661" s="4">
        <v>12.7441</v>
      </c>
      <c r="D2661" s="4">
        <v>12.9002</v>
      </c>
      <c r="E2661" s="4">
        <v>12.8994</v>
      </c>
      <c r="F2661" s="4">
        <f t="shared" si="164"/>
        <v>12.847900000000001</v>
      </c>
      <c r="I2661" s="4" t="s">
        <v>297</v>
      </c>
      <c r="J2661" s="4">
        <v>12.8988</v>
      </c>
      <c r="K2661" s="4">
        <v>12.744999999999999</v>
      </c>
      <c r="L2661" s="4">
        <v>12.664400000000001</v>
      </c>
      <c r="M2661" s="4">
        <f t="shared" si="165"/>
        <v>12.769399999999999</v>
      </c>
      <c r="Q2661" s="43" t="s">
        <v>1956</v>
      </c>
      <c r="R2661" s="4">
        <v>12.7869554783569</v>
      </c>
      <c r="S2661" s="4">
        <v>13.0798676428756</v>
      </c>
      <c r="T2661" s="4">
        <v>12.699806790831</v>
      </c>
      <c r="U2661" s="4">
        <f t="shared" si="166"/>
        <v>12.855543304021166</v>
      </c>
      <c r="X2661" s="43" t="s">
        <v>2616</v>
      </c>
      <c r="Y2661" s="4">
        <v>13.274294521904</v>
      </c>
      <c r="Z2661" s="4">
        <v>12.649135106703101</v>
      </c>
      <c r="AA2661" s="4">
        <v>13.129090970639099</v>
      </c>
      <c r="AB2661" s="4">
        <f t="shared" si="167"/>
        <v>13.017506866415401</v>
      </c>
    </row>
    <row r="2662" spans="2:28" x14ac:dyDescent="0.2">
      <c r="B2662" s="4" t="s">
        <v>2708</v>
      </c>
      <c r="C2662" s="4">
        <v>12.8592</v>
      </c>
      <c r="D2662" s="4">
        <v>12.986499999999999</v>
      </c>
      <c r="E2662" s="4">
        <v>12.694800000000001</v>
      </c>
      <c r="F2662" s="4">
        <f t="shared" si="164"/>
        <v>12.846833333333334</v>
      </c>
      <c r="I2662" s="4" t="s">
        <v>2033</v>
      </c>
      <c r="J2662" s="4">
        <v>13.2319</v>
      </c>
      <c r="K2662" s="4">
        <v>12.907999999999999</v>
      </c>
      <c r="L2662" s="4">
        <v>12.167299999999999</v>
      </c>
      <c r="M2662" s="4">
        <f t="shared" si="165"/>
        <v>12.769066666666665</v>
      </c>
      <c r="Q2662" s="43" t="s">
        <v>2906</v>
      </c>
      <c r="R2662" s="4">
        <v>13.089043947291399</v>
      </c>
      <c r="S2662" s="4">
        <v>12.786917300822299</v>
      </c>
      <c r="T2662" s="4">
        <v>12.6862512245193</v>
      </c>
      <c r="U2662" s="4">
        <f t="shared" si="166"/>
        <v>12.854070824210998</v>
      </c>
      <c r="X2662" s="43" t="s">
        <v>3023</v>
      </c>
      <c r="Y2662" s="4">
        <v>12.8399161056567</v>
      </c>
      <c r="Z2662" s="4">
        <v>12.982179066475799</v>
      </c>
      <c r="AA2662" s="4">
        <v>13.2295649549026</v>
      </c>
      <c r="AB2662" s="4">
        <f t="shared" si="167"/>
        <v>13.017220042345032</v>
      </c>
    </row>
    <row r="2663" spans="2:28" x14ac:dyDescent="0.2">
      <c r="B2663" s="4" t="s">
        <v>212</v>
      </c>
      <c r="C2663" s="4">
        <v>13.123900000000001</v>
      </c>
      <c r="D2663" s="4">
        <v>12.8307</v>
      </c>
      <c r="E2663" s="4">
        <v>12.574400000000001</v>
      </c>
      <c r="F2663" s="4">
        <f t="shared" si="164"/>
        <v>12.842999999999998</v>
      </c>
      <c r="I2663" s="4" t="s">
        <v>1442</v>
      </c>
      <c r="J2663" s="4">
        <v>12.427300000000001</v>
      </c>
      <c r="K2663" s="4">
        <v>13.3332</v>
      </c>
      <c r="L2663" s="4">
        <v>12.539400000000001</v>
      </c>
      <c r="M2663" s="4">
        <f t="shared" si="165"/>
        <v>12.766633333333333</v>
      </c>
      <c r="Q2663" s="43" t="s">
        <v>3384</v>
      </c>
      <c r="R2663" s="4">
        <v>12.303524708641</v>
      </c>
      <c r="S2663" s="4">
        <v>13.0975742497635</v>
      </c>
      <c r="T2663" s="4">
        <v>13.159325115749001</v>
      </c>
      <c r="U2663" s="4">
        <f t="shared" si="166"/>
        <v>12.8534746913845</v>
      </c>
      <c r="X2663" s="43" t="s">
        <v>4341</v>
      </c>
      <c r="Y2663" s="4">
        <v>13.022327842502801</v>
      </c>
      <c r="Z2663" s="4">
        <v>13.0778168222728</v>
      </c>
      <c r="AA2663" s="4">
        <v>12.948043613303099</v>
      </c>
      <c r="AB2663" s="4">
        <f t="shared" si="167"/>
        <v>13.016062759359565</v>
      </c>
    </row>
    <row r="2664" spans="2:28" x14ac:dyDescent="0.2">
      <c r="B2664" s="4" t="s">
        <v>2949</v>
      </c>
      <c r="C2664" s="4">
        <v>13.3492</v>
      </c>
      <c r="D2664" s="4">
        <v>12.261100000000001</v>
      </c>
      <c r="E2664" s="4">
        <v>12.917199999999999</v>
      </c>
      <c r="F2664" s="4">
        <f t="shared" si="164"/>
        <v>12.842500000000001</v>
      </c>
      <c r="I2664" s="4" t="s">
        <v>1032</v>
      </c>
      <c r="J2664" s="4">
        <v>12.8599</v>
      </c>
      <c r="K2664" s="4">
        <v>12.8348</v>
      </c>
      <c r="L2664" s="4">
        <v>12.5938</v>
      </c>
      <c r="M2664" s="4">
        <f t="shared" si="165"/>
        <v>12.762833333333333</v>
      </c>
      <c r="Q2664" s="43" t="s">
        <v>868</v>
      </c>
      <c r="R2664" s="4">
        <v>12.100917078059201</v>
      </c>
      <c r="S2664" s="4">
        <v>13.2298766051315</v>
      </c>
      <c r="T2664" s="4">
        <v>13.229398582672699</v>
      </c>
      <c r="U2664" s="4">
        <f t="shared" si="166"/>
        <v>12.853397421954467</v>
      </c>
      <c r="X2664" s="43" t="s">
        <v>4321</v>
      </c>
      <c r="Y2664" s="4">
        <v>12.9455654717038</v>
      </c>
      <c r="Z2664" s="4">
        <v>13.304081355074899</v>
      </c>
      <c r="AA2664" s="4">
        <v>12.7948111042751</v>
      </c>
      <c r="AB2664" s="4">
        <f t="shared" si="167"/>
        <v>13.014819310351266</v>
      </c>
    </row>
    <row r="2665" spans="2:28" x14ac:dyDescent="0.2">
      <c r="B2665" s="4" t="s">
        <v>2362</v>
      </c>
      <c r="C2665" s="4">
        <v>13.209899999999999</v>
      </c>
      <c r="D2665" s="4">
        <v>12.2882</v>
      </c>
      <c r="E2665" s="4">
        <v>13.027200000000001</v>
      </c>
      <c r="F2665" s="4">
        <f t="shared" si="164"/>
        <v>12.841766666666667</v>
      </c>
      <c r="I2665" s="4" t="s">
        <v>1582</v>
      </c>
      <c r="J2665" s="4">
        <v>13.0449</v>
      </c>
      <c r="K2665" s="4">
        <v>12.231299999999999</v>
      </c>
      <c r="L2665" s="4">
        <v>12.9925</v>
      </c>
      <c r="M2665" s="4">
        <f t="shared" si="165"/>
        <v>12.756233333333332</v>
      </c>
      <c r="Q2665" s="43" t="s">
        <v>186</v>
      </c>
      <c r="R2665" s="4">
        <v>13.1636707894847</v>
      </c>
      <c r="S2665" s="4">
        <v>12.7979860582307</v>
      </c>
      <c r="T2665" s="4">
        <v>12.5984606794205</v>
      </c>
      <c r="U2665" s="4">
        <f t="shared" si="166"/>
        <v>12.8533725090453</v>
      </c>
      <c r="X2665" s="43" t="s">
        <v>4155</v>
      </c>
      <c r="Y2665" s="4">
        <v>12.9193431727558</v>
      </c>
      <c r="Z2665" s="4">
        <v>13.0421830501146</v>
      </c>
      <c r="AA2665" s="4">
        <v>13.0763195302388</v>
      </c>
      <c r="AB2665" s="4">
        <f t="shared" si="167"/>
        <v>13.012615251036401</v>
      </c>
    </row>
    <row r="2666" spans="2:28" x14ac:dyDescent="0.2">
      <c r="B2666" s="4" t="s">
        <v>3806</v>
      </c>
      <c r="C2666" s="4">
        <v>13.1045</v>
      </c>
      <c r="D2666" s="4">
        <v>12.747999999999999</v>
      </c>
      <c r="E2666" s="4">
        <v>12.6686</v>
      </c>
      <c r="F2666" s="4">
        <f t="shared" si="164"/>
        <v>12.840366666666666</v>
      </c>
      <c r="I2666" s="4" t="s">
        <v>3734</v>
      </c>
      <c r="J2666" s="4">
        <v>12.7857</v>
      </c>
      <c r="K2666" s="4">
        <v>12.7293</v>
      </c>
      <c r="L2666" s="4">
        <v>12.753399999999999</v>
      </c>
      <c r="M2666" s="4">
        <f t="shared" si="165"/>
        <v>12.756133333333333</v>
      </c>
      <c r="Q2666" s="43" t="s">
        <v>2673</v>
      </c>
      <c r="R2666" s="4">
        <v>12.8623846341125</v>
      </c>
      <c r="S2666" s="4">
        <v>12.925185664895601</v>
      </c>
      <c r="T2666" s="4">
        <v>12.770865496567</v>
      </c>
      <c r="U2666" s="4">
        <f t="shared" si="166"/>
        <v>12.852811931858367</v>
      </c>
      <c r="X2666" s="43" t="s">
        <v>2399</v>
      </c>
      <c r="Y2666" s="4">
        <v>12.889263179431399</v>
      </c>
      <c r="Z2666" s="4">
        <v>13.1563516045724</v>
      </c>
      <c r="AA2666" s="4">
        <v>12.9912706584284</v>
      </c>
      <c r="AB2666" s="4">
        <f t="shared" si="167"/>
        <v>13.012295147477401</v>
      </c>
    </row>
    <row r="2667" spans="2:28" x14ac:dyDescent="0.2">
      <c r="B2667" s="4" t="s">
        <v>3590</v>
      </c>
      <c r="C2667" s="4">
        <v>13.0495</v>
      </c>
      <c r="D2667" s="4">
        <v>12.7006</v>
      </c>
      <c r="E2667" s="4">
        <v>12.766299999999999</v>
      </c>
      <c r="F2667" s="4">
        <f t="shared" si="164"/>
        <v>12.838799999999999</v>
      </c>
      <c r="I2667" s="4" t="s">
        <v>121</v>
      </c>
      <c r="J2667" s="4">
        <v>12.9529</v>
      </c>
      <c r="K2667" s="4">
        <v>12.453200000000001</v>
      </c>
      <c r="L2667" s="4">
        <v>12.859400000000001</v>
      </c>
      <c r="M2667" s="4">
        <f t="shared" si="165"/>
        <v>12.755166666666668</v>
      </c>
      <c r="Q2667" s="43" t="s">
        <v>2033</v>
      </c>
      <c r="R2667" s="4">
        <v>12.5066610319264</v>
      </c>
      <c r="S2667" s="4">
        <v>12.9935673923157</v>
      </c>
      <c r="T2667" s="4">
        <v>13.0566895959024</v>
      </c>
      <c r="U2667" s="4">
        <f t="shared" si="166"/>
        <v>12.852306006714834</v>
      </c>
      <c r="X2667" s="43" t="s">
        <v>1819</v>
      </c>
      <c r="Y2667" s="4">
        <v>13.018620599020499</v>
      </c>
      <c r="Z2667" s="4">
        <v>12.7874698894791</v>
      </c>
      <c r="AA2667" s="4">
        <v>13.2305321710081</v>
      </c>
      <c r="AB2667" s="4">
        <f t="shared" si="167"/>
        <v>13.012207553169233</v>
      </c>
    </row>
    <row r="2668" spans="2:28" x14ac:dyDescent="0.2">
      <c r="B2668" s="4" t="s">
        <v>493</v>
      </c>
      <c r="C2668" s="4">
        <v>11.775700000000001</v>
      </c>
      <c r="D2668" s="4">
        <v>12.7813</v>
      </c>
      <c r="E2668" s="4">
        <v>13.952400000000001</v>
      </c>
      <c r="F2668" s="4">
        <f t="shared" si="164"/>
        <v>12.836466666666666</v>
      </c>
      <c r="I2668" s="4" t="s">
        <v>3640</v>
      </c>
      <c r="J2668" s="4">
        <v>11.901</v>
      </c>
      <c r="K2668" s="4">
        <v>13.097099999999999</v>
      </c>
      <c r="L2668" s="4">
        <v>13.262</v>
      </c>
      <c r="M2668" s="4">
        <f t="shared" si="165"/>
        <v>12.753366666666667</v>
      </c>
      <c r="Q2668" s="43" t="s">
        <v>181</v>
      </c>
      <c r="R2668" s="4">
        <v>12.6558310565624</v>
      </c>
      <c r="S2668" s="4">
        <v>12.9370031318701</v>
      </c>
      <c r="T2668" s="4">
        <v>12.9553362976306</v>
      </c>
      <c r="U2668" s="4">
        <f t="shared" si="166"/>
        <v>12.849390162021033</v>
      </c>
      <c r="X2668" s="43" t="s">
        <v>1732</v>
      </c>
      <c r="Y2668" s="4">
        <v>13.3135609263897</v>
      </c>
      <c r="Z2668" s="4">
        <v>12.589191152490701</v>
      </c>
      <c r="AA2668" s="4">
        <v>13.1262712180459</v>
      </c>
      <c r="AB2668" s="4">
        <f t="shared" si="167"/>
        <v>13.009674432308765</v>
      </c>
    </row>
    <row r="2669" spans="2:28" x14ac:dyDescent="0.2">
      <c r="B2669" s="4" t="s">
        <v>2393</v>
      </c>
      <c r="C2669" s="4">
        <v>12.9689</v>
      </c>
      <c r="D2669" s="4">
        <v>12.792999999999999</v>
      </c>
      <c r="E2669" s="4">
        <v>12.7453</v>
      </c>
      <c r="F2669" s="4">
        <f t="shared" si="164"/>
        <v>12.835733333333332</v>
      </c>
      <c r="I2669" s="4" t="s">
        <v>3807</v>
      </c>
      <c r="J2669" s="4">
        <v>13.3544</v>
      </c>
      <c r="K2669" s="4">
        <v>11.7012</v>
      </c>
      <c r="L2669" s="4">
        <v>13.2042</v>
      </c>
      <c r="M2669" s="4">
        <f t="shared" si="165"/>
        <v>12.753266666666667</v>
      </c>
      <c r="Q2669" s="43" t="s">
        <v>4139</v>
      </c>
      <c r="R2669" s="4">
        <v>13.1084456371001</v>
      </c>
      <c r="S2669" s="4">
        <v>12.599512059218601</v>
      </c>
      <c r="T2669" s="4">
        <v>12.834565885497</v>
      </c>
      <c r="U2669" s="4">
        <f t="shared" si="166"/>
        <v>12.847507860605234</v>
      </c>
      <c r="X2669" s="43" t="s">
        <v>3005</v>
      </c>
      <c r="Y2669" s="4">
        <v>12.9653709285411</v>
      </c>
      <c r="Z2669" s="4">
        <v>12.9795240391535</v>
      </c>
      <c r="AA2669" s="4">
        <v>13.083753591669399</v>
      </c>
      <c r="AB2669" s="4">
        <f t="shared" si="167"/>
        <v>13.009549519788001</v>
      </c>
    </row>
    <row r="2670" spans="2:28" x14ac:dyDescent="0.2">
      <c r="B2670" s="4" t="s">
        <v>2294</v>
      </c>
      <c r="C2670" s="4">
        <v>12.680199999999999</v>
      </c>
      <c r="D2670" s="4">
        <v>12.9411</v>
      </c>
      <c r="E2670" s="4">
        <v>12.885300000000001</v>
      </c>
      <c r="F2670" s="4">
        <f t="shared" si="164"/>
        <v>12.835533333333332</v>
      </c>
      <c r="I2670" s="4" t="s">
        <v>1480</v>
      </c>
      <c r="J2670" s="4">
        <v>12.0123</v>
      </c>
      <c r="K2670" s="4">
        <v>13.7966</v>
      </c>
      <c r="L2670" s="4">
        <v>12.448499999999999</v>
      </c>
      <c r="M2670" s="4">
        <f t="shared" si="165"/>
        <v>12.752466666666669</v>
      </c>
      <c r="Q2670" s="43" t="s">
        <v>4316</v>
      </c>
      <c r="R2670" s="4">
        <v>13.029151246864901</v>
      </c>
      <c r="S2670" s="4">
        <v>12.7120566373549</v>
      </c>
      <c r="T2670" s="4">
        <v>12.7995483628873</v>
      </c>
      <c r="U2670" s="4">
        <f t="shared" si="166"/>
        <v>12.8469187490357</v>
      </c>
      <c r="X2670" s="43" t="s">
        <v>808</v>
      </c>
      <c r="Y2670" s="4">
        <v>12.9574144284884</v>
      </c>
      <c r="Z2670" s="4">
        <v>12.6948405769398</v>
      </c>
      <c r="AA2670" s="4">
        <v>13.372551356150099</v>
      </c>
      <c r="AB2670" s="4">
        <f t="shared" si="167"/>
        <v>13.008268787192767</v>
      </c>
    </row>
    <row r="2671" spans="2:28" x14ac:dyDescent="0.2">
      <c r="B2671" s="4" t="s">
        <v>2450</v>
      </c>
      <c r="C2671" s="4">
        <v>12.7202</v>
      </c>
      <c r="D2671" s="4">
        <v>12.8139</v>
      </c>
      <c r="E2671" s="4">
        <v>12.9651</v>
      </c>
      <c r="F2671" s="4">
        <f t="shared" si="164"/>
        <v>12.833066666666667</v>
      </c>
      <c r="I2671" s="4" t="s">
        <v>3593</v>
      </c>
      <c r="J2671" s="4">
        <v>13.0646</v>
      </c>
      <c r="K2671" s="4">
        <v>11.941599999999999</v>
      </c>
      <c r="L2671" s="4">
        <v>13.244</v>
      </c>
      <c r="M2671" s="4">
        <f t="shared" si="165"/>
        <v>12.750066666666667</v>
      </c>
      <c r="Q2671" s="43" t="s">
        <v>39</v>
      </c>
      <c r="R2671" s="4">
        <v>12.7804535504049</v>
      </c>
      <c r="S2671" s="4">
        <v>13.0488378153001</v>
      </c>
      <c r="T2671" s="4">
        <v>12.7093753591307</v>
      </c>
      <c r="U2671" s="4">
        <f t="shared" si="166"/>
        <v>12.846222241611899</v>
      </c>
      <c r="X2671" s="43" t="s">
        <v>1344</v>
      </c>
      <c r="Y2671" s="4">
        <v>12.709177342609401</v>
      </c>
      <c r="Z2671" s="4">
        <v>13.005516135925401</v>
      </c>
      <c r="AA2671" s="4">
        <v>13.3091626374811</v>
      </c>
      <c r="AB2671" s="4">
        <f t="shared" si="167"/>
        <v>13.007952038671966</v>
      </c>
    </row>
    <row r="2672" spans="2:28" x14ac:dyDescent="0.2">
      <c r="B2672" s="4" t="s">
        <v>4034</v>
      </c>
      <c r="C2672" s="4">
        <v>12.7081</v>
      </c>
      <c r="D2672" s="4">
        <v>12.667</v>
      </c>
      <c r="E2672" s="4">
        <v>13.122299999999999</v>
      </c>
      <c r="F2672" s="4">
        <f t="shared" si="164"/>
        <v>12.832466666666667</v>
      </c>
      <c r="I2672" s="4" t="s">
        <v>3916</v>
      </c>
      <c r="J2672" s="4">
        <v>12.4078</v>
      </c>
      <c r="K2672" s="4">
        <v>12.419600000000001</v>
      </c>
      <c r="L2672" s="4">
        <v>13.422800000000001</v>
      </c>
      <c r="M2672" s="4">
        <f t="shared" si="165"/>
        <v>12.750066666666667</v>
      </c>
      <c r="Q2672" s="43" t="s">
        <v>4066</v>
      </c>
      <c r="R2672" s="4">
        <v>12.7529962155856</v>
      </c>
      <c r="S2672" s="4">
        <v>12.882688117756601</v>
      </c>
      <c r="T2672" s="4">
        <v>12.902120763070201</v>
      </c>
      <c r="U2672" s="4">
        <f t="shared" si="166"/>
        <v>12.845935032137467</v>
      </c>
      <c r="X2672" s="43" t="s">
        <v>4515</v>
      </c>
      <c r="Y2672" s="4">
        <v>12.831017067104799</v>
      </c>
      <c r="Z2672" s="4">
        <v>13.023779000519699</v>
      </c>
      <c r="AA2672" s="4">
        <v>13.1685498550275</v>
      </c>
      <c r="AB2672" s="4">
        <f t="shared" si="167"/>
        <v>13.007781974217332</v>
      </c>
    </row>
    <row r="2673" spans="2:28" x14ac:dyDescent="0.2">
      <c r="B2673" s="4" t="s">
        <v>1441</v>
      </c>
      <c r="C2673" s="4">
        <v>13.255699999999999</v>
      </c>
      <c r="D2673" s="4">
        <v>12.1957</v>
      </c>
      <c r="E2673" s="4">
        <v>13.045400000000001</v>
      </c>
      <c r="F2673" s="4">
        <f t="shared" si="164"/>
        <v>12.832266666666667</v>
      </c>
      <c r="I2673" s="4" t="s">
        <v>524</v>
      </c>
      <c r="J2673" s="4">
        <v>12.9297</v>
      </c>
      <c r="K2673" s="4">
        <v>13.2164</v>
      </c>
      <c r="L2673" s="4">
        <v>12.101800000000001</v>
      </c>
      <c r="M2673" s="4">
        <f t="shared" si="165"/>
        <v>12.7493</v>
      </c>
      <c r="Q2673" s="43" t="s">
        <v>4267</v>
      </c>
      <c r="R2673" s="4">
        <v>13.0674993481973</v>
      </c>
      <c r="S2673" s="4">
        <v>12.7792317459865</v>
      </c>
      <c r="T2673" s="4">
        <v>12.690788111022099</v>
      </c>
      <c r="U2673" s="4">
        <f t="shared" si="166"/>
        <v>12.845839735068635</v>
      </c>
      <c r="X2673" s="43" t="s">
        <v>2090</v>
      </c>
      <c r="Y2673" s="4">
        <v>13.106448475975901</v>
      </c>
      <c r="Z2673" s="4">
        <v>12.9904000298448</v>
      </c>
      <c r="AA2673" s="4">
        <v>12.922244052038</v>
      </c>
      <c r="AB2673" s="4">
        <f t="shared" si="167"/>
        <v>13.006364185952899</v>
      </c>
    </row>
    <row r="2674" spans="2:28" x14ac:dyDescent="0.2">
      <c r="B2674" s="4" t="s">
        <v>2982</v>
      </c>
      <c r="C2674" s="4">
        <v>13.0319</v>
      </c>
      <c r="D2674" s="4">
        <v>12.988</v>
      </c>
      <c r="E2674" s="4">
        <v>12.4741</v>
      </c>
      <c r="F2674" s="4">
        <f t="shared" si="164"/>
        <v>12.831333333333333</v>
      </c>
      <c r="I2674" s="4" t="s">
        <v>1441</v>
      </c>
      <c r="J2674" s="4">
        <v>12.700100000000001</v>
      </c>
      <c r="K2674" s="4">
        <v>13.3931</v>
      </c>
      <c r="L2674" s="4">
        <v>12.154199999999999</v>
      </c>
      <c r="M2674" s="4">
        <f t="shared" si="165"/>
        <v>12.749133333333333</v>
      </c>
      <c r="Q2674" s="43" t="s">
        <v>4604</v>
      </c>
      <c r="R2674" s="4">
        <v>12.753227034766899</v>
      </c>
      <c r="S2674" s="4">
        <v>12.883555610837</v>
      </c>
      <c r="T2674" s="4">
        <v>12.8982341606412</v>
      </c>
      <c r="U2674" s="4">
        <f t="shared" si="166"/>
        <v>12.845005602081701</v>
      </c>
      <c r="X2674" s="43" t="s">
        <v>849</v>
      </c>
      <c r="Y2674" s="4">
        <v>12.941463445930699</v>
      </c>
      <c r="Z2674" s="4">
        <v>13.0637341331961</v>
      </c>
      <c r="AA2674" s="4">
        <v>13.0066773004708</v>
      </c>
      <c r="AB2674" s="4">
        <f t="shared" si="167"/>
        <v>13.003958293199199</v>
      </c>
    </row>
    <row r="2675" spans="2:28" x14ac:dyDescent="0.2">
      <c r="B2675" s="4" t="s">
        <v>1308</v>
      </c>
      <c r="C2675" s="4">
        <v>12.9353</v>
      </c>
      <c r="D2675" s="4">
        <v>12.6912</v>
      </c>
      <c r="E2675" s="4">
        <v>12.859</v>
      </c>
      <c r="F2675" s="4">
        <f t="shared" si="164"/>
        <v>12.8285</v>
      </c>
      <c r="I2675" s="4" t="s">
        <v>3979</v>
      </c>
      <c r="J2675" s="4">
        <v>12.712</v>
      </c>
      <c r="K2675" s="4">
        <v>12.7986</v>
      </c>
      <c r="L2675" s="4">
        <v>12.722799999999999</v>
      </c>
      <c r="M2675" s="4">
        <f t="shared" si="165"/>
        <v>12.744466666666668</v>
      </c>
      <c r="Q2675" s="43" t="s">
        <v>422</v>
      </c>
      <c r="R2675" s="4">
        <v>11.951259846997999</v>
      </c>
      <c r="S2675" s="4">
        <v>13.080216539325701</v>
      </c>
      <c r="T2675" s="4">
        <v>13.493500137045601</v>
      </c>
      <c r="U2675" s="4">
        <f t="shared" si="166"/>
        <v>12.841658841123101</v>
      </c>
      <c r="X2675" s="43" t="s">
        <v>3639</v>
      </c>
      <c r="Y2675" s="4">
        <v>13.153640325597401</v>
      </c>
      <c r="Z2675" s="4">
        <v>13.153053069037499</v>
      </c>
      <c r="AA2675" s="4">
        <v>12.703243841491901</v>
      </c>
      <c r="AB2675" s="4">
        <f t="shared" si="167"/>
        <v>13.003312412042268</v>
      </c>
    </row>
    <row r="2676" spans="2:28" x14ac:dyDescent="0.2">
      <c r="B2676" s="4" t="s">
        <v>1943</v>
      </c>
      <c r="C2676" s="4">
        <v>13.001200000000001</v>
      </c>
      <c r="D2676" s="4">
        <v>12.672000000000001</v>
      </c>
      <c r="E2676" s="4">
        <v>12.7986</v>
      </c>
      <c r="F2676" s="4">
        <f t="shared" si="164"/>
        <v>12.823933333333335</v>
      </c>
      <c r="I2676" s="4" t="s">
        <v>3990</v>
      </c>
      <c r="J2676" s="4">
        <v>12.6294</v>
      </c>
      <c r="K2676" s="4">
        <v>12.936999999999999</v>
      </c>
      <c r="L2676" s="4">
        <v>12.6594</v>
      </c>
      <c r="M2676" s="4">
        <f t="shared" si="165"/>
        <v>12.741933333333334</v>
      </c>
      <c r="Q2676" s="43" t="s">
        <v>3113</v>
      </c>
      <c r="R2676" s="4">
        <v>12.628601072809101</v>
      </c>
      <c r="S2676" s="4">
        <v>12.947846649241599</v>
      </c>
      <c r="T2676" s="4">
        <v>12.9419333451906</v>
      </c>
      <c r="U2676" s="4">
        <f t="shared" si="166"/>
        <v>12.8394603557471</v>
      </c>
      <c r="X2676" s="43" t="s">
        <v>4217</v>
      </c>
      <c r="Y2676" s="4">
        <v>13.0295952225969</v>
      </c>
      <c r="Z2676" s="4">
        <v>13.0029339797715</v>
      </c>
      <c r="AA2676" s="4">
        <v>12.972597718099401</v>
      </c>
      <c r="AB2676" s="4">
        <f t="shared" si="167"/>
        <v>13.001708973489267</v>
      </c>
    </row>
    <row r="2677" spans="2:28" x14ac:dyDescent="0.2">
      <c r="B2677" s="4" t="s">
        <v>2299</v>
      </c>
      <c r="C2677" s="4">
        <v>13.1014</v>
      </c>
      <c r="D2677" s="4">
        <v>12.634</v>
      </c>
      <c r="E2677" s="4">
        <v>12.734400000000001</v>
      </c>
      <c r="F2677" s="4">
        <f t="shared" si="164"/>
        <v>12.823266666666667</v>
      </c>
      <c r="I2677" s="4" t="s">
        <v>265</v>
      </c>
      <c r="J2677" s="4">
        <v>12.7121</v>
      </c>
      <c r="K2677" s="4">
        <v>11.745200000000001</v>
      </c>
      <c r="L2677" s="4">
        <v>13.7593</v>
      </c>
      <c r="M2677" s="4">
        <f t="shared" si="165"/>
        <v>12.738866666666667</v>
      </c>
      <c r="Q2677" s="43" t="s">
        <v>3554</v>
      </c>
      <c r="R2677" s="4">
        <v>12.5574219988849</v>
      </c>
      <c r="S2677" s="4">
        <v>12.8818452155827</v>
      </c>
      <c r="T2677" s="4">
        <v>13.0725489757359</v>
      </c>
      <c r="U2677" s="4">
        <f t="shared" si="166"/>
        <v>12.837272063401166</v>
      </c>
      <c r="X2677" s="43" t="s">
        <v>4216</v>
      </c>
      <c r="Y2677" s="4">
        <v>13.1205445238348</v>
      </c>
      <c r="Z2677" s="4">
        <v>13.305938700245701</v>
      </c>
      <c r="AA2677" s="4">
        <v>12.5751022261037</v>
      </c>
      <c r="AB2677" s="4">
        <f t="shared" si="167"/>
        <v>13.000528483394733</v>
      </c>
    </row>
    <row r="2678" spans="2:28" x14ac:dyDescent="0.2">
      <c r="B2678" s="4" t="s">
        <v>2683</v>
      </c>
      <c r="C2678" s="4">
        <v>12.6616</v>
      </c>
      <c r="D2678" s="4">
        <v>12.8157</v>
      </c>
      <c r="E2678" s="4">
        <v>12.986700000000001</v>
      </c>
      <c r="F2678" s="4">
        <f t="shared" si="164"/>
        <v>12.821333333333333</v>
      </c>
      <c r="I2678" s="4" t="s">
        <v>3093</v>
      </c>
      <c r="J2678" s="4">
        <v>12.5708</v>
      </c>
      <c r="K2678" s="4">
        <v>13.839499999999999</v>
      </c>
      <c r="L2678" s="4">
        <v>11.8001</v>
      </c>
      <c r="M2678" s="4">
        <f t="shared" si="165"/>
        <v>12.736800000000001</v>
      </c>
      <c r="Q2678" s="43" t="s">
        <v>4008</v>
      </c>
      <c r="R2678" s="4">
        <v>12.4177064597925</v>
      </c>
      <c r="S2678" s="4">
        <v>13.033255434939999</v>
      </c>
      <c r="T2678" s="4">
        <v>13.0576074222898</v>
      </c>
      <c r="U2678" s="4">
        <f t="shared" si="166"/>
        <v>12.836189772340767</v>
      </c>
      <c r="X2678" s="43" t="s">
        <v>249</v>
      </c>
      <c r="Y2678" s="4">
        <v>13.131930362189999</v>
      </c>
      <c r="Z2678" s="4">
        <v>13.0396514581312</v>
      </c>
      <c r="AA2678" s="4">
        <v>12.8259268438778</v>
      </c>
      <c r="AB2678" s="4">
        <f t="shared" si="167"/>
        <v>12.999169554733001</v>
      </c>
    </row>
    <row r="2679" spans="2:28" x14ac:dyDescent="0.2">
      <c r="B2679" s="4" t="s">
        <v>1888</v>
      </c>
      <c r="C2679" s="4">
        <v>12.737500000000001</v>
      </c>
      <c r="D2679" s="4">
        <v>12.847799999999999</v>
      </c>
      <c r="E2679" s="4">
        <v>12.878399999999999</v>
      </c>
      <c r="F2679" s="4">
        <f t="shared" si="164"/>
        <v>12.821233333333334</v>
      </c>
      <c r="I2679" s="4" t="s">
        <v>366</v>
      </c>
      <c r="J2679" s="4">
        <v>12.743499999999999</v>
      </c>
      <c r="K2679" s="4">
        <v>12.4855</v>
      </c>
      <c r="L2679" s="4">
        <v>12.969200000000001</v>
      </c>
      <c r="M2679" s="4">
        <f t="shared" si="165"/>
        <v>12.732733333333334</v>
      </c>
      <c r="Q2679" s="43" t="s">
        <v>1005</v>
      </c>
      <c r="R2679" s="4">
        <v>13.0777058863439</v>
      </c>
      <c r="S2679" s="4">
        <v>12.8072083035199</v>
      </c>
      <c r="T2679" s="4">
        <v>12.6185522672536</v>
      </c>
      <c r="U2679" s="4">
        <f t="shared" si="166"/>
        <v>12.834488819039132</v>
      </c>
      <c r="X2679" s="43" t="s">
        <v>2629</v>
      </c>
      <c r="Y2679" s="4">
        <v>12.8804509198447</v>
      </c>
      <c r="Z2679" s="4">
        <v>12.9752135380967</v>
      </c>
      <c r="AA2679" s="4">
        <v>13.1376591859483</v>
      </c>
      <c r="AB2679" s="4">
        <f t="shared" si="167"/>
        <v>12.997774547963234</v>
      </c>
    </row>
    <row r="2680" spans="2:28" x14ac:dyDescent="0.2">
      <c r="B2680" s="4" t="s">
        <v>3962</v>
      </c>
      <c r="C2680" s="4">
        <v>12.477600000000001</v>
      </c>
      <c r="D2680" s="4">
        <v>12.764099999999999</v>
      </c>
      <c r="E2680" s="4">
        <v>13.209199999999999</v>
      </c>
      <c r="F2680" s="4">
        <f t="shared" si="164"/>
        <v>12.816966666666668</v>
      </c>
      <c r="I2680" s="4" t="s">
        <v>2548</v>
      </c>
      <c r="J2680" s="4">
        <v>12.791399999999999</v>
      </c>
      <c r="K2680" s="4">
        <v>12.2052</v>
      </c>
      <c r="L2680" s="4">
        <v>13.195499999999999</v>
      </c>
      <c r="M2680" s="4">
        <f t="shared" si="165"/>
        <v>12.730699999999999</v>
      </c>
      <c r="Q2680" s="43" t="s">
        <v>1274</v>
      </c>
      <c r="R2680" s="4">
        <v>12.5203763065948</v>
      </c>
      <c r="S2680" s="4">
        <v>12.9584724263759</v>
      </c>
      <c r="T2680" s="4">
        <v>13.022899070358701</v>
      </c>
      <c r="U2680" s="4">
        <f t="shared" si="166"/>
        <v>12.833915934443134</v>
      </c>
      <c r="X2680" s="43" t="s">
        <v>4303</v>
      </c>
      <c r="Y2680" s="4">
        <v>12.7067734036532</v>
      </c>
      <c r="Z2680" s="4">
        <v>12.7696825198092</v>
      </c>
      <c r="AA2680" s="4">
        <v>13.516632215209899</v>
      </c>
      <c r="AB2680" s="4">
        <f t="shared" si="167"/>
        <v>12.9976960462241</v>
      </c>
    </row>
    <row r="2681" spans="2:28" x14ac:dyDescent="0.2">
      <c r="B2681" s="4" t="s">
        <v>3008</v>
      </c>
      <c r="C2681" s="4">
        <v>12.653499999999999</v>
      </c>
      <c r="D2681" s="4">
        <v>12.9009</v>
      </c>
      <c r="E2681" s="4">
        <v>12.8903</v>
      </c>
      <c r="F2681" s="4">
        <f t="shared" si="164"/>
        <v>12.8149</v>
      </c>
      <c r="I2681" s="4" t="s">
        <v>3393</v>
      </c>
      <c r="J2681" s="4">
        <v>12.4773</v>
      </c>
      <c r="K2681" s="4">
        <v>13.314299999999999</v>
      </c>
      <c r="L2681" s="4">
        <v>12.388299999999999</v>
      </c>
      <c r="M2681" s="4">
        <f t="shared" si="165"/>
        <v>12.726633333333332</v>
      </c>
      <c r="Q2681" s="43" t="s">
        <v>542</v>
      </c>
      <c r="R2681" s="4">
        <v>12.494536902256</v>
      </c>
      <c r="S2681" s="4">
        <v>13.079345692330801</v>
      </c>
      <c r="T2681" s="4">
        <v>12.927139421921501</v>
      </c>
      <c r="U2681" s="4">
        <f t="shared" si="166"/>
        <v>12.833674005502766</v>
      </c>
      <c r="X2681" s="43" t="s">
        <v>1596</v>
      </c>
      <c r="Y2681" s="4">
        <v>12.9042642283734</v>
      </c>
      <c r="Z2681" s="4">
        <v>12.7717055149394</v>
      </c>
      <c r="AA2681" s="4">
        <v>13.3163224574713</v>
      </c>
      <c r="AB2681" s="4">
        <f t="shared" si="167"/>
        <v>12.997430733594699</v>
      </c>
    </row>
    <row r="2682" spans="2:28" x14ac:dyDescent="0.2">
      <c r="B2682" s="4" t="s">
        <v>1409</v>
      </c>
      <c r="C2682" s="4">
        <v>11.6806</v>
      </c>
      <c r="D2682" s="4">
        <v>12.948700000000001</v>
      </c>
      <c r="E2682" s="4">
        <v>13.815</v>
      </c>
      <c r="F2682" s="4">
        <f t="shared" si="164"/>
        <v>12.814766666666666</v>
      </c>
      <c r="I2682" s="4" t="s">
        <v>3483</v>
      </c>
      <c r="J2682" s="4">
        <v>12.5824</v>
      </c>
      <c r="K2682" s="4">
        <v>13.1401</v>
      </c>
      <c r="L2682" s="4">
        <v>12.4506</v>
      </c>
      <c r="M2682" s="4">
        <f t="shared" si="165"/>
        <v>12.724366666666667</v>
      </c>
      <c r="Q2682" s="43" t="s">
        <v>1828</v>
      </c>
      <c r="R2682" s="4">
        <v>12.4218189641122</v>
      </c>
      <c r="S2682" s="4">
        <v>13.1118857373009</v>
      </c>
      <c r="T2682" s="4">
        <v>12.964850780737301</v>
      </c>
      <c r="U2682" s="4">
        <f t="shared" si="166"/>
        <v>12.832851827383466</v>
      </c>
      <c r="X2682" s="43" t="s">
        <v>4011</v>
      </c>
      <c r="Y2682" s="4">
        <v>13.0986584547557</v>
      </c>
      <c r="Z2682" s="4">
        <v>12.9291210996556</v>
      </c>
      <c r="AA2682" s="4">
        <v>12.9585841799645</v>
      </c>
      <c r="AB2682" s="4">
        <f t="shared" si="167"/>
        <v>12.995454578125267</v>
      </c>
    </row>
    <row r="2683" spans="2:28" x14ac:dyDescent="0.2">
      <c r="B2683" s="4" t="s">
        <v>2965</v>
      </c>
      <c r="C2683" s="4">
        <v>12.6027</v>
      </c>
      <c r="D2683" s="4">
        <v>12.863899999999999</v>
      </c>
      <c r="E2683" s="4">
        <v>12.972</v>
      </c>
      <c r="F2683" s="4">
        <f t="shared" si="164"/>
        <v>12.812866666666666</v>
      </c>
      <c r="I2683" s="4" t="s">
        <v>2475</v>
      </c>
      <c r="J2683" s="4">
        <v>12.5916</v>
      </c>
      <c r="K2683" s="4">
        <v>13.240600000000001</v>
      </c>
      <c r="L2683" s="4">
        <v>12.334899999999999</v>
      </c>
      <c r="M2683" s="4">
        <f t="shared" si="165"/>
        <v>12.722366666666666</v>
      </c>
      <c r="Q2683" s="43" t="s">
        <v>3779</v>
      </c>
      <c r="R2683" s="4">
        <v>12.7617595248571</v>
      </c>
      <c r="S2683" s="4">
        <v>12.829234596370499</v>
      </c>
      <c r="T2683" s="4">
        <v>12.9035795062241</v>
      </c>
      <c r="U2683" s="4">
        <f t="shared" si="166"/>
        <v>12.8315245424839</v>
      </c>
      <c r="X2683" s="43" t="s">
        <v>1434</v>
      </c>
      <c r="Y2683" s="4">
        <v>13.048141881423801</v>
      </c>
      <c r="Z2683" s="4">
        <v>12.9880056585136</v>
      </c>
      <c r="AA2683" s="4">
        <v>12.948818372044199</v>
      </c>
      <c r="AB2683" s="4">
        <f t="shared" si="167"/>
        <v>12.994988637327202</v>
      </c>
    </row>
    <row r="2684" spans="2:28" x14ac:dyDescent="0.2">
      <c r="B2684" s="4" t="s">
        <v>11</v>
      </c>
      <c r="C2684" s="4">
        <v>12.882400000000001</v>
      </c>
      <c r="D2684" s="4">
        <v>12.802099999999999</v>
      </c>
      <c r="E2684" s="4">
        <v>12.7529</v>
      </c>
      <c r="F2684" s="4">
        <f t="shared" si="164"/>
        <v>12.812466666666666</v>
      </c>
      <c r="I2684" s="4" t="s">
        <v>2942</v>
      </c>
      <c r="J2684" s="4">
        <v>12.3992</v>
      </c>
      <c r="K2684" s="4">
        <v>13.413399999999999</v>
      </c>
      <c r="L2684" s="4">
        <v>12.3522</v>
      </c>
      <c r="M2684" s="4">
        <f t="shared" si="165"/>
        <v>12.7216</v>
      </c>
      <c r="Q2684" s="43" t="s">
        <v>4255</v>
      </c>
      <c r="R2684" s="4">
        <v>12.747705464754</v>
      </c>
      <c r="S2684" s="4">
        <v>12.883500808486</v>
      </c>
      <c r="T2684" s="4">
        <v>12.8633235643058</v>
      </c>
      <c r="U2684" s="4">
        <f t="shared" si="166"/>
        <v>12.8315099458486</v>
      </c>
      <c r="X2684" s="43" t="s">
        <v>186</v>
      </c>
      <c r="Y2684" s="4">
        <v>12.7215265146073</v>
      </c>
      <c r="Z2684" s="4">
        <v>13.159770985792701</v>
      </c>
      <c r="AA2684" s="4">
        <v>13.102024231118101</v>
      </c>
      <c r="AB2684" s="4">
        <f t="shared" si="167"/>
        <v>12.994440577172702</v>
      </c>
    </row>
    <row r="2685" spans="2:28" x14ac:dyDescent="0.2">
      <c r="B2685" s="4" t="s">
        <v>3253</v>
      </c>
      <c r="C2685" s="4">
        <v>12.501899999999999</v>
      </c>
      <c r="D2685" s="4">
        <v>13.5251</v>
      </c>
      <c r="E2685" s="4">
        <v>12.3996</v>
      </c>
      <c r="F2685" s="4">
        <f t="shared" si="164"/>
        <v>12.808866666666667</v>
      </c>
      <c r="I2685" s="4" t="s">
        <v>2450</v>
      </c>
      <c r="J2685" s="4">
        <v>12.929</v>
      </c>
      <c r="K2685" s="4">
        <v>12.4163</v>
      </c>
      <c r="L2685" s="4">
        <v>12.8162</v>
      </c>
      <c r="M2685" s="4">
        <f t="shared" si="165"/>
        <v>12.720500000000001</v>
      </c>
      <c r="Q2685" s="43" t="s">
        <v>2525</v>
      </c>
      <c r="R2685" s="4">
        <v>12.1233914485172</v>
      </c>
      <c r="S2685" s="4">
        <v>13.3603146925813</v>
      </c>
      <c r="T2685" s="4">
        <v>13.010640631386501</v>
      </c>
      <c r="U2685" s="4">
        <f t="shared" si="166"/>
        <v>12.831448924161668</v>
      </c>
      <c r="X2685" s="43" t="s">
        <v>2735</v>
      </c>
      <c r="Y2685" s="4">
        <v>12.693012103819999</v>
      </c>
      <c r="Z2685" s="4">
        <v>12.8379379535866</v>
      </c>
      <c r="AA2685" s="4">
        <v>13.4354716030959</v>
      </c>
      <c r="AB2685" s="4">
        <f t="shared" si="167"/>
        <v>12.9888072201675</v>
      </c>
    </row>
    <row r="2686" spans="2:28" x14ac:dyDescent="0.2">
      <c r="B2686" s="4" t="s">
        <v>2855</v>
      </c>
      <c r="C2686" s="4">
        <v>12.890499999999999</v>
      </c>
      <c r="D2686" s="4">
        <v>12.535399999999999</v>
      </c>
      <c r="E2686" s="4">
        <v>12.998100000000001</v>
      </c>
      <c r="F2686" s="4">
        <f t="shared" si="164"/>
        <v>12.808</v>
      </c>
      <c r="I2686" s="4" t="s">
        <v>3813</v>
      </c>
      <c r="J2686" s="4">
        <v>12.458</v>
      </c>
      <c r="K2686" s="4">
        <v>12.543799999999999</v>
      </c>
      <c r="L2686" s="4">
        <v>13.159700000000001</v>
      </c>
      <c r="M2686" s="4">
        <f t="shared" si="165"/>
        <v>12.720500000000001</v>
      </c>
      <c r="Q2686" s="43" t="s">
        <v>3918</v>
      </c>
      <c r="R2686" s="4">
        <v>12.8146207427086</v>
      </c>
      <c r="S2686" s="4">
        <v>12.9349748006452</v>
      </c>
      <c r="T2686" s="4">
        <v>12.7371518335856</v>
      </c>
      <c r="U2686" s="4">
        <f t="shared" si="166"/>
        <v>12.828915792313133</v>
      </c>
      <c r="X2686" s="43" t="s">
        <v>3617</v>
      </c>
      <c r="Y2686" s="4">
        <v>12.994364463363</v>
      </c>
      <c r="Z2686" s="4">
        <v>13.2485250316051</v>
      </c>
      <c r="AA2686" s="4">
        <v>12.723320832224299</v>
      </c>
      <c r="AB2686" s="4">
        <f t="shared" si="167"/>
        <v>12.9887367757308</v>
      </c>
    </row>
    <row r="2687" spans="2:28" x14ac:dyDescent="0.2">
      <c r="B2687" s="4" t="s">
        <v>3872</v>
      </c>
      <c r="C2687" s="4">
        <v>12.847200000000001</v>
      </c>
      <c r="D2687" s="4">
        <v>12.573</v>
      </c>
      <c r="E2687" s="4">
        <v>12.9909</v>
      </c>
      <c r="F2687" s="4">
        <f t="shared" si="164"/>
        <v>12.803700000000001</v>
      </c>
      <c r="I2687" s="4" t="s">
        <v>3993</v>
      </c>
      <c r="J2687" s="4">
        <v>12.8215</v>
      </c>
      <c r="K2687" s="4">
        <v>12.6129</v>
      </c>
      <c r="L2687" s="4">
        <v>12.7194</v>
      </c>
      <c r="M2687" s="4">
        <f t="shared" si="165"/>
        <v>12.717933333333335</v>
      </c>
      <c r="Q2687" s="43" t="s">
        <v>4153</v>
      </c>
      <c r="R2687" s="4">
        <v>13.454784763455301</v>
      </c>
      <c r="S2687" s="4">
        <v>12.5831559681104</v>
      </c>
      <c r="T2687" s="4">
        <v>12.4484852558051</v>
      </c>
      <c r="U2687" s="4">
        <f t="shared" si="166"/>
        <v>12.828808662456934</v>
      </c>
      <c r="X2687" s="43" t="s">
        <v>178</v>
      </c>
      <c r="Y2687" s="4">
        <v>12.8683916759748</v>
      </c>
      <c r="Z2687" s="4">
        <v>12.9911785229296</v>
      </c>
      <c r="AA2687" s="4">
        <v>13.105007304640701</v>
      </c>
      <c r="AB2687" s="4">
        <f t="shared" si="167"/>
        <v>12.9881925011817</v>
      </c>
    </row>
    <row r="2688" spans="2:28" x14ac:dyDescent="0.2">
      <c r="B2688" s="4" t="s">
        <v>294</v>
      </c>
      <c r="C2688" s="4">
        <v>12.8666</v>
      </c>
      <c r="D2688" s="4">
        <v>12.9246</v>
      </c>
      <c r="E2688" s="4">
        <v>12.619400000000001</v>
      </c>
      <c r="F2688" s="4">
        <f t="shared" si="164"/>
        <v>12.803533333333334</v>
      </c>
      <c r="I2688" s="4" t="s">
        <v>67</v>
      </c>
      <c r="J2688" s="4">
        <v>12.3087</v>
      </c>
      <c r="K2688" s="4">
        <v>13.133800000000001</v>
      </c>
      <c r="L2688" s="4">
        <v>12.7105</v>
      </c>
      <c r="M2688" s="4">
        <f t="shared" si="165"/>
        <v>12.717666666666668</v>
      </c>
      <c r="Q2688" s="43" t="s">
        <v>2849</v>
      </c>
      <c r="R2688" s="4">
        <v>12.5426405913986</v>
      </c>
      <c r="S2688" s="4">
        <v>12.856388774387</v>
      </c>
      <c r="T2688" s="4">
        <v>13.079885772931799</v>
      </c>
      <c r="U2688" s="4">
        <f t="shared" si="166"/>
        <v>12.826305046239133</v>
      </c>
      <c r="X2688" s="43" t="s">
        <v>354</v>
      </c>
      <c r="Y2688" s="4">
        <v>13.0059922953214</v>
      </c>
      <c r="Z2688" s="4">
        <v>13.034938637447199</v>
      </c>
      <c r="AA2688" s="4">
        <v>12.9232188103603</v>
      </c>
      <c r="AB2688" s="4">
        <f t="shared" si="167"/>
        <v>12.988049914376299</v>
      </c>
    </row>
    <row r="2689" spans="2:28" x14ac:dyDescent="0.2">
      <c r="B2689" s="4" t="s">
        <v>637</v>
      </c>
      <c r="C2689" s="4">
        <v>12.3612</v>
      </c>
      <c r="D2689" s="4">
        <v>13.0359</v>
      </c>
      <c r="E2689" s="4">
        <v>13.0099</v>
      </c>
      <c r="F2689" s="4">
        <f t="shared" si="164"/>
        <v>12.802333333333335</v>
      </c>
      <c r="I2689" s="4" t="s">
        <v>1317</v>
      </c>
      <c r="J2689" s="4">
        <v>11.271699999999999</v>
      </c>
      <c r="K2689" s="4">
        <v>14.748200000000001</v>
      </c>
      <c r="L2689" s="4">
        <v>12.1297</v>
      </c>
      <c r="M2689" s="4">
        <f t="shared" si="165"/>
        <v>12.716533333333333</v>
      </c>
      <c r="Q2689" s="43" t="s">
        <v>48</v>
      </c>
      <c r="R2689" s="4">
        <v>13.756474755067799</v>
      </c>
      <c r="S2689" s="4">
        <v>12.2958103973712</v>
      </c>
      <c r="T2689" s="4">
        <v>12.4251775221743</v>
      </c>
      <c r="U2689" s="4">
        <f t="shared" si="166"/>
        <v>12.825820891537766</v>
      </c>
      <c r="X2689" s="43" t="s">
        <v>1414</v>
      </c>
      <c r="Y2689" s="4">
        <v>13.2751130414503</v>
      </c>
      <c r="Z2689" s="4">
        <v>12.6834832867087</v>
      </c>
      <c r="AA2689" s="4">
        <v>13.0034225405204</v>
      </c>
      <c r="AB2689" s="4">
        <f t="shared" si="167"/>
        <v>12.987339622893133</v>
      </c>
    </row>
    <row r="2690" spans="2:28" x14ac:dyDescent="0.2">
      <c r="B2690" s="4" t="s">
        <v>3547</v>
      </c>
      <c r="C2690" s="4">
        <v>12.500400000000001</v>
      </c>
      <c r="D2690" s="4">
        <v>12.6092</v>
      </c>
      <c r="E2690" s="4">
        <v>13.294</v>
      </c>
      <c r="F2690" s="4">
        <f t="shared" ref="F2690:F2753" si="168">(C2690+D2690+E2690)/3</f>
        <v>12.8012</v>
      </c>
      <c r="I2690" s="4" t="s">
        <v>88</v>
      </c>
      <c r="J2690" s="4">
        <v>12.8307</v>
      </c>
      <c r="K2690" s="4">
        <v>12.6472</v>
      </c>
      <c r="L2690" s="4">
        <v>12.666600000000001</v>
      </c>
      <c r="M2690" s="4">
        <f t="shared" ref="M2690:M2753" si="169">(J2690+K2690+L2690)/3</f>
        <v>12.714833333333333</v>
      </c>
      <c r="Q2690" s="43" t="s">
        <v>429</v>
      </c>
      <c r="R2690" s="4">
        <v>12.878624956228901</v>
      </c>
      <c r="S2690" s="4">
        <v>13.044773623114899</v>
      </c>
      <c r="T2690" s="4">
        <v>12.5528215721745</v>
      </c>
      <c r="U2690" s="4">
        <f t="shared" ref="U2690:U2753" si="170">(R2690+S2690+T2690)/3</f>
        <v>12.825406717172767</v>
      </c>
      <c r="X2690" s="43" t="s">
        <v>3470</v>
      </c>
      <c r="Y2690" s="4">
        <v>12.972053341397499</v>
      </c>
      <c r="Z2690" s="4">
        <v>12.967362590434499</v>
      </c>
      <c r="AA2690" s="4">
        <v>13.0190534411746</v>
      </c>
      <c r="AB2690" s="4">
        <f t="shared" ref="AB2690:AB2753" si="171">(Y2690+Z2690+AA2690)/3</f>
        <v>12.986156457668868</v>
      </c>
    </row>
    <row r="2691" spans="2:28" x14ac:dyDescent="0.2">
      <c r="B2691" s="4" t="s">
        <v>2164</v>
      </c>
      <c r="C2691" s="4">
        <v>13.6952</v>
      </c>
      <c r="D2691" s="4">
        <v>12.525499999999999</v>
      </c>
      <c r="E2691" s="4">
        <v>12.180400000000001</v>
      </c>
      <c r="F2691" s="4">
        <f t="shared" si="168"/>
        <v>12.800366666666667</v>
      </c>
      <c r="I2691" s="4" t="s">
        <v>280</v>
      </c>
      <c r="J2691" s="4">
        <v>12.598699999999999</v>
      </c>
      <c r="K2691" s="4">
        <v>12.9718</v>
      </c>
      <c r="L2691" s="4">
        <v>12.573700000000001</v>
      </c>
      <c r="M2691" s="4">
        <f t="shared" si="169"/>
        <v>12.714733333333333</v>
      </c>
      <c r="Q2691" s="43" t="s">
        <v>3693</v>
      </c>
      <c r="R2691" s="4">
        <v>12.760031315675</v>
      </c>
      <c r="S2691" s="4">
        <v>12.836973851878099</v>
      </c>
      <c r="T2691" s="4">
        <v>12.8772793975448</v>
      </c>
      <c r="U2691" s="4">
        <f t="shared" si="170"/>
        <v>12.824761521699301</v>
      </c>
      <c r="X2691" s="43" t="s">
        <v>2289</v>
      </c>
      <c r="Y2691" s="4">
        <v>12.8263972778216</v>
      </c>
      <c r="Z2691" s="4">
        <v>12.9030155112297</v>
      </c>
      <c r="AA2691" s="4">
        <v>13.226684426296799</v>
      </c>
      <c r="AB2691" s="4">
        <f t="shared" si="171"/>
        <v>12.985365738449367</v>
      </c>
    </row>
    <row r="2692" spans="2:28" x14ac:dyDescent="0.2">
      <c r="B2692" s="4" t="s">
        <v>107</v>
      </c>
      <c r="C2692" s="4">
        <v>12.982900000000001</v>
      </c>
      <c r="D2692" s="4">
        <v>12.447699999999999</v>
      </c>
      <c r="E2692" s="4">
        <v>12.9673</v>
      </c>
      <c r="F2692" s="4">
        <f t="shared" si="168"/>
        <v>12.799300000000001</v>
      </c>
      <c r="I2692" s="4" t="s">
        <v>1387</v>
      </c>
      <c r="J2692" s="4">
        <v>12.2719</v>
      </c>
      <c r="K2692" s="4">
        <v>13.979900000000001</v>
      </c>
      <c r="L2692" s="4">
        <v>11.889099999999999</v>
      </c>
      <c r="M2692" s="4">
        <f t="shared" si="169"/>
        <v>12.713633333333334</v>
      </c>
      <c r="Q2692" s="43" t="s">
        <v>723</v>
      </c>
      <c r="R2692" s="4">
        <v>12.7708067772218</v>
      </c>
      <c r="S2692" s="4">
        <v>12.886770697802101</v>
      </c>
      <c r="T2692" s="4">
        <v>12.815771126923099</v>
      </c>
      <c r="U2692" s="4">
        <f t="shared" si="170"/>
        <v>12.824449533982332</v>
      </c>
      <c r="X2692" s="43" t="s">
        <v>4222</v>
      </c>
      <c r="Y2692" s="4">
        <v>12.9971536352089</v>
      </c>
      <c r="Z2692" s="4">
        <v>12.961764141939</v>
      </c>
      <c r="AA2692" s="4">
        <v>12.994239486359101</v>
      </c>
      <c r="AB2692" s="4">
        <f t="shared" si="171"/>
        <v>12.984385754502334</v>
      </c>
    </row>
    <row r="2693" spans="2:28" x14ac:dyDescent="0.2">
      <c r="B2693" s="4" t="s">
        <v>2249</v>
      </c>
      <c r="C2693" s="4">
        <v>12.7567</v>
      </c>
      <c r="D2693" s="4">
        <v>12.6175</v>
      </c>
      <c r="E2693" s="4">
        <v>13.022</v>
      </c>
      <c r="F2693" s="4">
        <f t="shared" si="168"/>
        <v>12.798733333333333</v>
      </c>
      <c r="I2693" s="4" t="s">
        <v>2393</v>
      </c>
      <c r="J2693" s="4">
        <v>12.951599999999999</v>
      </c>
      <c r="K2693" s="4">
        <v>12.161199999999999</v>
      </c>
      <c r="L2693" s="4">
        <v>13.025499999999999</v>
      </c>
      <c r="M2693" s="4">
        <f t="shared" si="169"/>
        <v>12.712766666666667</v>
      </c>
      <c r="Q2693" s="43" t="s">
        <v>1471</v>
      </c>
      <c r="R2693" s="4">
        <v>12.859348188382</v>
      </c>
      <c r="S2693" s="4">
        <v>12.816237112493001</v>
      </c>
      <c r="T2693" s="4">
        <v>12.7964662554164</v>
      </c>
      <c r="U2693" s="4">
        <f t="shared" si="170"/>
        <v>12.824017185430465</v>
      </c>
      <c r="X2693" s="43" t="s">
        <v>2393</v>
      </c>
      <c r="Y2693" s="4">
        <v>12.9721766614486</v>
      </c>
      <c r="Z2693" s="4">
        <v>12.9697436458559</v>
      </c>
      <c r="AA2693" s="4">
        <v>13.007993593838499</v>
      </c>
      <c r="AB2693" s="4">
        <f t="shared" si="171"/>
        <v>12.983304633714333</v>
      </c>
    </row>
    <row r="2694" spans="2:28" x14ac:dyDescent="0.2">
      <c r="B2694" s="4" t="s">
        <v>3470</v>
      </c>
      <c r="C2694" s="4">
        <v>12.2255</v>
      </c>
      <c r="D2694" s="4">
        <v>12.8779</v>
      </c>
      <c r="E2694" s="4">
        <v>13.2913</v>
      </c>
      <c r="F2694" s="4">
        <f t="shared" si="168"/>
        <v>12.798233333333334</v>
      </c>
      <c r="I2694" s="4" t="s">
        <v>2570</v>
      </c>
      <c r="J2694" s="4">
        <v>12.538</v>
      </c>
      <c r="K2694" s="4">
        <v>13.094200000000001</v>
      </c>
      <c r="L2694" s="4">
        <v>12.4901</v>
      </c>
      <c r="M2694" s="4">
        <f t="shared" si="169"/>
        <v>12.707433333333334</v>
      </c>
      <c r="Q2694" s="43" t="s">
        <v>4574</v>
      </c>
      <c r="R2694" s="4">
        <v>12.841173065375999</v>
      </c>
      <c r="S2694" s="4">
        <v>12.851292568120099</v>
      </c>
      <c r="T2694" s="4">
        <v>12.778623783677499</v>
      </c>
      <c r="U2694" s="4">
        <f t="shared" si="170"/>
        <v>12.8236964723912</v>
      </c>
      <c r="X2694" s="43" t="s">
        <v>3154</v>
      </c>
      <c r="Y2694" s="4">
        <v>13.2332086031034</v>
      </c>
      <c r="Z2694" s="4">
        <v>12.907756847761799</v>
      </c>
      <c r="AA2694" s="4">
        <v>12.8080849030352</v>
      </c>
      <c r="AB2694" s="4">
        <f t="shared" si="171"/>
        <v>12.983016784633465</v>
      </c>
    </row>
    <row r="2695" spans="2:28" x14ac:dyDescent="0.2">
      <c r="B2695" s="4" t="s">
        <v>1912</v>
      </c>
      <c r="C2695" s="4">
        <v>13.0124</v>
      </c>
      <c r="D2695" s="4">
        <v>12.660500000000001</v>
      </c>
      <c r="E2695" s="4">
        <v>12.713200000000001</v>
      </c>
      <c r="F2695" s="4">
        <f t="shared" si="168"/>
        <v>12.795366666666666</v>
      </c>
      <c r="I2695" s="4" t="s">
        <v>178</v>
      </c>
      <c r="J2695" s="4">
        <v>12.9323</v>
      </c>
      <c r="K2695" s="4">
        <v>12.1153</v>
      </c>
      <c r="L2695" s="4">
        <v>13.073700000000001</v>
      </c>
      <c r="M2695" s="4">
        <f t="shared" si="169"/>
        <v>12.707099999999999</v>
      </c>
      <c r="Q2695" s="43" t="s">
        <v>1941</v>
      </c>
      <c r="R2695" s="4">
        <v>12.271807709200599</v>
      </c>
      <c r="S2695" s="4">
        <v>13.3185287717495</v>
      </c>
      <c r="T2695" s="4">
        <v>12.880606646532</v>
      </c>
      <c r="U2695" s="4">
        <f t="shared" si="170"/>
        <v>12.823647709160701</v>
      </c>
      <c r="X2695" s="43" t="s">
        <v>526</v>
      </c>
      <c r="Y2695" s="4">
        <v>13.0213517591776</v>
      </c>
      <c r="Z2695" s="4">
        <v>13.0016141556693</v>
      </c>
      <c r="AA2695" s="4">
        <v>12.9229029900235</v>
      </c>
      <c r="AB2695" s="4">
        <f t="shared" si="171"/>
        <v>12.981956301623468</v>
      </c>
    </row>
    <row r="2696" spans="2:28" x14ac:dyDescent="0.2">
      <c r="B2696" s="4" t="s">
        <v>1870</v>
      </c>
      <c r="C2696" s="4">
        <v>12.8865</v>
      </c>
      <c r="D2696" s="4">
        <v>13.1135</v>
      </c>
      <c r="E2696" s="4">
        <v>12.3842</v>
      </c>
      <c r="F2696" s="4">
        <f t="shared" si="168"/>
        <v>12.794733333333333</v>
      </c>
      <c r="I2696" s="4" t="s">
        <v>510</v>
      </c>
      <c r="J2696" s="4">
        <v>12.9313</v>
      </c>
      <c r="K2696" s="4">
        <v>12.316599999999999</v>
      </c>
      <c r="L2696" s="4">
        <v>12.8713</v>
      </c>
      <c r="M2696" s="4">
        <f t="shared" si="169"/>
        <v>12.7064</v>
      </c>
      <c r="Q2696" s="43" t="s">
        <v>2006</v>
      </c>
      <c r="R2696" s="4">
        <v>12.652975484188699</v>
      </c>
      <c r="S2696" s="4">
        <v>12.993006903369301</v>
      </c>
      <c r="T2696" s="4">
        <v>12.821364733858401</v>
      </c>
      <c r="U2696" s="4">
        <f t="shared" si="170"/>
        <v>12.822449040472135</v>
      </c>
      <c r="X2696" s="43" t="s">
        <v>4383</v>
      </c>
      <c r="Y2696" s="4">
        <v>13.4519247580262</v>
      </c>
      <c r="Z2696" s="4">
        <v>13.197380583648201</v>
      </c>
      <c r="AA2696" s="4">
        <v>12.2951224778308</v>
      </c>
      <c r="AB2696" s="4">
        <f t="shared" si="171"/>
        <v>12.981475939835066</v>
      </c>
    </row>
    <row r="2697" spans="2:28" x14ac:dyDescent="0.2">
      <c r="B2697" s="4" t="s">
        <v>3711</v>
      </c>
      <c r="C2697" s="4">
        <v>12.764099999999999</v>
      </c>
      <c r="D2697" s="4">
        <v>12.825100000000001</v>
      </c>
      <c r="E2697" s="4">
        <v>12.791499999999999</v>
      </c>
      <c r="F2697" s="4">
        <f t="shared" si="168"/>
        <v>12.793566666666665</v>
      </c>
      <c r="I2697" s="4" t="s">
        <v>2987</v>
      </c>
      <c r="J2697" s="4">
        <v>13.2095</v>
      </c>
      <c r="K2697" s="4">
        <v>12.088900000000001</v>
      </c>
      <c r="L2697" s="4">
        <v>12.8057</v>
      </c>
      <c r="M2697" s="4">
        <f t="shared" si="169"/>
        <v>12.701366666666667</v>
      </c>
      <c r="Q2697" s="43" t="s">
        <v>2947</v>
      </c>
      <c r="R2697" s="4">
        <v>12.8333849752236</v>
      </c>
      <c r="S2697" s="4">
        <v>12.9438742099266</v>
      </c>
      <c r="T2697" s="4">
        <v>12.687728670581601</v>
      </c>
      <c r="U2697" s="4">
        <f t="shared" si="170"/>
        <v>12.821662618577266</v>
      </c>
      <c r="X2697" s="43" t="s">
        <v>2987</v>
      </c>
      <c r="Y2697" s="4">
        <v>12.9984434950601</v>
      </c>
      <c r="Z2697" s="4">
        <v>12.9572899628521</v>
      </c>
      <c r="AA2697" s="4">
        <v>12.988533111952799</v>
      </c>
      <c r="AB2697" s="4">
        <f t="shared" si="171"/>
        <v>12.981422189955</v>
      </c>
    </row>
    <row r="2698" spans="2:28" x14ac:dyDescent="0.2">
      <c r="B2698" s="4" t="s">
        <v>2469</v>
      </c>
      <c r="C2698" s="4">
        <v>12.4854</v>
      </c>
      <c r="D2698" s="4">
        <v>12.85</v>
      </c>
      <c r="E2698" s="4">
        <v>13.0413</v>
      </c>
      <c r="F2698" s="4">
        <f t="shared" si="168"/>
        <v>12.792233333333334</v>
      </c>
      <c r="I2698" s="4" t="s">
        <v>3880</v>
      </c>
      <c r="J2698" s="4">
        <v>13.2005</v>
      </c>
      <c r="K2698" s="4">
        <v>11.8718</v>
      </c>
      <c r="L2698" s="4">
        <v>13.030099999999999</v>
      </c>
      <c r="M2698" s="4">
        <f t="shared" si="169"/>
        <v>12.700799999999999</v>
      </c>
      <c r="Q2698" s="43" t="s">
        <v>4532</v>
      </c>
      <c r="R2698" s="4">
        <v>12.6347888150892</v>
      </c>
      <c r="S2698" s="4">
        <v>12.935169037419399</v>
      </c>
      <c r="T2698" s="4">
        <v>12.8940350176725</v>
      </c>
      <c r="U2698" s="4">
        <f t="shared" si="170"/>
        <v>12.821330956727033</v>
      </c>
      <c r="X2698" s="43" t="s">
        <v>2911</v>
      </c>
      <c r="Y2698" s="4">
        <v>13.0104502590232</v>
      </c>
      <c r="Z2698" s="4">
        <v>13.0829622225099</v>
      </c>
      <c r="AA2698" s="4">
        <v>12.8482736173366</v>
      </c>
      <c r="AB2698" s="4">
        <f t="shared" si="171"/>
        <v>12.980562032956568</v>
      </c>
    </row>
    <row r="2699" spans="2:28" x14ac:dyDescent="0.2">
      <c r="B2699" s="4" t="s">
        <v>272</v>
      </c>
      <c r="C2699" s="4">
        <v>12.9338</v>
      </c>
      <c r="D2699" s="4">
        <v>12.846</v>
      </c>
      <c r="E2699" s="4">
        <v>12.5924</v>
      </c>
      <c r="F2699" s="4">
        <f t="shared" si="168"/>
        <v>12.790733333333334</v>
      </c>
      <c r="I2699" s="4" t="s">
        <v>2459</v>
      </c>
      <c r="J2699" s="4">
        <v>12.1121</v>
      </c>
      <c r="K2699" s="4">
        <v>13.278600000000001</v>
      </c>
      <c r="L2699" s="4">
        <v>12.7102</v>
      </c>
      <c r="M2699" s="4">
        <f t="shared" si="169"/>
        <v>12.7003</v>
      </c>
      <c r="Q2699" s="43" t="s">
        <v>2141</v>
      </c>
      <c r="R2699" s="4">
        <v>12.976055259245401</v>
      </c>
      <c r="S2699" s="4">
        <v>12.800423872908899</v>
      </c>
      <c r="T2699" s="4">
        <v>12.685981355788501</v>
      </c>
      <c r="U2699" s="4">
        <f t="shared" si="170"/>
        <v>12.8208201626476</v>
      </c>
      <c r="X2699" s="43" t="s">
        <v>4307</v>
      </c>
      <c r="Y2699" s="4">
        <v>12.7233325349494</v>
      </c>
      <c r="Z2699" s="4">
        <v>12.980853283397799</v>
      </c>
      <c r="AA2699" s="4">
        <v>13.2318334778849</v>
      </c>
      <c r="AB2699" s="4">
        <f t="shared" si="171"/>
        <v>12.978673098744032</v>
      </c>
    </row>
    <row r="2700" spans="2:28" x14ac:dyDescent="0.2">
      <c r="B2700" s="4" t="s">
        <v>4014</v>
      </c>
      <c r="C2700" s="4">
        <v>12.674899999999999</v>
      </c>
      <c r="D2700" s="4">
        <v>12.8438</v>
      </c>
      <c r="E2700" s="4">
        <v>12.8505</v>
      </c>
      <c r="F2700" s="4">
        <f t="shared" si="168"/>
        <v>12.789733333333333</v>
      </c>
      <c r="I2700" s="4" t="s">
        <v>1706</v>
      </c>
      <c r="J2700" s="4">
        <v>12.601800000000001</v>
      </c>
      <c r="K2700" s="4">
        <v>13.610099999999999</v>
      </c>
      <c r="L2700" s="4">
        <v>11.883699999999999</v>
      </c>
      <c r="M2700" s="4">
        <f t="shared" si="169"/>
        <v>12.698533333333332</v>
      </c>
      <c r="Q2700" s="43" t="s">
        <v>794</v>
      </c>
      <c r="R2700" s="4">
        <v>12.635720195904099</v>
      </c>
      <c r="S2700" s="4">
        <v>12.788692410122</v>
      </c>
      <c r="T2700" s="4">
        <v>13.0354380558244</v>
      </c>
      <c r="U2700" s="4">
        <f t="shared" si="170"/>
        <v>12.819950220616832</v>
      </c>
      <c r="X2700" s="43" t="s">
        <v>4185</v>
      </c>
      <c r="Y2700" s="4">
        <v>12.942946905855701</v>
      </c>
      <c r="Z2700" s="4">
        <v>13.0022287873261</v>
      </c>
      <c r="AA2700" s="4">
        <v>12.990660287735301</v>
      </c>
      <c r="AB2700" s="4">
        <f t="shared" si="171"/>
        <v>12.978611993639035</v>
      </c>
    </row>
    <row r="2701" spans="2:28" x14ac:dyDescent="0.2">
      <c r="B2701" s="4" t="s">
        <v>3296</v>
      </c>
      <c r="C2701" s="4">
        <v>12.726900000000001</v>
      </c>
      <c r="D2701" s="4">
        <v>13.03</v>
      </c>
      <c r="E2701" s="4">
        <v>12.5977</v>
      </c>
      <c r="F2701" s="4">
        <f t="shared" si="168"/>
        <v>12.784866666666668</v>
      </c>
      <c r="I2701" s="4" t="s">
        <v>3385</v>
      </c>
      <c r="J2701" s="4">
        <v>12.999499999999999</v>
      </c>
      <c r="K2701" s="4">
        <v>11.960100000000001</v>
      </c>
      <c r="L2701" s="4">
        <v>13.1303</v>
      </c>
      <c r="M2701" s="4">
        <f t="shared" si="169"/>
        <v>12.696633333333333</v>
      </c>
      <c r="Q2701" s="43" t="s">
        <v>2232</v>
      </c>
      <c r="R2701" s="4">
        <v>12.7756395354613</v>
      </c>
      <c r="S2701" s="4">
        <v>12.8445877859972</v>
      </c>
      <c r="T2701" s="4">
        <v>12.8390276794338</v>
      </c>
      <c r="U2701" s="4">
        <f t="shared" si="170"/>
        <v>12.8197516669641</v>
      </c>
      <c r="X2701" s="43" t="s">
        <v>2725</v>
      </c>
      <c r="Y2701" s="4">
        <v>12.914049496483999</v>
      </c>
      <c r="Z2701" s="4">
        <v>12.9973894370838</v>
      </c>
      <c r="AA2701" s="4">
        <v>13.021548470805699</v>
      </c>
      <c r="AB2701" s="4">
        <f t="shared" si="171"/>
        <v>12.9776624681245</v>
      </c>
    </row>
    <row r="2702" spans="2:28" x14ac:dyDescent="0.2">
      <c r="B2702" s="4" t="s">
        <v>49</v>
      </c>
      <c r="C2702" s="4">
        <v>12.8909</v>
      </c>
      <c r="D2702" s="4">
        <v>13.091900000000001</v>
      </c>
      <c r="E2702" s="4">
        <v>12.3714</v>
      </c>
      <c r="F2702" s="4">
        <f t="shared" si="168"/>
        <v>12.784733333333334</v>
      </c>
      <c r="I2702" s="4" t="s">
        <v>3941</v>
      </c>
      <c r="J2702" s="4">
        <v>12.907</v>
      </c>
      <c r="K2702" s="4">
        <v>12.6075</v>
      </c>
      <c r="L2702" s="4">
        <v>12.571899999999999</v>
      </c>
      <c r="M2702" s="4">
        <f t="shared" si="169"/>
        <v>12.695466666666666</v>
      </c>
      <c r="Q2702" s="43" t="s">
        <v>4547</v>
      </c>
      <c r="R2702" s="4">
        <v>12.822906572598001</v>
      </c>
      <c r="S2702" s="4">
        <v>12.948150040723</v>
      </c>
      <c r="T2702" s="4">
        <v>12.677007865277799</v>
      </c>
      <c r="U2702" s="4">
        <f t="shared" si="170"/>
        <v>12.816021492866268</v>
      </c>
      <c r="X2702" s="43" t="s">
        <v>1262</v>
      </c>
      <c r="Y2702" s="4">
        <v>12.8882307622874</v>
      </c>
      <c r="Z2702" s="4">
        <v>13.145417382947</v>
      </c>
      <c r="AA2702" s="4">
        <v>12.8971836391287</v>
      </c>
      <c r="AB2702" s="4">
        <f t="shared" si="171"/>
        <v>12.976943928121033</v>
      </c>
    </row>
    <row r="2703" spans="2:28" x14ac:dyDescent="0.2">
      <c r="B2703" s="4" t="s">
        <v>3172</v>
      </c>
      <c r="C2703" s="4">
        <v>12.711399999999999</v>
      </c>
      <c r="D2703" s="4">
        <v>12.667</v>
      </c>
      <c r="E2703" s="4">
        <v>12.972300000000001</v>
      </c>
      <c r="F2703" s="4">
        <f t="shared" si="168"/>
        <v>12.783566666666667</v>
      </c>
      <c r="I2703" s="4" t="s">
        <v>2419</v>
      </c>
      <c r="J2703" s="4">
        <v>12.2844</v>
      </c>
      <c r="K2703" s="4">
        <v>13.661300000000001</v>
      </c>
      <c r="L2703" s="4">
        <v>12.1404</v>
      </c>
      <c r="M2703" s="4">
        <f t="shared" si="169"/>
        <v>12.695366666666667</v>
      </c>
      <c r="Q2703" s="43" t="s">
        <v>3616</v>
      </c>
      <c r="R2703" s="4">
        <v>13.008507922630001</v>
      </c>
      <c r="S2703" s="4">
        <v>12.856202856238401</v>
      </c>
      <c r="T2703" s="4">
        <v>12.582764344152601</v>
      </c>
      <c r="U2703" s="4">
        <f t="shared" si="170"/>
        <v>12.815825041007001</v>
      </c>
      <c r="X2703" s="43" t="s">
        <v>4600</v>
      </c>
      <c r="Y2703" s="4">
        <v>12.8100232191968</v>
      </c>
      <c r="Z2703" s="4">
        <v>13.147496598206599</v>
      </c>
      <c r="AA2703" s="4">
        <v>12.971996942215499</v>
      </c>
      <c r="AB2703" s="4">
        <f t="shared" si="171"/>
        <v>12.976505586539632</v>
      </c>
    </row>
    <row r="2704" spans="2:28" x14ac:dyDescent="0.2">
      <c r="B2704" s="4" t="s">
        <v>3540</v>
      </c>
      <c r="C2704" s="4">
        <v>13.5793</v>
      </c>
      <c r="D2704" s="4">
        <v>11.9686</v>
      </c>
      <c r="E2704" s="4">
        <v>12.7995</v>
      </c>
      <c r="F2704" s="4">
        <f t="shared" si="168"/>
        <v>12.782466666666666</v>
      </c>
      <c r="I2704" s="4" t="s">
        <v>2797</v>
      </c>
      <c r="J2704" s="4">
        <v>12.454599999999999</v>
      </c>
      <c r="K2704" s="4">
        <v>12.9092</v>
      </c>
      <c r="L2704" s="4">
        <v>12.715</v>
      </c>
      <c r="M2704" s="4">
        <f t="shared" si="169"/>
        <v>12.692933333333334</v>
      </c>
      <c r="Q2704" s="43" t="s">
        <v>4472</v>
      </c>
      <c r="R2704" s="4">
        <v>12.987836057179599</v>
      </c>
      <c r="S2704" s="4">
        <v>12.8153403518484</v>
      </c>
      <c r="T2704" s="4">
        <v>12.631950455643</v>
      </c>
      <c r="U2704" s="4">
        <f t="shared" si="170"/>
        <v>12.811708954890333</v>
      </c>
      <c r="X2704" s="43" t="s">
        <v>2653</v>
      </c>
      <c r="Y2704" s="4">
        <v>13.0655073484177</v>
      </c>
      <c r="Z2704" s="4">
        <v>13.043567334748801</v>
      </c>
      <c r="AA2704" s="4">
        <v>12.8168170216288</v>
      </c>
      <c r="AB2704" s="4">
        <f t="shared" si="171"/>
        <v>12.975297234931768</v>
      </c>
    </row>
    <row r="2705" spans="2:28" x14ac:dyDescent="0.2">
      <c r="B2705" s="4" t="s">
        <v>3551</v>
      </c>
      <c r="C2705" s="4">
        <v>12.796200000000001</v>
      </c>
      <c r="D2705" s="4">
        <v>12.8499</v>
      </c>
      <c r="E2705" s="4">
        <v>12.6897</v>
      </c>
      <c r="F2705" s="4">
        <f t="shared" si="168"/>
        <v>12.778599999999999</v>
      </c>
      <c r="I2705" s="4" t="s">
        <v>926</v>
      </c>
      <c r="J2705" s="4">
        <v>13.2623</v>
      </c>
      <c r="K2705" s="4">
        <v>11.209899999999999</v>
      </c>
      <c r="L2705" s="4">
        <v>13.604699999999999</v>
      </c>
      <c r="M2705" s="4">
        <f t="shared" si="169"/>
        <v>12.692300000000001</v>
      </c>
      <c r="Q2705" s="43" t="s">
        <v>529</v>
      </c>
      <c r="R2705" s="4">
        <v>12.9732379846968</v>
      </c>
      <c r="S2705" s="4">
        <v>12.777296560636801</v>
      </c>
      <c r="T2705" s="4">
        <v>12.6822794143455</v>
      </c>
      <c r="U2705" s="4">
        <f t="shared" si="170"/>
        <v>12.810937986559701</v>
      </c>
      <c r="X2705" s="43" t="s">
        <v>2745</v>
      </c>
      <c r="Y2705" s="4">
        <v>13.0538430972755</v>
      </c>
      <c r="Z2705" s="4">
        <v>13.094288163985</v>
      </c>
      <c r="AA2705" s="4">
        <v>12.777323452689499</v>
      </c>
      <c r="AB2705" s="4">
        <f t="shared" si="171"/>
        <v>12.975151571316667</v>
      </c>
    </row>
    <row r="2706" spans="2:28" x14ac:dyDescent="0.2">
      <c r="B2706" s="4" t="s">
        <v>3057</v>
      </c>
      <c r="C2706" s="4">
        <v>12.8649</v>
      </c>
      <c r="D2706" s="4">
        <v>12.959199999999999</v>
      </c>
      <c r="E2706" s="4">
        <v>12.509600000000001</v>
      </c>
      <c r="F2706" s="4">
        <f t="shared" si="168"/>
        <v>12.777900000000001</v>
      </c>
      <c r="I2706" s="4" t="s">
        <v>1505</v>
      </c>
      <c r="J2706" s="4">
        <v>12.445</v>
      </c>
      <c r="K2706" s="4">
        <v>12.790699999999999</v>
      </c>
      <c r="L2706" s="4">
        <v>12.841100000000001</v>
      </c>
      <c r="M2706" s="4">
        <f t="shared" si="169"/>
        <v>12.692266666666669</v>
      </c>
      <c r="Q2706" s="43" t="s">
        <v>2439</v>
      </c>
      <c r="R2706" s="4">
        <v>12.6855689171802</v>
      </c>
      <c r="S2706" s="4">
        <v>13.1030277116938</v>
      </c>
      <c r="T2706" s="4">
        <v>12.639065047210501</v>
      </c>
      <c r="U2706" s="4">
        <f t="shared" si="170"/>
        <v>12.809220558694832</v>
      </c>
      <c r="X2706" s="43" t="s">
        <v>269</v>
      </c>
      <c r="Y2706" s="4">
        <v>12.955569053930599</v>
      </c>
      <c r="Z2706" s="4">
        <v>12.757552593702099</v>
      </c>
      <c r="AA2706" s="4">
        <v>13.211931879270701</v>
      </c>
      <c r="AB2706" s="4">
        <f t="shared" si="171"/>
        <v>12.975017842301133</v>
      </c>
    </row>
    <row r="2707" spans="2:28" x14ac:dyDescent="0.2">
      <c r="B2707" s="4" t="s">
        <v>1869</v>
      </c>
      <c r="C2707" s="4">
        <v>12.938599999999999</v>
      </c>
      <c r="D2707" s="4">
        <v>12.689500000000001</v>
      </c>
      <c r="E2707" s="4">
        <v>12.702</v>
      </c>
      <c r="F2707" s="4">
        <f t="shared" si="168"/>
        <v>12.7767</v>
      </c>
      <c r="I2707" s="4" t="s">
        <v>2057</v>
      </c>
      <c r="J2707" s="4">
        <v>12.851000000000001</v>
      </c>
      <c r="K2707" s="4">
        <v>12.1717</v>
      </c>
      <c r="L2707" s="4">
        <v>13.0535</v>
      </c>
      <c r="M2707" s="4">
        <f t="shared" si="169"/>
        <v>12.692066666666667</v>
      </c>
      <c r="Q2707" s="43" t="s">
        <v>483</v>
      </c>
      <c r="R2707" s="4">
        <v>12.5309972556755</v>
      </c>
      <c r="S2707" s="4">
        <v>13.233494868010199</v>
      </c>
      <c r="T2707" s="4">
        <v>12.660896670475299</v>
      </c>
      <c r="U2707" s="4">
        <f t="shared" si="170"/>
        <v>12.808462931386998</v>
      </c>
      <c r="X2707" s="43">
        <v>45722</v>
      </c>
      <c r="Y2707" s="4">
        <v>12.8291452040921</v>
      </c>
      <c r="Z2707" s="4">
        <v>13.003581767791401</v>
      </c>
      <c r="AA2707" s="4">
        <v>13.089695803707</v>
      </c>
      <c r="AB2707" s="4">
        <f t="shared" si="171"/>
        <v>12.974140925196835</v>
      </c>
    </row>
    <row r="2708" spans="2:28" x14ac:dyDescent="0.2">
      <c r="B2708" s="4" t="s">
        <v>1764</v>
      </c>
      <c r="C2708" s="4">
        <v>12.86</v>
      </c>
      <c r="D2708" s="4">
        <v>12.858599999999999</v>
      </c>
      <c r="E2708" s="4">
        <v>12.6065</v>
      </c>
      <c r="F2708" s="4">
        <f t="shared" si="168"/>
        <v>12.775033333333333</v>
      </c>
      <c r="I2708" s="4" t="s">
        <v>2384</v>
      </c>
      <c r="J2708" s="4">
        <v>12.1112</v>
      </c>
      <c r="K2708" s="4">
        <v>13.7247</v>
      </c>
      <c r="L2708" s="4">
        <v>12.236599999999999</v>
      </c>
      <c r="M2708" s="4">
        <f t="shared" si="169"/>
        <v>12.690833333333336</v>
      </c>
      <c r="Q2708" s="43" t="s">
        <v>3499</v>
      </c>
      <c r="R2708" s="4">
        <v>12.4613640297163</v>
      </c>
      <c r="S2708" s="4">
        <v>12.9307249539966</v>
      </c>
      <c r="T2708" s="4">
        <v>13.019536541521401</v>
      </c>
      <c r="U2708" s="4">
        <f t="shared" si="170"/>
        <v>12.803875175078099</v>
      </c>
      <c r="X2708" s="43" t="s">
        <v>4275</v>
      </c>
      <c r="Y2708" s="4">
        <v>12.5829481268474</v>
      </c>
      <c r="Z2708" s="4">
        <v>13.299564934872301</v>
      </c>
      <c r="AA2708" s="4">
        <v>13.035910112945301</v>
      </c>
      <c r="AB2708" s="4">
        <f t="shared" si="171"/>
        <v>12.972807724888334</v>
      </c>
    </row>
    <row r="2709" spans="2:28" x14ac:dyDescent="0.2">
      <c r="B2709" s="4" t="s">
        <v>2489</v>
      </c>
      <c r="C2709" s="4">
        <v>12.741300000000001</v>
      </c>
      <c r="D2709" s="4">
        <v>12.3224</v>
      </c>
      <c r="E2709" s="4">
        <v>13.2521</v>
      </c>
      <c r="F2709" s="4">
        <f t="shared" si="168"/>
        <v>12.771933333333335</v>
      </c>
      <c r="I2709" s="4" t="s">
        <v>17</v>
      </c>
      <c r="J2709" s="4">
        <v>12.9755</v>
      </c>
      <c r="K2709" s="4">
        <v>12.308199999999999</v>
      </c>
      <c r="L2709" s="4">
        <v>12.7818</v>
      </c>
      <c r="M2709" s="4">
        <f t="shared" si="169"/>
        <v>12.688499999999999</v>
      </c>
      <c r="Q2709" s="43" t="s">
        <v>2410</v>
      </c>
      <c r="R2709" s="4">
        <v>12.464876708814399</v>
      </c>
      <c r="S2709" s="4">
        <v>12.828519524944101</v>
      </c>
      <c r="T2709" s="4">
        <v>13.1176678192364</v>
      </c>
      <c r="U2709" s="4">
        <f t="shared" si="170"/>
        <v>12.803688017664967</v>
      </c>
      <c r="X2709" s="43" t="s">
        <v>3464</v>
      </c>
      <c r="Y2709" s="4">
        <v>12.8670355724371</v>
      </c>
      <c r="Z2709" s="4">
        <v>13.1115421028562</v>
      </c>
      <c r="AA2709" s="4">
        <v>12.9388976156363</v>
      </c>
      <c r="AB2709" s="4">
        <f t="shared" si="171"/>
        <v>12.9724917636432</v>
      </c>
    </row>
    <row r="2710" spans="2:28" x14ac:dyDescent="0.2">
      <c r="B2710" s="4" t="s">
        <v>2686</v>
      </c>
      <c r="C2710" s="4">
        <v>12.885</v>
      </c>
      <c r="D2710" s="4">
        <v>12.696400000000001</v>
      </c>
      <c r="E2710" s="4">
        <v>12.7326</v>
      </c>
      <c r="F2710" s="4">
        <f t="shared" si="168"/>
        <v>12.771333333333333</v>
      </c>
      <c r="I2710" s="4" t="s">
        <v>3773</v>
      </c>
      <c r="J2710" s="4">
        <v>13.1043</v>
      </c>
      <c r="K2710" s="4">
        <v>12.2736</v>
      </c>
      <c r="L2710" s="4">
        <v>12.6853</v>
      </c>
      <c r="M2710" s="4">
        <f t="shared" si="169"/>
        <v>12.687733333333334</v>
      </c>
      <c r="Q2710" s="43" t="s">
        <v>4145</v>
      </c>
      <c r="R2710" s="4">
        <v>12.8944224180968</v>
      </c>
      <c r="S2710" s="4">
        <v>12.8785763651716</v>
      </c>
      <c r="T2710" s="4">
        <v>12.6370826358303</v>
      </c>
      <c r="U2710" s="4">
        <f t="shared" si="170"/>
        <v>12.803360473032901</v>
      </c>
      <c r="X2710" s="43" t="s">
        <v>4338</v>
      </c>
      <c r="Y2710" s="4">
        <v>13.2071192267867</v>
      </c>
      <c r="Z2710" s="4">
        <v>12.891056603394899</v>
      </c>
      <c r="AA2710" s="4">
        <v>12.819109630499501</v>
      </c>
      <c r="AB2710" s="4">
        <f t="shared" si="171"/>
        <v>12.972428486893699</v>
      </c>
    </row>
    <row r="2711" spans="2:28" x14ac:dyDescent="0.2">
      <c r="B2711" s="4" t="s">
        <v>3424</v>
      </c>
      <c r="C2711" s="4">
        <v>12.815</v>
      </c>
      <c r="D2711" s="4">
        <v>12.7098</v>
      </c>
      <c r="E2711" s="4">
        <v>12.7852</v>
      </c>
      <c r="F2711" s="4">
        <f t="shared" si="168"/>
        <v>12.770000000000001</v>
      </c>
      <c r="I2711" s="4" t="s">
        <v>1932</v>
      </c>
      <c r="J2711" s="4">
        <v>12.8141</v>
      </c>
      <c r="K2711" s="4">
        <v>12.055899999999999</v>
      </c>
      <c r="L2711" s="4">
        <v>13.1851</v>
      </c>
      <c r="M2711" s="4">
        <f t="shared" si="169"/>
        <v>12.685033333333331</v>
      </c>
      <c r="Q2711" s="43" t="s">
        <v>501</v>
      </c>
      <c r="R2711" s="4">
        <v>12.729310106652299</v>
      </c>
      <c r="S2711" s="4">
        <v>12.9025976551235</v>
      </c>
      <c r="T2711" s="4">
        <v>12.7715608507659</v>
      </c>
      <c r="U2711" s="4">
        <f t="shared" si="170"/>
        <v>12.801156204180566</v>
      </c>
      <c r="X2711" s="43" t="s">
        <v>3158</v>
      </c>
      <c r="Y2711" s="4">
        <v>13.099424217041101</v>
      </c>
      <c r="Z2711" s="4">
        <v>12.9762810055137</v>
      </c>
      <c r="AA2711" s="4">
        <v>12.8369139201249</v>
      </c>
      <c r="AB2711" s="4">
        <f t="shared" si="171"/>
        <v>12.9708730475599</v>
      </c>
    </row>
    <row r="2712" spans="2:28" x14ac:dyDescent="0.2">
      <c r="B2712" s="4" t="s">
        <v>3071</v>
      </c>
      <c r="C2712" s="4">
        <v>13.2363</v>
      </c>
      <c r="D2712" s="4">
        <v>13.114000000000001</v>
      </c>
      <c r="E2712" s="4">
        <v>11.950799999999999</v>
      </c>
      <c r="F2712" s="4">
        <f t="shared" si="168"/>
        <v>12.767033333333332</v>
      </c>
      <c r="I2712" s="4" t="s">
        <v>2103</v>
      </c>
      <c r="J2712" s="4">
        <v>13.1281</v>
      </c>
      <c r="K2712" s="4">
        <v>11.645099999999999</v>
      </c>
      <c r="L2712" s="4">
        <v>13.274100000000001</v>
      </c>
      <c r="M2712" s="4">
        <f t="shared" si="169"/>
        <v>12.682433333333334</v>
      </c>
      <c r="Q2712" s="43" t="s">
        <v>3994</v>
      </c>
      <c r="R2712" s="4">
        <v>12.882219146715499</v>
      </c>
      <c r="S2712" s="4">
        <v>12.7810341937142</v>
      </c>
      <c r="T2712" s="4">
        <v>12.740019220420301</v>
      </c>
      <c r="U2712" s="4">
        <f t="shared" si="170"/>
        <v>12.801090853616666</v>
      </c>
      <c r="X2712" s="43" t="s">
        <v>984</v>
      </c>
      <c r="Y2712" s="4">
        <v>14.021730520824701</v>
      </c>
      <c r="Z2712" s="4">
        <v>11.873427727048</v>
      </c>
      <c r="AA2712" s="4">
        <v>13.0133967634386</v>
      </c>
      <c r="AB2712" s="4">
        <f t="shared" si="171"/>
        <v>12.969518337103766</v>
      </c>
    </row>
    <row r="2713" spans="2:28" x14ac:dyDescent="0.2">
      <c r="B2713" s="4" t="s">
        <v>346</v>
      </c>
      <c r="C2713" s="4">
        <v>13.0307</v>
      </c>
      <c r="D2713" s="4">
        <v>12.4384</v>
      </c>
      <c r="E2713" s="4">
        <v>12.8285</v>
      </c>
      <c r="F2713" s="4">
        <f t="shared" si="168"/>
        <v>12.765866666666666</v>
      </c>
      <c r="I2713" s="4" t="s">
        <v>4018</v>
      </c>
      <c r="J2713" s="4">
        <v>13.1518</v>
      </c>
      <c r="K2713" s="4">
        <v>12.3178</v>
      </c>
      <c r="L2713" s="4">
        <v>12.5639</v>
      </c>
      <c r="M2713" s="4">
        <f t="shared" si="169"/>
        <v>12.677833333333334</v>
      </c>
      <c r="Q2713" s="43" t="s">
        <v>2897</v>
      </c>
      <c r="R2713" s="4">
        <v>12.9027960973556</v>
      </c>
      <c r="S2713" s="4">
        <v>12.675128099575501</v>
      </c>
      <c r="T2713" s="4">
        <v>12.8222669781651</v>
      </c>
      <c r="U2713" s="4">
        <f t="shared" si="170"/>
        <v>12.800063725032066</v>
      </c>
      <c r="X2713" s="43" t="s">
        <v>1004</v>
      </c>
      <c r="Y2713" s="4">
        <v>13.073871137873301</v>
      </c>
      <c r="Z2713" s="4">
        <v>12.786310090734</v>
      </c>
      <c r="AA2713" s="4">
        <v>13.045540135124</v>
      </c>
      <c r="AB2713" s="4">
        <f t="shared" si="171"/>
        <v>12.968573787910435</v>
      </c>
    </row>
    <row r="2714" spans="2:28" x14ac:dyDescent="0.2">
      <c r="B2714" s="4" t="s">
        <v>2660</v>
      </c>
      <c r="C2714" s="4">
        <v>12.747999999999999</v>
      </c>
      <c r="D2714" s="4">
        <v>12.716799999999999</v>
      </c>
      <c r="E2714" s="4">
        <v>12.830500000000001</v>
      </c>
      <c r="F2714" s="4">
        <f t="shared" si="168"/>
        <v>12.765099999999999</v>
      </c>
      <c r="I2714" s="4" t="s">
        <v>3408</v>
      </c>
      <c r="J2714" s="4">
        <v>12.9978</v>
      </c>
      <c r="K2714" s="4">
        <v>12.0618</v>
      </c>
      <c r="L2714" s="4">
        <v>12.972899999999999</v>
      </c>
      <c r="M2714" s="4">
        <f t="shared" si="169"/>
        <v>12.6775</v>
      </c>
      <c r="Q2714" s="43" t="s">
        <v>4564</v>
      </c>
      <c r="R2714" s="4">
        <v>13.068275093920899</v>
      </c>
      <c r="S2714" s="4">
        <v>12.550857450522701</v>
      </c>
      <c r="T2714" s="4">
        <v>12.779321108526201</v>
      </c>
      <c r="U2714" s="4">
        <f t="shared" si="170"/>
        <v>12.799484550989936</v>
      </c>
      <c r="X2714" s="43" t="s">
        <v>476</v>
      </c>
      <c r="Y2714" s="4">
        <v>13.0024310895108</v>
      </c>
      <c r="Z2714" s="4">
        <v>12.8756874683303</v>
      </c>
      <c r="AA2714" s="4">
        <v>13.025294651246799</v>
      </c>
      <c r="AB2714" s="4">
        <f t="shared" si="171"/>
        <v>12.9678044030293</v>
      </c>
    </row>
    <row r="2715" spans="2:28" x14ac:dyDescent="0.2">
      <c r="B2715" s="4" t="s">
        <v>3945</v>
      </c>
      <c r="C2715" s="4">
        <v>12.236700000000001</v>
      </c>
      <c r="D2715" s="4">
        <v>12.7455</v>
      </c>
      <c r="E2715" s="4">
        <v>13.294</v>
      </c>
      <c r="F2715" s="4">
        <f t="shared" si="168"/>
        <v>12.758733333333334</v>
      </c>
      <c r="I2715" s="4" t="s">
        <v>3760</v>
      </c>
      <c r="J2715" s="4">
        <v>13.0091</v>
      </c>
      <c r="K2715" s="4">
        <v>12.208</v>
      </c>
      <c r="L2715" s="4">
        <v>12.8063</v>
      </c>
      <c r="M2715" s="4">
        <f t="shared" si="169"/>
        <v>12.674466666666667</v>
      </c>
      <c r="Q2715" s="43" t="s">
        <v>4245</v>
      </c>
      <c r="R2715" s="4">
        <v>12.6584611932432</v>
      </c>
      <c r="S2715" s="4">
        <v>12.843591104147199</v>
      </c>
      <c r="T2715" s="4">
        <v>12.8924117246334</v>
      </c>
      <c r="U2715" s="4">
        <f t="shared" si="170"/>
        <v>12.798154674007932</v>
      </c>
      <c r="X2715" s="43" t="s">
        <v>1249</v>
      </c>
      <c r="Y2715" s="4">
        <v>13.015808187837001</v>
      </c>
      <c r="Z2715" s="4">
        <v>13.155939058051301</v>
      </c>
      <c r="AA2715" s="4">
        <v>12.7262873191266</v>
      </c>
      <c r="AB2715" s="4">
        <f t="shared" si="171"/>
        <v>12.966011521671634</v>
      </c>
    </row>
    <row r="2716" spans="2:28" x14ac:dyDescent="0.2">
      <c r="B2716" s="4" t="s">
        <v>2552</v>
      </c>
      <c r="C2716" s="4">
        <v>12.7065</v>
      </c>
      <c r="D2716" s="4">
        <v>12.6578</v>
      </c>
      <c r="E2716" s="4">
        <v>12.906499999999999</v>
      </c>
      <c r="F2716" s="4">
        <f t="shared" si="168"/>
        <v>12.756933333333334</v>
      </c>
      <c r="I2716" s="4" t="s">
        <v>1735</v>
      </c>
      <c r="J2716" s="4">
        <v>12.5558</v>
      </c>
      <c r="K2716" s="4">
        <v>13.6646</v>
      </c>
      <c r="L2716" s="4">
        <v>11.800700000000001</v>
      </c>
      <c r="M2716" s="4">
        <f t="shared" si="169"/>
        <v>12.673699999999998</v>
      </c>
      <c r="Q2716" s="43" t="s">
        <v>2579</v>
      </c>
      <c r="R2716" s="4">
        <v>12.816381837889001</v>
      </c>
      <c r="S2716" s="4">
        <v>12.762001071858601</v>
      </c>
      <c r="T2716" s="4">
        <v>12.8143263084916</v>
      </c>
      <c r="U2716" s="4">
        <f t="shared" si="170"/>
        <v>12.797569739413069</v>
      </c>
      <c r="X2716" s="43" t="s">
        <v>675</v>
      </c>
      <c r="Y2716" s="4">
        <v>13.1490259307157</v>
      </c>
      <c r="Z2716" s="4">
        <v>12.826113725260001</v>
      </c>
      <c r="AA2716" s="4">
        <v>12.914510059689</v>
      </c>
      <c r="AB2716" s="4">
        <f t="shared" si="171"/>
        <v>12.963216571888234</v>
      </c>
    </row>
    <row r="2717" spans="2:28" x14ac:dyDescent="0.2">
      <c r="B2717" s="4" t="s">
        <v>413</v>
      </c>
      <c r="C2717" s="4">
        <v>12.5945</v>
      </c>
      <c r="D2717" s="4">
        <v>12.8386</v>
      </c>
      <c r="E2717" s="4">
        <v>12.829599999999999</v>
      </c>
      <c r="F2717" s="4">
        <f t="shared" si="168"/>
        <v>12.754233333333332</v>
      </c>
      <c r="I2717" s="4" t="s">
        <v>2042</v>
      </c>
      <c r="J2717" s="4">
        <v>12.808</v>
      </c>
      <c r="K2717" s="4">
        <v>12.608499999999999</v>
      </c>
      <c r="L2717" s="4">
        <v>12.604100000000001</v>
      </c>
      <c r="M2717" s="4">
        <f t="shared" si="169"/>
        <v>12.673533333333333</v>
      </c>
      <c r="Q2717" s="43" t="s">
        <v>4498</v>
      </c>
      <c r="R2717" s="4">
        <v>12.858480639203799</v>
      </c>
      <c r="S2717" s="4">
        <v>12.4927151741239</v>
      </c>
      <c r="T2717" s="4">
        <v>13.036662685232599</v>
      </c>
      <c r="U2717" s="4">
        <f t="shared" si="170"/>
        <v>12.795952832853432</v>
      </c>
      <c r="X2717" s="43" t="s">
        <v>809</v>
      </c>
      <c r="Y2717" s="4">
        <v>12.740913444489999</v>
      </c>
      <c r="Z2717" s="4">
        <v>12.6174372028714</v>
      </c>
      <c r="AA2717" s="4">
        <v>13.526377296151001</v>
      </c>
      <c r="AB2717" s="4">
        <f t="shared" si="171"/>
        <v>12.961575981170801</v>
      </c>
    </row>
    <row r="2718" spans="2:28" x14ac:dyDescent="0.2">
      <c r="B2718" s="4" t="s">
        <v>3477</v>
      </c>
      <c r="C2718" s="4">
        <v>12.8392</v>
      </c>
      <c r="D2718" s="4">
        <v>12.866</v>
      </c>
      <c r="E2718" s="4">
        <v>12.5505</v>
      </c>
      <c r="F2718" s="4">
        <f t="shared" si="168"/>
        <v>12.751899999999999</v>
      </c>
      <c r="I2718" s="4" t="s">
        <v>1451</v>
      </c>
      <c r="J2718" s="4">
        <v>13.041</v>
      </c>
      <c r="K2718" s="4">
        <v>12.459</v>
      </c>
      <c r="L2718" s="4">
        <v>12.5184</v>
      </c>
      <c r="M2718" s="4">
        <f t="shared" si="169"/>
        <v>12.672800000000001</v>
      </c>
      <c r="Q2718" s="43" t="s">
        <v>2009</v>
      </c>
      <c r="R2718" s="4">
        <v>12.4824904544716</v>
      </c>
      <c r="S2718" s="4">
        <v>12.695691438608399</v>
      </c>
      <c r="T2718" s="4">
        <v>13.1999371340405</v>
      </c>
      <c r="U2718" s="4">
        <f t="shared" si="170"/>
        <v>12.792706342373501</v>
      </c>
      <c r="X2718" s="43" t="s">
        <v>2249</v>
      </c>
      <c r="Y2718" s="4">
        <v>13.027015167958</v>
      </c>
      <c r="Z2718" s="4">
        <v>13.222229440067901</v>
      </c>
      <c r="AA2718" s="4">
        <v>12.634600618447701</v>
      </c>
      <c r="AB2718" s="4">
        <f t="shared" si="171"/>
        <v>12.961281742157867</v>
      </c>
    </row>
    <row r="2719" spans="2:28" x14ac:dyDescent="0.2">
      <c r="B2719" s="4" t="s">
        <v>23</v>
      </c>
      <c r="C2719" s="4">
        <v>12.975300000000001</v>
      </c>
      <c r="D2719" s="4">
        <v>12.293799999999999</v>
      </c>
      <c r="E2719" s="4">
        <v>12.9849</v>
      </c>
      <c r="F2719" s="4">
        <f t="shared" si="168"/>
        <v>12.751333333333335</v>
      </c>
      <c r="I2719" s="4" t="s">
        <v>816</v>
      </c>
      <c r="J2719" s="4">
        <v>13.012600000000001</v>
      </c>
      <c r="K2719" s="4">
        <v>12.657400000000001</v>
      </c>
      <c r="L2719" s="4">
        <v>12.347200000000001</v>
      </c>
      <c r="M2719" s="4">
        <f t="shared" si="169"/>
        <v>12.672400000000001</v>
      </c>
      <c r="Q2719" s="43" t="s">
        <v>4536</v>
      </c>
      <c r="R2719" s="4">
        <v>13.0159056509476</v>
      </c>
      <c r="S2719" s="4">
        <v>12.935945600638901</v>
      </c>
      <c r="T2719" s="4">
        <v>12.421763677509</v>
      </c>
      <c r="U2719" s="4">
        <f t="shared" si="170"/>
        <v>12.791204976365167</v>
      </c>
      <c r="X2719" s="43" t="s">
        <v>945</v>
      </c>
      <c r="Y2719" s="4">
        <v>12.972012835381999</v>
      </c>
      <c r="Z2719" s="4">
        <v>12.8687748328505</v>
      </c>
      <c r="AA2719" s="4">
        <v>13.036826099359001</v>
      </c>
      <c r="AB2719" s="4">
        <f t="shared" si="171"/>
        <v>12.959204589197165</v>
      </c>
    </row>
    <row r="2720" spans="2:28" x14ac:dyDescent="0.2">
      <c r="B2720" s="4" t="s">
        <v>3430</v>
      </c>
      <c r="C2720" s="4">
        <v>12.8733</v>
      </c>
      <c r="D2720" s="4">
        <v>12.763400000000001</v>
      </c>
      <c r="E2720" s="4">
        <v>12.6145</v>
      </c>
      <c r="F2720" s="4">
        <f t="shared" si="168"/>
        <v>12.750399999999999</v>
      </c>
      <c r="I2720" s="4" t="s">
        <v>2933</v>
      </c>
      <c r="J2720" s="4">
        <v>12.979900000000001</v>
      </c>
      <c r="K2720" s="4">
        <v>12.1701</v>
      </c>
      <c r="L2720" s="4">
        <v>12.8637</v>
      </c>
      <c r="M2720" s="4">
        <f t="shared" si="169"/>
        <v>12.671233333333333</v>
      </c>
      <c r="Q2720" s="43" t="s">
        <v>4484</v>
      </c>
      <c r="R2720" s="4">
        <v>12.6982027553699</v>
      </c>
      <c r="S2720" s="4">
        <v>12.8286335169078</v>
      </c>
      <c r="T2720" s="4">
        <v>12.841534383607099</v>
      </c>
      <c r="U2720" s="4">
        <f t="shared" si="170"/>
        <v>12.789456885294932</v>
      </c>
      <c r="X2720" s="43" t="s">
        <v>34</v>
      </c>
      <c r="Y2720" s="4">
        <v>13.015277869297</v>
      </c>
      <c r="Z2720" s="4">
        <v>12.7823178193047</v>
      </c>
      <c r="AA2720" s="4">
        <v>13.0782190868541</v>
      </c>
      <c r="AB2720" s="4">
        <f t="shared" si="171"/>
        <v>12.958604925151933</v>
      </c>
    </row>
    <row r="2721" spans="2:28" x14ac:dyDescent="0.2">
      <c r="B2721" s="4" t="s">
        <v>2924</v>
      </c>
      <c r="C2721" s="4">
        <v>13.095700000000001</v>
      </c>
      <c r="D2721" s="4">
        <v>12.903700000000001</v>
      </c>
      <c r="E2721" s="4">
        <v>12.248799999999999</v>
      </c>
      <c r="F2721" s="4">
        <f t="shared" si="168"/>
        <v>12.7494</v>
      </c>
      <c r="I2721" s="4" t="s">
        <v>3983</v>
      </c>
      <c r="J2721" s="4">
        <v>12.630699999999999</v>
      </c>
      <c r="K2721" s="4">
        <v>12.7928</v>
      </c>
      <c r="L2721" s="4">
        <v>12.5791</v>
      </c>
      <c r="M2721" s="4">
        <f t="shared" si="169"/>
        <v>12.667533333333333</v>
      </c>
      <c r="Q2721" s="43" t="s">
        <v>2681</v>
      </c>
      <c r="R2721" s="4">
        <v>13.015784263499899</v>
      </c>
      <c r="S2721" s="4">
        <v>13.075215208456999</v>
      </c>
      <c r="T2721" s="4">
        <v>12.276351666310401</v>
      </c>
      <c r="U2721" s="4">
        <f t="shared" si="170"/>
        <v>12.789117046089098</v>
      </c>
      <c r="X2721" s="43" t="s">
        <v>4577</v>
      </c>
      <c r="Y2721" s="4">
        <v>12.8582210542759</v>
      </c>
      <c r="Z2721" s="4">
        <v>12.889986169661199</v>
      </c>
      <c r="AA2721" s="4">
        <v>13.126588703692001</v>
      </c>
      <c r="AB2721" s="4">
        <f t="shared" si="171"/>
        <v>12.9582653092097</v>
      </c>
    </row>
    <row r="2722" spans="2:28" x14ac:dyDescent="0.2">
      <c r="B2722" s="4" t="s">
        <v>2033</v>
      </c>
      <c r="C2722" s="4">
        <v>12.647600000000001</v>
      </c>
      <c r="D2722" s="4">
        <v>12.087199999999999</v>
      </c>
      <c r="E2722" s="4">
        <v>13.509399999999999</v>
      </c>
      <c r="F2722" s="4">
        <f t="shared" si="168"/>
        <v>12.748066666666666</v>
      </c>
      <c r="I2722" s="4" t="s">
        <v>3414</v>
      </c>
      <c r="J2722" s="4">
        <v>12.543100000000001</v>
      </c>
      <c r="K2722" s="4">
        <v>12.7591</v>
      </c>
      <c r="L2722" s="4">
        <v>12.6937</v>
      </c>
      <c r="M2722" s="4">
        <f t="shared" si="169"/>
        <v>12.6653</v>
      </c>
      <c r="Q2722" s="43" t="s">
        <v>762</v>
      </c>
      <c r="R2722" s="4">
        <v>12.5834389090111</v>
      </c>
      <c r="S2722" s="4">
        <v>13.039931800492299</v>
      </c>
      <c r="T2722" s="4">
        <v>12.7401284757975</v>
      </c>
      <c r="U2722" s="4">
        <f t="shared" si="170"/>
        <v>12.787833061766966</v>
      </c>
      <c r="X2722" s="43" t="s">
        <v>1226</v>
      </c>
      <c r="Y2722" s="4">
        <v>12.894439941677399</v>
      </c>
      <c r="Z2722" s="4">
        <v>13.01875078097</v>
      </c>
      <c r="AA2722" s="4">
        <v>12.959826721395499</v>
      </c>
      <c r="AB2722" s="4">
        <f t="shared" si="171"/>
        <v>12.957672481347634</v>
      </c>
    </row>
    <row r="2723" spans="2:28" x14ac:dyDescent="0.2">
      <c r="B2723" s="4" t="s">
        <v>4035</v>
      </c>
      <c r="C2723" s="4">
        <v>12.5313</v>
      </c>
      <c r="D2723" s="4">
        <v>12.8081</v>
      </c>
      <c r="E2723" s="4">
        <v>12.9009</v>
      </c>
      <c r="F2723" s="4">
        <f t="shared" si="168"/>
        <v>12.746766666666666</v>
      </c>
      <c r="I2723" s="4" t="s">
        <v>3181</v>
      </c>
      <c r="J2723" s="4">
        <v>12.6347</v>
      </c>
      <c r="K2723" s="4">
        <v>13.7293</v>
      </c>
      <c r="L2723" s="4">
        <v>11.6273</v>
      </c>
      <c r="M2723" s="4">
        <f t="shared" si="169"/>
        <v>12.663766666666668</v>
      </c>
      <c r="Q2723" s="43" t="s">
        <v>1893</v>
      </c>
      <c r="R2723" s="4">
        <v>12.422806606469999</v>
      </c>
      <c r="S2723" s="4">
        <v>13.1482392443425</v>
      </c>
      <c r="T2723" s="4">
        <v>12.7838097928958</v>
      </c>
      <c r="U2723" s="4">
        <f t="shared" si="170"/>
        <v>12.784951881236099</v>
      </c>
      <c r="X2723" s="43" t="s">
        <v>1381</v>
      </c>
      <c r="Y2723" s="4">
        <v>12.922298165991601</v>
      </c>
      <c r="Z2723" s="4">
        <v>12.6754488628192</v>
      </c>
      <c r="AA2723" s="4">
        <v>13.270436693433799</v>
      </c>
      <c r="AB2723" s="4">
        <f t="shared" si="171"/>
        <v>12.9560612407482</v>
      </c>
    </row>
    <row r="2724" spans="2:28" x14ac:dyDescent="0.2">
      <c r="B2724" s="4" t="s">
        <v>2973</v>
      </c>
      <c r="C2724" s="4">
        <v>12.9476</v>
      </c>
      <c r="D2724" s="4">
        <v>12.493</v>
      </c>
      <c r="E2724" s="4">
        <v>12.7996</v>
      </c>
      <c r="F2724" s="4">
        <f t="shared" si="168"/>
        <v>12.746733333333333</v>
      </c>
      <c r="I2724" s="4" t="s">
        <v>3220</v>
      </c>
      <c r="J2724" s="4">
        <v>12.6419</v>
      </c>
      <c r="K2724" s="4">
        <v>12.7409</v>
      </c>
      <c r="L2724" s="4">
        <v>12.606999999999999</v>
      </c>
      <c r="M2724" s="4">
        <f t="shared" si="169"/>
        <v>12.663266666666667</v>
      </c>
      <c r="Q2724" s="43" t="s">
        <v>3072</v>
      </c>
      <c r="R2724" s="4">
        <v>12.6064678534326</v>
      </c>
      <c r="S2724" s="4">
        <v>12.877949601832601</v>
      </c>
      <c r="T2724" s="4">
        <v>12.8649949206446</v>
      </c>
      <c r="U2724" s="4">
        <f t="shared" si="170"/>
        <v>12.783137458636601</v>
      </c>
      <c r="X2724" s="43" t="s">
        <v>4360</v>
      </c>
      <c r="Y2724" s="4">
        <v>13.043188786521901</v>
      </c>
      <c r="Z2724" s="4">
        <v>12.6862841835287</v>
      </c>
      <c r="AA2724" s="4">
        <v>13.137181355949901</v>
      </c>
      <c r="AB2724" s="4">
        <f t="shared" si="171"/>
        <v>12.955551442000166</v>
      </c>
    </row>
    <row r="2725" spans="2:28" x14ac:dyDescent="0.2">
      <c r="B2725" s="4" t="s">
        <v>515</v>
      </c>
      <c r="C2725" s="4">
        <v>13.271599999999999</v>
      </c>
      <c r="D2725" s="4">
        <v>13.0541</v>
      </c>
      <c r="E2725" s="4">
        <v>11.9133</v>
      </c>
      <c r="F2725" s="4">
        <f t="shared" si="168"/>
        <v>12.746333333333332</v>
      </c>
      <c r="I2725" s="4" t="s">
        <v>3029</v>
      </c>
      <c r="J2725" s="4">
        <v>13.4145</v>
      </c>
      <c r="K2725" s="4">
        <v>11.6273</v>
      </c>
      <c r="L2725" s="4">
        <v>12.944000000000001</v>
      </c>
      <c r="M2725" s="4">
        <f t="shared" si="169"/>
        <v>12.661933333333335</v>
      </c>
      <c r="Q2725" s="43" t="s">
        <v>4481</v>
      </c>
      <c r="R2725" s="4">
        <v>12.549441118229399</v>
      </c>
      <c r="S2725" s="4">
        <v>12.891807156619899</v>
      </c>
      <c r="T2725" s="4">
        <v>12.903310445302299</v>
      </c>
      <c r="U2725" s="4">
        <f t="shared" si="170"/>
        <v>12.781519573383866</v>
      </c>
      <c r="X2725" s="43" t="s">
        <v>1750</v>
      </c>
      <c r="Y2725" s="4">
        <v>12.861553542206201</v>
      </c>
      <c r="Z2725" s="4">
        <v>13.211541883124699</v>
      </c>
      <c r="AA2725" s="4">
        <v>12.793179665293399</v>
      </c>
      <c r="AB2725" s="4">
        <f t="shared" si="171"/>
        <v>12.955425030208099</v>
      </c>
    </row>
    <row r="2726" spans="2:28" x14ac:dyDescent="0.2">
      <c r="B2726" s="4" t="s">
        <v>874</v>
      </c>
      <c r="C2726" s="4">
        <v>13.2338</v>
      </c>
      <c r="D2726" s="4">
        <v>12.742699999999999</v>
      </c>
      <c r="E2726" s="4">
        <v>12.2501</v>
      </c>
      <c r="F2726" s="4">
        <f t="shared" si="168"/>
        <v>12.742200000000002</v>
      </c>
      <c r="I2726" s="4" t="s">
        <v>220</v>
      </c>
      <c r="J2726" s="4">
        <v>12.054</v>
      </c>
      <c r="K2726" s="4">
        <v>12.113099999999999</v>
      </c>
      <c r="L2726" s="4">
        <v>13.813700000000001</v>
      </c>
      <c r="M2726" s="4">
        <f t="shared" si="169"/>
        <v>12.660266666666667</v>
      </c>
      <c r="Q2726" s="43" t="s">
        <v>4543</v>
      </c>
      <c r="R2726" s="4">
        <v>12.7095162414395</v>
      </c>
      <c r="S2726" s="4">
        <v>12.707373005829499</v>
      </c>
      <c r="T2726" s="4">
        <v>12.9190712703726</v>
      </c>
      <c r="U2726" s="4">
        <f t="shared" si="170"/>
        <v>12.778653505880532</v>
      </c>
      <c r="X2726" s="43" t="s">
        <v>4201</v>
      </c>
      <c r="Y2726" s="4">
        <v>12.947926185948001</v>
      </c>
      <c r="Z2726" s="4">
        <v>13.0667176070608</v>
      </c>
      <c r="AA2726" s="4">
        <v>12.849291066024101</v>
      </c>
      <c r="AB2726" s="4">
        <f t="shared" si="171"/>
        <v>12.954644953010968</v>
      </c>
    </row>
    <row r="2727" spans="2:28" x14ac:dyDescent="0.2">
      <c r="B2727" s="4" t="s">
        <v>2180</v>
      </c>
      <c r="C2727" s="4">
        <v>12.7142</v>
      </c>
      <c r="D2727" s="4">
        <v>12.8775</v>
      </c>
      <c r="E2727" s="4">
        <v>12.631600000000001</v>
      </c>
      <c r="F2727" s="4">
        <f t="shared" si="168"/>
        <v>12.741100000000001</v>
      </c>
      <c r="I2727" s="4" t="s">
        <v>414</v>
      </c>
      <c r="J2727" s="4">
        <v>12.5891</v>
      </c>
      <c r="K2727" s="4">
        <v>12.714399999999999</v>
      </c>
      <c r="L2727" s="4">
        <v>12.6731</v>
      </c>
      <c r="M2727" s="4">
        <f t="shared" si="169"/>
        <v>12.658866666666666</v>
      </c>
      <c r="Q2727" s="43" t="s">
        <v>4411</v>
      </c>
      <c r="R2727" s="4">
        <v>12.119360818736601</v>
      </c>
      <c r="S2727" s="4">
        <v>13.137868729790499</v>
      </c>
      <c r="T2727" s="4">
        <v>13.0754284722597</v>
      </c>
      <c r="U2727" s="4">
        <f t="shared" si="170"/>
        <v>12.777552673595601</v>
      </c>
      <c r="X2727" s="43" t="s">
        <v>2094</v>
      </c>
      <c r="Y2727" s="4">
        <v>12.710519149567499</v>
      </c>
      <c r="Z2727" s="4">
        <v>12.789841437865</v>
      </c>
      <c r="AA2727" s="4">
        <v>13.3581276748445</v>
      </c>
      <c r="AB2727" s="4">
        <f t="shared" si="171"/>
        <v>12.952829420759</v>
      </c>
    </row>
    <row r="2728" spans="2:28" x14ac:dyDescent="0.2">
      <c r="B2728" s="4" t="s">
        <v>3654</v>
      </c>
      <c r="C2728" s="4">
        <v>12.8186</v>
      </c>
      <c r="D2728" s="4">
        <v>12.798400000000001</v>
      </c>
      <c r="E2728" s="4">
        <v>12.603300000000001</v>
      </c>
      <c r="F2728" s="4">
        <f t="shared" si="168"/>
        <v>12.7401</v>
      </c>
      <c r="I2728" s="4" t="s">
        <v>3842</v>
      </c>
      <c r="J2728" s="4">
        <v>12.5687</v>
      </c>
      <c r="K2728" s="4">
        <v>12.339</v>
      </c>
      <c r="L2728" s="4">
        <v>13.064399999999999</v>
      </c>
      <c r="M2728" s="4">
        <f t="shared" si="169"/>
        <v>12.657366666666666</v>
      </c>
      <c r="Q2728" s="43" t="s">
        <v>4222</v>
      </c>
      <c r="R2728" s="4">
        <v>12.5683337726649</v>
      </c>
      <c r="S2728" s="4">
        <v>12.959228596309099</v>
      </c>
      <c r="T2728" s="4">
        <v>12.795501585337099</v>
      </c>
      <c r="U2728" s="4">
        <f t="shared" si="170"/>
        <v>12.774354651437031</v>
      </c>
      <c r="X2728" s="43" t="s">
        <v>1298</v>
      </c>
      <c r="Y2728" s="4">
        <v>13.0661537107617</v>
      </c>
      <c r="Z2728" s="4">
        <v>12.9713515571088</v>
      </c>
      <c r="AA2728" s="4">
        <v>12.820809877807401</v>
      </c>
      <c r="AB2728" s="4">
        <f t="shared" si="171"/>
        <v>12.952771715225966</v>
      </c>
    </row>
    <row r="2729" spans="2:28" x14ac:dyDescent="0.2">
      <c r="B2729" s="4" t="s">
        <v>3431</v>
      </c>
      <c r="C2729" s="4">
        <v>13.1525</v>
      </c>
      <c r="D2729" s="4">
        <v>12.715299999999999</v>
      </c>
      <c r="E2729" s="4">
        <v>12.3514</v>
      </c>
      <c r="F2729" s="4">
        <f t="shared" si="168"/>
        <v>12.739733333333334</v>
      </c>
      <c r="I2729" s="4" t="s">
        <v>3518</v>
      </c>
      <c r="J2729" s="4">
        <v>11.438499999999999</v>
      </c>
      <c r="K2729" s="4">
        <v>14.786899999999999</v>
      </c>
      <c r="L2729" s="4">
        <v>11.746499999999999</v>
      </c>
      <c r="M2729" s="4">
        <f t="shared" si="169"/>
        <v>12.657299999999999</v>
      </c>
      <c r="Q2729" s="43" t="s">
        <v>3326</v>
      </c>
      <c r="R2729" s="4">
        <v>12.983541435247201</v>
      </c>
      <c r="S2729" s="4">
        <v>12.935447418284999</v>
      </c>
      <c r="T2729" s="4">
        <v>12.4009487860896</v>
      </c>
      <c r="U2729" s="4">
        <f t="shared" si="170"/>
        <v>12.7733125465406</v>
      </c>
      <c r="X2729" s="43" t="s">
        <v>2720</v>
      </c>
      <c r="Y2729" s="4">
        <v>13.497524436529</v>
      </c>
      <c r="Z2729" s="4">
        <v>12.355471702123699</v>
      </c>
      <c r="AA2729" s="4">
        <v>13.004258039058399</v>
      </c>
      <c r="AB2729" s="4">
        <f t="shared" si="171"/>
        <v>12.952418059237033</v>
      </c>
    </row>
    <row r="2730" spans="2:28" x14ac:dyDescent="0.2">
      <c r="B2730" s="4" t="s">
        <v>4048</v>
      </c>
      <c r="C2730" s="4">
        <v>12.926299999999999</v>
      </c>
      <c r="D2730" s="4">
        <v>12.616899999999999</v>
      </c>
      <c r="E2730" s="4">
        <v>12.668799999999999</v>
      </c>
      <c r="F2730" s="4">
        <f t="shared" si="168"/>
        <v>12.737333333333332</v>
      </c>
      <c r="I2730" s="4" t="s">
        <v>1658</v>
      </c>
      <c r="J2730" s="4">
        <v>12.112</v>
      </c>
      <c r="K2730" s="4">
        <v>12.894</v>
      </c>
      <c r="L2730" s="4">
        <v>12.963100000000001</v>
      </c>
      <c r="M2730" s="4">
        <f t="shared" si="169"/>
        <v>12.656366666666665</v>
      </c>
      <c r="Q2730" s="43" t="s">
        <v>4529</v>
      </c>
      <c r="R2730" s="4">
        <v>12.527181909645799</v>
      </c>
      <c r="S2730" s="4">
        <v>12.7367152883399</v>
      </c>
      <c r="T2730" s="4">
        <v>13.0320995021691</v>
      </c>
      <c r="U2730" s="4">
        <f t="shared" si="170"/>
        <v>12.765332233384934</v>
      </c>
      <c r="X2730" s="43" t="s">
        <v>291</v>
      </c>
      <c r="Y2730" s="4">
        <v>13.0463133572246</v>
      </c>
      <c r="Z2730" s="4">
        <v>12.807058513660101</v>
      </c>
      <c r="AA2730" s="4">
        <v>13.001592289665901</v>
      </c>
      <c r="AB2730" s="4">
        <f t="shared" si="171"/>
        <v>12.951654720183534</v>
      </c>
    </row>
    <row r="2731" spans="2:28" x14ac:dyDescent="0.2">
      <c r="B2731" s="4" t="s">
        <v>1298</v>
      </c>
      <c r="C2731" s="4">
        <v>12.792199999999999</v>
      </c>
      <c r="D2731" s="4">
        <v>12.8245</v>
      </c>
      <c r="E2731" s="4">
        <v>12.5947</v>
      </c>
      <c r="F2731" s="4">
        <f t="shared" si="168"/>
        <v>12.737133333333333</v>
      </c>
      <c r="I2731" s="4" t="s">
        <v>3965</v>
      </c>
      <c r="J2731" s="4">
        <v>12.689299999999999</v>
      </c>
      <c r="K2731" s="4">
        <v>12.455500000000001</v>
      </c>
      <c r="L2731" s="4">
        <v>12.8171</v>
      </c>
      <c r="M2731" s="4">
        <f t="shared" si="169"/>
        <v>12.653966666666667</v>
      </c>
      <c r="Q2731" s="43" t="s">
        <v>835</v>
      </c>
      <c r="R2731" s="4">
        <v>12.1632189069984</v>
      </c>
      <c r="S2731" s="4">
        <v>12.9934905468849</v>
      </c>
      <c r="T2731" s="4">
        <v>13.139163938939999</v>
      </c>
      <c r="U2731" s="4">
        <f t="shared" si="170"/>
        <v>12.765291130941101</v>
      </c>
      <c r="X2731" s="43" t="s">
        <v>1182</v>
      </c>
      <c r="Y2731" s="4">
        <v>12.918643470977001</v>
      </c>
      <c r="Z2731" s="4">
        <v>12.861127829502699</v>
      </c>
      <c r="AA2731" s="4">
        <v>13.074702714817199</v>
      </c>
      <c r="AB2731" s="4">
        <f t="shared" si="171"/>
        <v>12.9514913384323</v>
      </c>
    </row>
    <row r="2732" spans="2:28" x14ac:dyDescent="0.2">
      <c r="B2732" s="4" t="s">
        <v>1535</v>
      </c>
      <c r="C2732" s="4">
        <v>12.757300000000001</v>
      </c>
      <c r="D2732" s="4">
        <v>12.615</v>
      </c>
      <c r="E2732" s="4">
        <v>12.8339</v>
      </c>
      <c r="F2732" s="4">
        <f t="shared" si="168"/>
        <v>12.7354</v>
      </c>
      <c r="I2732" s="4" t="s">
        <v>2180</v>
      </c>
      <c r="J2732" s="4">
        <v>13.090199999999999</v>
      </c>
      <c r="K2732" s="4">
        <v>11.651899999999999</v>
      </c>
      <c r="L2732" s="4">
        <v>13.2113</v>
      </c>
      <c r="M2732" s="4">
        <f t="shared" si="169"/>
        <v>12.651133333333334</v>
      </c>
      <c r="Q2732" s="43" t="s">
        <v>391</v>
      </c>
      <c r="R2732" s="4">
        <v>12.8821994884812</v>
      </c>
      <c r="S2732" s="4">
        <v>12.506073188624899</v>
      </c>
      <c r="T2732" s="4">
        <v>12.905664843896799</v>
      </c>
      <c r="U2732" s="4">
        <f t="shared" si="170"/>
        <v>12.764645840334301</v>
      </c>
      <c r="X2732" s="43" t="s">
        <v>983</v>
      </c>
      <c r="Y2732" s="4">
        <v>12.8016968003047</v>
      </c>
      <c r="Z2732" s="4">
        <v>13.0881995302246</v>
      </c>
      <c r="AA2732" s="4">
        <v>12.9618827377922</v>
      </c>
      <c r="AB2732" s="4">
        <f t="shared" si="171"/>
        <v>12.950593022773832</v>
      </c>
    </row>
    <row r="2733" spans="2:28" x14ac:dyDescent="0.2">
      <c r="B2733" s="4" t="s">
        <v>108</v>
      </c>
      <c r="C2733" s="4">
        <v>12.5555</v>
      </c>
      <c r="D2733" s="4">
        <v>12.794700000000001</v>
      </c>
      <c r="E2733" s="4">
        <v>12.854699999999999</v>
      </c>
      <c r="F2733" s="4">
        <f t="shared" si="168"/>
        <v>12.734966666666667</v>
      </c>
      <c r="I2733" s="4" t="s">
        <v>1454</v>
      </c>
      <c r="J2733" s="4">
        <v>12.3347</v>
      </c>
      <c r="K2733" s="4">
        <v>13.725899999999999</v>
      </c>
      <c r="L2733" s="4">
        <v>11.875299999999999</v>
      </c>
      <c r="M2733" s="4">
        <f t="shared" si="169"/>
        <v>12.645300000000001</v>
      </c>
      <c r="Q2733" s="43" t="s">
        <v>4311</v>
      </c>
      <c r="R2733" s="4">
        <v>12.9685633838704</v>
      </c>
      <c r="S2733" s="4">
        <v>12.8451107815046</v>
      </c>
      <c r="T2733" s="4">
        <v>12.4801877873824</v>
      </c>
      <c r="U2733" s="4">
        <f t="shared" si="170"/>
        <v>12.764620650919133</v>
      </c>
      <c r="X2733" s="43" t="s">
        <v>392</v>
      </c>
      <c r="Y2733" s="4">
        <v>12.9149479911708</v>
      </c>
      <c r="Z2733" s="4">
        <v>12.9647977660468</v>
      </c>
      <c r="AA2733" s="4">
        <v>12.971485264497399</v>
      </c>
      <c r="AB2733" s="4">
        <f t="shared" si="171"/>
        <v>12.950410340571665</v>
      </c>
    </row>
    <row r="2734" spans="2:28" x14ac:dyDescent="0.2">
      <c r="B2734" s="4" t="s">
        <v>2546</v>
      </c>
      <c r="C2734" s="4">
        <v>12.9536</v>
      </c>
      <c r="D2734" s="4">
        <v>12.684900000000001</v>
      </c>
      <c r="E2734" s="4">
        <v>12.5581</v>
      </c>
      <c r="F2734" s="4">
        <f t="shared" si="168"/>
        <v>12.732200000000001</v>
      </c>
      <c r="I2734" s="4" t="s">
        <v>2006</v>
      </c>
      <c r="J2734" s="4">
        <v>12.9633</v>
      </c>
      <c r="K2734" s="4">
        <v>12.125999999999999</v>
      </c>
      <c r="L2734" s="4">
        <v>12.8453</v>
      </c>
      <c r="M2734" s="4">
        <f t="shared" si="169"/>
        <v>12.644866666666667</v>
      </c>
      <c r="Q2734" s="43" t="s">
        <v>249</v>
      </c>
      <c r="R2734" s="4">
        <v>14.181984778983299</v>
      </c>
      <c r="S2734" s="4">
        <v>11.9901621414582</v>
      </c>
      <c r="T2734" s="4">
        <v>12.119631670582599</v>
      </c>
      <c r="U2734" s="4">
        <f t="shared" si="170"/>
        <v>12.763926197008033</v>
      </c>
      <c r="X2734" s="43" t="s">
        <v>4308</v>
      </c>
      <c r="Y2734" s="4">
        <v>13.0012710450619</v>
      </c>
      <c r="Z2734" s="4">
        <v>13.3613763520014</v>
      </c>
      <c r="AA2734" s="4">
        <v>12.485869914405299</v>
      </c>
      <c r="AB2734" s="4">
        <f t="shared" si="171"/>
        <v>12.949505770489532</v>
      </c>
    </row>
    <row r="2735" spans="2:28" x14ac:dyDescent="0.2">
      <c r="B2735" s="4" t="s">
        <v>3336</v>
      </c>
      <c r="C2735" s="4">
        <v>12.5473</v>
      </c>
      <c r="D2735" s="4">
        <v>12.505000000000001</v>
      </c>
      <c r="E2735" s="4">
        <v>13.139900000000001</v>
      </c>
      <c r="F2735" s="4">
        <f t="shared" si="168"/>
        <v>12.730733333333333</v>
      </c>
      <c r="I2735" s="4" t="s">
        <v>2706</v>
      </c>
      <c r="J2735" s="4">
        <v>12.835599999999999</v>
      </c>
      <c r="K2735" s="4">
        <v>11.947699999999999</v>
      </c>
      <c r="L2735" s="4">
        <v>13.1487</v>
      </c>
      <c r="M2735" s="4">
        <f t="shared" si="169"/>
        <v>12.643999999999998</v>
      </c>
      <c r="Q2735" s="43" t="s">
        <v>4261</v>
      </c>
      <c r="R2735" s="4">
        <v>12.9036804162543</v>
      </c>
      <c r="S2735" s="4">
        <v>12.6833555779239</v>
      </c>
      <c r="T2735" s="4">
        <v>12.700918924786301</v>
      </c>
      <c r="U2735" s="4">
        <f t="shared" si="170"/>
        <v>12.762651639654834</v>
      </c>
      <c r="X2735" s="43" t="s">
        <v>3592</v>
      </c>
      <c r="Y2735" s="4">
        <v>12.8397724971803</v>
      </c>
      <c r="Z2735" s="4">
        <v>12.777660470852499</v>
      </c>
      <c r="AA2735" s="4">
        <v>13.2310662949732</v>
      </c>
      <c r="AB2735" s="4">
        <f t="shared" si="171"/>
        <v>12.949499754335335</v>
      </c>
    </row>
    <row r="2736" spans="2:28" x14ac:dyDescent="0.2">
      <c r="B2736" s="4" t="s">
        <v>3913</v>
      </c>
      <c r="C2736" s="4">
        <v>12.6732</v>
      </c>
      <c r="D2736" s="4">
        <v>12.7568</v>
      </c>
      <c r="E2736" s="4">
        <v>12.758900000000001</v>
      </c>
      <c r="F2736" s="4">
        <f t="shared" si="168"/>
        <v>12.729633333333334</v>
      </c>
      <c r="I2736" s="4" t="s">
        <v>544</v>
      </c>
      <c r="J2736" s="4">
        <v>12.6622</v>
      </c>
      <c r="K2736" s="4">
        <v>12.6411</v>
      </c>
      <c r="L2736" s="4">
        <v>12.618</v>
      </c>
      <c r="M2736" s="4">
        <f t="shared" si="169"/>
        <v>12.640433333333334</v>
      </c>
      <c r="Q2736" s="43" t="s">
        <v>3458</v>
      </c>
      <c r="R2736" s="4">
        <v>12.930383965826</v>
      </c>
      <c r="S2736" s="4">
        <v>12.4500890953927</v>
      </c>
      <c r="T2736" s="4">
        <v>12.9062844024385</v>
      </c>
      <c r="U2736" s="4">
        <f t="shared" si="170"/>
        <v>12.762252487885734</v>
      </c>
      <c r="X2736" s="43" t="s">
        <v>3380</v>
      </c>
      <c r="Y2736" s="4">
        <v>13.222543809744501</v>
      </c>
      <c r="Z2736" s="4">
        <v>12.7220956862731</v>
      </c>
      <c r="AA2736" s="4">
        <v>12.901899843005401</v>
      </c>
      <c r="AB2736" s="4">
        <f t="shared" si="171"/>
        <v>12.948846446341001</v>
      </c>
    </row>
    <row r="2737" spans="2:28" x14ac:dyDescent="0.2">
      <c r="B2737" s="4" t="s">
        <v>3939</v>
      </c>
      <c r="C2737" s="4">
        <v>12.54</v>
      </c>
      <c r="D2737" s="4">
        <v>12.817600000000001</v>
      </c>
      <c r="E2737" s="4">
        <v>12.8165</v>
      </c>
      <c r="F2737" s="4">
        <f t="shared" si="168"/>
        <v>12.724699999999999</v>
      </c>
      <c r="I2737" s="4" t="s">
        <v>1622</v>
      </c>
      <c r="J2737" s="4">
        <v>12.3033</v>
      </c>
      <c r="K2737" s="4">
        <v>12.619899999999999</v>
      </c>
      <c r="L2737" s="4">
        <v>12.988899999999999</v>
      </c>
      <c r="M2737" s="4">
        <f t="shared" si="169"/>
        <v>12.637366666666667</v>
      </c>
      <c r="Q2737" s="43" t="s">
        <v>4264</v>
      </c>
      <c r="R2737" s="4">
        <v>12.7027586939854</v>
      </c>
      <c r="S2737" s="4">
        <v>12.8164097584469</v>
      </c>
      <c r="T2737" s="4">
        <v>12.760847707082799</v>
      </c>
      <c r="U2737" s="4">
        <f t="shared" si="170"/>
        <v>12.760005386505034</v>
      </c>
      <c r="X2737" s="43" t="s">
        <v>1787</v>
      </c>
      <c r="Y2737" s="4">
        <v>13.038471178398799</v>
      </c>
      <c r="Z2737" s="4">
        <v>12.7474760526786</v>
      </c>
      <c r="AA2737" s="4">
        <v>13.0601945457573</v>
      </c>
      <c r="AB2737" s="4">
        <f t="shared" si="171"/>
        <v>12.948713925611566</v>
      </c>
    </row>
    <row r="2738" spans="2:28" x14ac:dyDescent="0.2">
      <c r="B2738" s="4" t="s">
        <v>578</v>
      </c>
      <c r="C2738" s="4">
        <v>12.752700000000001</v>
      </c>
      <c r="D2738" s="4">
        <v>12.301299999999999</v>
      </c>
      <c r="E2738" s="4">
        <v>13.1173</v>
      </c>
      <c r="F2738" s="4">
        <f t="shared" si="168"/>
        <v>12.723766666666668</v>
      </c>
      <c r="I2738" s="4" t="s">
        <v>1252</v>
      </c>
      <c r="J2738" s="4">
        <v>12.521100000000001</v>
      </c>
      <c r="K2738" s="4">
        <v>11.9251</v>
      </c>
      <c r="L2738" s="4">
        <v>13.454499999999999</v>
      </c>
      <c r="M2738" s="4">
        <f t="shared" si="169"/>
        <v>12.633566666666667</v>
      </c>
      <c r="Q2738" s="43" t="s">
        <v>312</v>
      </c>
      <c r="R2738" s="4">
        <v>12.2946902364869</v>
      </c>
      <c r="S2738" s="4">
        <v>13.3409483834062</v>
      </c>
      <c r="T2738" s="4">
        <v>12.6430846462196</v>
      </c>
      <c r="U2738" s="4">
        <f t="shared" si="170"/>
        <v>12.759574422037566</v>
      </c>
      <c r="X2738" s="43" t="s">
        <v>434</v>
      </c>
      <c r="Y2738" s="4">
        <v>12.8625761166511</v>
      </c>
      <c r="Z2738" s="4">
        <v>12.9514354846049</v>
      </c>
      <c r="AA2738" s="4">
        <v>13.030682348943699</v>
      </c>
      <c r="AB2738" s="4">
        <f t="shared" si="171"/>
        <v>12.948231316733233</v>
      </c>
    </row>
    <row r="2739" spans="2:28" x14ac:dyDescent="0.2">
      <c r="B2739" s="4" t="s">
        <v>1421</v>
      </c>
      <c r="C2739" s="4">
        <v>11.6295</v>
      </c>
      <c r="D2739" s="4">
        <v>11.4985</v>
      </c>
      <c r="E2739" s="4">
        <v>15.0349</v>
      </c>
      <c r="F2739" s="4">
        <f t="shared" si="168"/>
        <v>12.720966666666667</v>
      </c>
      <c r="I2739" s="4" t="s">
        <v>1390</v>
      </c>
      <c r="J2739" s="4">
        <v>11.489599999999999</v>
      </c>
      <c r="K2739" s="4">
        <v>13.146599999999999</v>
      </c>
      <c r="L2739" s="4">
        <v>13.2599</v>
      </c>
      <c r="M2739" s="4">
        <f t="shared" si="169"/>
        <v>12.632033333333332</v>
      </c>
      <c r="Q2739" s="43" t="s">
        <v>673</v>
      </c>
      <c r="R2739" s="4">
        <v>12.572570217238701</v>
      </c>
      <c r="S2739" s="4">
        <v>12.530486939892199</v>
      </c>
      <c r="T2739" s="4">
        <v>13.170914554269199</v>
      </c>
      <c r="U2739" s="4">
        <f t="shared" si="170"/>
        <v>12.757990570466697</v>
      </c>
      <c r="X2739" s="43" t="s">
        <v>1653</v>
      </c>
      <c r="Y2739" s="4">
        <v>12.9726379957267</v>
      </c>
      <c r="Z2739" s="4">
        <v>12.8709681898537</v>
      </c>
      <c r="AA2739" s="4">
        <v>12.999650250337099</v>
      </c>
      <c r="AB2739" s="4">
        <f t="shared" si="171"/>
        <v>12.947752145305833</v>
      </c>
    </row>
    <row r="2740" spans="2:28" x14ac:dyDescent="0.2">
      <c r="B2740" s="4" t="s">
        <v>3936</v>
      </c>
      <c r="C2740" s="4">
        <v>13.0707</v>
      </c>
      <c r="D2740" s="4">
        <v>12.5001</v>
      </c>
      <c r="E2740" s="4">
        <v>12.5899</v>
      </c>
      <c r="F2740" s="4">
        <f t="shared" si="168"/>
        <v>12.720233333333333</v>
      </c>
      <c r="I2740" s="4" t="s">
        <v>4056</v>
      </c>
      <c r="J2740" s="4">
        <v>12.3642</v>
      </c>
      <c r="K2740" s="4">
        <v>13.059100000000001</v>
      </c>
      <c r="L2740" s="4">
        <v>12.465299999999999</v>
      </c>
      <c r="M2740" s="4">
        <f t="shared" si="169"/>
        <v>12.629533333333333</v>
      </c>
      <c r="Q2740" s="43" t="s">
        <v>1011</v>
      </c>
      <c r="R2740" s="4">
        <v>12.587494396449801</v>
      </c>
      <c r="S2740" s="4">
        <v>12.935371089440199</v>
      </c>
      <c r="T2740" s="4">
        <v>12.7505821980817</v>
      </c>
      <c r="U2740" s="4">
        <f t="shared" si="170"/>
        <v>12.757815894657234</v>
      </c>
      <c r="X2740" s="43" t="s">
        <v>850</v>
      </c>
      <c r="Y2740" s="4">
        <v>12.7853604668123</v>
      </c>
      <c r="Z2740" s="4">
        <v>12.982117202632301</v>
      </c>
      <c r="AA2740" s="4">
        <v>13.0623188830885</v>
      </c>
      <c r="AB2740" s="4">
        <f t="shared" si="171"/>
        <v>12.943265517511035</v>
      </c>
    </row>
    <row r="2741" spans="2:28" x14ac:dyDescent="0.2">
      <c r="B2741" s="4" t="s">
        <v>2513</v>
      </c>
      <c r="C2741" s="4">
        <v>12.6259</v>
      </c>
      <c r="D2741" s="4">
        <v>12.818300000000001</v>
      </c>
      <c r="E2741" s="4">
        <v>12.706099999999999</v>
      </c>
      <c r="F2741" s="4">
        <f t="shared" si="168"/>
        <v>12.716766666666667</v>
      </c>
      <c r="I2741" s="4" t="s">
        <v>2700</v>
      </c>
      <c r="J2741" s="4">
        <v>12.6831</v>
      </c>
      <c r="K2741" s="4">
        <v>12.3369</v>
      </c>
      <c r="L2741" s="4">
        <v>12.865399999999999</v>
      </c>
      <c r="M2741" s="4">
        <f t="shared" si="169"/>
        <v>12.628466666666666</v>
      </c>
      <c r="Q2741" s="43" t="s">
        <v>1480</v>
      </c>
      <c r="R2741" s="4">
        <v>12.3259356508308</v>
      </c>
      <c r="S2741" s="4">
        <v>12.8983564286206</v>
      </c>
      <c r="T2741" s="4">
        <v>13.042266110628001</v>
      </c>
      <c r="U2741" s="4">
        <f t="shared" si="170"/>
        <v>12.755519396693133</v>
      </c>
      <c r="X2741" s="43" t="s">
        <v>1683</v>
      </c>
      <c r="Y2741" s="4">
        <v>13.1207045978756</v>
      </c>
      <c r="Z2741" s="4">
        <v>12.308765784473399</v>
      </c>
      <c r="AA2741" s="4">
        <v>13.4001758641325</v>
      </c>
      <c r="AB2741" s="4">
        <f t="shared" si="171"/>
        <v>12.943215415493833</v>
      </c>
    </row>
    <row r="2742" spans="2:28" x14ac:dyDescent="0.2">
      <c r="B2742" s="4" t="s">
        <v>2735</v>
      </c>
      <c r="C2742" s="4">
        <v>12.322699999999999</v>
      </c>
      <c r="D2742" s="4">
        <v>12.759399999999999</v>
      </c>
      <c r="E2742" s="4">
        <v>13.068</v>
      </c>
      <c r="F2742" s="4">
        <f t="shared" si="168"/>
        <v>12.716699999999998</v>
      </c>
      <c r="I2742" s="4" t="s">
        <v>270</v>
      </c>
      <c r="J2742" s="4">
        <v>12.3908</v>
      </c>
      <c r="K2742" s="4">
        <v>12.526</v>
      </c>
      <c r="L2742" s="4">
        <v>12.9581</v>
      </c>
      <c r="M2742" s="4">
        <f t="shared" si="169"/>
        <v>12.624966666666667</v>
      </c>
      <c r="Q2742" s="43" t="s">
        <v>2407</v>
      </c>
      <c r="R2742" s="4">
        <v>12.794075163236799</v>
      </c>
      <c r="S2742" s="4">
        <v>12.7227642367519</v>
      </c>
      <c r="T2742" s="4">
        <v>12.7469981249352</v>
      </c>
      <c r="U2742" s="4">
        <f t="shared" si="170"/>
        <v>12.754612508307966</v>
      </c>
      <c r="X2742" s="43" t="s">
        <v>4509</v>
      </c>
      <c r="Y2742" s="4">
        <v>12.875216728595801</v>
      </c>
      <c r="Z2742" s="4">
        <v>12.9762980542568</v>
      </c>
      <c r="AA2742" s="4">
        <v>12.9748290364589</v>
      </c>
      <c r="AB2742" s="4">
        <f t="shared" si="171"/>
        <v>12.942114606437167</v>
      </c>
    </row>
    <row r="2743" spans="2:28" x14ac:dyDescent="0.2">
      <c r="B2743" s="4" t="s">
        <v>2057</v>
      </c>
      <c r="C2743" s="4">
        <v>12.603999999999999</v>
      </c>
      <c r="D2743" s="4">
        <v>13.1599</v>
      </c>
      <c r="E2743" s="4">
        <v>12.3827</v>
      </c>
      <c r="F2743" s="4">
        <f t="shared" si="168"/>
        <v>12.715533333333333</v>
      </c>
      <c r="I2743" s="4" t="s">
        <v>3657</v>
      </c>
      <c r="J2743" s="4">
        <v>12.690099999999999</v>
      </c>
      <c r="K2743" s="4">
        <v>12.483499999999999</v>
      </c>
      <c r="L2743" s="4">
        <v>12.700699999999999</v>
      </c>
      <c r="M2743" s="4">
        <f t="shared" si="169"/>
        <v>12.624766666666666</v>
      </c>
      <c r="Q2743" s="43" t="s">
        <v>418</v>
      </c>
      <c r="R2743" s="4">
        <v>12.9355673435107</v>
      </c>
      <c r="S2743" s="4">
        <v>12.5803884591512</v>
      </c>
      <c r="T2743" s="4">
        <v>12.7466662439274</v>
      </c>
      <c r="U2743" s="4">
        <f t="shared" si="170"/>
        <v>12.754207348863099</v>
      </c>
      <c r="X2743" s="43" t="s">
        <v>1149</v>
      </c>
      <c r="Y2743" s="4">
        <v>12.679918500368499</v>
      </c>
      <c r="Z2743" s="4">
        <v>13.3468571525156</v>
      </c>
      <c r="AA2743" s="4">
        <v>12.7984271979632</v>
      </c>
      <c r="AB2743" s="4">
        <f t="shared" si="171"/>
        <v>12.941734283615766</v>
      </c>
    </row>
    <row r="2744" spans="2:28" x14ac:dyDescent="0.2">
      <c r="B2744" s="4" t="s">
        <v>3995</v>
      </c>
      <c r="C2744" s="4">
        <v>12.8719</v>
      </c>
      <c r="D2744" s="4">
        <v>12.8056</v>
      </c>
      <c r="E2744" s="4">
        <v>12.463900000000001</v>
      </c>
      <c r="F2744" s="4">
        <f t="shared" si="168"/>
        <v>12.713800000000001</v>
      </c>
      <c r="I2744" s="4" t="s">
        <v>1869</v>
      </c>
      <c r="J2744" s="4">
        <v>12.8469</v>
      </c>
      <c r="K2744" s="4">
        <v>12.5906</v>
      </c>
      <c r="L2744" s="4">
        <v>12.4305</v>
      </c>
      <c r="M2744" s="4">
        <f t="shared" si="169"/>
        <v>12.622666666666667</v>
      </c>
      <c r="Q2744" s="43" t="s">
        <v>1390</v>
      </c>
      <c r="R2744" s="4">
        <v>12.5645887602393</v>
      </c>
      <c r="S2744" s="4">
        <v>13.0264900593031</v>
      </c>
      <c r="T2744" s="4">
        <v>12.6540384811994</v>
      </c>
      <c r="U2744" s="4">
        <f t="shared" si="170"/>
        <v>12.748372433580599</v>
      </c>
      <c r="X2744" s="43" t="s">
        <v>4401</v>
      </c>
      <c r="Y2744" s="4">
        <v>13.259953882180101</v>
      </c>
      <c r="Z2744" s="4">
        <v>12.553718098655199</v>
      </c>
      <c r="AA2744" s="4">
        <v>13.009296995098801</v>
      </c>
      <c r="AB2744" s="4">
        <f t="shared" si="171"/>
        <v>12.940989658644702</v>
      </c>
    </row>
    <row r="2745" spans="2:28" x14ac:dyDescent="0.2">
      <c r="B2745" s="4" t="s">
        <v>548</v>
      </c>
      <c r="C2745" s="4">
        <v>12.4621</v>
      </c>
      <c r="D2745" s="4">
        <v>13.008100000000001</v>
      </c>
      <c r="E2745" s="4">
        <v>12.6692</v>
      </c>
      <c r="F2745" s="4">
        <f t="shared" si="168"/>
        <v>12.713133333333332</v>
      </c>
      <c r="I2745" s="4" t="s">
        <v>2105</v>
      </c>
      <c r="J2745" s="4">
        <v>12.145300000000001</v>
      </c>
      <c r="K2745" s="4">
        <v>12.851900000000001</v>
      </c>
      <c r="L2745" s="4">
        <v>12.864599999999999</v>
      </c>
      <c r="M2745" s="4">
        <f t="shared" si="169"/>
        <v>12.620600000000001</v>
      </c>
      <c r="Q2745" s="43" t="s">
        <v>4161</v>
      </c>
      <c r="R2745" s="4">
        <v>13.3725931625836</v>
      </c>
      <c r="S2745" s="4">
        <v>12.278485778152699</v>
      </c>
      <c r="T2745" s="4">
        <v>12.5910422482138</v>
      </c>
      <c r="U2745" s="4">
        <f t="shared" si="170"/>
        <v>12.747373729650031</v>
      </c>
      <c r="X2745" s="43" t="s">
        <v>1882</v>
      </c>
      <c r="Y2745" s="4">
        <v>12.9758107317094</v>
      </c>
      <c r="Z2745" s="4">
        <v>12.8082047282789</v>
      </c>
      <c r="AA2745" s="4">
        <v>13.0384406399469</v>
      </c>
      <c r="AB2745" s="4">
        <f t="shared" si="171"/>
        <v>12.940818699978401</v>
      </c>
    </row>
    <row r="2746" spans="2:28" x14ac:dyDescent="0.2">
      <c r="B2746" s="4" t="s">
        <v>1637</v>
      </c>
      <c r="C2746" s="4">
        <v>12.6899</v>
      </c>
      <c r="D2746" s="4">
        <v>12.605700000000001</v>
      </c>
      <c r="E2746" s="4">
        <v>12.825900000000001</v>
      </c>
      <c r="F2746" s="4">
        <f t="shared" si="168"/>
        <v>12.707166666666666</v>
      </c>
      <c r="I2746" s="4" t="s">
        <v>3663</v>
      </c>
      <c r="J2746" s="4">
        <v>12.735799999999999</v>
      </c>
      <c r="K2746" s="4">
        <v>12.485799999999999</v>
      </c>
      <c r="L2746" s="4">
        <v>12.6373</v>
      </c>
      <c r="M2746" s="4">
        <f t="shared" si="169"/>
        <v>12.619633333333333</v>
      </c>
      <c r="Q2746" s="43" t="s">
        <v>3780</v>
      </c>
      <c r="R2746" s="4">
        <v>12.7493126793921</v>
      </c>
      <c r="S2746" s="4">
        <v>12.913065426887799</v>
      </c>
      <c r="T2746" s="4">
        <v>12.5793486205209</v>
      </c>
      <c r="U2746" s="4">
        <f t="shared" si="170"/>
        <v>12.747242242266934</v>
      </c>
      <c r="X2746" s="43" t="s">
        <v>621</v>
      </c>
      <c r="Y2746" s="4">
        <v>12.907430961214301</v>
      </c>
      <c r="Z2746" s="4">
        <v>12.6877569316287</v>
      </c>
      <c r="AA2746" s="4">
        <v>13.223487606140401</v>
      </c>
      <c r="AB2746" s="4">
        <f t="shared" si="171"/>
        <v>12.939558499661134</v>
      </c>
    </row>
    <row r="2747" spans="2:28" x14ac:dyDescent="0.2">
      <c r="B2747" s="4" t="s">
        <v>3594</v>
      </c>
      <c r="C2747" s="4">
        <v>12.7864</v>
      </c>
      <c r="D2747" s="4">
        <v>12.8292</v>
      </c>
      <c r="E2747" s="4">
        <v>12.4964</v>
      </c>
      <c r="F2747" s="4">
        <f t="shared" si="168"/>
        <v>12.704000000000001</v>
      </c>
      <c r="I2747" s="4" t="s">
        <v>2552</v>
      </c>
      <c r="J2747" s="4">
        <v>12.5755</v>
      </c>
      <c r="K2747" s="4">
        <v>12.364100000000001</v>
      </c>
      <c r="L2747" s="4">
        <v>12.916399999999999</v>
      </c>
      <c r="M2747" s="4">
        <f t="shared" si="169"/>
        <v>12.618666666666664</v>
      </c>
      <c r="Q2747" s="43" t="s">
        <v>2714</v>
      </c>
      <c r="R2747" s="4">
        <v>12.3427909339047</v>
      </c>
      <c r="S2747" s="4">
        <v>13.385275949615</v>
      </c>
      <c r="T2747" s="4">
        <v>12.5125935339719</v>
      </c>
      <c r="U2747" s="4">
        <f t="shared" si="170"/>
        <v>12.746886805830535</v>
      </c>
      <c r="X2747" s="43" t="s">
        <v>3501</v>
      </c>
      <c r="Y2747" s="4">
        <v>12.3280621519486</v>
      </c>
      <c r="Z2747" s="4">
        <v>13.248110217742701</v>
      </c>
      <c r="AA2747" s="4">
        <v>13.239749570483401</v>
      </c>
      <c r="AB2747" s="4">
        <f t="shared" si="171"/>
        <v>12.938640646724901</v>
      </c>
    </row>
    <row r="2748" spans="2:28" x14ac:dyDescent="0.2">
      <c r="B2748" s="4" t="s">
        <v>2939</v>
      </c>
      <c r="C2748" s="4">
        <v>12.607699999999999</v>
      </c>
      <c r="D2748" s="4">
        <v>12.905900000000001</v>
      </c>
      <c r="E2748" s="4">
        <v>12.585100000000001</v>
      </c>
      <c r="F2748" s="4">
        <f t="shared" si="168"/>
        <v>12.699566666666668</v>
      </c>
      <c r="I2748" s="4" t="s">
        <v>3444</v>
      </c>
      <c r="J2748" s="4">
        <v>12.9232</v>
      </c>
      <c r="K2748" s="4">
        <v>11.8048</v>
      </c>
      <c r="L2748" s="4">
        <v>13.122</v>
      </c>
      <c r="M2748" s="4">
        <f t="shared" si="169"/>
        <v>12.616666666666667</v>
      </c>
      <c r="Q2748" s="43" t="s">
        <v>584</v>
      </c>
      <c r="R2748" s="4">
        <v>12.6404110937419</v>
      </c>
      <c r="S2748" s="4">
        <v>12.5791837853996</v>
      </c>
      <c r="T2748" s="4">
        <v>13.0179062236985</v>
      </c>
      <c r="U2748" s="4">
        <f t="shared" si="170"/>
        <v>12.745833700946667</v>
      </c>
      <c r="X2748" s="43" t="s">
        <v>3391</v>
      </c>
      <c r="Y2748" s="4">
        <v>12.872093981249799</v>
      </c>
      <c r="Z2748" s="4">
        <v>12.8564046935427</v>
      </c>
      <c r="AA2748" s="4">
        <v>13.0860601626238</v>
      </c>
      <c r="AB2748" s="4">
        <f t="shared" si="171"/>
        <v>12.938186279138767</v>
      </c>
    </row>
    <row r="2749" spans="2:28" x14ac:dyDescent="0.2">
      <c r="B2749" s="4" t="s">
        <v>447</v>
      </c>
      <c r="C2749" s="4">
        <v>12.81</v>
      </c>
      <c r="D2749" s="4">
        <v>12.633100000000001</v>
      </c>
      <c r="E2749" s="4">
        <v>12.653600000000001</v>
      </c>
      <c r="F2749" s="4">
        <f t="shared" si="168"/>
        <v>12.6989</v>
      </c>
      <c r="I2749" s="4" t="s">
        <v>2489</v>
      </c>
      <c r="J2749" s="4">
        <v>12.356999999999999</v>
      </c>
      <c r="K2749" s="4">
        <v>12.711499999999999</v>
      </c>
      <c r="L2749" s="4">
        <v>12.7608</v>
      </c>
      <c r="M2749" s="4">
        <f t="shared" si="169"/>
        <v>12.609766666666667</v>
      </c>
      <c r="Q2749" s="43" t="s">
        <v>4352</v>
      </c>
      <c r="R2749" s="4">
        <v>13.5868547719072</v>
      </c>
      <c r="S2749" s="4">
        <v>12.9072307952964</v>
      </c>
      <c r="T2749" s="4">
        <v>11.742647584143199</v>
      </c>
      <c r="U2749" s="4">
        <f t="shared" si="170"/>
        <v>12.7455777171156</v>
      </c>
      <c r="X2749" s="43" t="s">
        <v>322</v>
      </c>
      <c r="Y2749" s="4">
        <v>12.768558927771499</v>
      </c>
      <c r="Z2749" s="4">
        <v>13.023658659235901</v>
      </c>
      <c r="AA2749" s="4">
        <v>13.022220876893</v>
      </c>
      <c r="AB2749" s="4">
        <f t="shared" si="171"/>
        <v>12.938146154633467</v>
      </c>
    </row>
    <row r="2750" spans="2:28" x14ac:dyDescent="0.2">
      <c r="B2750" s="4" t="s">
        <v>2287</v>
      </c>
      <c r="C2750" s="4">
        <v>12.148199999999999</v>
      </c>
      <c r="D2750" s="4">
        <v>13.248699999999999</v>
      </c>
      <c r="E2750" s="4">
        <v>12.6968</v>
      </c>
      <c r="F2750" s="4">
        <f t="shared" si="168"/>
        <v>12.697899999999999</v>
      </c>
      <c r="I2750" s="4" t="s">
        <v>2611</v>
      </c>
      <c r="J2750" s="4">
        <v>12.7308</v>
      </c>
      <c r="K2750" s="4">
        <v>13.905200000000001</v>
      </c>
      <c r="L2750" s="4">
        <v>11.193</v>
      </c>
      <c r="M2750" s="4">
        <f t="shared" si="169"/>
        <v>12.609666666666667</v>
      </c>
      <c r="Q2750" s="43" t="s">
        <v>649</v>
      </c>
      <c r="R2750" s="4">
        <v>12.7577325679308</v>
      </c>
      <c r="S2750" s="4">
        <v>12.1926939943043</v>
      </c>
      <c r="T2750" s="4">
        <v>13.2860754832439</v>
      </c>
      <c r="U2750" s="4">
        <f t="shared" si="170"/>
        <v>12.745500681826334</v>
      </c>
      <c r="X2750" s="43" t="s">
        <v>739</v>
      </c>
      <c r="Y2750" s="4">
        <v>12.827554699481899</v>
      </c>
      <c r="Z2750" s="4">
        <v>12.720045905660101</v>
      </c>
      <c r="AA2750" s="4">
        <v>13.2665898750274</v>
      </c>
      <c r="AB2750" s="4">
        <f t="shared" si="171"/>
        <v>12.9380634933898</v>
      </c>
    </row>
    <row r="2751" spans="2:28" x14ac:dyDescent="0.2">
      <c r="B2751" s="4" t="s">
        <v>642</v>
      </c>
      <c r="C2751" s="4">
        <v>12.648</v>
      </c>
      <c r="D2751" s="4">
        <v>12.362500000000001</v>
      </c>
      <c r="E2751" s="4">
        <v>13.081899999999999</v>
      </c>
      <c r="F2751" s="4">
        <f t="shared" si="168"/>
        <v>12.697466666666665</v>
      </c>
      <c r="I2751" s="4" t="s">
        <v>638</v>
      </c>
      <c r="J2751" s="4">
        <v>11.769500000000001</v>
      </c>
      <c r="K2751" s="4">
        <v>13.576499999999999</v>
      </c>
      <c r="L2751" s="4">
        <v>12.476800000000001</v>
      </c>
      <c r="M2751" s="4">
        <f t="shared" si="169"/>
        <v>12.6076</v>
      </c>
      <c r="Q2751" s="43" t="s">
        <v>4100</v>
      </c>
      <c r="R2751" s="4">
        <v>12.875482804755601</v>
      </c>
      <c r="S2751" s="4">
        <v>12.6747826286408</v>
      </c>
      <c r="T2751" s="4">
        <v>12.685929390050299</v>
      </c>
      <c r="U2751" s="4">
        <f t="shared" si="170"/>
        <v>12.745398274482234</v>
      </c>
      <c r="X2751" s="43" t="s">
        <v>2748</v>
      </c>
      <c r="Y2751" s="4">
        <v>13.3012213429783</v>
      </c>
      <c r="Z2751" s="4">
        <v>12.943941842728099</v>
      </c>
      <c r="AA2751" s="4">
        <v>12.554204544648501</v>
      </c>
      <c r="AB2751" s="4">
        <f t="shared" si="171"/>
        <v>12.933122576784967</v>
      </c>
    </row>
    <row r="2752" spans="2:28" x14ac:dyDescent="0.2">
      <c r="B2752" s="4" t="s">
        <v>2682</v>
      </c>
      <c r="C2752" s="4">
        <v>12.942</v>
      </c>
      <c r="D2752" s="4">
        <v>12.5669</v>
      </c>
      <c r="E2752" s="4">
        <v>12.58</v>
      </c>
      <c r="F2752" s="4">
        <f t="shared" si="168"/>
        <v>12.696300000000001</v>
      </c>
      <c r="I2752" s="4" t="s">
        <v>2121</v>
      </c>
      <c r="J2752" s="4">
        <v>12.3111</v>
      </c>
      <c r="K2752" s="4">
        <v>12.4481</v>
      </c>
      <c r="L2752" s="4">
        <v>13.0581</v>
      </c>
      <c r="M2752" s="4">
        <f t="shared" si="169"/>
        <v>12.605766666666668</v>
      </c>
      <c r="Q2752" s="43" t="s">
        <v>2656</v>
      </c>
      <c r="R2752" s="4">
        <v>12.627683617252</v>
      </c>
      <c r="S2752" s="4">
        <v>12.866928712914801</v>
      </c>
      <c r="T2752" s="4">
        <v>12.7375280769322</v>
      </c>
      <c r="U2752" s="4">
        <f t="shared" si="170"/>
        <v>12.744046802366334</v>
      </c>
      <c r="X2752" s="43" t="s">
        <v>4363</v>
      </c>
      <c r="Y2752" s="4">
        <v>13.037375321036601</v>
      </c>
      <c r="Z2752" s="4">
        <v>12.9657169419265</v>
      </c>
      <c r="AA2752" s="4">
        <v>12.795873474269699</v>
      </c>
      <c r="AB2752" s="4">
        <f t="shared" si="171"/>
        <v>12.9329885790776</v>
      </c>
    </row>
    <row r="2753" spans="2:28" x14ac:dyDescent="0.2">
      <c r="B2753" s="4" t="s">
        <v>2511</v>
      </c>
      <c r="C2753" s="4">
        <v>12.731999999999999</v>
      </c>
      <c r="D2753" s="4">
        <v>12.2165</v>
      </c>
      <c r="E2753" s="4">
        <v>13.1372</v>
      </c>
      <c r="F2753" s="4">
        <f t="shared" si="168"/>
        <v>12.695233333333334</v>
      </c>
      <c r="I2753" s="4" t="s">
        <v>2274</v>
      </c>
      <c r="J2753" s="4">
        <v>12.319599999999999</v>
      </c>
      <c r="K2753" s="4">
        <v>13.273300000000001</v>
      </c>
      <c r="L2753" s="4">
        <v>12.223599999999999</v>
      </c>
      <c r="M2753" s="4">
        <f t="shared" si="169"/>
        <v>12.605499999999999</v>
      </c>
      <c r="Q2753" s="43" t="s">
        <v>218</v>
      </c>
      <c r="R2753" s="4">
        <v>13.466110516551501</v>
      </c>
      <c r="S2753" s="4">
        <v>12.5144530419311</v>
      </c>
      <c r="T2753" s="4">
        <v>12.2466476898373</v>
      </c>
      <c r="U2753" s="4">
        <f t="shared" si="170"/>
        <v>12.742403749439967</v>
      </c>
      <c r="X2753" s="43" t="s">
        <v>1503</v>
      </c>
      <c r="Y2753" s="4">
        <v>12.6460992691885</v>
      </c>
      <c r="Z2753" s="4">
        <v>12.8295852276791</v>
      </c>
      <c r="AA2753" s="4">
        <v>13.3196935681977</v>
      </c>
      <c r="AB2753" s="4">
        <f t="shared" si="171"/>
        <v>12.931792688355101</v>
      </c>
    </row>
    <row r="2754" spans="2:28" x14ac:dyDescent="0.2">
      <c r="B2754" s="4" t="s">
        <v>1454</v>
      </c>
      <c r="C2754" s="4">
        <v>12.9047</v>
      </c>
      <c r="D2754" s="4">
        <v>12.8848</v>
      </c>
      <c r="E2754" s="4">
        <v>12.2935</v>
      </c>
      <c r="F2754" s="4">
        <f t="shared" ref="F2754:F2817" si="172">(C2754+D2754+E2754)/3</f>
        <v>12.694333333333333</v>
      </c>
      <c r="I2754" s="4" t="s">
        <v>2683</v>
      </c>
      <c r="J2754" s="4">
        <v>12.810600000000001</v>
      </c>
      <c r="K2754" s="4">
        <v>12.1058</v>
      </c>
      <c r="L2754" s="4">
        <v>12.897</v>
      </c>
      <c r="M2754" s="4">
        <f t="shared" ref="M2754:M2817" si="173">(J2754+K2754+L2754)/3</f>
        <v>12.604466666666667</v>
      </c>
      <c r="Q2754" s="43" t="s">
        <v>3361</v>
      </c>
      <c r="R2754" s="4">
        <v>12.7100587718247</v>
      </c>
      <c r="S2754" s="4">
        <v>12.847096020336</v>
      </c>
      <c r="T2754" s="4">
        <v>12.668933663327</v>
      </c>
      <c r="U2754" s="4">
        <f t="shared" ref="U2754:U2817" si="174">(R2754+S2754+T2754)/3</f>
        <v>12.742029485162567</v>
      </c>
      <c r="X2754" s="43" t="s">
        <v>3634</v>
      </c>
      <c r="Y2754" s="4">
        <v>13.0402823563719</v>
      </c>
      <c r="Z2754" s="4">
        <v>13.150520565931</v>
      </c>
      <c r="AA2754" s="4">
        <v>12.603991904529201</v>
      </c>
      <c r="AB2754" s="4">
        <f t="shared" ref="AB2754:AB2817" si="175">(Y2754+Z2754+AA2754)/3</f>
        <v>12.931598275610702</v>
      </c>
    </row>
    <row r="2755" spans="2:28" x14ac:dyDescent="0.2">
      <c r="B2755" s="4" t="s">
        <v>2583</v>
      </c>
      <c r="C2755" s="4">
        <v>12.8971</v>
      </c>
      <c r="D2755" s="4">
        <v>12.747199999999999</v>
      </c>
      <c r="E2755" s="4">
        <v>12.4369</v>
      </c>
      <c r="F2755" s="4">
        <f t="shared" si="172"/>
        <v>12.693733333333334</v>
      </c>
      <c r="I2755" s="4" t="s">
        <v>3054</v>
      </c>
      <c r="J2755" s="4">
        <v>12.745900000000001</v>
      </c>
      <c r="K2755" s="4">
        <v>12.5509</v>
      </c>
      <c r="L2755" s="4">
        <v>12.5061</v>
      </c>
      <c r="M2755" s="4">
        <f t="shared" si="173"/>
        <v>12.600966666666666</v>
      </c>
      <c r="Q2755" s="43" t="s">
        <v>2625</v>
      </c>
      <c r="R2755" s="4">
        <v>12.3867819923986</v>
      </c>
      <c r="S2755" s="4">
        <v>12.7063601272325</v>
      </c>
      <c r="T2755" s="4">
        <v>13.119009492515699</v>
      </c>
      <c r="U2755" s="4">
        <f t="shared" si="174"/>
        <v>12.737383870715599</v>
      </c>
      <c r="X2755" s="43" t="s">
        <v>388</v>
      </c>
      <c r="Y2755" s="4">
        <v>13.0035504178707</v>
      </c>
      <c r="Z2755" s="4">
        <v>12.872125130659199</v>
      </c>
      <c r="AA2755" s="4">
        <v>12.915636662444101</v>
      </c>
      <c r="AB2755" s="4">
        <f t="shared" si="175"/>
        <v>12.930437403657999</v>
      </c>
    </row>
    <row r="2756" spans="2:28" x14ac:dyDescent="0.2">
      <c r="B2756" s="4" t="s">
        <v>454</v>
      </c>
      <c r="C2756" s="4">
        <v>12.317</v>
      </c>
      <c r="D2756" s="4">
        <v>12.686299999999999</v>
      </c>
      <c r="E2756" s="4">
        <v>13.0739</v>
      </c>
      <c r="F2756" s="4">
        <f t="shared" si="172"/>
        <v>12.692399999999999</v>
      </c>
      <c r="I2756" s="4" t="s">
        <v>2562</v>
      </c>
      <c r="J2756" s="4">
        <v>12.8002</v>
      </c>
      <c r="K2756" s="4">
        <v>11.944599999999999</v>
      </c>
      <c r="L2756" s="4">
        <v>13.0543</v>
      </c>
      <c r="M2756" s="4">
        <f t="shared" si="173"/>
        <v>12.599699999999999</v>
      </c>
      <c r="Q2756" s="43" t="s">
        <v>4364</v>
      </c>
      <c r="R2756" s="4">
        <v>12.5908874427358</v>
      </c>
      <c r="S2756" s="4">
        <v>12.871896783181599</v>
      </c>
      <c r="T2756" s="4">
        <v>12.7394407794069</v>
      </c>
      <c r="U2756" s="4">
        <f t="shared" si="174"/>
        <v>12.734075001774768</v>
      </c>
      <c r="X2756" s="43" t="s">
        <v>2777</v>
      </c>
      <c r="Y2756" s="4">
        <v>13.0206100232278</v>
      </c>
      <c r="Z2756" s="4">
        <v>12.968590281394199</v>
      </c>
      <c r="AA2756" s="4">
        <v>12.800642708488301</v>
      </c>
      <c r="AB2756" s="4">
        <f t="shared" si="175"/>
        <v>12.929947671036766</v>
      </c>
    </row>
    <row r="2757" spans="2:28" x14ac:dyDescent="0.2">
      <c r="B2757" s="4" t="s">
        <v>560</v>
      </c>
      <c r="C2757" s="4">
        <v>12.6012</v>
      </c>
      <c r="D2757" s="4">
        <v>12.685499999999999</v>
      </c>
      <c r="E2757" s="4">
        <v>12.779199999999999</v>
      </c>
      <c r="F2757" s="4">
        <f t="shared" si="172"/>
        <v>12.688633333333334</v>
      </c>
      <c r="I2757" s="4" t="s">
        <v>2686</v>
      </c>
      <c r="J2757" s="4">
        <v>12.521699999999999</v>
      </c>
      <c r="K2757" s="4">
        <v>12.895799999999999</v>
      </c>
      <c r="L2757" s="4">
        <v>12.3809</v>
      </c>
      <c r="M2757" s="4">
        <f t="shared" si="173"/>
        <v>12.599466666666666</v>
      </c>
      <c r="Q2757" s="43" t="s">
        <v>432</v>
      </c>
      <c r="R2757" s="4">
        <v>12.626228912074801</v>
      </c>
      <c r="S2757" s="4">
        <v>12.8080181942614</v>
      </c>
      <c r="T2757" s="4">
        <v>12.7643034648484</v>
      </c>
      <c r="U2757" s="4">
        <f t="shared" si="174"/>
        <v>12.732850190394865</v>
      </c>
      <c r="X2757" s="43" t="s">
        <v>1542</v>
      </c>
      <c r="Y2757" s="4">
        <v>13.2206326095792</v>
      </c>
      <c r="Z2757" s="4">
        <v>12.817422370427099</v>
      </c>
      <c r="AA2757" s="4">
        <v>12.7468196819349</v>
      </c>
      <c r="AB2757" s="4">
        <f t="shared" si="175"/>
        <v>12.928291553980401</v>
      </c>
    </row>
    <row r="2758" spans="2:28" x14ac:dyDescent="0.2">
      <c r="B2758" s="4" t="s">
        <v>3638</v>
      </c>
      <c r="C2758" s="4">
        <v>12.5809</v>
      </c>
      <c r="D2758" s="4">
        <v>12.8325</v>
      </c>
      <c r="E2758" s="4">
        <v>12.6435</v>
      </c>
      <c r="F2758" s="4">
        <f t="shared" si="172"/>
        <v>12.685633333333334</v>
      </c>
      <c r="I2758" s="4" t="s">
        <v>2423</v>
      </c>
      <c r="J2758" s="4">
        <v>12.645799999999999</v>
      </c>
      <c r="K2758" s="4">
        <v>12.2662</v>
      </c>
      <c r="L2758" s="4">
        <v>12.8756</v>
      </c>
      <c r="M2758" s="4">
        <f t="shared" si="173"/>
        <v>12.595866666666666</v>
      </c>
      <c r="Q2758" s="43" t="s">
        <v>3627</v>
      </c>
      <c r="R2758" s="4">
        <v>12.551395153493401</v>
      </c>
      <c r="S2758" s="4">
        <v>12.6954930171873</v>
      </c>
      <c r="T2758" s="4">
        <v>12.950576773837</v>
      </c>
      <c r="U2758" s="4">
        <f t="shared" si="174"/>
        <v>12.732488314839232</v>
      </c>
      <c r="X2758" s="43" t="s">
        <v>1301</v>
      </c>
      <c r="Y2758" s="4">
        <v>12.858448786745999</v>
      </c>
      <c r="Z2758" s="4">
        <v>12.8496582672746</v>
      </c>
      <c r="AA2758" s="4">
        <v>13.0759634336471</v>
      </c>
      <c r="AB2758" s="4">
        <f t="shared" si="175"/>
        <v>12.928023495889235</v>
      </c>
    </row>
    <row r="2759" spans="2:28" x14ac:dyDescent="0.2">
      <c r="B2759" s="4" t="s">
        <v>76</v>
      </c>
      <c r="C2759" s="4">
        <v>12.501899999999999</v>
      </c>
      <c r="D2759" s="4">
        <v>12.830500000000001</v>
      </c>
      <c r="E2759" s="4">
        <v>12.7089</v>
      </c>
      <c r="F2759" s="4">
        <f t="shared" si="172"/>
        <v>12.680433333333333</v>
      </c>
      <c r="I2759" s="4" t="s">
        <v>3175</v>
      </c>
      <c r="J2759" s="4">
        <v>12.467599999999999</v>
      </c>
      <c r="K2759" s="4">
        <v>12.5389</v>
      </c>
      <c r="L2759" s="4">
        <v>12.7742</v>
      </c>
      <c r="M2759" s="4">
        <f t="shared" si="173"/>
        <v>12.593566666666666</v>
      </c>
      <c r="Q2759" s="43" t="s">
        <v>2583</v>
      </c>
      <c r="R2759" s="4">
        <v>12.656590781521</v>
      </c>
      <c r="S2759" s="4">
        <v>12.7807038350777</v>
      </c>
      <c r="T2759" s="4">
        <v>12.7593068863476</v>
      </c>
      <c r="U2759" s="4">
        <f t="shared" si="174"/>
        <v>12.732200500982101</v>
      </c>
      <c r="X2759" s="43" t="s">
        <v>3652</v>
      </c>
      <c r="Y2759" s="4">
        <v>12.757543671214</v>
      </c>
      <c r="Z2759" s="4">
        <v>12.852893844045999</v>
      </c>
      <c r="AA2759" s="4">
        <v>13.171698110970899</v>
      </c>
      <c r="AB2759" s="4">
        <f t="shared" si="175"/>
        <v>12.927378542076966</v>
      </c>
    </row>
    <row r="2760" spans="2:28" x14ac:dyDescent="0.2">
      <c r="B2760" s="4" t="s">
        <v>313</v>
      </c>
      <c r="C2760" s="4">
        <v>12.434200000000001</v>
      </c>
      <c r="D2760" s="4">
        <v>12.4148</v>
      </c>
      <c r="E2760" s="4">
        <v>13.1835</v>
      </c>
      <c r="F2760" s="4">
        <f t="shared" si="172"/>
        <v>12.6775</v>
      </c>
      <c r="I2760" s="4" t="s">
        <v>3555</v>
      </c>
      <c r="J2760" s="4">
        <v>12.6584</v>
      </c>
      <c r="K2760" s="4">
        <v>12.8957</v>
      </c>
      <c r="L2760" s="4">
        <v>12.2242</v>
      </c>
      <c r="M2760" s="4">
        <f t="shared" si="173"/>
        <v>12.592766666666668</v>
      </c>
      <c r="Q2760" s="43" t="s">
        <v>3617</v>
      </c>
      <c r="R2760" s="4">
        <v>12.476871617807699</v>
      </c>
      <c r="S2760" s="4">
        <v>12.854139971593501</v>
      </c>
      <c r="T2760" s="4">
        <v>12.8601662514741</v>
      </c>
      <c r="U2760" s="4">
        <f t="shared" si="174"/>
        <v>12.730392613625099</v>
      </c>
      <c r="X2760" s="43" t="s">
        <v>2355</v>
      </c>
      <c r="Y2760" s="4">
        <v>13.059185317140299</v>
      </c>
      <c r="Z2760" s="4">
        <v>12.660063636372</v>
      </c>
      <c r="AA2760" s="4">
        <v>13.053928537053</v>
      </c>
      <c r="AB2760" s="4">
        <f t="shared" si="175"/>
        <v>12.9243924968551</v>
      </c>
    </row>
    <row r="2761" spans="2:28" x14ac:dyDescent="0.2">
      <c r="B2761" s="4" t="s">
        <v>3015</v>
      </c>
      <c r="C2761" s="4">
        <v>13.0791</v>
      </c>
      <c r="D2761" s="4">
        <v>12.3691</v>
      </c>
      <c r="E2761" s="4">
        <v>12.577299999999999</v>
      </c>
      <c r="F2761" s="4">
        <f t="shared" si="172"/>
        <v>12.675166666666668</v>
      </c>
      <c r="I2761" s="4" t="s">
        <v>2782</v>
      </c>
      <c r="J2761" s="4">
        <v>13.2425</v>
      </c>
      <c r="K2761" s="4">
        <v>12.2485</v>
      </c>
      <c r="L2761" s="4">
        <v>12.286799999999999</v>
      </c>
      <c r="M2761" s="4">
        <f t="shared" si="173"/>
        <v>12.592599999999999</v>
      </c>
      <c r="Q2761" s="43" t="s">
        <v>297</v>
      </c>
      <c r="R2761" s="4">
        <v>12.641845333355</v>
      </c>
      <c r="S2761" s="4">
        <v>12.7839080181532</v>
      </c>
      <c r="T2761" s="4">
        <v>12.7569771909591</v>
      </c>
      <c r="U2761" s="4">
        <f t="shared" si="174"/>
        <v>12.727576847489098</v>
      </c>
      <c r="X2761" s="43" t="s">
        <v>3779</v>
      </c>
      <c r="Y2761" s="4">
        <v>13.0182018480539</v>
      </c>
      <c r="Z2761" s="4">
        <v>12.593367700062201</v>
      </c>
      <c r="AA2761" s="4">
        <v>13.1598854928192</v>
      </c>
      <c r="AB2761" s="4">
        <f t="shared" si="175"/>
        <v>12.923818346978434</v>
      </c>
    </row>
    <row r="2762" spans="2:28" x14ac:dyDescent="0.2">
      <c r="B2762" s="4" t="s">
        <v>3647</v>
      </c>
      <c r="C2762" s="4">
        <v>12.738099999999999</v>
      </c>
      <c r="D2762" s="4">
        <v>12.7142</v>
      </c>
      <c r="E2762" s="4">
        <v>12.568300000000001</v>
      </c>
      <c r="F2762" s="4">
        <f t="shared" si="172"/>
        <v>12.673533333333333</v>
      </c>
      <c r="I2762" s="4" t="s">
        <v>2901</v>
      </c>
      <c r="J2762" s="4">
        <v>12.911899999999999</v>
      </c>
      <c r="K2762" s="4">
        <v>11.3451</v>
      </c>
      <c r="L2762" s="4">
        <v>13.512600000000001</v>
      </c>
      <c r="M2762" s="4">
        <f t="shared" si="173"/>
        <v>12.589866666666666</v>
      </c>
      <c r="Q2762" s="43" t="s">
        <v>2401</v>
      </c>
      <c r="R2762" s="4">
        <v>12.1194379319154</v>
      </c>
      <c r="S2762" s="4">
        <v>13.076546689556199</v>
      </c>
      <c r="T2762" s="4">
        <v>12.972618394616701</v>
      </c>
      <c r="U2762" s="4">
        <f t="shared" si="174"/>
        <v>12.722867672029432</v>
      </c>
      <c r="X2762" s="43" t="s">
        <v>4371</v>
      </c>
      <c r="Y2762" s="4">
        <v>12.87588955018</v>
      </c>
      <c r="Z2762" s="4">
        <v>12.941094644633299</v>
      </c>
      <c r="AA2762" s="4">
        <v>12.9542102494211</v>
      </c>
      <c r="AB2762" s="4">
        <f t="shared" si="175"/>
        <v>12.923731481411467</v>
      </c>
    </row>
    <row r="2763" spans="2:28" x14ac:dyDescent="0.2">
      <c r="B2763" s="4" t="s">
        <v>4004</v>
      </c>
      <c r="C2763" s="4">
        <v>12.4086</v>
      </c>
      <c r="D2763" s="4">
        <v>12.9938</v>
      </c>
      <c r="E2763" s="4">
        <v>12.6073</v>
      </c>
      <c r="F2763" s="4">
        <f t="shared" si="172"/>
        <v>12.6699</v>
      </c>
      <c r="I2763" s="4" t="s">
        <v>1228</v>
      </c>
      <c r="J2763" s="4">
        <v>12.061</v>
      </c>
      <c r="K2763" s="4">
        <v>13.332100000000001</v>
      </c>
      <c r="L2763" s="4">
        <v>12.376300000000001</v>
      </c>
      <c r="M2763" s="4">
        <f t="shared" si="173"/>
        <v>12.589800000000002</v>
      </c>
      <c r="Q2763" s="43" t="s">
        <v>3948</v>
      </c>
      <c r="R2763" s="4">
        <v>13.666555600215</v>
      </c>
      <c r="S2763" s="4">
        <v>12.2716523254494</v>
      </c>
      <c r="T2763" s="4">
        <v>12.227606262413</v>
      </c>
      <c r="U2763" s="4">
        <f t="shared" si="174"/>
        <v>12.721938062692466</v>
      </c>
      <c r="X2763" s="43" t="s">
        <v>743</v>
      </c>
      <c r="Y2763" s="4">
        <v>12.9278147724389</v>
      </c>
      <c r="Z2763" s="4">
        <v>13.044261563906399</v>
      </c>
      <c r="AA2763" s="4">
        <v>12.798496465691001</v>
      </c>
      <c r="AB2763" s="4">
        <f t="shared" si="175"/>
        <v>12.923524267345433</v>
      </c>
    </row>
    <row r="2764" spans="2:28" x14ac:dyDescent="0.2">
      <c r="B2764" s="4" t="s">
        <v>1747</v>
      </c>
      <c r="C2764" s="4">
        <v>12.5694</v>
      </c>
      <c r="D2764" s="4">
        <v>12.9046</v>
      </c>
      <c r="E2764" s="4">
        <v>12.5336</v>
      </c>
      <c r="F2764" s="4">
        <f t="shared" si="172"/>
        <v>12.669199999999998</v>
      </c>
      <c r="I2764" s="4" t="s">
        <v>1350</v>
      </c>
      <c r="J2764" s="4">
        <v>11.296799999999999</v>
      </c>
      <c r="K2764" s="4">
        <v>14.483000000000001</v>
      </c>
      <c r="L2764" s="4">
        <v>11.985300000000001</v>
      </c>
      <c r="M2764" s="4">
        <f t="shared" si="173"/>
        <v>12.588366666666667</v>
      </c>
      <c r="Q2764" s="43" t="s">
        <v>2199</v>
      </c>
      <c r="R2764" s="4">
        <v>12.492335739768301</v>
      </c>
      <c r="S2764" s="4">
        <v>12.797780463351</v>
      </c>
      <c r="T2764" s="4">
        <v>12.872895051391399</v>
      </c>
      <c r="U2764" s="4">
        <f t="shared" si="174"/>
        <v>12.721003751503567</v>
      </c>
      <c r="X2764" s="43" t="s">
        <v>1400</v>
      </c>
      <c r="Y2764" s="4">
        <v>12.852393920807099</v>
      </c>
      <c r="Z2764" s="4">
        <v>13.1273733978217</v>
      </c>
      <c r="AA2764" s="4">
        <v>12.7844146526255</v>
      </c>
      <c r="AB2764" s="4">
        <f t="shared" si="175"/>
        <v>12.921393990418101</v>
      </c>
    </row>
    <row r="2765" spans="2:28" x14ac:dyDescent="0.2">
      <c r="B2765" s="4" t="s">
        <v>2232</v>
      </c>
      <c r="C2765" s="4">
        <v>13.048400000000001</v>
      </c>
      <c r="D2765" s="4">
        <v>12.8712</v>
      </c>
      <c r="E2765" s="4">
        <v>12.0869</v>
      </c>
      <c r="F2765" s="4">
        <f t="shared" si="172"/>
        <v>12.668833333333334</v>
      </c>
      <c r="I2765" s="4" t="s">
        <v>3765</v>
      </c>
      <c r="J2765" s="4">
        <v>12.0036</v>
      </c>
      <c r="K2765" s="4">
        <v>13.704599999999999</v>
      </c>
      <c r="L2765" s="4">
        <v>12.049899999999999</v>
      </c>
      <c r="M2765" s="4">
        <f t="shared" si="173"/>
        <v>12.586033333333333</v>
      </c>
      <c r="Q2765" s="43" t="s">
        <v>1457</v>
      </c>
      <c r="R2765" s="4">
        <v>12.9413034287654</v>
      </c>
      <c r="S2765" s="4">
        <v>12.5475676963295</v>
      </c>
      <c r="T2765" s="4">
        <v>12.671489771219701</v>
      </c>
      <c r="U2765" s="4">
        <f t="shared" si="174"/>
        <v>12.720120298771533</v>
      </c>
      <c r="X2765" s="43" t="s">
        <v>4552</v>
      </c>
      <c r="Y2765" s="4">
        <v>12.8229348683321</v>
      </c>
      <c r="Z2765" s="4">
        <v>12.9985800084995</v>
      </c>
      <c r="AA2765" s="4">
        <v>12.9352046572841</v>
      </c>
      <c r="AB2765" s="4">
        <f t="shared" si="175"/>
        <v>12.918906511371901</v>
      </c>
    </row>
    <row r="2766" spans="2:28" x14ac:dyDescent="0.2">
      <c r="B2766" s="4" t="s">
        <v>544</v>
      </c>
      <c r="C2766" s="4">
        <v>12.885400000000001</v>
      </c>
      <c r="D2766" s="4">
        <v>12.439399999999999</v>
      </c>
      <c r="E2766" s="4">
        <v>12.6769</v>
      </c>
      <c r="F2766" s="4">
        <f t="shared" si="172"/>
        <v>12.667233333333334</v>
      </c>
      <c r="I2766" s="4" t="s">
        <v>3457</v>
      </c>
      <c r="J2766" s="4">
        <v>12.521699999999999</v>
      </c>
      <c r="K2766" s="4">
        <v>12.677199999999999</v>
      </c>
      <c r="L2766" s="4">
        <v>12.547700000000001</v>
      </c>
      <c r="M2766" s="4">
        <f t="shared" si="173"/>
        <v>12.5822</v>
      </c>
      <c r="Q2766" s="43" t="s">
        <v>4514</v>
      </c>
      <c r="R2766" s="4">
        <v>12.5013391449765</v>
      </c>
      <c r="S2766" s="4">
        <v>12.8810064008117</v>
      </c>
      <c r="T2766" s="4">
        <v>12.7769045507623</v>
      </c>
      <c r="U2766" s="4">
        <f t="shared" si="174"/>
        <v>12.719750032183498</v>
      </c>
      <c r="X2766" s="43" t="s">
        <v>3110</v>
      </c>
      <c r="Y2766" s="4">
        <v>12.9833572302226</v>
      </c>
      <c r="Z2766" s="4">
        <v>12.9836765465522</v>
      </c>
      <c r="AA2766" s="4">
        <v>12.7886739222436</v>
      </c>
      <c r="AB2766" s="4">
        <f t="shared" si="175"/>
        <v>12.918569233006133</v>
      </c>
    </row>
    <row r="2767" spans="2:28" x14ac:dyDescent="0.2">
      <c r="B2767" s="4" t="s">
        <v>3295</v>
      </c>
      <c r="C2767" s="4">
        <v>10.762600000000001</v>
      </c>
      <c r="D2767" s="4">
        <v>13.9999</v>
      </c>
      <c r="E2767" s="4">
        <v>13.239000000000001</v>
      </c>
      <c r="F2767" s="4">
        <f t="shared" si="172"/>
        <v>12.667166666666668</v>
      </c>
      <c r="I2767" s="4" t="s">
        <v>312</v>
      </c>
      <c r="J2767" s="4">
        <v>12.053000000000001</v>
      </c>
      <c r="K2767" s="4">
        <v>14.094200000000001</v>
      </c>
      <c r="L2767" s="4">
        <v>11.597099999999999</v>
      </c>
      <c r="M2767" s="4">
        <f t="shared" si="173"/>
        <v>12.581433333333335</v>
      </c>
      <c r="Q2767" s="43" t="s">
        <v>3600</v>
      </c>
      <c r="R2767" s="4">
        <v>12.820736261613501</v>
      </c>
      <c r="S2767" s="4">
        <v>12.835908887781301</v>
      </c>
      <c r="T2767" s="4">
        <v>12.495249789375601</v>
      </c>
      <c r="U2767" s="4">
        <f t="shared" si="174"/>
        <v>12.717298312923468</v>
      </c>
      <c r="X2767" s="43" t="s">
        <v>865</v>
      </c>
      <c r="Y2767" s="4">
        <v>12.9668004977471</v>
      </c>
      <c r="Z2767" s="4">
        <v>12.6201779458404</v>
      </c>
      <c r="AA2767" s="4">
        <v>13.166404202984999</v>
      </c>
      <c r="AB2767" s="4">
        <f t="shared" si="175"/>
        <v>12.917794215524166</v>
      </c>
    </row>
    <row r="2768" spans="2:28" x14ac:dyDescent="0.2">
      <c r="B2768" s="4" t="s">
        <v>2456</v>
      </c>
      <c r="C2768" s="4">
        <v>13.660500000000001</v>
      </c>
      <c r="D2768" s="4">
        <v>11.2041</v>
      </c>
      <c r="E2768" s="4">
        <v>13.1347</v>
      </c>
      <c r="F2768" s="4">
        <f t="shared" si="172"/>
        <v>12.666433333333336</v>
      </c>
      <c r="I2768" s="4" t="s">
        <v>2232</v>
      </c>
      <c r="J2768" s="4">
        <v>12.7271</v>
      </c>
      <c r="K2768" s="4">
        <v>12.2182</v>
      </c>
      <c r="L2768" s="4">
        <v>12.7982</v>
      </c>
      <c r="M2768" s="4">
        <f t="shared" si="173"/>
        <v>12.581166666666666</v>
      </c>
      <c r="Q2768" s="43" t="s">
        <v>3501</v>
      </c>
      <c r="R2768" s="4">
        <v>12.5807217829202</v>
      </c>
      <c r="S2768" s="4">
        <v>13.1361129270077</v>
      </c>
      <c r="T2768" s="4">
        <v>12.434959168081299</v>
      </c>
      <c r="U2768" s="4">
        <f t="shared" si="174"/>
        <v>12.717264626003066</v>
      </c>
      <c r="X2768" s="43" t="s">
        <v>3134</v>
      </c>
      <c r="Y2768" s="4">
        <v>12.830741243789401</v>
      </c>
      <c r="Z2768" s="4">
        <v>13.0251397824437</v>
      </c>
      <c r="AA2768" s="4">
        <v>12.896944856401401</v>
      </c>
      <c r="AB2768" s="4">
        <f t="shared" si="175"/>
        <v>12.917608627544832</v>
      </c>
    </row>
    <row r="2769" spans="2:28" x14ac:dyDescent="0.2">
      <c r="B2769" s="4" t="s">
        <v>3354</v>
      </c>
      <c r="C2769" s="4">
        <v>13.0722</v>
      </c>
      <c r="D2769" s="4">
        <v>12.9634</v>
      </c>
      <c r="E2769" s="4">
        <v>11.9625</v>
      </c>
      <c r="F2769" s="4">
        <f t="shared" si="172"/>
        <v>12.666033333333333</v>
      </c>
      <c r="I2769" s="4" t="s">
        <v>3567</v>
      </c>
      <c r="J2769" s="4">
        <v>13.0153</v>
      </c>
      <c r="K2769" s="4">
        <v>12.125999999999999</v>
      </c>
      <c r="L2769" s="4">
        <v>12.6015</v>
      </c>
      <c r="M2769" s="4">
        <f t="shared" si="173"/>
        <v>12.580933333333334</v>
      </c>
      <c r="Q2769" s="43" t="s">
        <v>3286</v>
      </c>
      <c r="R2769" s="4">
        <v>13.036752866723299</v>
      </c>
      <c r="S2769" s="4">
        <v>12.608050892376699</v>
      </c>
      <c r="T2769" s="4">
        <v>12.50623059336</v>
      </c>
      <c r="U2769" s="4">
        <f t="shared" si="174"/>
        <v>12.717011450820001</v>
      </c>
      <c r="X2769" s="43" t="s">
        <v>2842</v>
      </c>
      <c r="Y2769" s="4">
        <v>13.0073574032037</v>
      </c>
      <c r="Z2769" s="4">
        <v>13.0046499695711</v>
      </c>
      <c r="AA2769" s="4">
        <v>12.7315315697768</v>
      </c>
      <c r="AB2769" s="4">
        <f t="shared" si="175"/>
        <v>12.914512980850533</v>
      </c>
    </row>
    <row r="2770" spans="2:28" x14ac:dyDescent="0.2">
      <c r="B2770" s="4" t="s">
        <v>469</v>
      </c>
      <c r="C2770" s="4">
        <v>13.116400000000001</v>
      </c>
      <c r="D2770" s="4">
        <v>12.4947</v>
      </c>
      <c r="E2770" s="4">
        <v>12.371</v>
      </c>
      <c r="F2770" s="4">
        <f t="shared" si="172"/>
        <v>12.6607</v>
      </c>
      <c r="I2770" s="4" t="s">
        <v>3727</v>
      </c>
      <c r="J2770" s="4">
        <v>12.8062</v>
      </c>
      <c r="K2770" s="4">
        <v>13.793799999999999</v>
      </c>
      <c r="L2770" s="4">
        <v>11.1394</v>
      </c>
      <c r="M2770" s="4">
        <f t="shared" si="173"/>
        <v>12.579800000000001</v>
      </c>
      <c r="Q2770" s="43" t="s">
        <v>3003</v>
      </c>
      <c r="R2770" s="4">
        <v>12.6780152121098</v>
      </c>
      <c r="S2770" s="4">
        <v>12.605508111933</v>
      </c>
      <c r="T2770" s="4">
        <v>12.864574535057599</v>
      </c>
      <c r="U2770" s="4">
        <f t="shared" si="174"/>
        <v>12.716032619700135</v>
      </c>
      <c r="X2770" s="43" t="s">
        <v>4554</v>
      </c>
      <c r="Y2770" s="4">
        <v>13.1289524289417</v>
      </c>
      <c r="Z2770" s="4">
        <v>12.852756065649199</v>
      </c>
      <c r="AA2770" s="4">
        <v>12.757055692487899</v>
      </c>
      <c r="AB2770" s="4">
        <f t="shared" si="175"/>
        <v>12.912921395692933</v>
      </c>
    </row>
    <row r="2771" spans="2:28" x14ac:dyDescent="0.2">
      <c r="B2771" s="4" t="s">
        <v>2454</v>
      </c>
      <c r="C2771" s="4">
        <v>12.8369</v>
      </c>
      <c r="D2771" s="4">
        <v>12.8833</v>
      </c>
      <c r="E2771" s="4">
        <v>12.261200000000001</v>
      </c>
      <c r="F2771" s="4">
        <f t="shared" si="172"/>
        <v>12.660466666666666</v>
      </c>
      <c r="I2771" s="4" t="s">
        <v>3568</v>
      </c>
      <c r="J2771" s="4">
        <v>12.4343</v>
      </c>
      <c r="K2771" s="4">
        <v>12.058199999999999</v>
      </c>
      <c r="L2771" s="4">
        <v>13.2425</v>
      </c>
      <c r="M2771" s="4">
        <f t="shared" si="173"/>
        <v>12.578333333333333</v>
      </c>
      <c r="Q2771" s="43" t="s">
        <v>3868</v>
      </c>
      <c r="R2771" s="4">
        <v>13.1784723752814</v>
      </c>
      <c r="S2771" s="4">
        <v>12.5677282569056</v>
      </c>
      <c r="T2771" s="4">
        <v>12.395311122277599</v>
      </c>
      <c r="U2771" s="4">
        <f t="shared" si="174"/>
        <v>12.713837251488199</v>
      </c>
      <c r="X2771" s="43" t="s">
        <v>4030</v>
      </c>
      <c r="Y2771" s="4">
        <v>12.966381274766601</v>
      </c>
      <c r="Z2771" s="4">
        <v>12.8917327888709</v>
      </c>
      <c r="AA2771" s="4">
        <v>12.880639613399801</v>
      </c>
      <c r="AB2771" s="4">
        <f t="shared" si="175"/>
        <v>12.912917892345767</v>
      </c>
    </row>
    <row r="2772" spans="2:28" x14ac:dyDescent="0.2">
      <c r="B2772" s="4" t="s">
        <v>2042</v>
      </c>
      <c r="C2772" s="4">
        <v>12.8505</v>
      </c>
      <c r="D2772" s="4">
        <v>13.001300000000001</v>
      </c>
      <c r="E2772" s="4">
        <v>12.120799999999999</v>
      </c>
      <c r="F2772" s="4">
        <f t="shared" si="172"/>
        <v>12.657533333333333</v>
      </c>
      <c r="I2772" s="4" t="s">
        <v>2910</v>
      </c>
      <c r="J2772" s="4">
        <v>13.0124</v>
      </c>
      <c r="K2772" s="4">
        <v>10.9199</v>
      </c>
      <c r="L2772" s="4">
        <v>13.797800000000001</v>
      </c>
      <c r="M2772" s="4">
        <f t="shared" si="173"/>
        <v>12.576700000000001</v>
      </c>
      <c r="Q2772" s="43" t="s">
        <v>1459</v>
      </c>
      <c r="R2772" s="4">
        <v>12.5593854874747</v>
      </c>
      <c r="S2772" s="4">
        <v>12.6885993477624</v>
      </c>
      <c r="T2772" s="4">
        <v>12.8933236991898</v>
      </c>
      <c r="U2772" s="4">
        <f t="shared" si="174"/>
        <v>12.713769511475633</v>
      </c>
      <c r="X2772" s="43" t="s">
        <v>972</v>
      </c>
      <c r="Y2772" s="4">
        <v>12.563258219167601</v>
      </c>
      <c r="Z2772" s="4">
        <v>13.141745428634399</v>
      </c>
      <c r="AA2772" s="4">
        <v>13.0300936883755</v>
      </c>
      <c r="AB2772" s="4">
        <f t="shared" si="175"/>
        <v>12.911699112059168</v>
      </c>
    </row>
    <row r="2773" spans="2:28" x14ac:dyDescent="0.2">
      <c r="B2773" s="4" t="s">
        <v>390</v>
      </c>
      <c r="C2773" s="4">
        <v>12.6607</v>
      </c>
      <c r="D2773" s="4">
        <v>12.7378</v>
      </c>
      <c r="E2773" s="4">
        <v>12.5715</v>
      </c>
      <c r="F2773" s="4">
        <f t="shared" si="172"/>
        <v>12.656666666666666</v>
      </c>
      <c r="I2773" s="4" t="s">
        <v>3951</v>
      </c>
      <c r="J2773" s="4">
        <v>13.0525</v>
      </c>
      <c r="K2773" s="4">
        <v>12.726000000000001</v>
      </c>
      <c r="L2773" s="4">
        <v>11.948600000000001</v>
      </c>
      <c r="M2773" s="4">
        <f t="shared" si="173"/>
        <v>12.575699999999999</v>
      </c>
      <c r="Q2773" s="43" t="s">
        <v>4423</v>
      </c>
      <c r="R2773" s="4">
        <v>13.120331132480599</v>
      </c>
      <c r="S2773" s="4">
        <v>12.739027508941</v>
      </c>
      <c r="T2773" s="4">
        <v>12.278072280918501</v>
      </c>
      <c r="U2773" s="4">
        <f t="shared" si="174"/>
        <v>12.712476974113367</v>
      </c>
      <c r="X2773" s="43" t="s">
        <v>3890</v>
      </c>
      <c r="Y2773" s="4">
        <v>12.6997114008122</v>
      </c>
      <c r="Z2773" s="4">
        <v>12.9839529032906</v>
      </c>
      <c r="AA2773" s="4">
        <v>13.0477113342702</v>
      </c>
      <c r="AB2773" s="4">
        <f t="shared" si="175"/>
        <v>12.910458546124332</v>
      </c>
    </row>
    <row r="2774" spans="2:28" x14ac:dyDescent="0.2">
      <c r="B2774" s="4" t="s">
        <v>850</v>
      </c>
      <c r="C2774" s="4">
        <v>13.2027</v>
      </c>
      <c r="D2774" s="4">
        <v>11.960699999999999</v>
      </c>
      <c r="E2774" s="4">
        <v>12.8055</v>
      </c>
      <c r="F2774" s="4">
        <f t="shared" si="172"/>
        <v>12.6563</v>
      </c>
      <c r="I2774" s="4" t="s">
        <v>4021</v>
      </c>
      <c r="J2774" s="4">
        <v>12.26</v>
      </c>
      <c r="K2774" s="4">
        <v>12.5268</v>
      </c>
      <c r="L2774" s="4">
        <v>12.9338</v>
      </c>
      <c r="M2774" s="4">
        <f t="shared" si="173"/>
        <v>12.573533333333332</v>
      </c>
      <c r="Q2774" s="43" t="s">
        <v>2519</v>
      </c>
      <c r="R2774" s="4">
        <v>13.0944999848828</v>
      </c>
      <c r="S2774" s="4">
        <v>12.739201083239999</v>
      </c>
      <c r="T2774" s="4">
        <v>12.2957470654852</v>
      </c>
      <c r="U2774" s="4">
        <f t="shared" si="174"/>
        <v>12.709816044536</v>
      </c>
      <c r="X2774" s="43" t="s">
        <v>740</v>
      </c>
      <c r="Y2774" s="4">
        <v>12.868468663126601</v>
      </c>
      <c r="Z2774" s="4">
        <v>12.777863844236601</v>
      </c>
      <c r="AA2774" s="4">
        <v>13.083009837758</v>
      </c>
      <c r="AB2774" s="4">
        <f t="shared" si="175"/>
        <v>12.909780781707068</v>
      </c>
    </row>
    <row r="2775" spans="2:28" x14ac:dyDescent="0.2">
      <c r="B2775" s="4" t="s">
        <v>242</v>
      </c>
      <c r="C2775" s="4">
        <v>13.0702</v>
      </c>
      <c r="D2775" s="4">
        <v>12.137499999999999</v>
      </c>
      <c r="E2775" s="4">
        <v>12.761200000000001</v>
      </c>
      <c r="F2775" s="4">
        <f t="shared" si="172"/>
        <v>12.6563</v>
      </c>
      <c r="I2775" s="4" t="s">
        <v>3575</v>
      </c>
      <c r="J2775" s="4">
        <v>12.2385</v>
      </c>
      <c r="K2775" s="4">
        <v>13.279500000000001</v>
      </c>
      <c r="L2775" s="4">
        <v>12.1913</v>
      </c>
      <c r="M2775" s="4">
        <f t="shared" si="173"/>
        <v>12.569766666666666</v>
      </c>
      <c r="Q2775" s="43" t="s">
        <v>3562</v>
      </c>
      <c r="R2775" s="4">
        <v>12.556711108465199</v>
      </c>
      <c r="S2775" s="4">
        <v>12.753320348794899</v>
      </c>
      <c r="T2775" s="4">
        <v>12.814340388378801</v>
      </c>
      <c r="U2775" s="4">
        <f t="shared" si="174"/>
        <v>12.7081239485463</v>
      </c>
      <c r="X2775" s="43" t="s">
        <v>1489</v>
      </c>
      <c r="Y2775" s="4">
        <v>12.9847717467521</v>
      </c>
      <c r="Z2775" s="4">
        <v>13.0311173143982</v>
      </c>
      <c r="AA2775" s="4">
        <v>12.713226643552201</v>
      </c>
      <c r="AB2775" s="4">
        <f t="shared" si="175"/>
        <v>12.909705234900834</v>
      </c>
    </row>
    <row r="2776" spans="2:28" x14ac:dyDescent="0.2">
      <c r="B2776" s="4" t="s">
        <v>1804</v>
      </c>
      <c r="C2776" s="4">
        <v>12.7241</v>
      </c>
      <c r="D2776" s="4">
        <v>12.432399999999999</v>
      </c>
      <c r="E2776" s="4">
        <v>12.811</v>
      </c>
      <c r="F2776" s="4">
        <f t="shared" si="172"/>
        <v>12.655833333333334</v>
      </c>
      <c r="I2776" s="4" t="s">
        <v>3618</v>
      </c>
      <c r="J2776" s="4">
        <v>12.6098</v>
      </c>
      <c r="K2776" s="4">
        <v>12.374700000000001</v>
      </c>
      <c r="L2776" s="4">
        <v>12.722799999999999</v>
      </c>
      <c r="M2776" s="4">
        <f t="shared" si="173"/>
        <v>12.569100000000001</v>
      </c>
      <c r="Q2776" s="43" t="s">
        <v>1298</v>
      </c>
      <c r="R2776" s="4">
        <v>12.7374969544906</v>
      </c>
      <c r="S2776" s="4">
        <v>12.7688818230584</v>
      </c>
      <c r="T2776" s="4">
        <v>12.61774771811</v>
      </c>
      <c r="U2776" s="4">
        <f t="shared" si="174"/>
        <v>12.708042165219666</v>
      </c>
      <c r="X2776" s="43" t="s">
        <v>2778</v>
      </c>
      <c r="Y2776" s="4">
        <v>13.0438926670834</v>
      </c>
      <c r="Z2776" s="4">
        <v>13.135048219901201</v>
      </c>
      <c r="AA2776" s="4">
        <v>12.547109696509001</v>
      </c>
      <c r="AB2776" s="4">
        <f t="shared" si="175"/>
        <v>12.908683527831201</v>
      </c>
    </row>
    <row r="2777" spans="2:28" x14ac:dyDescent="0.2">
      <c r="B2777" s="4" t="s">
        <v>3348</v>
      </c>
      <c r="C2777" s="4">
        <v>12.262499999999999</v>
      </c>
      <c r="D2777" s="4">
        <v>12.479900000000001</v>
      </c>
      <c r="E2777" s="4">
        <v>13.2189</v>
      </c>
      <c r="F2777" s="4">
        <f t="shared" si="172"/>
        <v>12.653766666666668</v>
      </c>
      <c r="I2777" s="4" t="s">
        <v>1351</v>
      </c>
      <c r="J2777" s="4">
        <v>12.318099999999999</v>
      </c>
      <c r="K2777" s="4">
        <v>14.1716</v>
      </c>
      <c r="L2777" s="4">
        <v>11.2173</v>
      </c>
      <c r="M2777" s="4">
        <f t="shared" si="173"/>
        <v>12.569000000000001</v>
      </c>
      <c r="Q2777" s="43" t="s">
        <v>4406</v>
      </c>
      <c r="R2777" s="4">
        <v>12.6658199630527</v>
      </c>
      <c r="S2777" s="4">
        <v>12.7261377427056</v>
      </c>
      <c r="T2777" s="4">
        <v>12.7285136594212</v>
      </c>
      <c r="U2777" s="4">
        <f t="shared" si="174"/>
        <v>12.706823788393166</v>
      </c>
      <c r="X2777" s="43" t="s">
        <v>4008</v>
      </c>
      <c r="Y2777" s="4">
        <v>12.714584014680799</v>
      </c>
      <c r="Z2777" s="4">
        <v>12.8335438329981</v>
      </c>
      <c r="AA2777" s="4">
        <v>13.1731455365616</v>
      </c>
      <c r="AB2777" s="4">
        <f t="shared" si="175"/>
        <v>12.907091128080166</v>
      </c>
    </row>
    <row r="2778" spans="2:28" x14ac:dyDescent="0.2">
      <c r="B2778" s="4" t="s">
        <v>767</v>
      </c>
      <c r="C2778" s="4">
        <v>12.2628</v>
      </c>
      <c r="D2778" s="4">
        <v>12.8261</v>
      </c>
      <c r="E2778" s="4">
        <v>12.8683</v>
      </c>
      <c r="F2778" s="4">
        <f t="shared" si="172"/>
        <v>12.6524</v>
      </c>
      <c r="I2778" s="4" t="s">
        <v>3279</v>
      </c>
      <c r="J2778" s="4">
        <v>11.238799999999999</v>
      </c>
      <c r="K2778" s="4">
        <v>14.733700000000001</v>
      </c>
      <c r="L2778" s="4">
        <v>11.728999999999999</v>
      </c>
      <c r="M2778" s="4">
        <f t="shared" si="173"/>
        <v>12.567166666666665</v>
      </c>
      <c r="Q2778" s="43" t="s">
        <v>434</v>
      </c>
      <c r="R2778" s="4">
        <v>12.6641117704394</v>
      </c>
      <c r="S2778" s="4">
        <v>12.701233233300499</v>
      </c>
      <c r="T2778" s="4">
        <v>12.754180949057501</v>
      </c>
      <c r="U2778" s="4">
        <f t="shared" si="174"/>
        <v>12.706508650932465</v>
      </c>
      <c r="X2778" s="43" t="s">
        <v>767</v>
      </c>
      <c r="Y2778" s="4">
        <v>12.9700972151245</v>
      </c>
      <c r="Z2778" s="4">
        <v>12.825699646198</v>
      </c>
      <c r="AA2778" s="4">
        <v>12.9237451015423</v>
      </c>
      <c r="AB2778" s="4">
        <f t="shared" si="175"/>
        <v>12.906513987621601</v>
      </c>
    </row>
    <row r="2779" spans="2:28" x14ac:dyDescent="0.2">
      <c r="B2779" s="4" t="s">
        <v>3884</v>
      </c>
      <c r="C2779" s="4">
        <v>12.4634</v>
      </c>
      <c r="D2779" s="4">
        <v>12.4194</v>
      </c>
      <c r="E2779" s="4">
        <v>13.072900000000001</v>
      </c>
      <c r="F2779" s="4">
        <f t="shared" si="172"/>
        <v>12.651899999999999</v>
      </c>
      <c r="I2779" s="4" t="s">
        <v>4074</v>
      </c>
      <c r="J2779" s="4">
        <v>12.480600000000001</v>
      </c>
      <c r="K2779" s="4">
        <v>12.5413</v>
      </c>
      <c r="L2779" s="4">
        <v>12.642099999999999</v>
      </c>
      <c r="M2779" s="4">
        <f t="shared" si="173"/>
        <v>12.554666666666668</v>
      </c>
      <c r="Q2779" s="43" t="s">
        <v>124</v>
      </c>
      <c r="R2779" s="4">
        <v>12.473227530612901</v>
      </c>
      <c r="S2779" s="4">
        <v>12.890419077525101</v>
      </c>
      <c r="T2779" s="4">
        <v>12.753314879295001</v>
      </c>
      <c r="U2779" s="4">
        <f t="shared" si="174"/>
        <v>12.705653829144333</v>
      </c>
      <c r="X2779" s="43" t="s">
        <v>2123</v>
      </c>
      <c r="Y2779" s="4">
        <v>12.852930722068001</v>
      </c>
      <c r="Z2779" s="4">
        <v>12.9360192244882</v>
      </c>
      <c r="AA2779" s="4">
        <v>12.930061955734701</v>
      </c>
      <c r="AB2779" s="4">
        <f t="shared" si="175"/>
        <v>12.906337300763633</v>
      </c>
    </row>
    <row r="2780" spans="2:28" x14ac:dyDescent="0.2">
      <c r="B2780" s="4" t="s">
        <v>2039</v>
      </c>
      <c r="C2780" s="4">
        <v>12.536199999999999</v>
      </c>
      <c r="D2780" s="4">
        <v>11.7666</v>
      </c>
      <c r="E2780" s="4">
        <v>13.6409</v>
      </c>
      <c r="F2780" s="4">
        <f t="shared" si="172"/>
        <v>12.6479</v>
      </c>
      <c r="I2780" s="4" t="s">
        <v>626</v>
      </c>
      <c r="J2780" s="4">
        <v>12.5587</v>
      </c>
      <c r="K2780" s="4">
        <v>12.202199999999999</v>
      </c>
      <c r="L2780" s="4">
        <v>12.896699999999999</v>
      </c>
      <c r="M2780" s="4">
        <f t="shared" si="173"/>
        <v>12.552533333333335</v>
      </c>
      <c r="Q2780" s="43" t="s">
        <v>3760</v>
      </c>
      <c r="R2780" s="4">
        <v>12.4146096932957</v>
      </c>
      <c r="S2780" s="4">
        <v>12.795001959753201</v>
      </c>
      <c r="T2780" s="4">
        <v>12.906812399504799</v>
      </c>
      <c r="U2780" s="4">
        <f t="shared" si="174"/>
        <v>12.705474684184567</v>
      </c>
      <c r="X2780" s="43" t="s">
        <v>4487</v>
      </c>
      <c r="Y2780" s="4">
        <v>13.0408066390192</v>
      </c>
      <c r="Z2780" s="4">
        <v>12.720947726250101</v>
      </c>
      <c r="AA2780" s="4">
        <v>12.9542904198036</v>
      </c>
      <c r="AB2780" s="4">
        <f t="shared" si="175"/>
        <v>12.905348261690968</v>
      </c>
    </row>
    <row r="2781" spans="2:28" x14ac:dyDescent="0.2">
      <c r="B2781" s="4" t="s">
        <v>2705</v>
      </c>
      <c r="C2781" s="4">
        <v>12.8927</v>
      </c>
      <c r="D2781" s="4">
        <v>12.6945</v>
      </c>
      <c r="E2781" s="4">
        <v>12.3476</v>
      </c>
      <c r="F2781" s="4">
        <f t="shared" si="172"/>
        <v>12.644933333333332</v>
      </c>
      <c r="I2781" s="4" t="s">
        <v>13</v>
      </c>
      <c r="J2781" s="4">
        <v>12.3163</v>
      </c>
      <c r="K2781" s="4">
        <v>13.1935</v>
      </c>
      <c r="L2781" s="4">
        <v>12.141400000000001</v>
      </c>
      <c r="M2781" s="4">
        <f t="shared" si="173"/>
        <v>12.550400000000002</v>
      </c>
      <c r="Q2781" s="43" t="s">
        <v>4337</v>
      </c>
      <c r="R2781" s="4">
        <v>12.692590977713399</v>
      </c>
      <c r="S2781" s="4">
        <v>12.609255518680399</v>
      </c>
      <c r="T2781" s="4">
        <v>12.8139334937783</v>
      </c>
      <c r="U2781" s="4">
        <f t="shared" si="174"/>
        <v>12.705259996724033</v>
      </c>
      <c r="X2781" s="43" t="s">
        <v>939</v>
      </c>
      <c r="Y2781" s="4">
        <v>13.15499463946</v>
      </c>
      <c r="Z2781" s="4">
        <v>13.0198166623281</v>
      </c>
      <c r="AA2781" s="4">
        <v>12.538593070254599</v>
      </c>
      <c r="AB2781" s="4">
        <f t="shared" si="175"/>
        <v>12.904468124014235</v>
      </c>
    </row>
    <row r="2782" spans="2:28" x14ac:dyDescent="0.2">
      <c r="B2782" s="4" t="s">
        <v>2006</v>
      </c>
      <c r="C2782" s="4">
        <v>12.472</v>
      </c>
      <c r="D2782" s="4">
        <v>12.6891</v>
      </c>
      <c r="E2782" s="4">
        <v>12.773300000000001</v>
      </c>
      <c r="F2782" s="4">
        <f t="shared" si="172"/>
        <v>12.644799999999998</v>
      </c>
      <c r="I2782" s="4" t="s">
        <v>2941</v>
      </c>
      <c r="J2782" s="4">
        <v>12.3514</v>
      </c>
      <c r="K2782" s="4">
        <v>13.380100000000001</v>
      </c>
      <c r="L2782" s="4">
        <v>11.9155</v>
      </c>
      <c r="M2782" s="4">
        <f t="shared" si="173"/>
        <v>12.548999999999999</v>
      </c>
      <c r="Q2782" s="43" t="s">
        <v>4450</v>
      </c>
      <c r="R2782" s="4">
        <v>12.4796675660172</v>
      </c>
      <c r="S2782" s="4">
        <v>12.888061705089401</v>
      </c>
      <c r="T2782" s="4">
        <v>12.7440911179614</v>
      </c>
      <c r="U2782" s="4">
        <f t="shared" si="174"/>
        <v>12.703940129689334</v>
      </c>
      <c r="X2782" s="43" t="s">
        <v>635</v>
      </c>
      <c r="Y2782" s="4">
        <v>13.306360031058</v>
      </c>
      <c r="Z2782" s="4">
        <v>13.078612468266501</v>
      </c>
      <c r="AA2782" s="4">
        <v>12.326639390124299</v>
      </c>
      <c r="AB2782" s="4">
        <f t="shared" si="175"/>
        <v>12.903870629816268</v>
      </c>
    </row>
    <row r="2783" spans="2:28" x14ac:dyDescent="0.2">
      <c r="B2783" s="4" t="s">
        <v>3168</v>
      </c>
      <c r="C2783" s="4">
        <v>11.112</v>
      </c>
      <c r="D2783" s="4">
        <v>12.5444</v>
      </c>
      <c r="E2783" s="4">
        <v>14.2699</v>
      </c>
      <c r="F2783" s="4">
        <f t="shared" si="172"/>
        <v>12.642099999999999</v>
      </c>
      <c r="I2783" s="4" t="s">
        <v>625</v>
      </c>
      <c r="J2783" s="4">
        <v>11.864100000000001</v>
      </c>
      <c r="K2783" s="4">
        <v>12.9832</v>
      </c>
      <c r="L2783" s="4">
        <v>12.7996</v>
      </c>
      <c r="M2783" s="4">
        <f t="shared" si="173"/>
        <v>12.548966666666667</v>
      </c>
      <c r="Q2783" s="43" t="s">
        <v>114</v>
      </c>
      <c r="R2783" s="4">
        <v>12.4405938295887</v>
      </c>
      <c r="S2783" s="4">
        <v>12.808770048530199</v>
      </c>
      <c r="T2783" s="4">
        <v>12.8586300510831</v>
      </c>
      <c r="U2783" s="4">
        <f t="shared" si="174"/>
        <v>12.702664643067331</v>
      </c>
      <c r="X2783" s="43" t="s">
        <v>439</v>
      </c>
      <c r="Y2783" s="4">
        <v>13.061165168032399</v>
      </c>
      <c r="Z2783" s="4">
        <v>13.225003689445201</v>
      </c>
      <c r="AA2783" s="4">
        <v>12.423753666781</v>
      </c>
      <c r="AB2783" s="4">
        <f t="shared" si="175"/>
        <v>12.903307508086201</v>
      </c>
    </row>
    <row r="2784" spans="2:28" x14ac:dyDescent="0.2">
      <c r="B2784" s="4" t="s">
        <v>48</v>
      </c>
      <c r="C2784" s="4">
        <v>11.4375</v>
      </c>
      <c r="D2784" s="4">
        <v>13.364000000000001</v>
      </c>
      <c r="E2784" s="4">
        <v>13.1127</v>
      </c>
      <c r="F2784" s="4">
        <f t="shared" si="172"/>
        <v>12.638066666666667</v>
      </c>
      <c r="I2784" s="4" t="s">
        <v>3030</v>
      </c>
      <c r="J2784" s="4">
        <v>12.7348</v>
      </c>
      <c r="K2784" s="4">
        <v>13.13</v>
      </c>
      <c r="L2784" s="4">
        <v>11.7758</v>
      </c>
      <c r="M2784" s="4">
        <f t="shared" si="173"/>
        <v>12.546866666666668</v>
      </c>
      <c r="Q2784" s="43" t="s">
        <v>3583</v>
      </c>
      <c r="R2784" s="4">
        <v>12.501264139552701</v>
      </c>
      <c r="S2784" s="4">
        <v>12.823871505354701</v>
      </c>
      <c r="T2784" s="4">
        <v>12.779537745906801</v>
      </c>
      <c r="U2784" s="4">
        <f t="shared" si="174"/>
        <v>12.701557796938067</v>
      </c>
      <c r="X2784" s="43" t="s">
        <v>3315</v>
      </c>
      <c r="Y2784" s="4">
        <v>12.866354968917999</v>
      </c>
      <c r="Z2784" s="4">
        <v>12.801372674428</v>
      </c>
      <c r="AA2784" s="4">
        <v>13.0395969079119</v>
      </c>
      <c r="AB2784" s="4">
        <f t="shared" si="175"/>
        <v>12.902441517085967</v>
      </c>
    </row>
    <row r="2785" spans="2:28" x14ac:dyDescent="0.2">
      <c r="B2785" s="4" t="s">
        <v>216</v>
      </c>
      <c r="C2785" s="4">
        <v>11.624000000000001</v>
      </c>
      <c r="D2785" s="4">
        <v>13.138</v>
      </c>
      <c r="E2785" s="4">
        <v>13.1503</v>
      </c>
      <c r="F2785" s="4">
        <f t="shared" si="172"/>
        <v>12.637433333333334</v>
      </c>
      <c r="I2785" s="4" t="s">
        <v>4083</v>
      </c>
      <c r="J2785" s="4">
        <v>12.415100000000001</v>
      </c>
      <c r="K2785" s="4">
        <v>12.797800000000001</v>
      </c>
      <c r="L2785" s="4">
        <v>12.4117</v>
      </c>
      <c r="M2785" s="4">
        <f t="shared" si="173"/>
        <v>12.541533333333334</v>
      </c>
      <c r="Q2785" s="43" t="s">
        <v>194</v>
      </c>
      <c r="R2785" s="4">
        <v>12.1399066213044</v>
      </c>
      <c r="S2785" s="4">
        <v>13.015118409624</v>
      </c>
      <c r="T2785" s="4">
        <v>12.947907703291699</v>
      </c>
      <c r="U2785" s="4">
        <f t="shared" si="174"/>
        <v>12.700977578073365</v>
      </c>
      <c r="X2785" s="43" t="s">
        <v>1541</v>
      </c>
      <c r="Y2785" s="4">
        <v>12.6355848899363</v>
      </c>
      <c r="Z2785" s="4">
        <v>12.913649163957601</v>
      </c>
      <c r="AA2785" s="4">
        <v>13.1568022406846</v>
      </c>
      <c r="AB2785" s="4">
        <f t="shared" si="175"/>
        <v>12.902012098192834</v>
      </c>
    </row>
    <row r="2786" spans="2:28" x14ac:dyDescent="0.2">
      <c r="B2786" s="4" t="s">
        <v>2938</v>
      </c>
      <c r="C2786" s="4">
        <v>12.437900000000001</v>
      </c>
      <c r="D2786" s="4">
        <v>12.5365</v>
      </c>
      <c r="E2786" s="4">
        <v>12.936400000000001</v>
      </c>
      <c r="F2786" s="4">
        <f t="shared" si="172"/>
        <v>12.636933333333333</v>
      </c>
      <c r="I2786" s="4" t="s">
        <v>3458</v>
      </c>
      <c r="J2786" s="4">
        <v>12.9316</v>
      </c>
      <c r="K2786" s="4">
        <v>11.7202</v>
      </c>
      <c r="L2786" s="4">
        <v>12.9655</v>
      </c>
      <c r="M2786" s="4">
        <f t="shared" si="173"/>
        <v>12.539099999999999</v>
      </c>
      <c r="Q2786" s="43" t="s">
        <v>4589</v>
      </c>
      <c r="R2786" s="4">
        <v>12.648337383602399</v>
      </c>
      <c r="S2786" s="4">
        <v>12.8182406626235</v>
      </c>
      <c r="T2786" s="4">
        <v>12.634799184920301</v>
      </c>
      <c r="U2786" s="4">
        <f t="shared" si="174"/>
        <v>12.700459077048734</v>
      </c>
      <c r="X2786" s="43" t="s">
        <v>1897</v>
      </c>
      <c r="Y2786" s="4">
        <v>12.7312066787298</v>
      </c>
      <c r="Z2786" s="4">
        <v>12.863504047475899</v>
      </c>
      <c r="AA2786" s="4">
        <v>13.103308141418999</v>
      </c>
      <c r="AB2786" s="4">
        <f t="shared" si="175"/>
        <v>12.899339622541566</v>
      </c>
    </row>
    <row r="2787" spans="2:28" x14ac:dyDescent="0.2">
      <c r="B2787" s="4" t="s">
        <v>4097</v>
      </c>
      <c r="C2787" s="4">
        <v>12.8977</v>
      </c>
      <c r="D2787" s="4">
        <v>12.405900000000001</v>
      </c>
      <c r="E2787" s="4">
        <v>12.6053</v>
      </c>
      <c r="F2787" s="4">
        <f t="shared" si="172"/>
        <v>12.6363</v>
      </c>
      <c r="I2787" s="4" t="s">
        <v>3324</v>
      </c>
      <c r="J2787" s="4">
        <v>11.501200000000001</v>
      </c>
      <c r="K2787" s="4">
        <v>14.0974</v>
      </c>
      <c r="L2787" s="4">
        <v>11.981199999999999</v>
      </c>
      <c r="M2787" s="4">
        <f t="shared" si="173"/>
        <v>12.5266</v>
      </c>
      <c r="Q2787" s="43" t="s">
        <v>2733</v>
      </c>
      <c r="R2787" s="4">
        <v>12.3044015121359</v>
      </c>
      <c r="S2787" s="4">
        <v>12.9909359617207</v>
      </c>
      <c r="T2787" s="4">
        <v>12.805865480791899</v>
      </c>
      <c r="U2787" s="4">
        <f t="shared" si="174"/>
        <v>12.700400984882833</v>
      </c>
      <c r="X2787" s="43" t="s">
        <v>3162</v>
      </c>
      <c r="Y2787" s="4">
        <v>12.8467518068173</v>
      </c>
      <c r="Z2787" s="4">
        <v>12.8566760952246</v>
      </c>
      <c r="AA2787" s="4">
        <v>12.9913693651629</v>
      </c>
      <c r="AB2787" s="4">
        <f t="shared" si="175"/>
        <v>12.898265755734935</v>
      </c>
    </row>
    <row r="2788" spans="2:28" x14ac:dyDescent="0.2">
      <c r="B2788" s="4" t="s">
        <v>438</v>
      </c>
      <c r="C2788" s="4">
        <v>12.5809</v>
      </c>
      <c r="D2788" s="4">
        <v>12.554600000000001</v>
      </c>
      <c r="E2788" s="4">
        <v>12.7699</v>
      </c>
      <c r="F2788" s="4">
        <f t="shared" si="172"/>
        <v>12.635133333333334</v>
      </c>
      <c r="I2788" s="4" t="s">
        <v>4070</v>
      </c>
      <c r="J2788" s="4">
        <v>12.402699999999999</v>
      </c>
      <c r="K2788" s="4">
        <v>12.825100000000001</v>
      </c>
      <c r="L2788" s="4">
        <v>12.3504</v>
      </c>
      <c r="M2788" s="4">
        <f t="shared" si="173"/>
        <v>12.526066666666667</v>
      </c>
      <c r="Q2788" s="43" t="s">
        <v>3316</v>
      </c>
      <c r="R2788" s="4">
        <v>12.712611819596599</v>
      </c>
      <c r="S2788" s="4">
        <v>12.763850621527901</v>
      </c>
      <c r="T2788" s="4">
        <v>12.621340617985</v>
      </c>
      <c r="U2788" s="4">
        <f t="shared" si="174"/>
        <v>12.699267686369835</v>
      </c>
      <c r="X2788" s="43" t="s">
        <v>2199</v>
      </c>
      <c r="Y2788" s="4">
        <v>13.1354902251264</v>
      </c>
      <c r="Z2788" s="4">
        <v>12.326213933</v>
      </c>
      <c r="AA2788" s="4">
        <v>13.225907833454199</v>
      </c>
      <c r="AB2788" s="4">
        <f t="shared" si="175"/>
        <v>12.895870663860201</v>
      </c>
    </row>
    <row r="2789" spans="2:28" x14ac:dyDescent="0.2">
      <c r="B2789" s="4" t="s">
        <v>195</v>
      </c>
      <c r="C2789" s="4">
        <v>12.3652</v>
      </c>
      <c r="D2789" s="4">
        <v>12.49</v>
      </c>
      <c r="E2789" s="4">
        <v>13.0473</v>
      </c>
      <c r="F2789" s="4">
        <f t="shared" si="172"/>
        <v>12.634166666666667</v>
      </c>
      <c r="I2789" s="4" t="s">
        <v>2097</v>
      </c>
      <c r="J2789" s="4">
        <v>12.1287</v>
      </c>
      <c r="K2789" s="4">
        <v>13.094799999999999</v>
      </c>
      <c r="L2789" s="4">
        <v>12.354200000000001</v>
      </c>
      <c r="M2789" s="4">
        <f t="shared" si="173"/>
        <v>12.5259</v>
      </c>
      <c r="Q2789" s="43" t="s">
        <v>4539</v>
      </c>
      <c r="R2789" s="4">
        <v>12.142999987385901</v>
      </c>
      <c r="S2789" s="4">
        <v>13.145829703011101</v>
      </c>
      <c r="T2789" s="4">
        <v>12.8082596243362</v>
      </c>
      <c r="U2789" s="4">
        <f t="shared" si="174"/>
        <v>12.699029771577734</v>
      </c>
      <c r="X2789" s="43" t="s">
        <v>4355</v>
      </c>
      <c r="Y2789" s="4">
        <v>12.992134743962501</v>
      </c>
      <c r="Z2789" s="4">
        <v>12.843312365243801</v>
      </c>
      <c r="AA2789" s="4">
        <v>12.850905650907499</v>
      </c>
      <c r="AB2789" s="4">
        <f t="shared" si="175"/>
        <v>12.895450920037932</v>
      </c>
    </row>
    <row r="2790" spans="2:28" x14ac:dyDescent="0.2">
      <c r="B2790" s="4" t="s">
        <v>2319</v>
      </c>
      <c r="C2790" s="4">
        <v>14.213900000000001</v>
      </c>
      <c r="D2790" s="4">
        <v>11.844099999999999</v>
      </c>
      <c r="E2790" s="4">
        <v>11.8432</v>
      </c>
      <c r="F2790" s="4">
        <f t="shared" si="172"/>
        <v>12.633733333333334</v>
      </c>
      <c r="I2790" s="4" t="s">
        <v>1402</v>
      </c>
      <c r="J2790" s="4">
        <v>11.4879</v>
      </c>
      <c r="K2790" s="4">
        <v>14.2301</v>
      </c>
      <c r="L2790" s="4">
        <v>11.8581</v>
      </c>
      <c r="M2790" s="4">
        <f t="shared" si="173"/>
        <v>12.525366666666665</v>
      </c>
      <c r="Q2790" s="43" t="s">
        <v>2146</v>
      </c>
      <c r="R2790" s="4">
        <v>12.734341610531899</v>
      </c>
      <c r="S2790" s="4">
        <v>12.8132999658673</v>
      </c>
      <c r="T2790" s="4">
        <v>12.547548917169999</v>
      </c>
      <c r="U2790" s="4">
        <f t="shared" si="174"/>
        <v>12.698396831189733</v>
      </c>
      <c r="X2790" s="43" t="s">
        <v>2397</v>
      </c>
      <c r="Y2790" s="4">
        <v>12.841869863370601</v>
      </c>
      <c r="Z2790" s="4">
        <v>12.7203782956932</v>
      </c>
      <c r="AA2790" s="4">
        <v>13.117396663792199</v>
      </c>
      <c r="AB2790" s="4">
        <f t="shared" si="175"/>
        <v>12.893214940951999</v>
      </c>
    </row>
    <row r="2791" spans="2:28" x14ac:dyDescent="0.2">
      <c r="B2791" s="4" t="s">
        <v>931</v>
      </c>
      <c r="C2791" s="4">
        <v>11.880100000000001</v>
      </c>
      <c r="D2791" s="4">
        <v>13.214</v>
      </c>
      <c r="E2791" s="4">
        <v>12.8066</v>
      </c>
      <c r="F2791" s="4">
        <f t="shared" si="172"/>
        <v>12.633566666666667</v>
      </c>
      <c r="I2791" s="4" t="s">
        <v>2146</v>
      </c>
      <c r="J2791" s="4">
        <v>12.5747</v>
      </c>
      <c r="K2791" s="4">
        <v>12.261699999999999</v>
      </c>
      <c r="L2791" s="4">
        <v>12.737399999999999</v>
      </c>
      <c r="M2791" s="4">
        <f t="shared" si="173"/>
        <v>12.5246</v>
      </c>
      <c r="Q2791" s="43" t="s">
        <v>4519</v>
      </c>
      <c r="R2791" s="4">
        <v>12.9102401315088</v>
      </c>
      <c r="S2791" s="4">
        <v>12.5783542968571</v>
      </c>
      <c r="T2791" s="4">
        <v>12.6019208273387</v>
      </c>
      <c r="U2791" s="4">
        <f t="shared" si="174"/>
        <v>12.6968384185682</v>
      </c>
      <c r="X2791" s="43" t="s">
        <v>990</v>
      </c>
      <c r="Y2791" s="4">
        <v>12.859067635781299</v>
      </c>
      <c r="Z2791" s="4">
        <v>12.9779839592904</v>
      </c>
      <c r="AA2791" s="4">
        <v>12.8398091290863</v>
      </c>
      <c r="AB2791" s="4">
        <f t="shared" si="175"/>
        <v>12.892286908052666</v>
      </c>
    </row>
    <row r="2792" spans="2:28" x14ac:dyDescent="0.2">
      <c r="B2792" s="4" t="s">
        <v>2903</v>
      </c>
      <c r="C2792" s="4">
        <v>13.346299999999999</v>
      </c>
      <c r="D2792" s="4">
        <v>11.911199999999999</v>
      </c>
      <c r="E2792" s="4">
        <v>12.6363</v>
      </c>
      <c r="F2792" s="4">
        <f t="shared" si="172"/>
        <v>12.631266666666667</v>
      </c>
      <c r="I2792" s="4" t="s">
        <v>3779</v>
      </c>
      <c r="J2792" s="4">
        <v>12.435499999999999</v>
      </c>
      <c r="K2792" s="4">
        <v>12.9078</v>
      </c>
      <c r="L2792" s="4">
        <v>12.230499999999999</v>
      </c>
      <c r="M2792" s="4">
        <f t="shared" si="173"/>
        <v>12.5246</v>
      </c>
      <c r="Q2792" s="43" t="s">
        <v>3752</v>
      </c>
      <c r="R2792" s="4">
        <v>12.6150169969186</v>
      </c>
      <c r="S2792" s="4">
        <v>12.937904567600301</v>
      </c>
      <c r="T2792" s="4">
        <v>12.5349578151625</v>
      </c>
      <c r="U2792" s="4">
        <f t="shared" si="174"/>
        <v>12.695959793227132</v>
      </c>
      <c r="X2792" s="43" t="s">
        <v>784</v>
      </c>
      <c r="Y2792" s="4">
        <v>12.8238856436072</v>
      </c>
      <c r="Z2792" s="4">
        <v>13.155344998527401</v>
      </c>
      <c r="AA2792" s="4">
        <v>12.6930309871659</v>
      </c>
      <c r="AB2792" s="4">
        <f t="shared" si="175"/>
        <v>12.8907538764335</v>
      </c>
    </row>
    <row r="2793" spans="2:28" x14ac:dyDescent="0.2">
      <c r="B2793" s="4" t="s">
        <v>3592</v>
      </c>
      <c r="C2793" s="4">
        <v>12.259499999999999</v>
      </c>
      <c r="D2793" s="4">
        <v>13.2881</v>
      </c>
      <c r="E2793" s="4">
        <v>12.343400000000001</v>
      </c>
      <c r="F2793" s="4">
        <f t="shared" si="172"/>
        <v>12.630333333333333</v>
      </c>
      <c r="I2793" s="4" t="s">
        <v>52</v>
      </c>
      <c r="J2793" s="4">
        <v>12.698600000000001</v>
      </c>
      <c r="K2793" s="4">
        <v>13.826000000000001</v>
      </c>
      <c r="L2793" s="4">
        <v>11.047599999999999</v>
      </c>
      <c r="M2793" s="4">
        <f t="shared" si="173"/>
        <v>12.524066666666664</v>
      </c>
      <c r="Q2793" s="43" t="s">
        <v>4569</v>
      </c>
      <c r="R2793" s="4">
        <v>12.630125010105999</v>
      </c>
      <c r="S2793" s="4">
        <v>12.977263780551199</v>
      </c>
      <c r="T2793" s="4">
        <v>12.4711301594019</v>
      </c>
      <c r="U2793" s="4">
        <f t="shared" si="174"/>
        <v>12.6928396500197</v>
      </c>
      <c r="X2793" s="43" t="s">
        <v>3112</v>
      </c>
      <c r="Y2793" s="4">
        <v>12.8655256100239</v>
      </c>
      <c r="Z2793" s="4">
        <v>12.663757971159599</v>
      </c>
      <c r="AA2793" s="4">
        <v>13.141123630662401</v>
      </c>
      <c r="AB2793" s="4">
        <f t="shared" si="175"/>
        <v>12.890135737281966</v>
      </c>
    </row>
    <row r="2794" spans="2:28" x14ac:dyDescent="0.2">
      <c r="B2794" s="4" t="s">
        <v>175</v>
      </c>
      <c r="C2794" s="4">
        <v>12.6929</v>
      </c>
      <c r="D2794" s="4">
        <v>12.2532</v>
      </c>
      <c r="E2794" s="4">
        <v>12.942600000000001</v>
      </c>
      <c r="F2794" s="4">
        <f t="shared" si="172"/>
        <v>12.629566666666667</v>
      </c>
      <c r="I2794" s="4" t="s">
        <v>3339</v>
      </c>
      <c r="J2794" s="4">
        <v>12.447100000000001</v>
      </c>
      <c r="K2794" s="4">
        <v>12.7403</v>
      </c>
      <c r="L2794" s="4">
        <v>12.373799999999999</v>
      </c>
      <c r="M2794" s="4">
        <f t="shared" si="173"/>
        <v>12.5204</v>
      </c>
      <c r="Q2794" s="43" t="s">
        <v>4585</v>
      </c>
      <c r="R2794" s="4">
        <v>12.5453737270057</v>
      </c>
      <c r="S2794" s="4">
        <v>12.966145046223501</v>
      </c>
      <c r="T2794" s="4">
        <v>12.5634310511367</v>
      </c>
      <c r="U2794" s="4">
        <f t="shared" si="174"/>
        <v>12.691649941455301</v>
      </c>
      <c r="X2794" s="43" t="s">
        <v>1749</v>
      </c>
      <c r="Y2794" s="4">
        <v>12.6312505521764</v>
      </c>
      <c r="Z2794" s="4">
        <v>13.134411501494</v>
      </c>
      <c r="AA2794" s="4">
        <v>12.899877256834801</v>
      </c>
      <c r="AB2794" s="4">
        <f t="shared" si="175"/>
        <v>12.888513103501735</v>
      </c>
    </row>
    <row r="2795" spans="2:28" x14ac:dyDescent="0.2">
      <c r="B2795" s="4" t="s">
        <v>682</v>
      </c>
      <c r="C2795" s="4">
        <v>10.894600000000001</v>
      </c>
      <c r="D2795" s="4">
        <v>13.3215</v>
      </c>
      <c r="E2795" s="4">
        <v>13.669600000000001</v>
      </c>
      <c r="F2795" s="4">
        <f t="shared" si="172"/>
        <v>12.628566666666666</v>
      </c>
      <c r="I2795" s="4" t="s">
        <v>3119</v>
      </c>
      <c r="J2795" s="4">
        <v>12.778</v>
      </c>
      <c r="K2795" s="4">
        <v>13.2317</v>
      </c>
      <c r="L2795" s="4">
        <v>11.551399999999999</v>
      </c>
      <c r="M2795" s="4">
        <f t="shared" si="173"/>
        <v>12.520366666666668</v>
      </c>
      <c r="Q2795" s="43" t="s">
        <v>1172</v>
      </c>
      <c r="R2795" s="4">
        <v>12.6201597868571</v>
      </c>
      <c r="S2795" s="4">
        <v>12.816863662179401</v>
      </c>
      <c r="T2795" s="4">
        <v>12.6282027747045</v>
      </c>
      <c r="U2795" s="4">
        <f t="shared" si="174"/>
        <v>12.688408741247001</v>
      </c>
      <c r="X2795" s="43" t="s">
        <v>3627</v>
      </c>
      <c r="Y2795" s="4">
        <v>12.933480987572</v>
      </c>
      <c r="Z2795" s="4">
        <v>12.828423082315499</v>
      </c>
      <c r="AA2795" s="4">
        <v>12.902691120618799</v>
      </c>
      <c r="AB2795" s="4">
        <f t="shared" si="175"/>
        <v>12.888198396835433</v>
      </c>
    </row>
    <row r="2796" spans="2:28" x14ac:dyDescent="0.2">
      <c r="B2796" s="4" t="s">
        <v>2193</v>
      </c>
      <c r="C2796" s="4">
        <v>13.054500000000001</v>
      </c>
      <c r="D2796" s="4">
        <v>12.1183</v>
      </c>
      <c r="E2796" s="4">
        <v>12.7082</v>
      </c>
      <c r="F2796" s="4">
        <f t="shared" si="172"/>
        <v>12.627000000000001</v>
      </c>
      <c r="I2796" s="4" t="s">
        <v>4057</v>
      </c>
      <c r="J2796" s="4">
        <v>12.292400000000001</v>
      </c>
      <c r="K2796" s="4">
        <v>12.7796</v>
      </c>
      <c r="L2796" s="4">
        <v>12.483000000000001</v>
      </c>
      <c r="M2796" s="4">
        <f t="shared" si="173"/>
        <v>12.518333333333336</v>
      </c>
      <c r="Q2796" s="43" t="s">
        <v>34</v>
      </c>
      <c r="R2796" s="4">
        <v>12.6231021129884</v>
      </c>
      <c r="S2796" s="4">
        <v>12.9884038901341</v>
      </c>
      <c r="T2796" s="4">
        <v>12.441299545985199</v>
      </c>
      <c r="U2796" s="4">
        <f t="shared" si="174"/>
        <v>12.684268516369235</v>
      </c>
      <c r="X2796" s="43" t="s">
        <v>1862</v>
      </c>
      <c r="Y2796" s="4">
        <v>12.841834140298801</v>
      </c>
      <c r="Z2796" s="4">
        <v>12.711793563599301</v>
      </c>
      <c r="AA2796" s="4">
        <v>13.108477959876501</v>
      </c>
      <c r="AB2796" s="4">
        <f t="shared" si="175"/>
        <v>12.887368554591534</v>
      </c>
    </row>
    <row r="2797" spans="2:28" x14ac:dyDescent="0.2">
      <c r="B2797" s="4" t="s">
        <v>395</v>
      </c>
      <c r="C2797" s="4">
        <v>11.93</v>
      </c>
      <c r="D2797" s="4">
        <v>12.3683</v>
      </c>
      <c r="E2797" s="4">
        <v>13.581</v>
      </c>
      <c r="F2797" s="4">
        <f t="shared" si="172"/>
        <v>12.626433333333333</v>
      </c>
      <c r="I2797" s="4" t="s">
        <v>2664</v>
      </c>
      <c r="J2797" s="4">
        <v>11.26</v>
      </c>
      <c r="K2797" s="4">
        <v>14.522500000000001</v>
      </c>
      <c r="L2797" s="4">
        <v>11.7523</v>
      </c>
      <c r="M2797" s="4">
        <f t="shared" si="173"/>
        <v>12.5116</v>
      </c>
      <c r="Q2797" s="43" t="s">
        <v>764</v>
      </c>
      <c r="R2797" s="4">
        <v>12.060289978722899</v>
      </c>
      <c r="S2797" s="4">
        <v>12.9218824506698</v>
      </c>
      <c r="T2797" s="4">
        <v>13.0671254809792</v>
      </c>
      <c r="U2797" s="4">
        <f t="shared" si="174"/>
        <v>12.683099303457299</v>
      </c>
      <c r="X2797" s="43" t="s">
        <v>1480</v>
      </c>
      <c r="Y2797" s="4">
        <v>12.867884692000599</v>
      </c>
      <c r="Z2797" s="4">
        <v>12.636899431725</v>
      </c>
      <c r="AA2797" s="4">
        <v>13.1554161113345</v>
      </c>
      <c r="AB2797" s="4">
        <f t="shared" si="175"/>
        <v>12.8867334116867</v>
      </c>
    </row>
    <row r="2798" spans="2:28" x14ac:dyDescent="0.2">
      <c r="B2798" s="4" t="s">
        <v>1810</v>
      </c>
      <c r="C2798" s="4">
        <v>12.7905</v>
      </c>
      <c r="D2798" s="4">
        <v>12.4352</v>
      </c>
      <c r="E2798" s="4">
        <v>12.652900000000001</v>
      </c>
      <c r="F2798" s="4">
        <f t="shared" si="172"/>
        <v>12.626199999999999</v>
      </c>
      <c r="I2798" s="4" t="s">
        <v>4033</v>
      </c>
      <c r="J2798" s="4">
        <v>12.168200000000001</v>
      </c>
      <c r="K2798" s="4">
        <v>12.593</v>
      </c>
      <c r="L2798" s="4">
        <v>12.755100000000001</v>
      </c>
      <c r="M2798" s="4">
        <f t="shared" si="173"/>
        <v>12.505433333333334</v>
      </c>
      <c r="Q2798" s="43" t="s">
        <v>1767</v>
      </c>
      <c r="R2798" s="4">
        <v>12.4639392108359</v>
      </c>
      <c r="S2798" s="4">
        <v>12.8919181503248</v>
      </c>
      <c r="T2798" s="4">
        <v>12.687345665299899</v>
      </c>
      <c r="U2798" s="4">
        <f t="shared" si="174"/>
        <v>12.681067675486867</v>
      </c>
      <c r="X2798" s="43" t="s">
        <v>3376</v>
      </c>
      <c r="Y2798" s="4">
        <v>12.9272435499091</v>
      </c>
      <c r="Z2798" s="4">
        <v>12.748540582892099</v>
      </c>
      <c r="AA2798" s="4">
        <v>12.9810967340331</v>
      </c>
      <c r="AB2798" s="4">
        <f t="shared" si="175"/>
        <v>12.885626955611434</v>
      </c>
    </row>
    <row r="2799" spans="2:28" x14ac:dyDescent="0.2">
      <c r="B2799" s="4" t="s">
        <v>2103</v>
      </c>
      <c r="C2799" s="4">
        <v>12.526199999999999</v>
      </c>
      <c r="D2799" s="4">
        <v>12.6469</v>
      </c>
      <c r="E2799" s="4">
        <v>12.7</v>
      </c>
      <c r="F2799" s="4">
        <f t="shared" si="172"/>
        <v>12.624366666666665</v>
      </c>
      <c r="I2799" s="4" t="s">
        <v>2965</v>
      </c>
      <c r="J2799" s="4">
        <v>12.937799999999999</v>
      </c>
      <c r="K2799" s="4">
        <v>12.210900000000001</v>
      </c>
      <c r="L2799" s="4">
        <v>12.363899999999999</v>
      </c>
      <c r="M2799" s="4">
        <f t="shared" si="173"/>
        <v>12.504199999999999</v>
      </c>
      <c r="Q2799" s="43" t="s">
        <v>907</v>
      </c>
      <c r="R2799" s="4">
        <v>12.471583201419101</v>
      </c>
      <c r="S2799" s="4">
        <v>13.000923570508499</v>
      </c>
      <c r="T2799" s="4">
        <v>12.5702156949963</v>
      </c>
      <c r="U2799" s="4">
        <f t="shared" si="174"/>
        <v>12.680907488974633</v>
      </c>
      <c r="X2799" s="43" t="s">
        <v>1045</v>
      </c>
      <c r="Y2799" s="4">
        <v>12.755335865700999</v>
      </c>
      <c r="Z2799" s="4">
        <v>12.930236307861501</v>
      </c>
      <c r="AA2799" s="4">
        <v>12.9708946819504</v>
      </c>
      <c r="AB2799" s="4">
        <f t="shared" si="175"/>
        <v>12.885488951837631</v>
      </c>
    </row>
    <row r="2800" spans="2:28" x14ac:dyDescent="0.2">
      <c r="B2800" s="4" t="s">
        <v>3827</v>
      </c>
      <c r="C2800" s="4">
        <v>12.5367</v>
      </c>
      <c r="D2800" s="4">
        <v>12.7967</v>
      </c>
      <c r="E2800" s="4">
        <v>12.538600000000001</v>
      </c>
      <c r="F2800" s="4">
        <f t="shared" si="172"/>
        <v>12.624000000000001</v>
      </c>
      <c r="I2800" s="4" t="s">
        <v>1439</v>
      </c>
      <c r="J2800" s="4">
        <v>11.6159</v>
      </c>
      <c r="K2800" s="4">
        <v>14.008900000000001</v>
      </c>
      <c r="L2800" s="4">
        <v>11.874599999999999</v>
      </c>
      <c r="M2800" s="4">
        <f t="shared" si="173"/>
        <v>12.4998</v>
      </c>
      <c r="Q2800" s="43" t="s">
        <v>745</v>
      </c>
      <c r="R2800" s="4">
        <v>12.372868994856301</v>
      </c>
      <c r="S2800" s="4">
        <v>12.7173479423231</v>
      </c>
      <c r="T2800" s="4">
        <v>12.944934175793399</v>
      </c>
      <c r="U2800" s="4">
        <f t="shared" si="174"/>
        <v>12.678383704324267</v>
      </c>
      <c r="X2800" s="43" t="s">
        <v>3788</v>
      </c>
      <c r="Y2800" s="4">
        <v>13.1745977573961</v>
      </c>
      <c r="Z2800" s="4">
        <v>12.9197896677702</v>
      </c>
      <c r="AA2800" s="4">
        <v>12.559900770867699</v>
      </c>
      <c r="AB2800" s="4">
        <f t="shared" si="175"/>
        <v>12.884762732011334</v>
      </c>
    </row>
    <row r="2801" spans="2:28" x14ac:dyDescent="0.2">
      <c r="B2801" s="4" t="s">
        <v>695</v>
      </c>
      <c r="C2801" s="4">
        <v>11.9924</v>
      </c>
      <c r="D2801" s="4">
        <v>13.251099999999999</v>
      </c>
      <c r="E2801" s="4">
        <v>12.6233</v>
      </c>
      <c r="F2801" s="4">
        <f t="shared" si="172"/>
        <v>12.622266666666667</v>
      </c>
      <c r="I2801" s="4" t="s">
        <v>2174</v>
      </c>
      <c r="J2801" s="4">
        <v>12.432399999999999</v>
      </c>
      <c r="K2801" s="4">
        <v>12.4232</v>
      </c>
      <c r="L2801" s="4">
        <v>12.631399999999999</v>
      </c>
      <c r="M2801" s="4">
        <f t="shared" si="173"/>
        <v>12.495666666666665</v>
      </c>
      <c r="Q2801" s="43" t="s">
        <v>4373</v>
      </c>
      <c r="R2801" s="4">
        <v>12.825353332385999</v>
      </c>
      <c r="S2801" s="4">
        <v>12.808698619485501</v>
      </c>
      <c r="T2801" s="4">
        <v>12.400102281209501</v>
      </c>
      <c r="U2801" s="4">
        <f t="shared" si="174"/>
        <v>12.678051411026999</v>
      </c>
      <c r="X2801" s="43" t="s">
        <v>4434</v>
      </c>
      <c r="Y2801" s="4">
        <v>13.0772681727587</v>
      </c>
      <c r="Z2801" s="4">
        <v>12.8269205665862</v>
      </c>
      <c r="AA2801" s="4">
        <v>12.7481040049506</v>
      </c>
      <c r="AB2801" s="4">
        <f t="shared" si="175"/>
        <v>12.884097581431833</v>
      </c>
    </row>
    <row r="2802" spans="2:28" x14ac:dyDescent="0.2">
      <c r="B2802" s="4" t="s">
        <v>3265</v>
      </c>
      <c r="C2802" s="4">
        <v>12.757300000000001</v>
      </c>
      <c r="D2802" s="4">
        <v>12.681699999999999</v>
      </c>
      <c r="E2802" s="4">
        <v>12.422700000000001</v>
      </c>
      <c r="F2802" s="4">
        <f t="shared" si="172"/>
        <v>12.620566666666667</v>
      </c>
      <c r="I2802" s="4" t="s">
        <v>2238</v>
      </c>
      <c r="J2802" s="4">
        <v>12.164400000000001</v>
      </c>
      <c r="K2802" s="4">
        <v>12.843500000000001</v>
      </c>
      <c r="L2802" s="4">
        <v>12.4781</v>
      </c>
      <c r="M2802" s="4">
        <f t="shared" si="173"/>
        <v>12.495333333333333</v>
      </c>
      <c r="Q2802" s="43" t="s">
        <v>3471</v>
      </c>
      <c r="R2802" s="4">
        <v>12.637996824466599</v>
      </c>
      <c r="S2802" s="4">
        <v>12.750309109038801</v>
      </c>
      <c r="T2802" s="4">
        <v>12.641643132068699</v>
      </c>
      <c r="U2802" s="4">
        <f t="shared" si="174"/>
        <v>12.6766496885247</v>
      </c>
      <c r="X2802" s="43" t="s">
        <v>4543</v>
      </c>
      <c r="Y2802" s="4">
        <v>12.999993200465701</v>
      </c>
      <c r="Z2802" s="4">
        <v>12.703690285677</v>
      </c>
      <c r="AA2802" s="4">
        <v>12.9474764585313</v>
      </c>
      <c r="AB2802" s="4">
        <f t="shared" si="175"/>
        <v>12.883719981558</v>
      </c>
    </row>
    <row r="2803" spans="2:28" x14ac:dyDescent="0.2">
      <c r="B2803" s="4" t="s">
        <v>1226</v>
      </c>
      <c r="C2803" s="4">
        <v>12.618499999999999</v>
      </c>
      <c r="D2803" s="4">
        <v>12.2691</v>
      </c>
      <c r="E2803" s="4">
        <v>12.973699999999999</v>
      </c>
      <c r="F2803" s="4">
        <f t="shared" si="172"/>
        <v>12.620433333333333</v>
      </c>
      <c r="I2803" s="4" t="s">
        <v>1855</v>
      </c>
      <c r="J2803" s="4">
        <v>12.736000000000001</v>
      </c>
      <c r="K2803" s="4">
        <v>11.839700000000001</v>
      </c>
      <c r="L2803" s="4">
        <v>12.9077</v>
      </c>
      <c r="M2803" s="4">
        <f t="shared" si="173"/>
        <v>12.494466666666668</v>
      </c>
      <c r="Q2803" s="43" t="s">
        <v>569</v>
      </c>
      <c r="R2803" s="4">
        <v>12.7803917389594</v>
      </c>
      <c r="S2803" s="4">
        <v>12.676513774564199</v>
      </c>
      <c r="T2803" s="4">
        <v>12.570283117058199</v>
      </c>
      <c r="U2803" s="4">
        <f t="shared" si="174"/>
        <v>12.675729543527268</v>
      </c>
      <c r="X2803" s="43" t="s">
        <v>2904</v>
      </c>
      <c r="Y2803" s="4">
        <v>13.068776133464199</v>
      </c>
      <c r="Z2803" s="4">
        <v>12.739866039714499</v>
      </c>
      <c r="AA2803" s="4">
        <v>12.839748063255399</v>
      </c>
      <c r="AB2803" s="4">
        <f t="shared" si="175"/>
        <v>12.882796745478032</v>
      </c>
    </row>
    <row r="2804" spans="2:28" x14ac:dyDescent="0.2">
      <c r="B2804" s="4" t="s">
        <v>1254</v>
      </c>
      <c r="C2804" s="4">
        <v>12.525</v>
      </c>
      <c r="D2804" s="4">
        <v>12.7339</v>
      </c>
      <c r="E2804" s="4">
        <v>12.5799</v>
      </c>
      <c r="F2804" s="4">
        <f t="shared" si="172"/>
        <v>12.612933333333332</v>
      </c>
      <c r="I2804" s="4" t="s">
        <v>2021</v>
      </c>
      <c r="J2804" s="4">
        <v>12.6188</v>
      </c>
      <c r="K2804" s="4">
        <v>12.041499999999999</v>
      </c>
      <c r="L2804" s="4">
        <v>12.821099999999999</v>
      </c>
      <c r="M2804" s="4">
        <f t="shared" si="173"/>
        <v>12.4938</v>
      </c>
      <c r="Q2804" s="43" t="s">
        <v>3841</v>
      </c>
      <c r="R2804" s="4">
        <v>12.662240796709501</v>
      </c>
      <c r="S2804" s="4">
        <v>12.507678173996799</v>
      </c>
      <c r="T2804" s="4">
        <v>12.856684625602201</v>
      </c>
      <c r="U2804" s="4">
        <f t="shared" si="174"/>
        <v>12.675534532102832</v>
      </c>
      <c r="X2804" s="43" t="s">
        <v>4415</v>
      </c>
      <c r="Y2804" s="4">
        <v>12.889205870068499</v>
      </c>
      <c r="Z2804" s="4">
        <v>13.020621612517299</v>
      </c>
      <c r="AA2804" s="4">
        <v>12.733286574711199</v>
      </c>
      <c r="AB2804" s="4">
        <f t="shared" si="175"/>
        <v>12.881038019099</v>
      </c>
    </row>
    <row r="2805" spans="2:28" x14ac:dyDescent="0.2">
      <c r="B2805" s="4" t="s">
        <v>3316</v>
      </c>
      <c r="C2805" s="4">
        <v>12.4528</v>
      </c>
      <c r="D2805" s="4">
        <v>12.837400000000001</v>
      </c>
      <c r="E2805" s="4">
        <v>12.5457</v>
      </c>
      <c r="F2805" s="4">
        <f t="shared" si="172"/>
        <v>12.611966666666666</v>
      </c>
      <c r="I2805" s="4" t="s">
        <v>2055</v>
      </c>
      <c r="J2805" s="4">
        <v>12.2079</v>
      </c>
      <c r="K2805" s="4">
        <v>12.569100000000001</v>
      </c>
      <c r="L2805" s="4">
        <v>12.6989</v>
      </c>
      <c r="M2805" s="4">
        <f t="shared" si="173"/>
        <v>12.491966666666668</v>
      </c>
      <c r="Q2805" s="43" t="s">
        <v>790</v>
      </c>
      <c r="R2805" s="4">
        <v>12.631363651971901</v>
      </c>
      <c r="S2805" s="4">
        <v>12.7036301709828</v>
      </c>
      <c r="T2805" s="4">
        <v>12.6878309526082</v>
      </c>
      <c r="U2805" s="4">
        <f t="shared" si="174"/>
        <v>12.674274925187634</v>
      </c>
      <c r="X2805" s="43" t="s">
        <v>4324</v>
      </c>
      <c r="Y2805" s="4">
        <v>13.272758513024399</v>
      </c>
      <c r="Z2805" s="4">
        <v>12.3812945957149</v>
      </c>
      <c r="AA2805" s="4">
        <v>12.985776174028899</v>
      </c>
      <c r="AB2805" s="4">
        <f t="shared" si="175"/>
        <v>12.879943094256065</v>
      </c>
    </row>
    <row r="2806" spans="2:28" x14ac:dyDescent="0.2">
      <c r="B2806" s="4" t="s">
        <v>3319</v>
      </c>
      <c r="C2806" s="4">
        <v>13.1005</v>
      </c>
      <c r="D2806" s="4">
        <v>12.6073</v>
      </c>
      <c r="E2806" s="4">
        <v>12.1265</v>
      </c>
      <c r="F2806" s="4">
        <f t="shared" si="172"/>
        <v>12.611433333333332</v>
      </c>
      <c r="I2806" s="4" t="s">
        <v>865</v>
      </c>
      <c r="J2806" s="4">
        <v>12.907999999999999</v>
      </c>
      <c r="K2806" s="4">
        <v>11.1873</v>
      </c>
      <c r="L2806" s="4">
        <v>13.3775</v>
      </c>
      <c r="M2806" s="4">
        <f t="shared" si="173"/>
        <v>12.490933333333333</v>
      </c>
      <c r="Q2806" s="43" t="s">
        <v>4250</v>
      </c>
      <c r="R2806" s="4">
        <v>12.111713440503699</v>
      </c>
      <c r="S2806" s="4">
        <v>12.757421478153599</v>
      </c>
      <c r="T2806" s="4">
        <v>13.151790757072</v>
      </c>
      <c r="U2806" s="4">
        <f t="shared" si="174"/>
        <v>12.673641891909767</v>
      </c>
      <c r="X2806" s="43" t="s">
        <v>3058</v>
      </c>
      <c r="Y2806" s="4">
        <v>12.7521855378425</v>
      </c>
      <c r="Z2806" s="4">
        <v>12.9144763895341</v>
      </c>
      <c r="AA2806" s="4">
        <v>12.969361085123699</v>
      </c>
      <c r="AB2806" s="4">
        <f t="shared" si="175"/>
        <v>12.878674337500101</v>
      </c>
    </row>
    <row r="2807" spans="2:28" x14ac:dyDescent="0.2">
      <c r="B2807" s="4" t="s">
        <v>2379</v>
      </c>
      <c r="C2807" s="4">
        <v>12.3249</v>
      </c>
      <c r="D2807" s="4">
        <v>12.7682</v>
      </c>
      <c r="E2807" s="4">
        <v>12.7363</v>
      </c>
      <c r="F2807" s="4">
        <f t="shared" si="172"/>
        <v>12.6098</v>
      </c>
      <c r="I2807" s="4" t="s">
        <v>1392</v>
      </c>
      <c r="J2807" s="4">
        <v>11.7842</v>
      </c>
      <c r="K2807" s="4">
        <v>13.0383</v>
      </c>
      <c r="L2807" s="4">
        <v>12.6493</v>
      </c>
      <c r="M2807" s="4">
        <f t="shared" si="173"/>
        <v>12.490600000000001</v>
      </c>
      <c r="Q2807" s="43" t="s">
        <v>486</v>
      </c>
      <c r="R2807" s="4">
        <v>12.5213134110922</v>
      </c>
      <c r="S2807" s="4">
        <v>12.788496881256499</v>
      </c>
      <c r="T2807" s="4">
        <v>12.7057398782667</v>
      </c>
      <c r="U2807" s="4">
        <f t="shared" si="174"/>
        <v>12.671850056871799</v>
      </c>
      <c r="X2807" s="43" t="s">
        <v>479</v>
      </c>
      <c r="Y2807" s="4">
        <v>12.8233975613274</v>
      </c>
      <c r="Z2807" s="4">
        <v>12.781573066283199</v>
      </c>
      <c r="AA2807" s="4">
        <v>13.030458262786601</v>
      </c>
      <c r="AB2807" s="4">
        <f t="shared" si="175"/>
        <v>12.878476296799066</v>
      </c>
    </row>
    <row r="2808" spans="2:28" x14ac:dyDescent="0.2">
      <c r="B2808" s="4" t="s">
        <v>1531</v>
      </c>
      <c r="C2808" s="4">
        <v>10.799200000000001</v>
      </c>
      <c r="D2808" s="4">
        <v>13.0946</v>
      </c>
      <c r="E2808" s="4">
        <v>13.935499999999999</v>
      </c>
      <c r="F2808" s="4">
        <f t="shared" si="172"/>
        <v>12.609766666666665</v>
      </c>
      <c r="I2808" s="4" t="s">
        <v>24</v>
      </c>
      <c r="J2808" s="4">
        <v>12.145300000000001</v>
      </c>
      <c r="K2808" s="4">
        <v>12.491199999999999</v>
      </c>
      <c r="L2808" s="4">
        <v>12.832700000000001</v>
      </c>
      <c r="M2808" s="4">
        <f t="shared" si="173"/>
        <v>12.489733333333334</v>
      </c>
      <c r="Q2808" s="43" t="s">
        <v>1653</v>
      </c>
      <c r="R2808" s="4">
        <v>12.4825750865195</v>
      </c>
      <c r="S2808" s="4">
        <v>12.724417799300801</v>
      </c>
      <c r="T2808" s="4">
        <v>12.8085416842914</v>
      </c>
      <c r="U2808" s="4">
        <f t="shared" si="174"/>
        <v>12.671844856703899</v>
      </c>
      <c r="X2808" s="43" t="s">
        <v>2673</v>
      </c>
      <c r="Y2808" s="4">
        <v>13.0050440684976</v>
      </c>
      <c r="Z2808" s="4">
        <v>12.844984514319901</v>
      </c>
      <c r="AA2808" s="4">
        <v>12.785250766753499</v>
      </c>
      <c r="AB2808" s="4">
        <f t="shared" si="175"/>
        <v>12.878426449857001</v>
      </c>
    </row>
    <row r="2809" spans="2:28" x14ac:dyDescent="0.2">
      <c r="B2809" s="4" t="s">
        <v>2981</v>
      </c>
      <c r="C2809" s="4">
        <v>13.075900000000001</v>
      </c>
      <c r="D2809" s="4">
        <v>12.4971</v>
      </c>
      <c r="E2809" s="4">
        <v>12.2539</v>
      </c>
      <c r="F2809" s="4">
        <f t="shared" si="172"/>
        <v>12.608966666666667</v>
      </c>
      <c r="I2809" s="4" t="s">
        <v>2872</v>
      </c>
      <c r="J2809" s="4">
        <v>12.9116</v>
      </c>
      <c r="K2809" s="4">
        <v>12.2021</v>
      </c>
      <c r="L2809" s="4">
        <v>12.351699999999999</v>
      </c>
      <c r="M2809" s="4">
        <f t="shared" si="173"/>
        <v>12.488466666666667</v>
      </c>
      <c r="Q2809" s="43" t="s">
        <v>1168</v>
      </c>
      <c r="R2809" s="4">
        <v>11.7861135668799</v>
      </c>
      <c r="S2809" s="4">
        <v>12.5958762761987</v>
      </c>
      <c r="T2809" s="4">
        <v>13.6319931868365</v>
      </c>
      <c r="U2809" s="4">
        <f t="shared" si="174"/>
        <v>12.671327676638365</v>
      </c>
      <c r="X2809" s="43" t="s">
        <v>2910</v>
      </c>
      <c r="Y2809" s="4">
        <v>12.7715558042465</v>
      </c>
      <c r="Z2809" s="4">
        <v>13.0142384012159</v>
      </c>
      <c r="AA2809" s="4">
        <v>12.849370670695301</v>
      </c>
      <c r="AB2809" s="4">
        <f t="shared" si="175"/>
        <v>12.878388292052568</v>
      </c>
    </row>
    <row r="2810" spans="2:28" x14ac:dyDescent="0.2">
      <c r="B2810" s="4" t="s">
        <v>3055</v>
      </c>
      <c r="C2810" s="4">
        <v>13.000299999999999</v>
      </c>
      <c r="D2810" s="4">
        <v>12.453900000000001</v>
      </c>
      <c r="E2810" s="4">
        <v>12.3721</v>
      </c>
      <c r="F2810" s="4">
        <f t="shared" si="172"/>
        <v>12.608766666666668</v>
      </c>
      <c r="I2810" s="4" t="s">
        <v>2660</v>
      </c>
      <c r="J2810" s="4">
        <v>12.854200000000001</v>
      </c>
      <c r="K2810" s="4">
        <v>11.6922</v>
      </c>
      <c r="L2810" s="4">
        <v>12.918200000000001</v>
      </c>
      <c r="M2810" s="4">
        <f t="shared" si="173"/>
        <v>12.488199999999999</v>
      </c>
      <c r="Q2810" s="43" t="s">
        <v>4602</v>
      </c>
      <c r="R2810" s="4">
        <v>12.154833950254099</v>
      </c>
      <c r="S2810" s="4">
        <v>13.0175926084212</v>
      </c>
      <c r="T2810" s="4">
        <v>12.8318673335617</v>
      </c>
      <c r="U2810" s="4">
        <f t="shared" si="174"/>
        <v>12.668097964079001</v>
      </c>
      <c r="X2810" s="43" t="s">
        <v>941</v>
      </c>
      <c r="Y2810" s="4">
        <v>12.8208132666818</v>
      </c>
      <c r="Z2810" s="4">
        <v>12.9137016126885</v>
      </c>
      <c r="AA2810" s="4">
        <v>12.8941252921211</v>
      </c>
      <c r="AB2810" s="4">
        <f t="shared" si="175"/>
        <v>12.876213390497133</v>
      </c>
    </row>
    <row r="2811" spans="2:28" x14ac:dyDescent="0.2">
      <c r="B2811" s="4" t="s">
        <v>3845</v>
      </c>
      <c r="C2811" s="4">
        <v>12.6935</v>
      </c>
      <c r="D2811" s="4">
        <v>12.6511</v>
      </c>
      <c r="E2811" s="4">
        <v>12.478</v>
      </c>
      <c r="F2811" s="4">
        <f t="shared" si="172"/>
        <v>12.607533333333334</v>
      </c>
      <c r="I2811" s="4" t="s">
        <v>4045</v>
      </c>
      <c r="J2811" s="4">
        <v>12.2242</v>
      </c>
      <c r="K2811" s="4">
        <v>12.275600000000001</v>
      </c>
      <c r="L2811" s="4">
        <v>12.956300000000001</v>
      </c>
      <c r="M2811" s="4">
        <f t="shared" si="173"/>
        <v>12.485366666666666</v>
      </c>
      <c r="Q2811" s="43" t="s">
        <v>4351</v>
      </c>
      <c r="R2811" s="4">
        <v>12.984278280527301</v>
      </c>
      <c r="S2811" s="4">
        <v>12.451882176009599</v>
      </c>
      <c r="T2811" s="4">
        <v>12.561897521188699</v>
      </c>
      <c r="U2811" s="4">
        <f t="shared" si="174"/>
        <v>12.666019325908534</v>
      </c>
      <c r="X2811" s="43" t="s">
        <v>1664</v>
      </c>
      <c r="Y2811" s="4">
        <v>12.7461992924752</v>
      </c>
      <c r="Z2811" s="4">
        <v>13.081729618190201</v>
      </c>
      <c r="AA2811" s="4">
        <v>12.800101462741299</v>
      </c>
      <c r="AB2811" s="4">
        <f t="shared" si="175"/>
        <v>12.8760101244689</v>
      </c>
    </row>
    <row r="2812" spans="2:28" x14ac:dyDescent="0.2">
      <c r="B2812" s="4" t="s">
        <v>2846</v>
      </c>
      <c r="C2812" s="4">
        <v>12.7082</v>
      </c>
      <c r="D2812" s="4">
        <v>12.7981</v>
      </c>
      <c r="E2812" s="4">
        <v>12.3116</v>
      </c>
      <c r="F2812" s="4">
        <f t="shared" si="172"/>
        <v>12.605966666666667</v>
      </c>
      <c r="I2812" s="4" t="s">
        <v>884</v>
      </c>
      <c r="J2812" s="4">
        <v>11.5373</v>
      </c>
      <c r="K2812" s="4">
        <v>13.0488</v>
      </c>
      <c r="L2812" s="4">
        <v>12.867000000000001</v>
      </c>
      <c r="M2812" s="4">
        <f t="shared" si="173"/>
        <v>12.484366666666668</v>
      </c>
      <c r="Q2812" s="43" t="s">
        <v>3565</v>
      </c>
      <c r="R2812" s="4">
        <v>12.8876666142978</v>
      </c>
      <c r="S2812" s="4">
        <v>12.617441930022601</v>
      </c>
      <c r="T2812" s="4">
        <v>12.481308093003101</v>
      </c>
      <c r="U2812" s="4">
        <f t="shared" si="174"/>
        <v>12.662138879107834</v>
      </c>
      <c r="X2812" s="43" t="s">
        <v>3803</v>
      </c>
      <c r="Y2812" s="4">
        <v>12.909831533493699</v>
      </c>
      <c r="Z2812" s="4">
        <v>12.742559063125899</v>
      </c>
      <c r="AA2812" s="4">
        <v>12.9740300084528</v>
      </c>
      <c r="AB2812" s="4">
        <f t="shared" si="175"/>
        <v>12.875473535024133</v>
      </c>
    </row>
    <row r="2813" spans="2:28" x14ac:dyDescent="0.2">
      <c r="B2813" s="4" t="s">
        <v>429</v>
      </c>
      <c r="C2813" s="4">
        <v>12.6647</v>
      </c>
      <c r="D2813" s="4">
        <v>12.127700000000001</v>
      </c>
      <c r="E2813" s="4">
        <v>13.0215</v>
      </c>
      <c r="F2813" s="4">
        <f t="shared" si="172"/>
        <v>12.604633333333334</v>
      </c>
      <c r="I2813" s="4" t="s">
        <v>2518</v>
      </c>
      <c r="J2813" s="4">
        <v>12.257099999999999</v>
      </c>
      <c r="K2813" s="4">
        <v>12.742699999999999</v>
      </c>
      <c r="L2813" s="4">
        <v>12.451000000000001</v>
      </c>
      <c r="M2813" s="4">
        <f t="shared" si="173"/>
        <v>12.483600000000001</v>
      </c>
      <c r="Q2813" s="43" t="s">
        <v>3019</v>
      </c>
      <c r="R2813" s="4">
        <v>12.573610174615499</v>
      </c>
      <c r="S2813" s="4">
        <v>12.6569035878266</v>
      </c>
      <c r="T2813" s="4">
        <v>12.7557934170019</v>
      </c>
      <c r="U2813" s="4">
        <f t="shared" si="174"/>
        <v>12.662102393147999</v>
      </c>
      <c r="X2813" s="43" t="s">
        <v>4177</v>
      </c>
      <c r="Y2813" s="4">
        <v>12.9397224608845</v>
      </c>
      <c r="Z2813" s="4">
        <v>12.6243219561033</v>
      </c>
      <c r="AA2813" s="4">
        <v>13.059680614601101</v>
      </c>
      <c r="AB2813" s="4">
        <f t="shared" si="175"/>
        <v>12.874575010529632</v>
      </c>
    </row>
    <row r="2814" spans="2:28" x14ac:dyDescent="0.2">
      <c r="B2814" s="4" t="s">
        <v>3325</v>
      </c>
      <c r="C2814" s="4">
        <v>12.6402</v>
      </c>
      <c r="D2814" s="4">
        <v>12.5954</v>
      </c>
      <c r="E2814" s="4">
        <v>12.568199999999999</v>
      </c>
      <c r="F2814" s="4">
        <f t="shared" si="172"/>
        <v>12.601266666666666</v>
      </c>
      <c r="I2814" s="4" t="s">
        <v>642</v>
      </c>
      <c r="J2814" s="4">
        <v>12.2341</v>
      </c>
      <c r="K2814" s="4">
        <v>12.635400000000001</v>
      </c>
      <c r="L2814" s="4">
        <v>12.5802</v>
      </c>
      <c r="M2814" s="4">
        <f t="shared" si="173"/>
        <v>12.483233333333333</v>
      </c>
      <c r="Q2814" s="43" t="s">
        <v>4140</v>
      </c>
      <c r="R2814" s="4">
        <v>12.7106095500398</v>
      </c>
      <c r="S2814" s="4">
        <v>12.644324684955601</v>
      </c>
      <c r="T2814" s="4">
        <v>12.630180235383699</v>
      </c>
      <c r="U2814" s="4">
        <f t="shared" si="174"/>
        <v>12.661704823459701</v>
      </c>
      <c r="X2814" s="43" t="s">
        <v>1312</v>
      </c>
      <c r="Y2814" s="4">
        <v>12.8099103989301</v>
      </c>
      <c r="Z2814" s="4">
        <v>12.9097892291809</v>
      </c>
      <c r="AA2814" s="4">
        <v>12.8880772275936</v>
      </c>
      <c r="AB2814" s="4">
        <f t="shared" si="175"/>
        <v>12.869258951901534</v>
      </c>
    </row>
    <row r="2815" spans="2:28" x14ac:dyDescent="0.2">
      <c r="B2815" s="4" t="s">
        <v>3953</v>
      </c>
      <c r="C2815" s="4">
        <v>12.3668</v>
      </c>
      <c r="D2815" s="4">
        <v>12.5703</v>
      </c>
      <c r="E2815" s="4">
        <v>12.866199999999999</v>
      </c>
      <c r="F2815" s="4">
        <f t="shared" si="172"/>
        <v>12.601100000000001</v>
      </c>
      <c r="I2815" s="4" t="s">
        <v>3841</v>
      </c>
      <c r="J2815" s="4">
        <v>12.3779</v>
      </c>
      <c r="K2815" s="4">
        <v>12.4223</v>
      </c>
      <c r="L2815" s="4">
        <v>12.640599999999999</v>
      </c>
      <c r="M2815" s="4">
        <f t="shared" si="173"/>
        <v>12.480266666666665</v>
      </c>
      <c r="Q2815" s="43" t="s">
        <v>4612</v>
      </c>
      <c r="R2815" s="4">
        <v>12.551087658224899</v>
      </c>
      <c r="S2815" s="4">
        <v>12.8564571044482</v>
      </c>
      <c r="T2815" s="4">
        <v>12.5734833248224</v>
      </c>
      <c r="U2815" s="4">
        <f t="shared" si="174"/>
        <v>12.660342695831831</v>
      </c>
      <c r="X2815" s="43" t="s">
        <v>4568</v>
      </c>
      <c r="Y2815" s="4">
        <v>13.2396052287553</v>
      </c>
      <c r="Z2815" s="4">
        <v>13.081962024643801</v>
      </c>
      <c r="AA2815" s="4">
        <v>12.2857961037069</v>
      </c>
      <c r="AB2815" s="4">
        <f t="shared" si="175"/>
        <v>12.869121119035334</v>
      </c>
    </row>
    <row r="2816" spans="2:28" x14ac:dyDescent="0.2">
      <c r="B2816" s="4" t="s">
        <v>4000</v>
      </c>
      <c r="C2816" s="4">
        <v>12.645099999999999</v>
      </c>
      <c r="D2816" s="4">
        <v>12.6532</v>
      </c>
      <c r="E2816" s="4">
        <v>12.504799999999999</v>
      </c>
      <c r="F2816" s="4">
        <f t="shared" si="172"/>
        <v>12.601033333333334</v>
      </c>
      <c r="I2816" s="4" t="s">
        <v>3057</v>
      </c>
      <c r="J2816" s="4">
        <v>12.7271</v>
      </c>
      <c r="K2816" s="4">
        <v>12.3935</v>
      </c>
      <c r="L2816" s="4">
        <v>12.3169</v>
      </c>
      <c r="M2816" s="4">
        <f t="shared" si="173"/>
        <v>12.479166666666666</v>
      </c>
      <c r="Q2816" s="43" t="s">
        <v>4494</v>
      </c>
      <c r="R2816" s="4">
        <v>12.7782500672509</v>
      </c>
      <c r="S2816" s="4">
        <v>12.7216502225625</v>
      </c>
      <c r="T2816" s="4">
        <v>12.465812471303099</v>
      </c>
      <c r="U2816" s="4">
        <f t="shared" si="174"/>
        <v>12.655237587038833</v>
      </c>
      <c r="X2816" s="43" t="s">
        <v>2952</v>
      </c>
      <c r="Y2816" s="4">
        <v>12.617717166155099</v>
      </c>
      <c r="Z2816" s="4">
        <v>12.950342470438301</v>
      </c>
      <c r="AA2816" s="4">
        <v>13.0390277664876</v>
      </c>
      <c r="AB2816" s="4">
        <f t="shared" si="175"/>
        <v>12.869029134360332</v>
      </c>
    </row>
    <row r="2817" spans="2:28" x14ac:dyDescent="0.2">
      <c r="B2817" s="4" t="s">
        <v>3247</v>
      </c>
      <c r="C2817" s="4">
        <v>12.411300000000001</v>
      </c>
      <c r="D2817" s="4">
        <v>12.6472</v>
      </c>
      <c r="E2817" s="4">
        <v>12.731199999999999</v>
      </c>
      <c r="F2817" s="4">
        <f t="shared" si="172"/>
        <v>12.596566666666668</v>
      </c>
      <c r="I2817" s="4" t="s">
        <v>3376</v>
      </c>
      <c r="J2817" s="4">
        <v>12.906599999999999</v>
      </c>
      <c r="K2817" s="4">
        <v>11.8667</v>
      </c>
      <c r="L2817" s="4">
        <v>12.6569</v>
      </c>
      <c r="M2817" s="4">
        <f t="shared" si="173"/>
        <v>12.476733333333334</v>
      </c>
      <c r="Q2817" s="43" t="s">
        <v>3842</v>
      </c>
      <c r="R2817" s="4">
        <v>12.4169379980677</v>
      </c>
      <c r="S2817" s="4">
        <v>12.860526672128101</v>
      </c>
      <c r="T2817" s="4">
        <v>12.6838904192463</v>
      </c>
      <c r="U2817" s="4">
        <f t="shared" si="174"/>
        <v>12.653785029814033</v>
      </c>
      <c r="X2817" s="43" t="s">
        <v>3953</v>
      </c>
      <c r="Y2817" s="4">
        <v>12.9381459009977</v>
      </c>
      <c r="Z2817" s="4">
        <v>13.120398744319299</v>
      </c>
      <c r="AA2817" s="4">
        <v>12.5448976325549</v>
      </c>
      <c r="AB2817" s="4">
        <f t="shared" si="175"/>
        <v>12.867814092623966</v>
      </c>
    </row>
    <row r="2818" spans="2:28" x14ac:dyDescent="0.2">
      <c r="B2818" s="4" t="s">
        <v>3186</v>
      </c>
      <c r="C2818" s="4">
        <v>12.466699999999999</v>
      </c>
      <c r="D2818" s="4">
        <v>12.4542</v>
      </c>
      <c r="E2818" s="4">
        <v>12.867800000000001</v>
      </c>
      <c r="F2818" s="4">
        <f t="shared" ref="F2818:F2881" si="176">(C2818+D2818+E2818)/3</f>
        <v>12.596233333333332</v>
      </c>
      <c r="I2818" s="4" t="s">
        <v>2894</v>
      </c>
      <c r="J2818" s="4">
        <v>12.9992</v>
      </c>
      <c r="K2818" s="4">
        <v>11.197800000000001</v>
      </c>
      <c r="L2818" s="4">
        <v>13.2326</v>
      </c>
      <c r="M2818" s="4">
        <f t="shared" ref="M2818:M2881" si="177">(J2818+K2818+L2818)/3</f>
        <v>12.476533333333334</v>
      </c>
      <c r="Q2818" s="43" t="s">
        <v>3281</v>
      </c>
      <c r="R2818" s="4">
        <v>12.609847639253299</v>
      </c>
      <c r="S2818" s="4">
        <v>12.633913854019699</v>
      </c>
      <c r="T2818" s="4">
        <v>12.715518860095001</v>
      </c>
      <c r="U2818" s="4">
        <f t="shared" ref="U2818:U2881" si="178">(R2818+S2818+T2818)/3</f>
        <v>12.653093451122666</v>
      </c>
      <c r="X2818" s="43" t="s">
        <v>3009</v>
      </c>
      <c r="Y2818" s="4">
        <v>13.142970527249799</v>
      </c>
      <c r="Z2818" s="4">
        <v>12.7907866521941</v>
      </c>
      <c r="AA2818" s="4">
        <v>12.6685481400014</v>
      </c>
      <c r="AB2818" s="4">
        <f t="shared" ref="AB2818:AB2881" si="179">(Y2818+Z2818+AA2818)/3</f>
        <v>12.867435106481766</v>
      </c>
    </row>
    <row r="2819" spans="2:28" x14ac:dyDescent="0.2">
      <c r="B2819" s="4" t="s">
        <v>3185</v>
      </c>
      <c r="C2819" s="4">
        <v>12.5533</v>
      </c>
      <c r="D2819" s="4">
        <v>12.6294</v>
      </c>
      <c r="E2819" s="4">
        <v>12.602499999999999</v>
      </c>
      <c r="F2819" s="4">
        <f t="shared" si="176"/>
        <v>12.595066666666668</v>
      </c>
      <c r="I2819" s="4" t="s">
        <v>1471</v>
      </c>
      <c r="J2819" s="4">
        <v>11.2379</v>
      </c>
      <c r="K2819" s="4">
        <v>14.0402</v>
      </c>
      <c r="L2819" s="4">
        <v>12.150399999999999</v>
      </c>
      <c r="M2819" s="4">
        <f t="shared" si="177"/>
        <v>12.476166666666666</v>
      </c>
      <c r="Q2819" s="43" t="s">
        <v>4376</v>
      </c>
      <c r="R2819" s="4">
        <v>12.2598535142996</v>
      </c>
      <c r="S2819" s="4">
        <v>12.7813571151984</v>
      </c>
      <c r="T2819" s="4">
        <v>12.913384668532499</v>
      </c>
      <c r="U2819" s="4">
        <f t="shared" si="178"/>
        <v>12.651531766010166</v>
      </c>
      <c r="X2819" s="43" t="s">
        <v>3600</v>
      </c>
      <c r="Y2819" s="4">
        <v>12.801196636402</v>
      </c>
      <c r="Z2819" s="4">
        <v>13.1138925922545</v>
      </c>
      <c r="AA2819" s="4">
        <v>12.6862660133452</v>
      </c>
      <c r="AB2819" s="4">
        <f t="shared" si="179"/>
        <v>12.867118414000567</v>
      </c>
    </row>
    <row r="2820" spans="2:28" x14ac:dyDescent="0.2">
      <c r="B2820" s="4" t="s">
        <v>158</v>
      </c>
      <c r="C2820" s="4">
        <v>12.8741</v>
      </c>
      <c r="D2820" s="4">
        <v>12.588100000000001</v>
      </c>
      <c r="E2820" s="4">
        <v>12.3109</v>
      </c>
      <c r="F2820" s="4">
        <f t="shared" si="176"/>
        <v>12.591033333333334</v>
      </c>
      <c r="I2820" s="4" t="s">
        <v>1409</v>
      </c>
      <c r="J2820" s="4">
        <v>11.630800000000001</v>
      </c>
      <c r="K2820" s="4">
        <v>13.6563</v>
      </c>
      <c r="L2820" s="4">
        <v>12.1387</v>
      </c>
      <c r="M2820" s="4">
        <f t="shared" si="177"/>
        <v>12.475266666666668</v>
      </c>
      <c r="Q2820" s="43" t="s">
        <v>4259</v>
      </c>
      <c r="R2820" s="4">
        <v>13.015209268476699</v>
      </c>
      <c r="S2820" s="4">
        <v>12.497278988369599</v>
      </c>
      <c r="T2820" s="4">
        <v>12.4259162747645</v>
      </c>
      <c r="U2820" s="4">
        <f t="shared" si="178"/>
        <v>12.646134843870266</v>
      </c>
      <c r="X2820" s="43" t="s">
        <v>3509</v>
      </c>
      <c r="Y2820" s="4">
        <v>12.7814060021753</v>
      </c>
      <c r="Z2820" s="4">
        <v>12.7186879300023</v>
      </c>
      <c r="AA2820" s="4">
        <v>13.096615086107301</v>
      </c>
      <c r="AB2820" s="4">
        <f t="shared" si="179"/>
        <v>12.865569672761632</v>
      </c>
    </row>
    <row r="2821" spans="2:28" x14ac:dyDescent="0.2">
      <c r="B2821" s="4" t="s">
        <v>325</v>
      </c>
      <c r="C2821" s="4">
        <v>12.436400000000001</v>
      </c>
      <c r="D2821" s="4">
        <v>12.4802</v>
      </c>
      <c r="E2821" s="4">
        <v>12.847300000000001</v>
      </c>
      <c r="F2821" s="4">
        <f t="shared" si="176"/>
        <v>12.587966666666668</v>
      </c>
      <c r="I2821" s="4" t="s">
        <v>3438</v>
      </c>
      <c r="J2821" s="4">
        <v>12.571300000000001</v>
      </c>
      <c r="K2821" s="4">
        <v>12.9239</v>
      </c>
      <c r="L2821" s="4">
        <v>11.926399999999999</v>
      </c>
      <c r="M2821" s="4">
        <f t="shared" si="177"/>
        <v>12.473866666666666</v>
      </c>
      <c r="Q2821" s="43" t="s">
        <v>2442</v>
      </c>
      <c r="R2821" s="4">
        <v>12.7566198693057</v>
      </c>
      <c r="S2821" s="4">
        <v>12.7957682520925</v>
      </c>
      <c r="T2821" s="4">
        <v>12.3847275491931</v>
      </c>
      <c r="U2821" s="4">
        <f t="shared" si="178"/>
        <v>12.645705223530435</v>
      </c>
      <c r="X2821" s="43" t="s">
        <v>4545</v>
      </c>
      <c r="Y2821" s="4">
        <v>13.0876125094664</v>
      </c>
      <c r="Z2821" s="4">
        <v>12.331636398994601</v>
      </c>
      <c r="AA2821" s="4">
        <v>13.177364523281501</v>
      </c>
      <c r="AB2821" s="4">
        <f t="shared" si="179"/>
        <v>12.865537810580832</v>
      </c>
    </row>
    <row r="2822" spans="2:28" x14ac:dyDescent="0.2">
      <c r="B2822" s="4" t="s">
        <v>3799</v>
      </c>
      <c r="C2822" s="4">
        <v>12.329599999999999</v>
      </c>
      <c r="D2822" s="4">
        <v>12.6325</v>
      </c>
      <c r="E2822" s="4">
        <v>12.783300000000001</v>
      </c>
      <c r="F2822" s="4">
        <f t="shared" si="176"/>
        <v>12.581800000000001</v>
      </c>
      <c r="I2822" s="4" t="s">
        <v>652</v>
      </c>
      <c r="J2822" s="4">
        <v>12.679600000000001</v>
      </c>
      <c r="K2822" s="4">
        <v>12.543900000000001</v>
      </c>
      <c r="L2822" s="4">
        <v>12.1843</v>
      </c>
      <c r="M2822" s="4">
        <f t="shared" si="177"/>
        <v>12.469266666666668</v>
      </c>
      <c r="Q2822" s="43" t="s">
        <v>3532</v>
      </c>
      <c r="R2822" s="4">
        <v>12.1528464490769</v>
      </c>
      <c r="S2822" s="4">
        <v>12.8852709575439</v>
      </c>
      <c r="T2822" s="4">
        <v>12.8945611035267</v>
      </c>
      <c r="U2822" s="4">
        <f t="shared" si="178"/>
        <v>12.644226170049166</v>
      </c>
      <c r="X2822" s="43" t="s">
        <v>4587</v>
      </c>
      <c r="Y2822" s="4">
        <v>12.821656852155</v>
      </c>
      <c r="Z2822" s="4">
        <v>12.771548032254399</v>
      </c>
      <c r="AA2822" s="4">
        <v>12.995315058547501</v>
      </c>
      <c r="AB2822" s="4">
        <f t="shared" si="179"/>
        <v>12.862839980985633</v>
      </c>
    </row>
    <row r="2823" spans="2:28" x14ac:dyDescent="0.2">
      <c r="B2823" s="4" t="s">
        <v>356</v>
      </c>
      <c r="C2823" s="4">
        <v>12.5182</v>
      </c>
      <c r="D2823" s="4">
        <v>12.8506</v>
      </c>
      <c r="E2823" s="4">
        <v>12.3749</v>
      </c>
      <c r="F2823" s="4">
        <f t="shared" si="176"/>
        <v>12.581233333333335</v>
      </c>
      <c r="I2823" s="4" t="s">
        <v>1186</v>
      </c>
      <c r="J2823" s="4">
        <v>12.4514</v>
      </c>
      <c r="K2823" s="4">
        <v>12.281000000000001</v>
      </c>
      <c r="L2823" s="4">
        <v>12.675000000000001</v>
      </c>
      <c r="M2823" s="4">
        <f t="shared" si="177"/>
        <v>12.469133333333332</v>
      </c>
      <c r="Q2823" s="43" t="s">
        <v>939</v>
      </c>
      <c r="R2823" s="4">
        <v>12.756690547847599</v>
      </c>
      <c r="S2823" s="4">
        <v>13.064510598438</v>
      </c>
      <c r="T2823" s="4">
        <v>12.1092027079088</v>
      </c>
      <c r="U2823" s="4">
        <f t="shared" si="178"/>
        <v>12.643467951398131</v>
      </c>
      <c r="X2823" s="43" t="s">
        <v>1310</v>
      </c>
      <c r="Y2823" s="4">
        <v>12.7585732630685</v>
      </c>
      <c r="Z2823" s="4">
        <v>12.9390394683316</v>
      </c>
      <c r="AA2823" s="4">
        <v>12.8895665122807</v>
      </c>
      <c r="AB2823" s="4">
        <f t="shared" si="179"/>
        <v>12.862393081226934</v>
      </c>
    </row>
    <row r="2824" spans="2:28" x14ac:dyDescent="0.2">
      <c r="B2824" s="4" t="s">
        <v>3838</v>
      </c>
      <c r="C2824" s="4">
        <v>13.3309</v>
      </c>
      <c r="D2824" s="4">
        <v>12.462899999999999</v>
      </c>
      <c r="E2824" s="4">
        <v>11.9499</v>
      </c>
      <c r="F2824" s="4">
        <f t="shared" si="176"/>
        <v>12.581233333333332</v>
      </c>
      <c r="I2824" s="4" t="s">
        <v>3298</v>
      </c>
      <c r="J2824" s="4">
        <v>12.6401</v>
      </c>
      <c r="K2824" s="4">
        <v>11.839499999999999</v>
      </c>
      <c r="L2824" s="4">
        <v>12.927</v>
      </c>
      <c r="M2824" s="4">
        <f t="shared" si="177"/>
        <v>12.468866666666665</v>
      </c>
      <c r="Q2824" s="43" t="s">
        <v>719</v>
      </c>
      <c r="R2824" s="4">
        <v>12.386356103490799</v>
      </c>
      <c r="S2824" s="4">
        <v>12.835807677917</v>
      </c>
      <c r="T2824" s="4">
        <v>12.7042132326609</v>
      </c>
      <c r="U2824" s="4">
        <f t="shared" si="178"/>
        <v>12.642125671356233</v>
      </c>
      <c r="X2824" s="43" t="s">
        <v>4380</v>
      </c>
      <c r="Y2824" s="4">
        <v>12.7490783459598</v>
      </c>
      <c r="Z2824" s="4">
        <v>12.578715379718901</v>
      </c>
      <c r="AA2824" s="4">
        <v>13.259347775335099</v>
      </c>
      <c r="AB2824" s="4">
        <f t="shared" si="179"/>
        <v>12.862380500337935</v>
      </c>
    </row>
    <row r="2825" spans="2:28" x14ac:dyDescent="0.2">
      <c r="B2825" s="4" t="s">
        <v>2504</v>
      </c>
      <c r="C2825" s="4">
        <v>12.7903</v>
      </c>
      <c r="D2825" s="4">
        <v>12.4055</v>
      </c>
      <c r="E2825" s="4">
        <v>12.5466</v>
      </c>
      <c r="F2825" s="4">
        <f t="shared" si="176"/>
        <v>12.580799999999998</v>
      </c>
      <c r="I2825" s="4" t="s">
        <v>743</v>
      </c>
      <c r="J2825" s="4">
        <v>12.050800000000001</v>
      </c>
      <c r="K2825" s="4">
        <v>13.1576</v>
      </c>
      <c r="L2825" s="4">
        <v>12.1858</v>
      </c>
      <c r="M2825" s="4">
        <f t="shared" si="177"/>
        <v>12.464733333333333</v>
      </c>
      <c r="Q2825" s="43" t="s">
        <v>2811</v>
      </c>
      <c r="R2825" s="4">
        <v>12.6983786425536</v>
      </c>
      <c r="S2825" s="4">
        <v>12.479031531075</v>
      </c>
      <c r="T2825" s="4">
        <v>12.745329385859399</v>
      </c>
      <c r="U2825" s="4">
        <f t="shared" si="178"/>
        <v>12.640913186496</v>
      </c>
      <c r="X2825" s="43" t="s">
        <v>2257</v>
      </c>
      <c r="Y2825" s="4">
        <v>12.8226717141712</v>
      </c>
      <c r="Z2825" s="4">
        <v>12.8843390984638</v>
      </c>
      <c r="AA2825" s="4">
        <v>12.8797979341941</v>
      </c>
      <c r="AB2825" s="4">
        <f t="shared" si="179"/>
        <v>12.862269582276367</v>
      </c>
    </row>
    <row r="2826" spans="2:28" x14ac:dyDescent="0.2">
      <c r="B2826" s="4" t="s">
        <v>2763</v>
      </c>
      <c r="C2826" s="4">
        <v>12.061999999999999</v>
      </c>
      <c r="D2826" s="4">
        <v>13.0215</v>
      </c>
      <c r="E2826" s="4">
        <v>12.656599999999999</v>
      </c>
      <c r="F2826" s="4">
        <f t="shared" si="176"/>
        <v>12.580033333333333</v>
      </c>
      <c r="I2826" s="4" t="s">
        <v>3544</v>
      </c>
      <c r="J2826" s="4">
        <v>12.1113</v>
      </c>
      <c r="K2826" s="4">
        <v>12.349399999999999</v>
      </c>
      <c r="L2826" s="4">
        <v>12.931699999999999</v>
      </c>
      <c r="M2826" s="4">
        <f t="shared" si="177"/>
        <v>12.464133333333331</v>
      </c>
      <c r="Q2826" s="43" t="s">
        <v>1149</v>
      </c>
      <c r="R2826" s="4">
        <v>12.644342167768</v>
      </c>
      <c r="S2826" s="4">
        <v>12.3315113134729</v>
      </c>
      <c r="T2826" s="4">
        <v>12.945788007786099</v>
      </c>
      <c r="U2826" s="4">
        <f t="shared" si="178"/>
        <v>12.640547163008998</v>
      </c>
      <c r="X2826" s="43" t="s">
        <v>1550</v>
      </c>
      <c r="Y2826" s="4">
        <v>12.9463878737934</v>
      </c>
      <c r="Z2826" s="4">
        <v>12.679851680299301</v>
      </c>
      <c r="AA2826" s="4">
        <v>12.9603849604551</v>
      </c>
      <c r="AB2826" s="4">
        <f t="shared" si="179"/>
        <v>12.862208171515933</v>
      </c>
    </row>
    <row r="2827" spans="2:28" x14ac:dyDescent="0.2">
      <c r="B2827" s="4" t="s">
        <v>1706</v>
      </c>
      <c r="C2827" s="4">
        <v>13.387</v>
      </c>
      <c r="D2827" s="4">
        <v>12.4345</v>
      </c>
      <c r="E2827" s="4">
        <v>11.917999999999999</v>
      </c>
      <c r="F2827" s="4">
        <f t="shared" si="176"/>
        <v>12.579833333333333</v>
      </c>
      <c r="I2827" s="4" t="s">
        <v>2107</v>
      </c>
      <c r="J2827" s="4">
        <v>11.8218</v>
      </c>
      <c r="K2827" s="4">
        <v>13.997299999999999</v>
      </c>
      <c r="L2827" s="4">
        <v>11.5688</v>
      </c>
      <c r="M2827" s="4">
        <f t="shared" si="177"/>
        <v>12.462633333333335</v>
      </c>
      <c r="Q2827" s="43" t="s">
        <v>280</v>
      </c>
      <c r="R2827" s="4">
        <v>13.0232236585568</v>
      </c>
      <c r="S2827" s="4">
        <v>12.3055587425282</v>
      </c>
      <c r="T2827" s="4">
        <v>12.589504489506</v>
      </c>
      <c r="U2827" s="4">
        <f t="shared" si="178"/>
        <v>12.639428963530333</v>
      </c>
      <c r="X2827" s="43" t="s">
        <v>1688</v>
      </c>
      <c r="Y2827" s="4">
        <v>12.621731872794101</v>
      </c>
      <c r="Z2827" s="4">
        <v>13.2768909376524</v>
      </c>
      <c r="AA2827" s="4">
        <v>12.6858192865138</v>
      </c>
      <c r="AB2827" s="4">
        <f t="shared" si="179"/>
        <v>12.861480698986767</v>
      </c>
    </row>
    <row r="2828" spans="2:28" x14ac:dyDescent="0.2">
      <c r="B2828" s="4" t="s">
        <v>2105</v>
      </c>
      <c r="C2828" s="4">
        <v>12.722899999999999</v>
      </c>
      <c r="D2828" s="4">
        <v>12.076700000000001</v>
      </c>
      <c r="E2828" s="4">
        <v>12.936500000000001</v>
      </c>
      <c r="F2828" s="4">
        <f t="shared" si="176"/>
        <v>12.5787</v>
      </c>
      <c r="I2828" s="4" t="s">
        <v>3780</v>
      </c>
      <c r="J2828" s="4">
        <v>12.6927</v>
      </c>
      <c r="K2828" s="4">
        <v>12.8439</v>
      </c>
      <c r="L2828" s="4">
        <v>11.8492</v>
      </c>
      <c r="M2828" s="4">
        <f t="shared" si="177"/>
        <v>12.461933333333334</v>
      </c>
      <c r="Q2828" s="43" t="s">
        <v>344</v>
      </c>
      <c r="R2828" s="4">
        <v>12.754883641569601</v>
      </c>
      <c r="S2828" s="4">
        <v>12.5103522313147</v>
      </c>
      <c r="T2828" s="4">
        <v>12.651394024140901</v>
      </c>
      <c r="U2828" s="4">
        <f t="shared" si="178"/>
        <v>12.638876632341734</v>
      </c>
      <c r="X2828" s="43" t="s">
        <v>848</v>
      </c>
      <c r="Y2828" s="4">
        <v>12.589462073400099</v>
      </c>
      <c r="Z2828" s="4">
        <v>12.8758243494069</v>
      </c>
      <c r="AA2828" s="4">
        <v>13.1153257464648</v>
      </c>
      <c r="AB2828" s="4">
        <f t="shared" si="179"/>
        <v>12.860204056423932</v>
      </c>
    </row>
    <row r="2829" spans="2:28" x14ac:dyDescent="0.2">
      <c r="B2829" s="4" t="s">
        <v>3432</v>
      </c>
      <c r="C2829" s="4">
        <v>13.2097</v>
      </c>
      <c r="D2829" s="4">
        <v>11.708</v>
      </c>
      <c r="E2829" s="4">
        <v>12.816800000000001</v>
      </c>
      <c r="F2829" s="4">
        <f t="shared" si="176"/>
        <v>12.578166666666666</v>
      </c>
      <c r="I2829" s="4" t="s">
        <v>3338</v>
      </c>
      <c r="J2829" s="4">
        <v>12.242000000000001</v>
      </c>
      <c r="K2829" s="4">
        <v>12.401899999999999</v>
      </c>
      <c r="L2829" s="4">
        <v>12.7369</v>
      </c>
      <c r="M2829" s="4">
        <f t="shared" si="177"/>
        <v>12.460266666666667</v>
      </c>
      <c r="Q2829" s="43" t="s">
        <v>1967</v>
      </c>
      <c r="R2829" s="4">
        <v>12.642400808607601</v>
      </c>
      <c r="S2829" s="4">
        <v>12.654225956143399</v>
      </c>
      <c r="T2829" s="4">
        <v>12.617200707068299</v>
      </c>
      <c r="U2829" s="4">
        <f t="shared" si="178"/>
        <v>12.637942490606434</v>
      </c>
      <c r="X2829" s="43" t="s">
        <v>4199</v>
      </c>
      <c r="Y2829" s="4">
        <v>12.883641699731101</v>
      </c>
      <c r="Z2829" s="4">
        <v>12.3523649387423</v>
      </c>
      <c r="AA2829" s="4">
        <v>13.3414109155279</v>
      </c>
      <c r="AB2829" s="4">
        <f t="shared" si="179"/>
        <v>12.8591391846671</v>
      </c>
    </row>
    <row r="2830" spans="2:28" x14ac:dyDescent="0.2">
      <c r="B2830" s="4" t="s">
        <v>2194</v>
      </c>
      <c r="C2830" s="4">
        <v>10.673500000000001</v>
      </c>
      <c r="D2830" s="4">
        <v>12.8529</v>
      </c>
      <c r="E2830" s="4">
        <v>14.2079</v>
      </c>
      <c r="F2830" s="4">
        <f t="shared" si="176"/>
        <v>12.578100000000001</v>
      </c>
      <c r="I2830" s="4" t="s">
        <v>3795</v>
      </c>
      <c r="J2830" s="4">
        <v>12.180199999999999</v>
      </c>
      <c r="K2830" s="4">
        <v>12.2959</v>
      </c>
      <c r="L2830" s="4">
        <v>12.895899999999999</v>
      </c>
      <c r="M2830" s="4">
        <f t="shared" si="177"/>
        <v>12.457333333333333</v>
      </c>
      <c r="Q2830" s="43" t="s">
        <v>2976</v>
      </c>
      <c r="R2830" s="4">
        <v>13.0049913096629</v>
      </c>
      <c r="S2830" s="4">
        <v>12.579545630263301</v>
      </c>
      <c r="T2830" s="4">
        <v>12.325552091053</v>
      </c>
      <c r="U2830" s="4">
        <f t="shared" si="178"/>
        <v>12.636696343659734</v>
      </c>
      <c r="X2830" s="43" t="s">
        <v>2269</v>
      </c>
      <c r="Y2830" s="4">
        <v>12.507178686713701</v>
      </c>
      <c r="Z2830" s="4">
        <v>13.3099617202879</v>
      </c>
      <c r="AA2830" s="4">
        <v>12.7580629857723</v>
      </c>
      <c r="AB2830" s="4">
        <f t="shared" si="179"/>
        <v>12.858401130924634</v>
      </c>
    </row>
    <row r="2831" spans="2:28" x14ac:dyDescent="0.2">
      <c r="B2831" s="4" t="s">
        <v>1540</v>
      </c>
      <c r="C2831" s="4">
        <v>11.7143</v>
      </c>
      <c r="D2831" s="4">
        <v>12.5038</v>
      </c>
      <c r="E2831" s="4">
        <v>13.5123</v>
      </c>
      <c r="F2831" s="4">
        <f t="shared" si="176"/>
        <v>12.5768</v>
      </c>
      <c r="I2831" s="4" t="s">
        <v>1416</v>
      </c>
      <c r="J2831" s="4">
        <v>12.2423</v>
      </c>
      <c r="K2831" s="4">
        <v>12.7812</v>
      </c>
      <c r="L2831" s="4">
        <v>12.333299999999999</v>
      </c>
      <c r="M2831" s="4">
        <f t="shared" si="177"/>
        <v>12.452266666666667</v>
      </c>
      <c r="Q2831" s="43" t="s">
        <v>4333</v>
      </c>
      <c r="R2831" s="4">
        <v>12.557097249236699</v>
      </c>
      <c r="S2831" s="4">
        <v>12.8231517836235</v>
      </c>
      <c r="T2831" s="4">
        <v>12.526853051579501</v>
      </c>
      <c r="U2831" s="4">
        <f t="shared" si="178"/>
        <v>12.635700694813233</v>
      </c>
      <c r="X2831" s="43" t="s">
        <v>514</v>
      </c>
      <c r="Y2831" s="4">
        <v>12.392482812211799</v>
      </c>
      <c r="Z2831" s="4">
        <v>12.971151561445801</v>
      </c>
      <c r="AA2831" s="4">
        <v>13.202766565923</v>
      </c>
      <c r="AB2831" s="4">
        <f t="shared" si="179"/>
        <v>12.855466979860202</v>
      </c>
    </row>
    <row r="2832" spans="2:28" x14ac:dyDescent="0.2">
      <c r="B2832" s="4" t="s">
        <v>3803</v>
      </c>
      <c r="C2832" s="4">
        <v>12.6244</v>
      </c>
      <c r="D2832" s="4">
        <v>12.5905</v>
      </c>
      <c r="E2832" s="4">
        <v>12.512</v>
      </c>
      <c r="F2832" s="4">
        <f t="shared" si="176"/>
        <v>12.575633333333334</v>
      </c>
      <c r="I2832" s="4" t="s">
        <v>1961</v>
      </c>
      <c r="J2832" s="4">
        <v>12.669700000000001</v>
      </c>
      <c r="K2832" s="4">
        <v>12.179500000000001</v>
      </c>
      <c r="L2832" s="4">
        <v>12.505599999999999</v>
      </c>
      <c r="M2832" s="4">
        <f t="shared" si="177"/>
        <v>12.451600000000001</v>
      </c>
      <c r="Q2832" s="43" t="s">
        <v>4409</v>
      </c>
      <c r="R2832" s="4">
        <v>12.405824051255999</v>
      </c>
      <c r="S2832" s="4">
        <v>12.9372598684067</v>
      </c>
      <c r="T2832" s="4">
        <v>12.559859503016501</v>
      </c>
      <c r="U2832" s="4">
        <f t="shared" si="178"/>
        <v>12.6343144742264</v>
      </c>
      <c r="X2832" s="43" t="s">
        <v>2620</v>
      </c>
      <c r="Y2832" s="4">
        <v>12.865373857794101</v>
      </c>
      <c r="Z2832" s="4">
        <v>13.0084158065566</v>
      </c>
      <c r="AA2832" s="4">
        <v>12.6846906074896</v>
      </c>
      <c r="AB2832" s="4">
        <f t="shared" si="179"/>
        <v>12.8528267572801</v>
      </c>
    </row>
    <row r="2833" spans="2:28" x14ac:dyDescent="0.2">
      <c r="B2833" s="4" t="s">
        <v>196</v>
      </c>
      <c r="C2833" s="4">
        <v>12.9024</v>
      </c>
      <c r="D2833" s="4">
        <v>12.5869</v>
      </c>
      <c r="E2833" s="4">
        <v>12.228999999999999</v>
      </c>
      <c r="F2833" s="4">
        <f t="shared" si="176"/>
        <v>12.572766666666666</v>
      </c>
      <c r="I2833" s="4" t="s">
        <v>394</v>
      </c>
      <c r="J2833" s="4">
        <v>12.472300000000001</v>
      </c>
      <c r="K2833" s="4">
        <v>11.8742</v>
      </c>
      <c r="L2833" s="4">
        <v>13.0054</v>
      </c>
      <c r="M2833" s="4">
        <f t="shared" si="177"/>
        <v>12.450633333333334</v>
      </c>
      <c r="Q2833" s="43" t="s">
        <v>4047</v>
      </c>
      <c r="R2833" s="4">
        <v>12.6628528299437</v>
      </c>
      <c r="S2833" s="4">
        <v>12.6153501805967</v>
      </c>
      <c r="T2833" s="4">
        <v>12.615188800123899</v>
      </c>
      <c r="U2833" s="4">
        <f t="shared" si="178"/>
        <v>12.631130603554766</v>
      </c>
      <c r="X2833" s="43" t="s">
        <v>278</v>
      </c>
      <c r="Y2833" s="4">
        <v>13.123122279396901</v>
      </c>
      <c r="Z2833" s="4">
        <v>12.8483321077608</v>
      </c>
      <c r="AA2833" s="4">
        <v>12.582175933448401</v>
      </c>
      <c r="AB2833" s="4">
        <f t="shared" si="179"/>
        <v>12.851210106868701</v>
      </c>
    </row>
    <row r="2834" spans="2:28" x14ac:dyDescent="0.2">
      <c r="B2834" s="4" t="s">
        <v>3367</v>
      </c>
      <c r="C2834" s="4">
        <v>12.526999999999999</v>
      </c>
      <c r="D2834" s="4">
        <v>12.6958</v>
      </c>
      <c r="E2834" s="4">
        <v>12.487299999999999</v>
      </c>
      <c r="F2834" s="4">
        <f t="shared" si="176"/>
        <v>12.570033333333333</v>
      </c>
      <c r="I2834" s="4" t="s">
        <v>3643</v>
      </c>
      <c r="J2834" s="4">
        <v>11.734299999999999</v>
      </c>
      <c r="K2834" s="4">
        <v>13.1366</v>
      </c>
      <c r="L2834" s="4">
        <v>12.466200000000001</v>
      </c>
      <c r="M2834" s="4">
        <f t="shared" si="177"/>
        <v>12.4457</v>
      </c>
      <c r="Q2834" s="43" t="s">
        <v>4523</v>
      </c>
      <c r="R2834" s="4">
        <v>12.5208646218649</v>
      </c>
      <c r="S2834" s="4">
        <v>12.4245982970019</v>
      </c>
      <c r="T2834" s="4">
        <v>12.9424814612061</v>
      </c>
      <c r="U2834" s="4">
        <f t="shared" si="178"/>
        <v>12.629314793357635</v>
      </c>
      <c r="X2834" s="43" t="s">
        <v>1813</v>
      </c>
      <c r="Y2834" s="4">
        <v>12.954672188336099</v>
      </c>
      <c r="Z2834" s="4">
        <v>12.980038220343699</v>
      </c>
      <c r="AA2834" s="4">
        <v>12.615323842699899</v>
      </c>
      <c r="AB2834" s="4">
        <f t="shared" si="179"/>
        <v>12.850011417126566</v>
      </c>
    </row>
    <row r="2835" spans="2:28" x14ac:dyDescent="0.2">
      <c r="B2835" s="4" t="s">
        <v>2121</v>
      </c>
      <c r="C2835" s="4">
        <v>12.393000000000001</v>
      </c>
      <c r="D2835" s="4">
        <v>12.7232</v>
      </c>
      <c r="E2835" s="4">
        <v>12.5892</v>
      </c>
      <c r="F2835" s="4">
        <f t="shared" si="176"/>
        <v>12.568466666666666</v>
      </c>
      <c r="I2835" s="4" t="s">
        <v>2643</v>
      </c>
      <c r="J2835" s="4">
        <v>12.7723</v>
      </c>
      <c r="K2835" s="4">
        <v>11.816000000000001</v>
      </c>
      <c r="L2835" s="4">
        <v>12.7408</v>
      </c>
      <c r="M2835" s="4">
        <f t="shared" si="177"/>
        <v>12.443033333333332</v>
      </c>
      <c r="Q2835" s="43" t="s">
        <v>7</v>
      </c>
      <c r="R2835" s="4">
        <v>11.9889071912811</v>
      </c>
      <c r="S2835" s="4">
        <v>12.868008261574801</v>
      </c>
      <c r="T2835" s="4">
        <v>13.029668384467101</v>
      </c>
      <c r="U2835" s="4">
        <f t="shared" si="178"/>
        <v>12.628861279107667</v>
      </c>
      <c r="X2835" s="43" t="s">
        <v>2308</v>
      </c>
      <c r="Y2835" s="4">
        <v>12.6186104566453</v>
      </c>
      <c r="Z2835" s="4">
        <v>13.011800647301101</v>
      </c>
      <c r="AA2835" s="4">
        <v>12.912819910629899</v>
      </c>
      <c r="AB2835" s="4">
        <f t="shared" si="179"/>
        <v>12.847743671525434</v>
      </c>
    </row>
    <row r="2836" spans="2:28" x14ac:dyDescent="0.2">
      <c r="B2836" s="4" t="s">
        <v>2146</v>
      </c>
      <c r="C2836" s="4">
        <v>12.398300000000001</v>
      </c>
      <c r="D2836" s="4">
        <v>12.8804</v>
      </c>
      <c r="E2836" s="4">
        <v>12.421099999999999</v>
      </c>
      <c r="F2836" s="4">
        <f t="shared" si="176"/>
        <v>12.566599999999999</v>
      </c>
      <c r="I2836" s="4" t="s">
        <v>1006</v>
      </c>
      <c r="J2836" s="4">
        <v>12.5497</v>
      </c>
      <c r="K2836" s="4">
        <v>12.2332</v>
      </c>
      <c r="L2836" s="4">
        <v>12.5426</v>
      </c>
      <c r="M2836" s="4">
        <f t="shared" si="177"/>
        <v>12.441833333333333</v>
      </c>
      <c r="Q2836" s="43" t="s">
        <v>1521</v>
      </c>
      <c r="R2836" s="4">
        <v>12.622236206666701</v>
      </c>
      <c r="S2836" s="4">
        <v>12.436081697985699</v>
      </c>
      <c r="T2836" s="4">
        <v>12.827522915781101</v>
      </c>
      <c r="U2836" s="4">
        <f t="shared" si="178"/>
        <v>12.628613606811166</v>
      </c>
      <c r="X2836" s="43" t="s">
        <v>3336</v>
      </c>
      <c r="Y2836" s="4">
        <v>12.8697381472748</v>
      </c>
      <c r="Z2836" s="4">
        <v>13.1840773320381</v>
      </c>
      <c r="AA2836" s="4">
        <v>12.486136791346301</v>
      </c>
      <c r="AB2836" s="4">
        <f t="shared" si="179"/>
        <v>12.846650756886399</v>
      </c>
    </row>
    <row r="2837" spans="2:28" x14ac:dyDescent="0.2">
      <c r="B2837" s="4" t="s">
        <v>1634</v>
      </c>
      <c r="C2837" s="4">
        <v>12.861499999999999</v>
      </c>
      <c r="D2837" s="4">
        <v>12.648</v>
      </c>
      <c r="E2837" s="4">
        <v>12.186</v>
      </c>
      <c r="F2837" s="4">
        <f t="shared" si="176"/>
        <v>12.565166666666665</v>
      </c>
      <c r="I2837" s="4" t="s">
        <v>40</v>
      </c>
      <c r="J2837" s="4">
        <v>12.7349</v>
      </c>
      <c r="K2837" s="4">
        <v>12.2403</v>
      </c>
      <c r="L2837" s="4">
        <v>12.35</v>
      </c>
      <c r="M2837" s="4">
        <f t="shared" si="177"/>
        <v>12.441733333333334</v>
      </c>
      <c r="Q2837" s="43" t="s">
        <v>3533</v>
      </c>
      <c r="R2837" s="4">
        <v>12.8571558068505</v>
      </c>
      <c r="S2837" s="4">
        <v>12.6041407455076</v>
      </c>
      <c r="T2837" s="4">
        <v>12.423165884593599</v>
      </c>
      <c r="U2837" s="4">
        <f t="shared" si="178"/>
        <v>12.628154145650567</v>
      </c>
      <c r="X2837" s="43" t="s">
        <v>3662</v>
      </c>
      <c r="Y2837" s="4">
        <v>12.9930352929956</v>
      </c>
      <c r="Z2837" s="4">
        <v>12.6971291868173</v>
      </c>
      <c r="AA2837" s="4">
        <v>12.8472881555667</v>
      </c>
      <c r="AB2837" s="4">
        <f t="shared" si="179"/>
        <v>12.845817545126534</v>
      </c>
    </row>
    <row r="2838" spans="2:28" x14ac:dyDescent="0.2">
      <c r="B2838" s="4" t="s">
        <v>3818</v>
      </c>
      <c r="C2838" s="4">
        <v>12.84</v>
      </c>
      <c r="D2838" s="4">
        <v>12.7346</v>
      </c>
      <c r="E2838" s="4">
        <v>12.1187</v>
      </c>
      <c r="F2838" s="4">
        <f t="shared" si="176"/>
        <v>12.564433333333334</v>
      </c>
      <c r="I2838" s="4" t="s">
        <v>3130</v>
      </c>
      <c r="J2838" s="4">
        <v>12.450900000000001</v>
      </c>
      <c r="K2838" s="4">
        <v>12.694900000000001</v>
      </c>
      <c r="L2838" s="4">
        <v>12.1701</v>
      </c>
      <c r="M2838" s="4">
        <f t="shared" si="177"/>
        <v>12.438633333333334</v>
      </c>
      <c r="Q2838" s="43" t="s">
        <v>535</v>
      </c>
      <c r="R2838" s="4">
        <v>12.212150811270799</v>
      </c>
      <c r="S2838" s="4">
        <v>12.7078721496233</v>
      </c>
      <c r="T2838" s="4">
        <v>12.9640163862619</v>
      </c>
      <c r="U2838" s="4">
        <f t="shared" si="178"/>
        <v>12.628013115718668</v>
      </c>
      <c r="X2838" s="43" t="s">
        <v>2583</v>
      </c>
      <c r="Y2838" s="4">
        <v>13.257488119970199</v>
      </c>
      <c r="Z2838" s="4">
        <v>13.216834593578501</v>
      </c>
      <c r="AA2838" s="4">
        <v>12.0601327143267</v>
      </c>
      <c r="AB2838" s="4">
        <f t="shared" si="179"/>
        <v>12.844818475958467</v>
      </c>
    </row>
    <row r="2839" spans="2:28" x14ac:dyDescent="0.2">
      <c r="B2839" s="4" t="s">
        <v>1343</v>
      </c>
      <c r="C2839" s="4">
        <v>12.9617</v>
      </c>
      <c r="D2839" s="4">
        <v>12.4885</v>
      </c>
      <c r="E2839" s="4">
        <v>12.240600000000001</v>
      </c>
      <c r="F2839" s="4">
        <f t="shared" si="176"/>
        <v>12.563600000000001</v>
      </c>
      <c r="I2839" s="4" t="s">
        <v>1184</v>
      </c>
      <c r="J2839" s="4">
        <v>12.726800000000001</v>
      </c>
      <c r="K2839" s="4">
        <v>11.7592</v>
      </c>
      <c r="L2839" s="4">
        <v>12.8261</v>
      </c>
      <c r="M2839" s="4">
        <f t="shared" si="177"/>
        <v>12.437366666666668</v>
      </c>
      <c r="Q2839" s="43" t="s">
        <v>135</v>
      </c>
      <c r="R2839" s="4">
        <v>13.1912098153174</v>
      </c>
      <c r="S2839" s="4">
        <v>12.4557145386136</v>
      </c>
      <c r="T2839" s="4">
        <v>12.236979697838199</v>
      </c>
      <c r="U2839" s="4">
        <f t="shared" si="178"/>
        <v>12.6279680172564</v>
      </c>
      <c r="X2839" s="43" t="s">
        <v>389</v>
      </c>
      <c r="Y2839" s="4">
        <v>12.9138308657256</v>
      </c>
      <c r="Z2839" s="4">
        <v>12.545411659834199</v>
      </c>
      <c r="AA2839" s="4">
        <v>13.073938627158901</v>
      </c>
      <c r="AB2839" s="4">
        <f t="shared" si="179"/>
        <v>12.844393717572901</v>
      </c>
    </row>
    <row r="2840" spans="2:28" x14ac:dyDescent="0.2">
      <c r="B2840" s="4" t="s">
        <v>131</v>
      </c>
      <c r="C2840" s="4">
        <v>12.595000000000001</v>
      </c>
      <c r="D2840" s="4">
        <v>12.157</v>
      </c>
      <c r="E2840" s="4">
        <v>12.9377</v>
      </c>
      <c r="F2840" s="4">
        <f t="shared" si="176"/>
        <v>12.563233333333335</v>
      </c>
      <c r="I2840" s="4" t="s">
        <v>96</v>
      </c>
      <c r="J2840" s="4">
        <v>12.061500000000001</v>
      </c>
      <c r="K2840" s="4">
        <v>12.495100000000001</v>
      </c>
      <c r="L2840" s="4">
        <v>12.7324</v>
      </c>
      <c r="M2840" s="4">
        <f t="shared" si="177"/>
        <v>12.429666666666668</v>
      </c>
      <c r="Q2840" s="43" t="s">
        <v>1749</v>
      </c>
      <c r="R2840" s="4">
        <v>12.647589216166001</v>
      </c>
      <c r="S2840" s="4">
        <v>12.940823148419</v>
      </c>
      <c r="T2840" s="4">
        <v>12.295213329313899</v>
      </c>
      <c r="U2840" s="4">
        <f t="shared" si="178"/>
        <v>12.627875231299633</v>
      </c>
      <c r="X2840" s="43" t="s">
        <v>4287</v>
      </c>
      <c r="Y2840" s="4">
        <v>13.180714885270801</v>
      </c>
      <c r="Z2840" s="4">
        <v>12.5851082973402</v>
      </c>
      <c r="AA2840" s="4">
        <v>12.765881590076599</v>
      </c>
      <c r="AB2840" s="4">
        <f t="shared" si="179"/>
        <v>12.843901590895868</v>
      </c>
    </row>
    <row r="2841" spans="2:28" x14ac:dyDescent="0.2">
      <c r="B2841" s="4" t="s">
        <v>3600</v>
      </c>
      <c r="C2841" s="4">
        <v>12.3607</v>
      </c>
      <c r="D2841" s="4">
        <v>12.805199999999999</v>
      </c>
      <c r="E2841" s="4">
        <v>12.521100000000001</v>
      </c>
      <c r="F2841" s="4">
        <f t="shared" si="176"/>
        <v>12.562333333333333</v>
      </c>
      <c r="I2841" s="4" t="s">
        <v>3509</v>
      </c>
      <c r="J2841" s="4">
        <v>12.7277</v>
      </c>
      <c r="K2841" s="4">
        <v>12.0245</v>
      </c>
      <c r="L2841" s="4">
        <v>12.5358</v>
      </c>
      <c r="M2841" s="4">
        <f t="shared" si="177"/>
        <v>12.429333333333334</v>
      </c>
      <c r="Q2841" s="43" t="s">
        <v>2851</v>
      </c>
      <c r="R2841" s="4">
        <v>12.4807847648975</v>
      </c>
      <c r="S2841" s="4">
        <v>12.6820685413559</v>
      </c>
      <c r="T2841" s="4">
        <v>12.717647761762001</v>
      </c>
      <c r="U2841" s="4">
        <f t="shared" si="178"/>
        <v>12.626833689338467</v>
      </c>
      <c r="X2841" s="43" t="s">
        <v>2329</v>
      </c>
      <c r="Y2841" s="4">
        <v>12.79762458994</v>
      </c>
      <c r="Z2841" s="4">
        <v>12.848105786824201</v>
      </c>
      <c r="AA2841" s="4">
        <v>12.884251527611699</v>
      </c>
      <c r="AB2841" s="4">
        <f t="shared" si="179"/>
        <v>12.843327301458634</v>
      </c>
    </row>
    <row r="2842" spans="2:28" x14ac:dyDescent="0.2">
      <c r="B2842" s="4" t="s">
        <v>467</v>
      </c>
      <c r="C2842" s="4">
        <v>12.8491</v>
      </c>
      <c r="D2842" s="4">
        <v>12.4391</v>
      </c>
      <c r="E2842" s="4">
        <v>12.3772</v>
      </c>
      <c r="F2842" s="4">
        <f t="shared" si="176"/>
        <v>12.555133333333332</v>
      </c>
      <c r="I2842" s="4" t="s">
        <v>3608</v>
      </c>
      <c r="J2842" s="4">
        <v>12.110200000000001</v>
      </c>
      <c r="K2842" s="4">
        <v>12.3332</v>
      </c>
      <c r="L2842" s="4">
        <v>12.836399999999999</v>
      </c>
      <c r="M2842" s="4">
        <f t="shared" si="177"/>
        <v>12.426600000000001</v>
      </c>
      <c r="Q2842" s="43" t="s">
        <v>0</v>
      </c>
      <c r="R2842" s="4">
        <v>12.475285529902299</v>
      </c>
      <c r="S2842" s="4">
        <v>12.768928506529001</v>
      </c>
      <c r="T2842" s="4">
        <v>12.619045130661499</v>
      </c>
      <c r="U2842" s="4">
        <f t="shared" si="178"/>
        <v>12.621086389030934</v>
      </c>
      <c r="X2842" s="43" t="s">
        <v>3963</v>
      </c>
      <c r="Y2842" s="4">
        <v>12.738276650871899</v>
      </c>
      <c r="Z2842" s="4">
        <v>12.8229615055272</v>
      </c>
      <c r="AA2842" s="4">
        <v>12.9684883609079</v>
      </c>
      <c r="AB2842" s="4">
        <f t="shared" si="179"/>
        <v>12.843242172435666</v>
      </c>
    </row>
    <row r="2843" spans="2:28" x14ac:dyDescent="0.2">
      <c r="B2843" s="4" t="s">
        <v>2658</v>
      </c>
      <c r="C2843" s="4">
        <v>12.5389</v>
      </c>
      <c r="D2843" s="4">
        <v>12.1279</v>
      </c>
      <c r="E2843" s="4">
        <v>12.9962</v>
      </c>
      <c r="F2843" s="4">
        <f t="shared" si="176"/>
        <v>12.554333333333334</v>
      </c>
      <c r="I2843" s="4" t="s">
        <v>3817</v>
      </c>
      <c r="J2843" s="4">
        <v>11.674899999999999</v>
      </c>
      <c r="K2843" s="4">
        <v>12.8148</v>
      </c>
      <c r="L2843" s="4">
        <v>12.7689</v>
      </c>
      <c r="M2843" s="4">
        <f t="shared" si="177"/>
        <v>12.419533333333334</v>
      </c>
      <c r="Q2843" s="43" t="s">
        <v>4490</v>
      </c>
      <c r="R2843" s="4">
        <v>12.4865826575376</v>
      </c>
      <c r="S2843" s="4">
        <v>12.550862248771599</v>
      </c>
      <c r="T2843" s="4">
        <v>12.823310404866699</v>
      </c>
      <c r="U2843" s="4">
        <f t="shared" si="178"/>
        <v>12.620251770391965</v>
      </c>
      <c r="X2843" s="43" t="s">
        <v>4479</v>
      </c>
      <c r="Y2843" s="4">
        <v>12.7843062856379</v>
      </c>
      <c r="Z2843" s="4">
        <v>12.6967347693249</v>
      </c>
      <c r="AA2843" s="4">
        <v>13.0449627827043</v>
      </c>
      <c r="AB2843" s="4">
        <f t="shared" si="179"/>
        <v>12.842001279222368</v>
      </c>
    </row>
    <row r="2844" spans="2:28" x14ac:dyDescent="0.2">
      <c r="B2844" s="4" t="s">
        <v>2327</v>
      </c>
      <c r="C2844" s="4">
        <v>13.2563</v>
      </c>
      <c r="D2844" s="4">
        <v>12.190799999999999</v>
      </c>
      <c r="E2844" s="4">
        <v>12.2157</v>
      </c>
      <c r="F2844" s="4">
        <f t="shared" si="176"/>
        <v>12.554266666666665</v>
      </c>
      <c r="I2844" s="4" t="s">
        <v>2428</v>
      </c>
      <c r="J2844" s="4">
        <v>12.543900000000001</v>
      </c>
      <c r="K2844" s="4">
        <v>12.2371</v>
      </c>
      <c r="L2844" s="4">
        <v>12.4534</v>
      </c>
      <c r="M2844" s="4">
        <f t="shared" si="177"/>
        <v>12.411466666666668</v>
      </c>
      <c r="Q2844" s="43" t="s">
        <v>1781</v>
      </c>
      <c r="R2844" s="4">
        <v>12.8006199166276</v>
      </c>
      <c r="S2844" s="4">
        <v>12.502260804200599</v>
      </c>
      <c r="T2844" s="4">
        <v>12.5576535102599</v>
      </c>
      <c r="U2844" s="4">
        <f t="shared" si="178"/>
        <v>12.620178077029365</v>
      </c>
      <c r="X2844" s="43" t="s">
        <v>778</v>
      </c>
      <c r="Y2844" s="4">
        <v>12.5959259170917</v>
      </c>
      <c r="Z2844" s="4">
        <v>12.7414420522258</v>
      </c>
      <c r="AA2844" s="4">
        <v>13.1847081614315</v>
      </c>
      <c r="AB2844" s="4">
        <f t="shared" si="179"/>
        <v>12.840692043582999</v>
      </c>
    </row>
    <row r="2845" spans="2:28" x14ac:dyDescent="0.2">
      <c r="B2845" s="4" t="s">
        <v>213</v>
      </c>
      <c r="C2845" s="4">
        <v>12.7178</v>
      </c>
      <c r="D2845" s="4">
        <v>12.6175</v>
      </c>
      <c r="E2845" s="4">
        <v>12.324400000000001</v>
      </c>
      <c r="F2845" s="4">
        <f t="shared" si="176"/>
        <v>12.553233333333333</v>
      </c>
      <c r="I2845" s="4" t="s">
        <v>1455</v>
      </c>
      <c r="J2845" s="4">
        <v>11.355499999999999</v>
      </c>
      <c r="K2845" s="4">
        <v>14.223000000000001</v>
      </c>
      <c r="L2845" s="4">
        <v>11.6546</v>
      </c>
      <c r="M2845" s="4">
        <f t="shared" si="177"/>
        <v>12.411033333333334</v>
      </c>
      <c r="Q2845" s="43" t="s">
        <v>2783</v>
      </c>
      <c r="R2845" s="4">
        <v>12.969121048483499</v>
      </c>
      <c r="S2845" s="4">
        <v>12.766265479228601</v>
      </c>
      <c r="T2845" s="4">
        <v>12.1148151618832</v>
      </c>
      <c r="U2845" s="4">
        <f t="shared" si="178"/>
        <v>12.616733896531768</v>
      </c>
      <c r="X2845" s="43" t="s">
        <v>3377</v>
      </c>
      <c r="Y2845" s="4">
        <v>12.746690659764299</v>
      </c>
      <c r="Z2845" s="4">
        <v>12.9981002528536</v>
      </c>
      <c r="AA2845" s="4">
        <v>12.7757756394894</v>
      </c>
      <c r="AB2845" s="4">
        <f t="shared" si="179"/>
        <v>12.840188850702432</v>
      </c>
    </row>
    <row r="2846" spans="2:28" x14ac:dyDescent="0.2">
      <c r="B2846" s="4" t="s">
        <v>2975</v>
      </c>
      <c r="C2846" s="4">
        <v>12.248900000000001</v>
      </c>
      <c r="D2846" s="4">
        <v>12.4695</v>
      </c>
      <c r="E2846" s="4">
        <v>12.9267</v>
      </c>
      <c r="F2846" s="4">
        <f t="shared" si="176"/>
        <v>12.548366666666666</v>
      </c>
      <c r="I2846" s="4" t="s">
        <v>2924</v>
      </c>
      <c r="J2846" s="4">
        <v>12.7569</v>
      </c>
      <c r="K2846" s="4">
        <v>12.117100000000001</v>
      </c>
      <c r="L2846" s="4">
        <v>12.351800000000001</v>
      </c>
      <c r="M2846" s="4">
        <f t="shared" si="177"/>
        <v>12.408600000000002</v>
      </c>
      <c r="Q2846" s="43" t="s">
        <v>3764</v>
      </c>
      <c r="R2846" s="4">
        <v>12.639404451072201</v>
      </c>
      <c r="S2846" s="4">
        <v>12.7001498386803</v>
      </c>
      <c r="T2846" s="4">
        <v>12.5037567876153</v>
      </c>
      <c r="U2846" s="4">
        <f t="shared" si="178"/>
        <v>12.614437025789266</v>
      </c>
      <c r="X2846" s="43" t="s">
        <v>428</v>
      </c>
      <c r="Y2846" s="4">
        <v>12.987595147570399</v>
      </c>
      <c r="Z2846" s="4">
        <v>12.772157306497499</v>
      </c>
      <c r="AA2846" s="4">
        <v>12.7569406229679</v>
      </c>
      <c r="AB2846" s="4">
        <f t="shared" si="179"/>
        <v>12.838897692345265</v>
      </c>
    </row>
    <row r="2847" spans="2:28" x14ac:dyDescent="0.2">
      <c r="B2847" s="4" t="s">
        <v>2748</v>
      </c>
      <c r="C2847" s="4">
        <v>12.7134</v>
      </c>
      <c r="D2847" s="4">
        <v>12.5237</v>
      </c>
      <c r="E2847" s="4">
        <v>12.4025</v>
      </c>
      <c r="F2847" s="4">
        <f t="shared" si="176"/>
        <v>12.546533333333334</v>
      </c>
      <c r="I2847" s="4" t="s">
        <v>2923</v>
      </c>
      <c r="J2847" s="4">
        <v>11.3362</v>
      </c>
      <c r="K2847" s="4">
        <v>14.5266</v>
      </c>
      <c r="L2847" s="4">
        <v>11.358700000000001</v>
      </c>
      <c r="M2847" s="4">
        <f t="shared" si="177"/>
        <v>12.407166666666667</v>
      </c>
      <c r="Q2847" s="43" t="s">
        <v>3331</v>
      </c>
      <c r="R2847" s="4">
        <v>12.5296562442274</v>
      </c>
      <c r="S2847" s="4">
        <v>12.5313555086469</v>
      </c>
      <c r="T2847" s="4">
        <v>12.7795494093887</v>
      </c>
      <c r="U2847" s="4">
        <f t="shared" si="178"/>
        <v>12.613520387421</v>
      </c>
      <c r="X2847" s="43" t="s">
        <v>437</v>
      </c>
      <c r="Y2847" s="4">
        <v>13.106856424436099</v>
      </c>
      <c r="Z2847" s="4">
        <v>12.831408230826399</v>
      </c>
      <c r="AA2847" s="4">
        <v>12.576184779815501</v>
      </c>
      <c r="AB2847" s="4">
        <f t="shared" si="179"/>
        <v>12.838149811692666</v>
      </c>
    </row>
    <row r="2848" spans="2:28" x14ac:dyDescent="0.2">
      <c r="B2848" s="4" t="s">
        <v>2229</v>
      </c>
      <c r="C2848" s="4">
        <v>12.744999999999999</v>
      </c>
      <c r="D2848" s="4">
        <v>12.5688</v>
      </c>
      <c r="E2848" s="4">
        <v>12.319800000000001</v>
      </c>
      <c r="F2848" s="4">
        <f t="shared" si="176"/>
        <v>12.544533333333334</v>
      </c>
      <c r="I2848" s="4" t="s">
        <v>496</v>
      </c>
      <c r="J2848" s="4">
        <v>12.675000000000001</v>
      </c>
      <c r="K2848" s="4">
        <v>11.452999999999999</v>
      </c>
      <c r="L2848" s="4">
        <v>13.091200000000001</v>
      </c>
      <c r="M2848" s="4">
        <f t="shared" si="177"/>
        <v>12.4064</v>
      </c>
      <c r="Q2848" s="43" t="s">
        <v>3932</v>
      </c>
      <c r="R2848" s="4">
        <v>12.5140368578578</v>
      </c>
      <c r="S2848" s="4">
        <v>12.6758281802949</v>
      </c>
      <c r="T2848" s="4">
        <v>12.646916516508</v>
      </c>
      <c r="U2848" s="4">
        <f t="shared" si="178"/>
        <v>12.612260518220234</v>
      </c>
      <c r="X2848" s="43" t="s">
        <v>4129</v>
      </c>
      <c r="Y2848" s="4">
        <v>12.829943140875001</v>
      </c>
      <c r="Z2848" s="4">
        <v>12.7175350403999</v>
      </c>
      <c r="AA2848" s="4">
        <v>12.9599586071863</v>
      </c>
      <c r="AB2848" s="4">
        <f t="shared" si="179"/>
        <v>12.835812262820399</v>
      </c>
    </row>
    <row r="2849" spans="2:28" x14ac:dyDescent="0.2">
      <c r="B2849" s="4" t="s">
        <v>1508</v>
      </c>
      <c r="C2849" s="4">
        <v>13.089</v>
      </c>
      <c r="D2849" s="4">
        <v>12.0908</v>
      </c>
      <c r="E2849" s="4">
        <v>12.452500000000001</v>
      </c>
      <c r="F2849" s="4">
        <f t="shared" si="176"/>
        <v>12.5441</v>
      </c>
      <c r="I2849" s="4" t="s">
        <v>137</v>
      </c>
      <c r="J2849" s="4">
        <v>11.8531</v>
      </c>
      <c r="K2849" s="4">
        <v>12.9526</v>
      </c>
      <c r="L2849" s="4">
        <v>12.410500000000001</v>
      </c>
      <c r="M2849" s="4">
        <f t="shared" si="177"/>
        <v>12.4054</v>
      </c>
      <c r="Q2849" s="43" t="s">
        <v>1263</v>
      </c>
      <c r="R2849" s="4">
        <v>12.5580461390233</v>
      </c>
      <c r="S2849" s="4">
        <v>12.4486943654236</v>
      </c>
      <c r="T2849" s="4">
        <v>12.827470638827901</v>
      </c>
      <c r="U2849" s="4">
        <f t="shared" si="178"/>
        <v>12.611403714424933</v>
      </c>
      <c r="X2849" s="43" t="s">
        <v>2783</v>
      </c>
      <c r="Y2849" s="4">
        <v>12.840397942970601</v>
      </c>
      <c r="Z2849" s="4">
        <v>12.740647414344901</v>
      </c>
      <c r="AA2849" s="4">
        <v>12.924841273929699</v>
      </c>
      <c r="AB2849" s="4">
        <f t="shared" si="179"/>
        <v>12.835295543748401</v>
      </c>
    </row>
    <row r="2850" spans="2:28" x14ac:dyDescent="0.2">
      <c r="B2850" s="4" t="s">
        <v>2440</v>
      </c>
      <c r="C2850" s="4">
        <v>12.585800000000001</v>
      </c>
      <c r="D2850" s="4">
        <v>12.747199999999999</v>
      </c>
      <c r="E2850" s="4">
        <v>12.2981</v>
      </c>
      <c r="F2850" s="4">
        <f t="shared" si="176"/>
        <v>12.543699999999999</v>
      </c>
      <c r="I2850" s="4" t="s">
        <v>3603</v>
      </c>
      <c r="J2850" s="4">
        <v>12.211499999999999</v>
      </c>
      <c r="K2850" s="4">
        <v>12.7712</v>
      </c>
      <c r="L2850" s="4">
        <v>12.228</v>
      </c>
      <c r="M2850" s="4">
        <f t="shared" si="177"/>
        <v>12.403566666666668</v>
      </c>
      <c r="Q2850" s="43" t="s">
        <v>427</v>
      </c>
      <c r="R2850" s="4">
        <v>12.628869808679299</v>
      </c>
      <c r="S2850" s="4">
        <v>12.4988721435214</v>
      </c>
      <c r="T2850" s="4">
        <v>12.702616698534699</v>
      </c>
      <c r="U2850" s="4">
        <f t="shared" si="178"/>
        <v>12.610119550245132</v>
      </c>
      <c r="X2850" s="43" t="s">
        <v>3437</v>
      </c>
      <c r="Y2850" s="4">
        <v>12.944124236891801</v>
      </c>
      <c r="Z2850" s="4">
        <v>12.561400146681599</v>
      </c>
      <c r="AA2850" s="4">
        <v>12.9991449033856</v>
      </c>
      <c r="AB2850" s="4">
        <f t="shared" si="179"/>
        <v>12.834889762319667</v>
      </c>
    </row>
    <row r="2851" spans="2:28" x14ac:dyDescent="0.2">
      <c r="B2851" s="4" t="s">
        <v>2428</v>
      </c>
      <c r="C2851" s="4">
        <v>12.976000000000001</v>
      </c>
      <c r="D2851" s="4">
        <v>12.539300000000001</v>
      </c>
      <c r="E2851" s="4">
        <v>12.114800000000001</v>
      </c>
      <c r="F2851" s="4">
        <f t="shared" si="176"/>
        <v>12.543366666666669</v>
      </c>
      <c r="I2851" s="4" t="s">
        <v>3326</v>
      </c>
      <c r="J2851" s="4">
        <v>12.305099999999999</v>
      </c>
      <c r="K2851" s="4">
        <v>11.9781</v>
      </c>
      <c r="L2851" s="4">
        <v>12.9254</v>
      </c>
      <c r="M2851" s="4">
        <f t="shared" si="177"/>
        <v>12.402866666666668</v>
      </c>
      <c r="Q2851" s="43" t="s">
        <v>2313</v>
      </c>
      <c r="R2851" s="4">
        <v>12.427471966271799</v>
      </c>
      <c r="S2851" s="4">
        <v>12.684579510753</v>
      </c>
      <c r="T2851" s="4">
        <v>12.7108783469941</v>
      </c>
      <c r="U2851" s="4">
        <f t="shared" si="178"/>
        <v>12.607643274672967</v>
      </c>
      <c r="X2851" s="43" t="s">
        <v>796</v>
      </c>
      <c r="Y2851" s="4">
        <v>12.868419141676</v>
      </c>
      <c r="Z2851" s="4">
        <v>12.9940359796934</v>
      </c>
      <c r="AA2851" s="4">
        <v>12.6387903889371</v>
      </c>
      <c r="AB2851" s="4">
        <f t="shared" si="179"/>
        <v>12.833748503435501</v>
      </c>
    </row>
    <row r="2852" spans="2:28" x14ac:dyDescent="0.2">
      <c r="B2852" s="4" t="s">
        <v>2790</v>
      </c>
      <c r="C2852" s="4">
        <v>11.630699999999999</v>
      </c>
      <c r="D2852" s="4">
        <v>12.6051</v>
      </c>
      <c r="E2852" s="4">
        <v>13.382</v>
      </c>
      <c r="F2852" s="4">
        <f t="shared" si="176"/>
        <v>12.539266666666665</v>
      </c>
      <c r="I2852" s="4" t="s">
        <v>1264</v>
      </c>
      <c r="J2852" s="4">
        <v>12.4011</v>
      </c>
      <c r="K2852" s="4">
        <v>12.445</v>
      </c>
      <c r="L2852" s="4">
        <v>12.3614</v>
      </c>
      <c r="M2852" s="4">
        <f t="shared" si="177"/>
        <v>12.402499999999998</v>
      </c>
      <c r="Q2852" s="43" t="s">
        <v>115</v>
      </c>
      <c r="R2852" s="4">
        <v>12.3901848824437</v>
      </c>
      <c r="S2852" s="4">
        <v>13.322640483327</v>
      </c>
      <c r="T2852" s="4">
        <v>12.107495781110099</v>
      </c>
      <c r="U2852" s="4">
        <f t="shared" si="178"/>
        <v>12.606773715626934</v>
      </c>
      <c r="X2852" s="43" t="s">
        <v>123</v>
      </c>
      <c r="Y2852" s="4">
        <v>12.9595184108993</v>
      </c>
      <c r="Z2852" s="4">
        <v>12.7473050601354</v>
      </c>
      <c r="AA2852" s="4">
        <v>12.793978053777</v>
      </c>
      <c r="AB2852" s="4">
        <f t="shared" si="179"/>
        <v>12.833600508270566</v>
      </c>
    </row>
    <row r="2853" spans="2:28" x14ac:dyDescent="0.2">
      <c r="B2853" s="4" t="s">
        <v>41</v>
      </c>
      <c r="C2853" s="4">
        <v>12.9999</v>
      </c>
      <c r="D2853" s="4">
        <v>12.2407</v>
      </c>
      <c r="E2853" s="4">
        <v>12.3764</v>
      </c>
      <c r="F2853" s="4">
        <f t="shared" si="176"/>
        <v>12.539000000000001</v>
      </c>
      <c r="I2853" s="4" t="s">
        <v>2865</v>
      </c>
      <c r="J2853" s="4">
        <v>12.0307</v>
      </c>
      <c r="K2853" s="4">
        <v>13.455399999999999</v>
      </c>
      <c r="L2853" s="4">
        <v>11.72</v>
      </c>
      <c r="M2853" s="4">
        <f t="shared" si="177"/>
        <v>12.402033333333334</v>
      </c>
      <c r="Q2853" s="45" t="s">
        <v>401</v>
      </c>
      <c r="R2853" s="24">
        <v>13.5550324375375</v>
      </c>
      <c r="S2853" s="24">
        <v>12.4637161440649</v>
      </c>
      <c r="T2853" s="24">
        <v>11.7979062064122</v>
      </c>
      <c r="U2853" s="4">
        <f t="shared" si="178"/>
        <v>12.605551596004867</v>
      </c>
      <c r="X2853" s="43" t="s">
        <v>4511</v>
      </c>
      <c r="Y2853" s="4">
        <v>12.7623756309534</v>
      </c>
      <c r="Z2853" s="4">
        <v>12.8672264069466</v>
      </c>
      <c r="AA2853" s="4">
        <v>12.8680766957921</v>
      </c>
      <c r="AB2853" s="4">
        <f t="shared" si="179"/>
        <v>12.832559577897365</v>
      </c>
    </row>
    <row r="2854" spans="2:28" x14ac:dyDescent="0.2">
      <c r="B2854" s="4" t="s">
        <v>2174</v>
      </c>
      <c r="C2854" s="4">
        <v>12.398300000000001</v>
      </c>
      <c r="D2854" s="4">
        <v>12.8179</v>
      </c>
      <c r="E2854" s="4">
        <v>12.397399999999999</v>
      </c>
      <c r="F2854" s="4">
        <f t="shared" si="176"/>
        <v>12.537866666666666</v>
      </c>
      <c r="I2854" s="4" t="s">
        <v>234</v>
      </c>
      <c r="J2854" s="4">
        <v>12.133699999999999</v>
      </c>
      <c r="K2854" s="4">
        <v>12.0078</v>
      </c>
      <c r="L2854" s="4">
        <v>13.0252</v>
      </c>
      <c r="M2854" s="4">
        <f t="shared" si="177"/>
        <v>12.3889</v>
      </c>
      <c r="Q2854" s="43" t="s">
        <v>4166</v>
      </c>
      <c r="R2854" s="4">
        <v>12.526979669454899</v>
      </c>
      <c r="S2854" s="4">
        <v>12.7203809155319</v>
      </c>
      <c r="T2854" s="4">
        <v>12.568068894540801</v>
      </c>
      <c r="U2854" s="4">
        <f t="shared" si="178"/>
        <v>12.605143159842534</v>
      </c>
      <c r="X2854" s="43" t="s">
        <v>1539</v>
      </c>
      <c r="Y2854" s="4">
        <v>12.505667578425401</v>
      </c>
      <c r="Z2854" s="4">
        <v>12.9580515917034</v>
      </c>
      <c r="AA2854" s="4">
        <v>13.016774674685699</v>
      </c>
      <c r="AB2854" s="4">
        <f t="shared" si="179"/>
        <v>12.826831281604834</v>
      </c>
    </row>
    <row r="2855" spans="2:28" x14ac:dyDescent="0.2">
      <c r="B2855" s="4" t="s">
        <v>782</v>
      </c>
      <c r="C2855" s="4">
        <v>12.3795</v>
      </c>
      <c r="D2855" s="4">
        <v>11.652799999999999</v>
      </c>
      <c r="E2855" s="4">
        <v>13.559900000000001</v>
      </c>
      <c r="F2855" s="4">
        <f t="shared" si="176"/>
        <v>12.530733333333332</v>
      </c>
      <c r="I2855" s="4" t="s">
        <v>172</v>
      </c>
      <c r="J2855" s="4">
        <v>12.2203</v>
      </c>
      <c r="K2855" s="4">
        <v>12.782999999999999</v>
      </c>
      <c r="L2855" s="4">
        <v>12.1572</v>
      </c>
      <c r="M2855" s="4">
        <f t="shared" si="177"/>
        <v>12.386833333333334</v>
      </c>
      <c r="Q2855" s="43" t="s">
        <v>3612</v>
      </c>
      <c r="R2855" s="4">
        <v>12.1306913342834</v>
      </c>
      <c r="S2855" s="4">
        <v>12.7234354823246</v>
      </c>
      <c r="T2855" s="4">
        <v>12.959751117868599</v>
      </c>
      <c r="U2855" s="4">
        <f t="shared" si="178"/>
        <v>12.604625978158866</v>
      </c>
      <c r="X2855" s="43" t="s">
        <v>1012</v>
      </c>
      <c r="Y2855" s="4">
        <v>12.879789278011501</v>
      </c>
      <c r="Z2855" s="4">
        <v>12.619377333568901</v>
      </c>
      <c r="AA2855" s="4">
        <v>12.975076373674501</v>
      </c>
      <c r="AB2855" s="4">
        <f t="shared" si="179"/>
        <v>12.824747661751635</v>
      </c>
    </row>
    <row r="2856" spans="2:28" x14ac:dyDescent="0.2">
      <c r="B2856" s="4" t="s">
        <v>72</v>
      </c>
      <c r="C2856" s="4">
        <v>12.055899999999999</v>
      </c>
      <c r="D2856" s="4">
        <v>12.677199999999999</v>
      </c>
      <c r="E2856" s="4">
        <v>12.8559</v>
      </c>
      <c r="F2856" s="4">
        <f t="shared" si="176"/>
        <v>12.529666666666666</v>
      </c>
      <c r="I2856" s="4" t="s">
        <v>3713</v>
      </c>
      <c r="J2856" s="4">
        <v>12.637499999999999</v>
      </c>
      <c r="K2856" s="4">
        <v>12.1843</v>
      </c>
      <c r="L2856" s="4">
        <v>12.3194</v>
      </c>
      <c r="M2856" s="4">
        <f t="shared" si="177"/>
        <v>12.3804</v>
      </c>
      <c r="Q2856" s="43" t="s">
        <v>3592</v>
      </c>
      <c r="R2856" s="4">
        <v>12.3691685875784</v>
      </c>
      <c r="S2856" s="4">
        <v>12.524616572653199</v>
      </c>
      <c r="T2856" s="4">
        <v>12.9186810670688</v>
      </c>
      <c r="U2856" s="4">
        <f t="shared" si="178"/>
        <v>12.604155409100136</v>
      </c>
      <c r="X2856" s="43" t="s">
        <v>1581</v>
      </c>
      <c r="Y2856" s="4">
        <v>12.6518624901704</v>
      </c>
      <c r="Z2856" s="4">
        <v>12.8887064138373</v>
      </c>
      <c r="AA2856" s="4">
        <v>12.9317089801735</v>
      </c>
      <c r="AB2856" s="4">
        <f t="shared" si="179"/>
        <v>12.824092628060399</v>
      </c>
    </row>
    <row r="2857" spans="2:28" x14ac:dyDescent="0.2">
      <c r="B2857" s="4" t="s">
        <v>3665</v>
      </c>
      <c r="C2857" s="4">
        <v>12.898899999999999</v>
      </c>
      <c r="D2857" s="4">
        <v>12.5153</v>
      </c>
      <c r="E2857" s="4">
        <v>12.160600000000001</v>
      </c>
      <c r="F2857" s="4">
        <f t="shared" si="176"/>
        <v>12.524933333333335</v>
      </c>
      <c r="I2857" s="4" t="s">
        <v>1819</v>
      </c>
      <c r="J2857" s="4">
        <v>12.7187</v>
      </c>
      <c r="K2857" s="4">
        <v>11.8302</v>
      </c>
      <c r="L2857" s="4">
        <v>12.584300000000001</v>
      </c>
      <c r="M2857" s="4">
        <f t="shared" si="177"/>
        <v>12.377733333333333</v>
      </c>
      <c r="Q2857" s="43" t="s">
        <v>468</v>
      </c>
      <c r="R2857" s="4">
        <v>12.1906531380458</v>
      </c>
      <c r="S2857" s="4">
        <v>12.796903913698401</v>
      </c>
      <c r="T2857" s="4">
        <v>12.8185418705855</v>
      </c>
      <c r="U2857" s="4">
        <f t="shared" si="178"/>
        <v>12.602032974109902</v>
      </c>
      <c r="X2857" s="43" t="s">
        <v>924</v>
      </c>
      <c r="Y2857" s="4">
        <v>12.5251678343009</v>
      </c>
      <c r="Z2857" s="4">
        <v>12.9392192860566</v>
      </c>
      <c r="AA2857" s="4">
        <v>13.0050207882473</v>
      </c>
      <c r="AB2857" s="4">
        <f t="shared" si="179"/>
        <v>12.823135969534933</v>
      </c>
    </row>
    <row r="2858" spans="2:28" x14ac:dyDescent="0.2">
      <c r="B2858" s="4" t="s">
        <v>3699</v>
      </c>
      <c r="C2858" s="4">
        <v>12.5526</v>
      </c>
      <c r="D2858" s="4">
        <v>11.9634</v>
      </c>
      <c r="E2858" s="4">
        <v>13.049300000000001</v>
      </c>
      <c r="F2858" s="4">
        <f t="shared" si="176"/>
        <v>12.521766666666666</v>
      </c>
      <c r="I2858" s="4" t="s">
        <v>727</v>
      </c>
      <c r="J2858" s="4">
        <v>12.537800000000001</v>
      </c>
      <c r="K2858" s="4">
        <v>12.7849</v>
      </c>
      <c r="L2858" s="4">
        <v>11.7951</v>
      </c>
      <c r="M2858" s="4">
        <f t="shared" si="177"/>
        <v>12.3726</v>
      </c>
      <c r="Q2858" s="43" t="s">
        <v>3511</v>
      </c>
      <c r="R2858" s="4">
        <v>12.6804127181223</v>
      </c>
      <c r="S2858" s="4">
        <v>12.6251094581026</v>
      </c>
      <c r="T2858" s="4">
        <v>12.496990511790001</v>
      </c>
      <c r="U2858" s="4">
        <f t="shared" si="178"/>
        <v>12.600837562671634</v>
      </c>
      <c r="X2858" s="43" t="s">
        <v>521</v>
      </c>
      <c r="Y2858" s="4">
        <v>12.8149233458217</v>
      </c>
      <c r="Z2858" s="4">
        <v>13.0134614367529</v>
      </c>
      <c r="AA2858" s="4">
        <v>12.634725871053501</v>
      </c>
      <c r="AB2858" s="4">
        <f t="shared" si="179"/>
        <v>12.821036884542702</v>
      </c>
    </row>
    <row r="2859" spans="2:28" x14ac:dyDescent="0.2">
      <c r="B2859" s="4" t="s">
        <v>3788</v>
      </c>
      <c r="C2859" s="4">
        <v>11.207100000000001</v>
      </c>
      <c r="D2859" s="4">
        <v>13.192399999999999</v>
      </c>
      <c r="E2859" s="4">
        <v>13.158300000000001</v>
      </c>
      <c r="F2859" s="4">
        <f t="shared" si="176"/>
        <v>12.519266666666667</v>
      </c>
      <c r="I2859" s="4" t="s">
        <v>1035</v>
      </c>
      <c r="J2859" s="4">
        <v>12.6836</v>
      </c>
      <c r="K2859" s="4">
        <v>11.3225</v>
      </c>
      <c r="L2859" s="4">
        <v>13.109</v>
      </c>
      <c r="M2859" s="4">
        <f t="shared" si="177"/>
        <v>12.371699999999999</v>
      </c>
      <c r="Q2859" s="43" t="s">
        <v>1494</v>
      </c>
      <c r="R2859" s="4">
        <v>12.6315808236881</v>
      </c>
      <c r="S2859" s="4">
        <v>12.615253436808</v>
      </c>
      <c r="T2859" s="4">
        <v>12.5521228396209</v>
      </c>
      <c r="U2859" s="4">
        <f t="shared" si="178"/>
        <v>12.599652366705667</v>
      </c>
      <c r="X2859" s="43" t="s">
        <v>3608</v>
      </c>
      <c r="Y2859" s="4">
        <v>12.768489915000201</v>
      </c>
      <c r="Z2859" s="4">
        <v>12.9349158235974</v>
      </c>
      <c r="AA2859" s="4">
        <v>12.7562558478713</v>
      </c>
      <c r="AB2859" s="4">
        <f t="shared" si="179"/>
        <v>12.819887195489635</v>
      </c>
    </row>
    <row r="2860" spans="2:28" x14ac:dyDescent="0.2">
      <c r="B2860" s="4" t="s">
        <v>1033</v>
      </c>
      <c r="C2860" s="4">
        <v>12.7668</v>
      </c>
      <c r="D2860" s="4">
        <v>12.5779</v>
      </c>
      <c r="E2860" s="4">
        <v>12.2113</v>
      </c>
      <c r="F2860" s="4">
        <f t="shared" si="176"/>
        <v>12.518666666666666</v>
      </c>
      <c r="I2860" s="4" t="s">
        <v>2448</v>
      </c>
      <c r="J2860" s="4">
        <v>13.553100000000001</v>
      </c>
      <c r="K2860" s="4">
        <v>11.294700000000001</v>
      </c>
      <c r="L2860" s="4">
        <v>12.2637</v>
      </c>
      <c r="M2860" s="4">
        <f t="shared" si="177"/>
        <v>12.3705</v>
      </c>
      <c r="Q2860" s="43" t="s">
        <v>2135</v>
      </c>
      <c r="R2860" s="4">
        <v>12.446502282596001</v>
      </c>
      <c r="S2860" s="4">
        <v>12.714085064536301</v>
      </c>
      <c r="T2860" s="4">
        <v>12.636139283014201</v>
      </c>
      <c r="U2860" s="4">
        <f t="shared" si="178"/>
        <v>12.5989088767155</v>
      </c>
      <c r="X2860" s="43" t="s">
        <v>2164</v>
      </c>
      <c r="Y2860" s="4">
        <v>12.904137025235899</v>
      </c>
      <c r="Z2860" s="4">
        <v>12.895988670862</v>
      </c>
      <c r="AA2860" s="4">
        <v>12.657106475536001</v>
      </c>
      <c r="AB2860" s="4">
        <f t="shared" si="179"/>
        <v>12.819077390544635</v>
      </c>
    </row>
    <row r="2861" spans="2:28" x14ac:dyDescent="0.2">
      <c r="B2861" s="4" t="s">
        <v>534</v>
      </c>
      <c r="C2861" s="4">
        <v>13.033099999999999</v>
      </c>
      <c r="D2861" s="4">
        <v>12.6564</v>
      </c>
      <c r="E2861" s="4">
        <v>11.8581</v>
      </c>
      <c r="F2861" s="4">
        <f t="shared" si="176"/>
        <v>12.515866666666668</v>
      </c>
      <c r="I2861" s="4" t="s">
        <v>19</v>
      </c>
      <c r="J2861" s="4">
        <v>12.835699999999999</v>
      </c>
      <c r="K2861" s="4">
        <v>11.556699999999999</v>
      </c>
      <c r="L2861" s="4">
        <v>12.712999999999999</v>
      </c>
      <c r="M2861" s="4">
        <f t="shared" si="177"/>
        <v>12.368466666666665</v>
      </c>
      <c r="Q2861" s="43" t="s">
        <v>4393</v>
      </c>
      <c r="R2861" s="4">
        <v>12.4792130374901</v>
      </c>
      <c r="S2861" s="4">
        <v>12.575404909627499</v>
      </c>
      <c r="T2861" s="4">
        <v>12.7347534526037</v>
      </c>
      <c r="U2861" s="4">
        <f t="shared" si="178"/>
        <v>12.596457133240433</v>
      </c>
      <c r="X2861" s="43" t="s">
        <v>947</v>
      </c>
      <c r="Y2861" s="4">
        <v>12.783182751154699</v>
      </c>
      <c r="Z2861" s="4">
        <v>12.7327791987483</v>
      </c>
      <c r="AA2861" s="4">
        <v>12.941253025978201</v>
      </c>
      <c r="AB2861" s="4">
        <f t="shared" si="179"/>
        <v>12.819071658627067</v>
      </c>
    </row>
    <row r="2862" spans="2:28" x14ac:dyDescent="0.2">
      <c r="B2862" s="4" t="s">
        <v>3958</v>
      </c>
      <c r="C2862" s="4">
        <v>12.4034</v>
      </c>
      <c r="D2862" s="4">
        <v>12.4421</v>
      </c>
      <c r="E2862" s="4">
        <v>12.699</v>
      </c>
      <c r="F2862" s="4">
        <f t="shared" si="176"/>
        <v>12.514833333333334</v>
      </c>
      <c r="I2862" s="4" t="s">
        <v>3908</v>
      </c>
      <c r="J2862" s="4">
        <v>12.209300000000001</v>
      </c>
      <c r="K2862" s="4">
        <v>12.1187</v>
      </c>
      <c r="L2862" s="4">
        <v>12.774800000000001</v>
      </c>
      <c r="M2862" s="4">
        <f t="shared" si="177"/>
        <v>12.367600000000001</v>
      </c>
      <c r="Q2862" s="43" t="s">
        <v>1753</v>
      </c>
      <c r="R2862" s="4">
        <v>12.225290092438</v>
      </c>
      <c r="S2862" s="4">
        <v>12.727601243140001</v>
      </c>
      <c r="T2862" s="4">
        <v>12.822990009035401</v>
      </c>
      <c r="U2862" s="4">
        <f t="shared" si="178"/>
        <v>12.591960448204468</v>
      </c>
      <c r="X2862" s="43" t="s">
        <v>2714</v>
      </c>
      <c r="Y2862" s="4">
        <v>12.2298326969273</v>
      </c>
      <c r="Z2862" s="4">
        <v>13.239281481820001</v>
      </c>
      <c r="AA2862" s="4">
        <v>12.984550587634899</v>
      </c>
      <c r="AB2862" s="4">
        <f t="shared" si="179"/>
        <v>12.817888255460735</v>
      </c>
    </row>
    <row r="2863" spans="2:28" x14ac:dyDescent="0.2">
      <c r="B2863" s="4" t="s">
        <v>81</v>
      </c>
      <c r="C2863" s="4">
        <v>12.514099999999999</v>
      </c>
      <c r="D2863" s="4">
        <v>11.605</v>
      </c>
      <c r="E2863" s="4">
        <v>13.417999999999999</v>
      </c>
      <c r="F2863" s="4">
        <f t="shared" si="176"/>
        <v>12.512366666666665</v>
      </c>
      <c r="I2863" s="4" t="s">
        <v>732</v>
      </c>
      <c r="J2863" s="4">
        <v>12.194000000000001</v>
      </c>
      <c r="K2863" s="4">
        <v>12.617000000000001</v>
      </c>
      <c r="L2863" s="4">
        <v>12.280900000000001</v>
      </c>
      <c r="M2863" s="4">
        <f t="shared" si="177"/>
        <v>12.363966666666668</v>
      </c>
      <c r="Q2863" s="43" t="s">
        <v>201</v>
      </c>
      <c r="R2863" s="4">
        <v>12.636843549468599</v>
      </c>
      <c r="S2863" s="4">
        <v>12.743877474245799</v>
      </c>
      <c r="T2863" s="4">
        <v>12.394869245679301</v>
      </c>
      <c r="U2863" s="4">
        <f t="shared" si="178"/>
        <v>12.591863423131235</v>
      </c>
      <c r="X2863" s="43" t="s">
        <v>3596</v>
      </c>
      <c r="Y2863" s="4">
        <v>12.6073647254288</v>
      </c>
      <c r="Z2863" s="4">
        <v>12.8339053429627</v>
      </c>
      <c r="AA2863" s="4">
        <v>13.0121586184086</v>
      </c>
      <c r="AB2863" s="4">
        <f t="shared" si="179"/>
        <v>12.817809562266701</v>
      </c>
    </row>
    <row r="2864" spans="2:28" x14ac:dyDescent="0.2">
      <c r="B2864" s="4" t="s">
        <v>3214</v>
      </c>
      <c r="C2864" s="4">
        <v>11.032400000000001</v>
      </c>
      <c r="D2864" s="4">
        <v>11.7529</v>
      </c>
      <c r="E2864" s="4">
        <v>14.744400000000001</v>
      </c>
      <c r="F2864" s="4">
        <f t="shared" si="176"/>
        <v>12.5099</v>
      </c>
      <c r="I2864" s="4" t="s">
        <v>547</v>
      </c>
      <c r="J2864" s="4">
        <v>11.995100000000001</v>
      </c>
      <c r="K2864" s="4">
        <v>13.064399999999999</v>
      </c>
      <c r="L2864" s="4">
        <v>12.0204</v>
      </c>
      <c r="M2864" s="4">
        <f t="shared" si="177"/>
        <v>12.359966666666667</v>
      </c>
      <c r="Q2864" s="43" t="s">
        <v>4156</v>
      </c>
      <c r="R2864" s="4">
        <v>12.962361116686299</v>
      </c>
      <c r="S2864" s="4">
        <v>12.082880825153801</v>
      </c>
      <c r="T2864" s="4">
        <v>12.730272614759899</v>
      </c>
      <c r="U2864" s="4">
        <f t="shared" si="178"/>
        <v>12.591838185533334</v>
      </c>
      <c r="X2864" s="43" t="s">
        <v>3485</v>
      </c>
      <c r="Y2864" s="4">
        <v>13.097564132666999</v>
      </c>
      <c r="Z2864" s="4">
        <v>12.1205831796788</v>
      </c>
      <c r="AA2864" s="4">
        <v>13.233309435849399</v>
      </c>
      <c r="AB2864" s="4">
        <f t="shared" si="179"/>
        <v>12.817152249398399</v>
      </c>
    </row>
    <row r="2865" spans="2:28" x14ac:dyDescent="0.2">
      <c r="B2865" s="4" t="s">
        <v>167</v>
      </c>
      <c r="C2865" s="4">
        <v>12.558</v>
      </c>
      <c r="D2865" s="4">
        <v>12.9918</v>
      </c>
      <c r="E2865" s="4">
        <v>11.979900000000001</v>
      </c>
      <c r="F2865" s="4">
        <f t="shared" si="176"/>
        <v>12.5099</v>
      </c>
      <c r="I2865" s="4" t="s">
        <v>1728</v>
      </c>
      <c r="J2865" s="4">
        <v>11.781499999999999</v>
      </c>
      <c r="K2865" s="4">
        <v>13.7278</v>
      </c>
      <c r="L2865" s="4">
        <v>11.568300000000001</v>
      </c>
      <c r="M2865" s="4">
        <f t="shared" si="177"/>
        <v>12.359200000000001</v>
      </c>
      <c r="Q2865" s="43" t="s">
        <v>3158</v>
      </c>
      <c r="R2865" s="4">
        <v>12.538121632802101</v>
      </c>
      <c r="S2865" s="4">
        <v>12.6549145247428</v>
      </c>
      <c r="T2865" s="4">
        <v>12.5819006797038</v>
      </c>
      <c r="U2865" s="4">
        <f t="shared" si="178"/>
        <v>12.591645612416235</v>
      </c>
      <c r="X2865" s="43" t="s">
        <v>4376</v>
      </c>
      <c r="Y2865" s="4">
        <v>12.710682910758401</v>
      </c>
      <c r="Z2865" s="4">
        <v>12.8159338999948</v>
      </c>
      <c r="AA2865" s="4">
        <v>12.9212245148784</v>
      </c>
      <c r="AB2865" s="4">
        <f t="shared" si="179"/>
        <v>12.815947108543867</v>
      </c>
    </row>
    <row r="2866" spans="2:28" x14ac:dyDescent="0.2">
      <c r="B2866" s="4" t="s">
        <v>2274</v>
      </c>
      <c r="C2866" s="4">
        <v>12.5296</v>
      </c>
      <c r="D2866" s="4">
        <v>12.447699999999999</v>
      </c>
      <c r="E2866" s="4">
        <v>12.551500000000001</v>
      </c>
      <c r="F2866" s="4">
        <f t="shared" si="176"/>
        <v>12.509600000000001</v>
      </c>
      <c r="I2866" s="4" t="s">
        <v>2275</v>
      </c>
      <c r="J2866" s="4">
        <v>11.9979</v>
      </c>
      <c r="K2866" s="4">
        <v>12.332100000000001</v>
      </c>
      <c r="L2866" s="4">
        <v>12.7447</v>
      </c>
      <c r="M2866" s="4">
        <f t="shared" si="177"/>
        <v>12.358233333333333</v>
      </c>
      <c r="Q2866" s="43" t="s">
        <v>2627</v>
      </c>
      <c r="R2866" s="4">
        <v>12.5245656052928</v>
      </c>
      <c r="S2866" s="4">
        <v>12.7838850197748</v>
      </c>
      <c r="T2866" s="4">
        <v>12.4612094447165</v>
      </c>
      <c r="U2866" s="4">
        <f t="shared" si="178"/>
        <v>12.589886689928035</v>
      </c>
      <c r="X2866" s="43" t="s">
        <v>810</v>
      </c>
      <c r="Y2866" s="4">
        <v>13.274889773749999</v>
      </c>
      <c r="Z2866" s="4">
        <v>12.519579122268899</v>
      </c>
      <c r="AA2866" s="4">
        <v>12.6510312856882</v>
      </c>
      <c r="AB2866" s="4">
        <f t="shared" si="179"/>
        <v>12.815166727235699</v>
      </c>
    </row>
    <row r="2867" spans="2:28" x14ac:dyDescent="0.2">
      <c r="B2867" s="4" t="s">
        <v>3445</v>
      </c>
      <c r="C2867" s="4">
        <v>12.730399999999999</v>
      </c>
      <c r="D2867" s="4">
        <v>11.931699999999999</v>
      </c>
      <c r="E2867" s="4">
        <v>12.8642</v>
      </c>
      <c r="F2867" s="4">
        <f t="shared" si="176"/>
        <v>12.508766666666666</v>
      </c>
      <c r="I2867" s="4" t="s">
        <v>3296</v>
      </c>
      <c r="J2867" s="4">
        <v>12.6595</v>
      </c>
      <c r="K2867" s="4">
        <v>11.979699999999999</v>
      </c>
      <c r="L2867" s="4">
        <v>12.427899999999999</v>
      </c>
      <c r="M2867" s="4">
        <f t="shared" si="177"/>
        <v>12.355699999999999</v>
      </c>
      <c r="Q2867" s="43" t="s">
        <v>1532</v>
      </c>
      <c r="R2867" s="4">
        <v>12.817496934747</v>
      </c>
      <c r="S2867" s="4">
        <v>12.154714168863</v>
      </c>
      <c r="T2867" s="4">
        <v>12.789105390936699</v>
      </c>
      <c r="U2867" s="4">
        <f t="shared" si="178"/>
        <v>12.587105498182233</v>
      </c>
      <c r="X2867" s="43" t="s">
        <v>1008</v>
      </c>
      <c r="Y2867" s="4">
        <v>13.055212545427599</v>
      </c>
      <c r="Z2867" s="4">
        <v>12.131821616196101</v>
      </c>
      <c r="AA2867" s="4">
        <v>13.249560051035299</v>
      </c>
      <c r="AB2867" s="4">
        <f t="shared" si="179"/>
        <v>12.812198070886334</v>
      </c>
    </row>
    <row r="2868" spans="2:28" x14ac:dyDescent="0.2">
      <c r="B2868" s="4" t="s">
        <v>488</v>
      </c>
      <c r="C2868" s="4">
        <v>13.3583</v>
      </c>
      <c r="D2868" s="4">
        <v>11.627800000000001</v>
      </c>
      <c r="E2868" s="4">
        <v>12.538600000000001</v>
      </c>
      <c r="F2868" s="4">
        <f t="shared" si="176"/>
        <v>12.508233333333335</v>
      </c>
      <c r="I2868" s="4" t="s">
        <v>3975</v>
      </c>
      <c r="J2868" s="4">
        <v>12.754099999999999</v>
      </c>
      <c r="K2868" s="4">
        <v>11.761799999999999</v>
      </c>
      <c r="L2868" s="4">
        <v>12.5458</v>
      </c>
      <c r="M2868" s="4">
        <f t="shared" si="177"/>
        <v>12.353900000000001</v>
      </c>
      <c r="Q2868" s="43" t="s">
        <v>395</v>
      </c>
      <c r="R2868" s="4">
        <v>12.461800594593599</v>
      </c>
      <c r="S2868" s="4">
        <v>12.8346565233339</v>
      </c>
      <c r="T2868" s="4">
        <v>12.4628934601702</v>
      </c>
      <c r="U2868" s="4">
        <f t="shared" si="178"/>
        <v>12.586450192699232</v>
      </c>
      <c r="X2868" s="43" t="s">
        <v>1770</v>
      </c>
      <c r="Y2868" s="4">
        <v>12.698903548517899</v>
      </c>
      <c r="Z2868" s="4">
        <v>12.867232678652099</v>
      </c>
      <c r="AA2868" s="4">
        <v>12.8695795946094</v>
      </c>
      <c r="AB2868" s="4">
        <f t="shared" si="179"/>
        <v>12.811905273926465</v>
      </c>
    </row>
    <row r="2869" spans="2:28" x14ac:dyDescent="0.2">
      <c r="B2869" s="4" t="s">
        <v>1518</v>
      </c>
      <c r="C2869" s="4">
        <v>13.382</v>
      </c>
      <c r="D2869" s="4">
        <v>11.263999999999999</v>
      </c>
      <c r="E2869" s="4">
        <v>12.878500000000001</v>
      </c>
      <c r="F2869" s="4">
        <f t="shared" si="176"/>
        <v>12.508166666666668</v>
      </c>
      <c r="I2869" s="4" t="s">
        <v>2391</v>
      </c>
      <c r="J2869" s="4">
        <v>12.280200000000001</v>
      </c>
      <c r="K2869" s="4">
        <v>12.3764</v>
      </c>
      <c r="L2869" s="4">
        <v>12.398400000000001</v>
      </c>
      <c r="M2869" s="4">
        <f t="shared" si="177"/>
        <v>12.351666666666667</v>
      </c>
      <c r="Q2869" s="43" t="s">
        <v>4205</v>
      </c>
      <c r="R2869" s="4">
        <v>12.716407805232301</v>
      </c>
      <c r="S2869" s="4">
        <v>12.607830049103899</v>
      </c>
      <c r="T2869" s="4">
        <v>12.433383234966</v>
      </c>
      <c r="U2869" s="4">
        <f t="shared" si="178"/>
        <v>12.585873696434065</v>
      </c>
      <c r="X2869" s="43" t="s">
        <v>3869</v>
      </c>
      <c r="Y2869" s="4">
        <v>12.6492456532579</v>
      </c>
      <c r="Z2869" s="4">
        <v>12.906719264429</v>
      </c>
      <c r="AA2869" s="4">
        <v>12.878818980492699</v>
      </c>
      <c r="AB2869" s="4">
        <f t="shared" si="179"/>
        <v>12.811594632726534</v>
      </c>
    </row>
    <row r="2870" spans="2:28" x14ac:dyDescent="0.2">
      <c r="B2870" s="4" t="s">
        <v>513</v>
      </c>
      <c r="C2870" s="4">
        <v>12.218</v>
      </c>
      <c r="D2870" s="4">
        <v>12.7889</v>
      </c>
      <c r="E2870" s="4">
        <v>12.514099999999999</v>
      </c>
      <c r="F2870" s="4">
        <f t="shared" si="176"/>
        <v>12.507</v>
      </c>
      <c r="I2870" s="4" t="s">
        <v>3280</v>
      </c>
      <c r="J2870" s="4">
        <v>12.3132</v>
      </c>
      <c r="K2870" s="4">
        <v>13.150700000000001</v>
      </c>
      <c r="L2870" s="4">
        <v>11.588699999999999</v>
      </c>
      <c r="M2870" s="4">
        <f t="shared" si="177"/>
        <v>12.350866666666667</v>
      </c>
      <c r="Q2870" s="43" t="s">
        <v>3798</v>
      </c>
      <c r="R2870" s="4">
        <v>12.713373598340899</v>
      </c>
      <c r="S2870" s="4">
        <v>12.494528013615</v>
      </c>
      <c r="T2870" s="4">
        <v>12.539344842698201</v>
      </c>
      <c r="U2870" s="4">
        <f t="shared" si="178"/>
        <v>12.582415484884699</v>
      </c>
      <c r="X2870" s="43" t="s">
        <v>3067</v>
      </c>
      <c r="Y2870" s="4">
        <v>13.099829405299699</v>
      </c>
      <c r="Z2870" s="4">
        <v>12.509292375178299</v>
      </c>
      <c r="AA2870" s="4">
        <v>12.8247088309892</v>
      </c>
      <c r="AB2870" s="4">
        <f t="shared" si="179"/>
        <v>12.811276870489067</v>
      </c>
    </row>
    <row r="2871" spans="2:28" x14ac:dyDescent="0.2">
      <c r="B2871" s="4" t="s">
        <v>2432</v>
      </c>
      <c r="C2871" s="4">
        <v>12.514699999999999</v>
      </c>
      <c r="D2871" s="4">
        <v>12.8071</v>
      </c>
      <c r="E2871" s="4">
        <v>12.197699999999999</v>
      </c>
      <c r="F2871" s="4">
        <f t="shared" si="176"/>
        <v>12.506500000000001</v>
      </c>
      <c r="I2871" s="4" t="s">
        <v>3571</v>
      </c>
      <c r="J2871" s="4">
        <v>12.5443</v>
      </c>
      <c r="K2871" s="4">
        <v>11.9436</v>
      </c>
      <c r="L2871" s="4">
        <v>12.537800000000001</v>
      </c>
      <c r="M2871" s="4">
        <f t="shared" si="177"/>
        <v>12.341900000000001</v>
      </c>
      <c r="Q2871" s="43" t="s">
        <v>4605</v>
      </c>
      <c r="R2871" s="4">
        <v>12.5916102644173</v>
      </c>
      <c r="S2871" s="4">
        <v>12.5587172981244</v>
      </c>
      <c r="T2871" s="4">
        <v>12.5968786700099</v>
      </c>
      <c r="U2871" s="4">
        <f t="shared" si="178"/>
        <v>12.5824020775172</v>
      </c>
      <c r="X2871" s="43" t="s">
        <v>28</v>
      </c>
      <c r="Y2871" s="4">
        <v>12.8691404995329</v>
      </c>
      <c r="Z2871" s="4">
        <v>12.730800799600599</v>
      </c>
      <c r="AA2871" s="4">
        <v>12.8331111058709</v>
      </c>
      <c r="AB2871" s="4">
        <f t="shared" si="179"/>
        <v>12.811017468334798</v>
      </c>
    </row>
    <row r="2872" spans="2:28" x14ac:dyDescent="0.2">
      <c r="B2872" s="4" t="s">
        <v>2055</v>
      </c>
      <c r="C2872" s="4">
        <v>12.5024</v>
      </c>
      <c r="D2872" s="4">
        <v>12.6275</v>
      </c>
      <c r="E2872" s="4">
        <v>12.388999999999999</v>
      </c>
      <c r="F2872" s="4">
        <f t="shared" si="176"/>
        <v>12.506300000000001</v>
      </c>
      <c r="I2872" s="4" t="s">
        <v>3145</v>
      </c>
      <c r="J2872" s="4">
        <v>12.797499999999999</v>
      </c>
      <c r="K2872" s="4">
        <v>11.461499999999999</v>
      </c>
      <c r="L2872" s="4">
        <v>12.757899999999999</v>
      </c>
      <c r="M2872" s="4">
        <f t="shared" si="177"/>
        <v>12.338966666666666</v>
      </c>
      <c r="Q2872" s="43" t="s">
        <v>4407</v>
      </c>
      <c r="R2872" s="4">
        <v>12.4014891058379</v>
      </c>
      <c r="S2872" s="4">
        <v>12.900936239540901</v>
      </c>
      <c r="T2872" s="4">
        <v>12.442377004224101</v>
      </c>
      <c r="U2872" s="4">
        <f t="shared" si="178"/>
        <v>12.581600783200967</v>
      </c>
      <c r="X2872" s="43" t="s">
        <v>1204</v>
      </c>
      <c r="Y2872" s="4">
        <v>12.7725919755087</v>
      </c>
      <c r="Z2872" s="4">
        <v>12.7418256801243</v>
      </c>
      <c r="AA2872" s="4">
        <v>12.913143413675</v>
      </c>
      <c r="AB2872" s="4">
        <f t="shared" si="179"/>
        <v>12.809187023102666</v>
      </c>
    </row>
    <row r="2873" spans="2:28" x14ac:dyDescent="0.2">
      <c r="B2873" s="4" t="s">
        <v>3377</v>
      </c>
      <c r="C2873" s="4">
        <v>12.4069</v>
      </c>
      <c r="D2873" s="4">
        <v>12.5604</v>
      </c>
      <c r="E2873" s="4">
        <v>12.534599999999999</v>
      </c>
      <c r="F2873" s="4">
        <f t="shared" si="176"/>
        <v>12.500633333333333</v>
      </c>
      <c r="I2873" s="4" t="s">
        <v>915</v>
      </c>
      <c r="J2873" s="4">
        <v>10.453200000000001</v>
      </c>
      <c r="K2873" s="4">
        <v>15.0565</v>
      </c>
      <c r="L2873" s="4">
        <v>11.501899999999999</v>
      </c>
      <c r="M2873" s="4">
        <f t="shared" si="177"/>
        <v>12.337200000000001</v>
      </c>
      <c r="Q2873" s="43" t="s">
        <v>2059</v>
      </c>
      <c r="R2873" s="4">
        <v>12.699271194557401</v>
      </c>
      <c r="S2873" s="4">
        <v>12.81925978676</v>
      </c>
      <c r="T2873" s="4">
        <v>12.2166648689604</v>
      </c>
      <c r="U2873" s="4">
        <f t="shared" si="178"/>
        <v>12.578398616759268</v>
      </c>
      <c r="X2873" s="43" t="s">
        <v>4529</v>
      </c>
      <c r="Y2873" s="4">
        <v>12.725243999632999</v>
      </c>
      <c r="Z2873" s="4">
        <v>12.873421234485599</v>
      </c>
      <c r="AA2873" s="4">
        <v>12.828246043446301</v>
      </c>
      <c r="AB2873" s="4">
        <f t="shared" si="179"/>
        <v>12.808970425854966</v>
      </c>
    </row>
    <row r="2874" spans="2:28" x14ac:dyDescent="0.2">
      <c r="B2874" s="4" t="s">
        <v>721</v>
      </c>
      <c r="C2874" s="4">
        <v>12.611599999999999</v>
      </c>
      <c r="D2874" s="4">
        <v>12.4389</v>
      </c>
      <c r="E2874" s="4">
        <v>12.436199999999999</v>
      </c>
      <c r="F2874" s="4">
        <f t="shared" si="176"/>
        <v>12.495566666666667</v>
      </c>
      <c r="I2874" s="4" t="s">
        <v>1307</v>
      </c>
      <c r="J2874" s="4">
        <v>12.6897</v>
      </c>
      <c r="K2874" s="4">
        <v>12.0953</v>
      </c>
      <c r="L2874" s="4">
        <v>12.219200000000001</v>
      </c>
      <c r="M2874" s="4">
        <f t="shared" si="177"/>
        <v>12.334733333333332</v>
      </c>
      <c r="Q2874" s="43" t="s">
        <v>1961</v>
      </c>
      <c r="R2874" s="4">
        <v>12.4376328773956</v>
      </c>
      <c r="S2874" s="4">
        <v>12.5582668924516</v>
      </c>
      <c r="T2874" s="4">
        <v>12.738297035293799</v>
      </c>
      <c r="U2874" s="4">
        <f t="shared" si="178"/>
        <v>12.578065601713666</v>
      </c>
      <c r="X2874" s="43" t="s">
        <v>4319</v>
      </c>
      <c r="Y2874" s="4">
        <v>13.0840744369027</v>
      </c>
      <c r="Z2874" s="4">
        <v>12.936784284659501</v>
      </c>
      <c r="AA2874" s="4">
        <v>12.404891108404801</v>
      </c>
      <c r="AB2874" s="4">
        <f t="shared" si="179"/>
        <v>12.808583276655668</v>
      </c>
    </row>
    <row r="2875" spans="2:28" x14ac:dyDescent="0.2">
      <c r="B2875" s="4" t="s">
        <v>3461</v>
      </c>
      <c r="C2875" s="4">
        <v>11.8249</v>
      </c>
      <c r="D2875" s="4">
        <v>12.6282</v>
      </c>
      <c r="E2875" s="4">
        <v>13.029</v>
      </c>
      <c r="F2875" s="4">
        <f t="shared" si="176"/>
        <v>12.494033333333334</v>
      </c>
      <c r="I2875" s="4" t="s">
        <v>3776</v>
      </c>
      <c r="J2875" s="4">
        <v>12.034000000000001</v>
      </c>
      <c r="K2875" s="4">
        <v>12.6835</v>
      </c>
      <c r="L2875" s="4">
        <v>12.260400000000001</v>
      </c>
      <c r="M2875" s="4">
        <f t="shared" si="177"/>
        <v>12.325966666666668</v>
      </c>
      <c r="Q2875" s="43" t="s">
        <v>660</v>
      </c>
      <c r="R2875" s="4">
        <v>12.2889095456842</v>
      </c>
      <c r="S2875" s="4">
        <v>12.7030184459423</v>
      </c>
      <c r="T2875" s="4">
        <v>12.7362075844957</v>
      </c>
      <c r="U2875" s="4">
        <f t="shared" si="178"/>
        <v>12.576045192040732</v>
      </c>
      <c r="X2875" s="43" t="s">
        <v>3773</v>
      </c>
      <c r="Y2875" s="4">
        <v>12.7032265866569</v>
      </c>
      <c r="Z2875" s="4">
        <v>12.8628734025804</v>
      </c>
      <c r="AA2875" s="4">
        <v>12.859078583695901</v>
      </c>
      <c r="AB2875" s="4">
        <f t="shared" si="179"/>
        <v>12.808392857644401</v>
      </c>
    </row>
    <row r="2876" spans="2:28" x14ac:dyDescent="0.2">
      <c r="B2876" s="4" t="s">
        <v>2594</v>
      </c>
      <c r="C2876" s="4">
        <v>12.507300000000001</v>
      </c>
      <c r="D2876" s="4">
        <v>12.478300000000001</v>
      </c>
      <c r="E2876" s="4">
        <v>12.4878</v>
      </c>
      <c r="F2876" s="4">
        <f t="shared" si="176"/>
        <v>12.491133333333332</v>
      </c>
      <c r="I2876" s="4" t="s">
        <v>3172</v>
      </c>
      <c r="J2876" s="4">
        <v>11.950200000000001</v>
      </c>
      <c r="K2876" s="4">
        <v>12.9376</v>
      </c>
      <c r="L2876" s="4">
        <v>12.084300000000001</v>
      </c>
      <c r="M2876" s="4">
        <f t="shared" si="177"/>
        <v>12.324033333333333</v>
      </c>
      <c r="Q2876" s="43" t="s">
        <v>4185</v>
      </c>
      <c r="R2876" s="4">
        <v>12.468140910830799</v>
      </c>
      <c r="S2876" s="4">
        <v>12.4667492433479</v>
      </c>
      <c r="T2876" s="4">
        <v>12.7906892094543</v>
      </c>
      <c r="U2876" s="4">
        <f t="shared" si="178"/>
        <v>12.575193121211001</v>
      </c>
      <c r="X2876" s="43" t="s">
        <v>2208</v>
      </c>
      <c r="Y2876" s="4">
        <v>12.7588016879671</v>
      </c>
      <c r="Z2876" s="4">
        <v>12.831132764143</v>
      </c>
      <c r="AA2876" s="4">
        <v>12.822451312014801</v>
      </c>
      <c r="AB2876" s="4">
        <f t="shared" si="179"/>
        <v>12.804128588041634</v>
      </c>
    </row>
    <row r="2877" spans="2:28" x14ac:dyDescent="0.2">
      <c r="B2877" s="4" t="s">
        <v>2021</v>
      </c>
      <c r="C2877" s="4">
        <v>12.752800000000001</v>
      </c>
      <c r="D2877" s="4">
        <v>12.2539</v>
      </c>
      <c r="E2877" s="4">
        <v>12.4558</v>
      </c>
      <c r="F2877" s="4">
        <f t="shared" si="176"/>
        <v>12.487500000000002</v>
      </c>
      <c r="I2877" s="4" t="s">
        <v>3015</v>
      </c>
      <c r="J2877" s="4">
        <v>11.9307</v>
      </c>
      <c r="K2877" s="4">
        <v>12.396599999999999</v>
      </c>
      <c r="L2877" s="4">
        <v>12.610099999999999</v>
      </c>
      <c r="M2877" s="4">
        <f t="shared" si="177"/>
        <v>12.312466666666666</v>
      </c>
      <c r="Q2877" s="43" t="s">
        <v>4551</v>
      </c>
      <c r="R2877" s="4">
        <v>12.4223416527366</v>
      </c>
      <c r="S2877" s="4">
        <v>12.711223944619601</v>
      </c>
      <c r="T2877" s="4">
        <v>12.591076846185199</v>
      </c>
      <c r="U2877" s="4">
        <f t="shared" si="178"/>
        <v>12.574880814513799</v>
      </c>
      <c r="X2877" s="43" t="s">
        <v>2861</v>
      </c>
      <c r="Y2877" s="4">
        <v>12.6106486716627</v>
      </c>
      <c r="Z2877" s="4">
        <v>12.9924938102066</v>
      </c>
      <c r="AA2877" s="4">
        <v>12.8048809293416</v>
      </c>
      <c r="AB2877" s="4">
        <f t="shared" si="179"/>
        <v>12.802674470403632</v>
      </c>
    </row>
    <row r="2878" spans="2:28" x14ac:dyDescent="0.2">
      <c r="B2878" s="4" t="s">
        <v>2620</v>
      </c>
      <c r="C2878" s="4">
        <v>12.853</v>
      </c>
      <c r="D2878" s="4">
        <v>12.5908</v>
      </c>
      <c r="E2878" s="4">
        <v>12.0154</v>
      </c>
      <c r="F2878" s="4">
        <f t="shared" si="176"/>
        <v>12.486399999999998</v>
      </c>
      <c r="I2878" s="4" t="s">
        <v>2939</v>
      </c>
      <c r="J2878" s="4">
        <v>13.018000000000001</v>
      </c>
      <c r="K2878" s="4">
        <v>11.928599999999999</v>
      </c>
      <c r="L2878" s="4">
        <v>11.989599999999999</v>
      </c>
      <c r="M2878" s="4">
        <f t="shared" si="177"/>
        <v>12.312066666666666</v>
      </c>
      <c r="Q2878" s="43" t="s">
        <v>4507</v>
      </c>
      <c r="R2878" s="4">
        <v>12.332967772631401</v>
      </c>
      <c r="S2878" s="4">
        <v>12.448300995928401</v>
      </c>
      <c r="T2878" s="4">
        <v>12.9397492339812</v>
      </c>
      <c r="U2878" s="4">
        <f t="shared" si="178"/>
        <v>12.573672667513668</v>
      </c>
      <c r="X2878" s="43" t="s">
        <v>435</v>
      </c>
      <c r="Y2878" s="4">
        <v>12.7115281960477</v>
      </c>
      <c r="Z2878" s="4">
        <v>12.308045484994301</v>
      </c>
      <c r="AA2878" s="4">
        <v>13.385381605848901</v>
      </c>
      <c r="AB2878" s="4">
        <f t="shared" si="179"/>
        <v>12.801651762296968</v>
      </c>
    </row>
    <row r="2879" spans="2:28" x14ac:dyDescent="0.2">
      <c r="B2879" s="4" t="s">
        <v>1584</v>
      </c>
      <c r="C2879" s="4">
        <v>12.516500000000001</v>
      </c>
      <c r="D2879" s="4">
        <v>12.498200000000001</v>
      </c>
      <c r="E2879" s="4">
        <v>12.438000000000001</v>
      </c>
      <c r="F2879" s="4">
        <f t="shared" si="176"/>
        <v>12.484233333333334</v>
      </c>
      <c r="I2879" s="4" t="s">
        <v>3617</v>
      </c>
      <c r="J2879" s="4">
        <v>11.6183</v>
      </c>
      <c r="K2879" s="4">
        <v>12.821300000000001</v>
      </c>
      <c r="L2879" s="4">
        <v>12.4915</v>
      </c>
      <c r="M2879" s="4">
        <f t="shared" si="177"/>
        <v>12.310366666666667</v>
      </c>
      <c r="Q2879" s="43" t="s">
        <v>4192</v>
      </c>
      <c r="R2879" s="4">
        <v>12.4078860002081</v>
      </c>
      <c r="S2879" s="4">
        <v>12.7803830181997</v>
      </c>
      <c r="T2879" s="4">
        <v>12.517643324535101</v>
      </c>
      <c r="U2879" s="4">
        <f t="shared" si="178"/>
        <v>12.568637447647633</v>
      </c>
      <c r="X2879" s="43" t="s">
        <v>2293</v>
      </c>
      <c r="Y2879" s="4">
        <v>12.736809526161901</v>
      </c>
      <c r="Z2879" s="4">
        <v>12.598896887077499</v>
      </c>
      <c r="AA2879" s="4">
        <v>13.0671060514226</v>
      </c>
      <c r="AB2879" s="4">
        <f t="shared" si="179"/>
        <v>12.800937488220667</v>
      </c>
    </row>
    <row r="2880" spans="2:28" x14ac:dyDescent="0.2">
      <c r="B2880" s="4" t="s">
        <v>1079</v>
      </c>
      <c r="C2880" s="4">
        <v>11.9953</v>
      </c>
      <c r="D2880" s="4">
        <v>12.985099999999999</v>
      </c>
      <c r="E2880" s="4">
        <v>12.4663</v>
      </c>
      <c r="F2880" s="4">
        <f t="shared" si="176"/>
        <v>12.482233333333333</v>
      </c>
      <c r="I2880" s="4" t="s">
        <v>2471</v>
      </c>
      <c r="J2880" s="4">
        <v>12.541399999999999</v>
      </c>
      <c r="K2880" s="4">
        <v>11.949199999999999</v>
      </c>
      <c r="L2880" s="4">
        <v>12.4278</v>
      </c>
      <c r="M2880" s="4">
        <f t="shared" si="177"/>
        <v>12.306133333333333</v>
      </c>
      <c r="Q2880" s="43" t="s">
        <v>3665</v>
      </c>
      <c r="R2880" s="4">
        <v>13.8920608027525</v>
      </c>
      <c r="S2880" s="4">
        <v>11.1393432942742</v>
      </c>
      <c r="T2880" s="4">
        <v>12.6735672199849</v>
      </c>
      <c r="U2880" s="4">
        <f t="shared" si="178"/>
        <v>12.5683237723372</v>
      </c>
      <c r="X2880" s="43" t="s">
        <v>3250</v>
      </c>
      <c r="Y2880" s="4">
        <v>12.7488917106482</v>
      </c>
      <c r="Z2880" s="4">
        <v>12.6477099276989</v>
      </c>
      <c r="AA2880" s="4">
        <v>13.003223680741099</v>
      </c>
      <c r="AB2880" s="4">
        <f t="shared" si="179"/>
        <v>12.799941773029401</v>
      </c>
    </row>
    <row r="2881" spans="2:28" x14ac:dyDescent="0.2">
      <c r="B2881" s="4" t="s">
        <v>458</v>
      </c>
      <c r="C2881" s="4">
        <v>12.363</v>
      </c>
      <c r="D2881" s="4">
        <v>12.731299999999999</v>
      </c>
      <c r="E2881" s="4">
        <v>12.3499</v>
      </c>
      <c r="F2881" s="4">
        <f t="shared" si="176"/>
        <v>12.481399999999999</v>
      </c>
      <c r="I2881" s="4" t="s">
        <v>3177</v>
      </c>
      <c r="J2881" s="4">
        <v>12.5283</v>
      </c>
      <c r="K2881" s="4">
        <v>12.266400000000001</v>
      </c>
      <c r="L2881" s="4">
        <v>12.1206</v>
      </c>
      <c r="M2881" s="4">
        <f t="shared" si="177"/>
        <v>12.305100000000001</v>
      </c>
      <c r="Q2881" s="43" t="s">
        <v>3850</v>
      </c>
      <c r="R2881" s="4">
        <v>12.917418338055301</v>
      </c>
      <c r="S2881" s="4">
        <v>12.308580597338899</v>
      </c>
      <c r="T2881" s="4">
        <v>12.4759917051847</v>
      </c>
      <c r="U2881" s="4">
        <f t="shared" si="178"/>
        <v>12.567330213526299</v>
      </c>
      <c r="X2881" s="43" t="s">
        <v>1866</v>
      </c>
      <c r="Y2881" s="4">
        <v>12.747504454885</v>
      </c>
      <c r="Z2881" s="4">
        <v>12.8721176016772</v>
      </c>
      <c r="AA2881" s="4">
        <v>12.7789182165202</v>
      </c>
      <c r="AB2881" s="4">
        <f t="shared" si="179"/>
        <v>12.799513424360802</v>
      </c>
    </row>
    <row r="2882" spans="2:28" x14ac:dyDescent="0.2">
      <c r="B2882" s="4" t="s">
        <v>3121</v>
      </c>
      <c r="C2882" s="4">
        <v>12.7653</v>
      </c>
      <c r="D2882" s="4">
        <v>12.4283</v>
      </c>
      <c r="E2882" s="4">
        <v>12.2445</v>
      </c>
      <c r="F2882" s="4">
        <f t="shared" ref="F2882:F2945" si="180">(C2882+D2882+E2882)/3</f>
        <v>12.479366666666666</v>
      </c>
      <c r="I2882" s="4" t="s">
        <v>2633</v>
      </c>
      <c r="J2882" s="4">
        <v>12.5168</v>
      </c>
      <c r="K2882" s="4">
        <v>13.1113</v>
      </c>
      <c r="L2882" s="4">
        <v>11.2819</v>
      </c>
      <c r="M2882" s="4">
        <f t="shared" ref="M2882:M2945" si="181">(J2882+K2882+L2882)/3</f>
        <v>12.303333333333333</v>
      </c>
      <c r="Q2882" s="43" t="s">
        <v>595</v>
      </c>
      <c r="R2882" s="4">
        <v>12.1238086159197</v>
      </c>
      <c r="S2882" s="4">
        <v>13.0111946707342</v>
      </c>
      <c r="T2882" s="4">
        <v>12.552367981656699</v>
      </c>
      <c r="U2882" s="4">
        <f t="shared" ref="U2882:U2945" si="182">(R2882+S2882+T2882)/3</f>
        <v>12.562457089436867</v>
      </c>
      <c r="X2882" s="43" t="s">
        <v>3618</v>
      </c>
      <c r="Y2882" s="4">
        <v>12.853239230458</v>
      </c>
      <c r="Z2882" s="4">
        <v>12.6214259908324</v>
      </c>
      <c r="AA2882" s="4">
        <v>12.912152050922501</v>
      </c>
      <c r="AB2882" s="4">
        <f t="shared" ref="AB2882:AB2945" si="183">(Y2882+Z2882+AA2882)/3</f>
        <v>12.795605757404301</v>
      </c>
    </row>
    <row r="2883" spans="2:28" x14ac:dyDescent="0.2">
      <c r="B2883" s="4" t="s">
        <v>2786</v>
      </c>
      <c r="C2883" s="4">
        <v>13.671200000000001</v>
      </c>
      <c r="D2883" s="4">
        <v>13.202999999999999</v>
      </c>
      <c r="E2883" s="4">
        <v>10.559200000000001</v>
      </c>
      <c r="F2883" s="4">
        <f t="shared" si="180"/>
        <v>12.477800000000002</v>
      </c>
      <c r="I2883" s="4" t="s">
        <v>2748</v>
      </c>
      <c r="J2883" s="4">
        <v>12.041</v>
      </c>
      <c r="K2883" s="4">
        <v>12.839399999999999</v>
      </c>
      <c r="L2883" s="4">
        <v>12.01</v>
      </c>
      <c r="M2883" s="4">
        <f t="shared" si="181"/>
        <v>12.296799999999999</v>
      </c>
      <c r="Q2883" s="43" t="s">
        <v>232</v>
      </c>
      <c r="R2883" s="4">
        <v>12.305794323000899</v>
      </c>
      <c r="S2883" s="4">
        <v>12.6964454514832</v>
      </c>
      <c r="T2883" s="4">
        <v>12.685075439866999</v>
      </c>
      <c r="U2883" s="4">
        <f t="shared" si="182"/>
        <v>12.5624384047837</v>
      </c>
      <c r="X2883" s="43" t="s">
        <v>4167</v>
      </c>
      <c r="Y2883" s="4">
        <v>12.9697423663939</v>
      </c>
      <c r="Z2883" s="4">
        <v>12.6541950768585</v>
      </c>
      <c r="AA2883" s="4">
        <v>12.7525306075276</v>
      </c>
      <c r="AB2883" s="4">
        <f t="shared" si="183"/>
        <v>12.792156016926668</v>
      </c>
    </row>
    <row r="2884" spans="2:28" x14ac:dyDescent="0.2">
      <c r="B2884" s="4" t="s">
        <v>1967</v>
      </c>
      <c r="C2884" s="4">
        <v>12.668900000000001</v>
      </c>
      <c r="D2884" s="4">
        <v>12.7143</v>
      </c>
      <c r="E2884" s="4">
        <v>12.047499999999999</v>
      </c>
      <c r="F2884" s="4">
        <f t="shared" si="180"/>
        <v>12.476900000000001</v>
      </c>
      <c r="I2884" s="4" t="s">
        <v>2620</v>
      </c>
      <c r="J2884" s="4">
        <v>12.0504</v>
      </c>
      <c r="K2884" s="4">
        <v>12.4201</v>
      </c>
      <c r="L2884" s="4">
        <v>12.410399999999999</v>
      </c>
      <c r="M2884" s="4">
        <f t="shared" si="181"/>
        <v>12.293633333333332</v>
      </c>
      <c r="Q2884" s="43" t="s">
        <v>1035</v>
      </c>
      <c r="R2884" s="4">
        <v>12.5128187024238</v>
      </c>
      <c r="S2884" s="4">
        <v>12.6293519140256</v>
      </c>
      <c r="T2884" s="4">
        <v>12.5406501690262</v>
      </c>
      <c r="U2884" s="4">
        <f t="shared" si="182"/>
        <v>12.5609402618252</v>
      </c>
      <c r="X2884" s="43" t="s">
        <v>2918</v>
      </c>
      <c r="Y2884" s="4">
        <v>12.860281676710001</v>
      </c>
      <c r="Z2884" s="4">
        <v>12.777450849488501</v>
      </c>
      <c r="AA2884" s="4">
        <v>12.7384502098329</v>
      </c>
      <c r="AB2884" s="4">
        <f t="shared" si="183"/>
        <v>12.792060912010468</v>
      </c>
    </row>
    <row r="2885" spans="2:28" x14ac:dyDescent="0.2">
      <c r="B2885" s="4" t="s">
        <v>2807</v>
      </c>
      <c r="C2885" s="4">
        <v>12.2309</v>
      </c>
      <c r="D2885" s="4">
        <v>12.619300000000001</v>
      </c>
      <c r="E2885" s="4">
        <v>12.577999999999999</v>
      </c>
      <c r="F2885" s="4">
        <f t="shared" si="180"/>
        <v>12.476066666666668</v>
      </c>
      <c r="I2885" s="4" t="s">
        <v>2845</v>
      </c>
      <c r="J2885" s="4">
        <v>12.6822</v>
      </c>
      <c r="K2885" s="4">
        <v>12.545400000000001</v>
      </c>
      <c r="L2885" s="4">
        <v>11.6365</v>
      </c>
      <c r="M2885" s="4">
        <f t="shared" si="181"/>
        <v>12.288033333333333</v>
      </c>
      <c r="Q2885" s="43" t="s">
        <v>70</v>
      </c>
      <c r="R2885" s="4">
        <v>12.7020497259098</v>
      </c>
      <c r="S2885" s="4">
        <v>12.5016985932808</v>
      </c>
      <c r="T2885" s="4">
        <v>12.478882606337301</v>
      </c>
      <c r="U2885" s="4">
        <f t="shared" si="182"/>
        <v>12.560876975175967</v>
      </c>
      <c r="X2885" s="43" t="s">
        <v>2148</v>
      </c>
      <c r="Y2885" s="4">
        <v>12.9997313540013</v>
      </c>
      <c r="Z2885" s="4">
        <v>12.6036514171085</v>
      </c>
      <c r="AA2885" s="4">
        <v>12.7718358935699</v>
      </c>
      <c r="AB2885" s="4">
        <f t="shared" si="183"/>
        <v>12.791739554893233</v>
      </c>
    </row>
    <row r="2886" spans="2:28" x14ac:dyDescent="0.2">
      <c r="B2886" s="4" t="s">
        <v>2423</v>
      </c>
      <c r="C2886" s="4">
        <v>12.7302</v>
      </c>
      <c r="D2886" s="4">
        <v>12.1608</v>
      </c>
      <c r="E2886" s="4">
        <v>12.524800000000001</v>
      </c>
      <c r="F2886" s="4">
        <f t="shared" si="180"/>
        <v>12.471933333333332</v>
      </c>
      <c r="I2886" s="4" t="s">
        <v>1605</v>
      </c>
      <c r="J2886" s="4">
        <v>11.363300000000001</v>
      </c>
      <c r="K2886" s="4">
        <v>13.0433</v>
      </c>
      <c r="L2886" s="4">
        <v>12.4373</v>
      </c>
      <c r="M2886" s="4">
        <f t="shared" si="181"/>
        <v>12.281300000000002</v>
      </c>
      <c r="Q2886" s="43" t="s">
        <v>1489</v>
      </c>
      <c r="R2886" s="4">
        <v>12.100548291216599</v>
      </c>
      <c r="S2886" s="4">
        <v>13.0513225154829</v>
      </c>
      <c r="T2886" s="4">
        <v>12.5266406682767</v>
      </c>
      <c r="U2886" s="4">
        <f t="shared" si="182"/>
        <v>12.559503824992065</v>
      </c>
      <c r="X2886" s="43" t="s">
        <v>811</v>
      </c>
      <c r="Y2886" s="4">
        <v>12.529305210466299</v>
      </c>
      <c r="Z2886" s="4">
        <v>12.5900282935129</v>
      </c>
      <c r="AA2886" s="4">
        <v>13.252802644001999</v>
      </c>
      <c r="AB2886" s="4">
        <f t="shared" si="183"/>
        <v>12.790712049327064</v>
      </c>
    </row>
    <row r="2887" spans="2:28" x14ac:dyDescent="0.2">
      <c r="B2887" s="4" t="s">
        <v>19</v>
      </c>
      <c r="C2887" s="4">
        <v>12.706799999999999</v>
      </c>
      <c r="D2887" s="4">
        <v>12.6761</v>
      </c>
      <c r="E2887" s="4">
        <v>12.0307</v>
      </c>
      <c r="F2887" s="4">
        <f t="shared" si="180"/>
        <v>12.471200000000001</v>
      </c>
      <c r="I2887" s="4" t="s">
        <v>3327</v>
      </c>
      <c r="J2887" s="4">
        <v>12.2669</v>
      </c>
      <c r="K2887" s="4">
        <v>12.415900000000001</v>
      </c>
      <c r="L2887" s="4">
        <v>12.1393</v>
      </c>
      <c r="M2887" s="4">
        <f t="shared" si="181"/>
        <v>12.274033333333334</v>
      </c>
      <c r="Q2887" s="43" t="s">
        <v>4527</v>
      </c>
      <c r="R2887" s="4">
        <v>12.155255420235701</v>
      </c>
      <c r="S2887" s="4">
        <v>12.8566378787944</v>
      </c>
      <c r="T2887" s="4">
        <v>12.664395884785799</v>
      </c>
      <c r="U2887" s="4">
        <f t="shared" si="182"/>
        <v>12.558763061271966</v>
      </c>
      <c r="X2887" s="43" t="s">
        <v>4413</v>
      </c>
      <c r="Y2887" s="4">
        <v>12.9295189028038</v>
      </c>
      <c r="Z2887" s="4">
        <v>12.380844671664599</v>
      </c>
      <c r="AA2887" s="4">
        <v>13.053728724349099</v>
      </c>
      <c r="AB2887" s="4">
        <f t="shared" si="183"/>
        <v>12.788030766272499</v>
      </c>
    </row>
    <row r="2888" spans="2:28" x14ac:dyDescent="0.2">
      <c r="B2888" s="4" t="s">
        <v>47</v>
      </c>
      <c r="C2888" s="4">
        <v>12.478999999999999</v>
      </c>
      <c r="D2888" s="4">
        <v>12.0603</v>
      </c>
      <c r="E2888" s="4">
        <v>12.8743</v>
      </c>
      <c r="F2888" s="4">
        <f t="shared" si="180"/>
        <v>12.471199999999998</v>
      </c>
      <c r="I2888" s="4" t="s">
        <v>4039</v>
      </c>
      <c r="J2888" s="4">
        <v>12.2712</v>
      </c>
      <c r="K2888" s="4">
        <v>12.1287</v>
      </c>
      <c r="L2888" s="4">
        <v>12.421799999999999</v>
      </c>
      <c r="M2888" s="4">
        <f t="shared" si="181"/>
        <v>12.273899999999999</v>
      </c>
      <c r="Q2888" s="43" t="s">
        <v>257</v>
      </c>
      <c r="R2888" s="4">
        <v>12.4621691528118</v>
      </c>
      <c r="S2888" s="4">
        <v>12.677388129101899</v>
      </c>
      <c r="T2888" s="4">
        <v>12.523511022678401</v>
      </c>
      <c r="U2888" s="4">
        <f t="shared" si="182"/>
        <v>12.554356101530701</v>
      </c>
      <c r="X2888" s="43" t="s">
        <v>183</v>
      </c>
      <c r="Y2888" s="4">
        <v>12.948719826783901</v>
      </c>
      <c r="Z2888" s="4">
        <v>12.797056841366199</v>
      </c>
      <c r="AA2888" s="4">
        <v>12.616660924812599</v>
      </c>
      <c r="AB2888" s="4">
        <f t="shared" si="183"/>
        <v>12.787479197654234</v>
      </c>
    </row>
    <row r="2889" spans="2:28" x14ac:dyDescent="0.2">
      <c r="B2889" s="4" t="s">
        <v>365</v>
      </c>
      <c r="C2889" s="4">
        <v>12.021100000000001</v>
      </c>
      <c r="D2889" s="4">
        <v>12.5128</v>
      </c>
      <c r="E2889" s="4">
        <v>12.8727</v>
      </c>
      <c r="F2889" s="4">
        <f t="shared" si="180"/>
        <v>12.468866666666669</v>
      </c>
      <c r="I2889" s="4" t="s">
        <v>3646</v>
      </c>
      <c r="J2889" s="4">
        <v>11.9709</v>
      </c>
      <c r="K2889" s="4">
        <v>12.237399999999999</v>
      </c>
      <c r="L2889" s="4">
        <v>12.597300000000001</v>
      </c>
      <c r="M2889" s="4">
        <f t="shared" si="181"/>
        <v>12.268533333333332</v>
      </c>
      <c r="Q2889" s="43" t="s">
        <v>789</v>
      </c>
      <c r="R2889" s="4">
        <v>12.0965420662074</v>
      </c>
      <c r="S2889" s="4">
        <v>12.6493110787659</v>
      </c>
      <c r="T2889" s="4">
        <v>12.913705240489501</v>
      </c>
      <c r="U2889" s="4">
        <f t="shared" si="182"/>
        <v>12.553186128487601</v>
      </c>
      <c r="X2889" s="43" t="s">
        <v>4442</v>
      </c>
      <c r="Y2889" s="4">
        <v>12.8149685113882</v>
      </c>
      <c r="Z2889" s="4">
        <v>12.6937427337719</v>
      </c>
      <c r="AA2889" s="4">
        <v>12.8426446500866</v>
      </c>
      <c r="AB2889" s="4">
        <f t="shared" si="183"/>
        <v>12.783785298415566</v>
      </c>
    </row>
    <row r="2890" spans="2:28" x14ac:dyDescent="0.2">
      <c r="B2890" s="4" t="s">
        <v>2675</v>
      </c>
      <c r="C2890" s="4">
        <v>11.826599999999999</v>
      </c>
      <c r="D2890" s="4">
        <v>11.9107</v>
      </c>
      <c r="E2890" s="4">
        <v>13.648199999999999</v>
      </c>
      <c r="F2890" s="4">
        <f t="shared" si="180"/>
        <v>12.461833333333331</v>
      </c>
      <c r="I2890" s="4" t="s">
        <v>2454</v>
      </c>
      <c r="J2890" s="4">
        <v>10.5687</v>
      </c>
      <c r="K2890" s="4">
        <v>13.5519</v>
      </c>
      <c r="L2890" s="4">
        <v>12.6805</v>
      </c>
      <c r="M2890" s="4">
        <f t="shared" si="181"/>
        <v>12.267033333333332</v>
      </c>
      <c r="Q2890" s="43" t="s">
        <v>2861</v>
      </c>
      <c r="R2890" s="4">
        <v>12.8818029902414</v>
      </c>
      <c r="S2890" s="4">
        <v>12.4891001754575</v>
      </c>
      <c r="T2890" s="4">
        <v>12.2865338163787</v>
      </c>
      <c r="U2890" s="4">
        <f t="shared" si="182"/>
        <v>12.552478994025867</v>
      </c>
      <c r="X2890" s="43" t="s">
        <v>3369</v>
      </c>
      <c r="Y2890" s="4">
        <v>12.346784311195901</v>
      </c>
      <c r="Z2890" s="4">
        <v>13.4879587646614</v>
      </c>
      <c r="AA2890" s="4">
        <v>12.5145157249571</v>
      </c>
      <c r="AB2890" s="4">
        <f t="shared" si="183"/>
        <v>12.783086266938133</v>
      </c>
    </row>
    <row r="2891" spans="2:28" x14ac:dyDescent="0.2">
      <c r="B2891" s="4" t="s">
        <v>2712</v>
      </c>
      <c r="C2891" s="4">
        <v>12.180899999999999</v>
      </c>
      <c r="D2891" s="4">
        <v>12.8308</v>
      </c>
      <c r="E2891" s="4">
        <v>12.3537</v>
      </c>
      <c r="F2891" s="4">
        <f t="shared" si="180"/>
        <v>12.455133333333331</v>
      </c>
      <c r="I2891" s="4" t="s">
        <v>1483</v>
      </c>
      <c r="J2891" s="4">
        <v>11.2416</v>
      </c>
      <c r="K2891" s="4">
        <v>13.638400000000001</v>
      </c>
      <c r="L2891" s="4">
        <v>11.914400000000001</v>
      </c>
      <c r="M2891" s="4">
        <f t="shared" si="181"/>
        <v>12.264800000000001</v>
      </c>
      <c r="Q2891" s="43" t="s">
        <v>681</v>
      </c>
      <c r="R2891" s="4">
        <v>12.854932839080901</v>
      </c>
      <c r="S2891" s="4">
        <v>12.146616270066099</v>
      </c>
      <c r="T2891" s="4">
        <v>12.6431311321747</v>
      </c>
      <c r="U2891" s="4">
        <f t="shared" si="182"/>
        <v>12.548226747107234</v>
      </c>
      <c r="X2891" s="43" t="s">
        <v>986</v>
      </c>
      <c r="Y2891" s="4">
        <v>12.643625722753301</v>
      </c>
      <c r="Z2891" s="4">
        <v>12.709281958877099</v>
      </c>
      <c r="AA2891" s="4">
        <v>12.987028030986799</v>
      </c>
      <c r="AB2891" s="4">
        <f t="shared" si="183"/>
        <v>12.7799785708724</v>
      </c>
    </row>
    <row r="2892" spans="2:28" x14ac:dyDescent="0.2">
      <c r="B2892" s="4" t="s">
        <v>109</v>
      </c>
      <c r="C2892" s="4">
        <v>13.0783</v>
      </c>
      <c r="D2892" s="4">
        <v>12.136100000000001</v>
      </c>
      <c r="E2892" s="4">
        <v>12.146800000000001</v>
      </c>
      <c r="F2892" s="4">
        <f t="shared" si="180"/>
        <v>12.453733333333334</v>
      </c>
      <c r="I2892" s="4" t="s">
        <v>3407</v>
      </c>
      <c r="J2892" s="4">
        <v>12.722099999999999</v>
      </c>
      <c r="K2892" s="4">
        <v>11.2715</v>
      </c>
      <c r="L2892" s="4">
        <v>12.798</v>
      </c>
      <c r="M2892" s="4">
        <f t="shared" si="181"/>
        <v>12.263866666666667</v>
      </c>
      <c r="Q2892" s="43" t="s">
        <v>291</v>
      </c>
      <c r="R2892" s="4">
        <v>12.415479450428199</v>
      </c>
      <c r="S2892" s="4">
        <v>12.6289072744768</v>
      </c>
      <c r="T2892" s="4">
        <v>12.596404355435499</v>
      </c>
      <c r="U2892" s="4">
        <f t="shared" si="182"/>
        <v>12.5469303601135</v>
      </c>
      <c r="X2892" s="43" t="s">
        <v>2787</v>
      </c>
      <c r="Y2892" s="4">
        <v>12.946288672231301</v>
      </c>
      <c r="Z2892" s="4">
        <v>12.569948132516201</v>
      </c>
      <c r="AA2892" s="4">
        <v>12.823037870178201</v>
      </c>
      <c r="AB2892" s="4">
        <f t="shared" si="183"/>
        <v>12.779758224975234</v>
      </c>
    </row>
    <row r="2893" spans="2:28" x14ac:dyDescent="0.2">
      <c r="B2893" s="4" t="s">
        <v>1419</v>
      </c>
      <c r="C2893" s="4">
        <v>12.3893</v>
      </c>
      <c r="D2893" s="4">
        <v>13.037800000000001</v>
      </c>
      <c r="E2893" s="4">
        <v>11.930199999999999</v>
      </c>
      <c r="F2893" s="4">
        <f t="shared" si="180"/>
        <v>12.452433333333333</v>
      </c>
      <c r="I2893" s="4" t="s">
        <v>2763</v>
      </c>
      <c r="J2893" s="4">
        <v>12.5428</v>
      </c>
      <c r="K2893" s="4">
        <v>11.7158</v>
      </c>
      <c r="L2893" s="4">
        <v>12.5319</v>
      </c>
      <c r="M2893" s="4">
        <f t="shared" si="181"/>
        <v>12.263500000000001</v>
      </c>
      <c r="Q2893" s="43" t="s">
        <v>1204</v>
      </c>
      <c r="R2893" s="4">
        <v>12.3450003454456</v>
      </c>
      <c r="S2893" s="4">
        <v>12.781468079338</v>
      </c>
      <c r="T2893" s="4">
        <v>12.5137240773185</v>
      </c>
      <c r="U2893" s="4">
        <f t="shared" si="182"/>
        <v>12.546730834034031</v>
      </c>
      <c r="X2893" s="43" t="s">
        <v>3381</v>
      </c>
      <c r="Y2893" s="4">
        <v>13.531048400984201</v>
      </c>
      <c r="Z2893" s="4">
        <v>13.2836523381549</v>
      </c>
      <c r="AA2893" s="4">
        <v>11.522426499485601</v>
      </c>
      <c r="AB2893" s="4">
        <f t="shared" si="183"/>
        <v>12.779042412874901</v>
      </c>
    </row>
    <row r="2894" spans="2:28" x14ac:dyDescent="0.2">
      <c r="B2894" s="4" t="s">
        <v>2184</v>
      </c>
      <c r="C2894" s="4">
        <v>13.5258</v>
      </c>
      <c r="D2894" s="4">
        <v>12.1089</v>
      </c>
      <c r="E2894" s="4">
        <v>11.7127</v>
      </c>
      <c r="F2894" s="4">
        <f t="shared" si="180"/>
        <v>12.449133333333334</v>
      </c>
      <c r="I2894" s="4" t="s">
        <v>3560</v>
      </c>
      <c r="J2894" s="4">
        <v>12.3506</v>
      </c>
      <c r="K2894" s="4">
        <v>12.1623</v>
      </c>
      <c r="L2894" s="4">
        <v>12.2705</v>
      </c>
      <c r="M2894" s="4">
        <f t="shared" si="181"/>
        <v>12.261133333333333</v>
      </c>
      <c r="Q2894" s="43" t="s">
        <v>2168</v>
      </c>
      <c r="R2894" s="4">
        <v>12.145040289521299</v>
      </c>
      <c r="S2894" s="4">
        <v>12.8336097653305</v>
      </c>
      <c r="T2894" s="4">
        <v>12.64931507182</v>
      </c>
      <c r="U2894" s="4">
        <f t="shared" si="182"/>
        <v>12.542655042223933</v>
      </c>
      <c r="X2894" s="43" t="s">
        <v>2201</v>
      </c>
      <c r="Y2894" s="4">
        <v>12.6020949558082</v>
      </c>
      <c r="Z2894" s="4">
        <v>12.5814006329046</v>
      </c>
      <c r="AA2894" s="4">
        <v>13.151354749796599</v>
      </c>
      <c r="AB2894" s="4">
        <f t="shared" si="183"/>
        <v>12.7782834461698</v>
      </c>
    </row>
    <row r="2895" spans="2:28" x14ac:dyDescent="0.2">
      <c r="B2895" s="4" t="s">
        <v>2478</v>
      </c>
      <c r="C2895" s="4">
        <v>11.8089</v>
      </c>
      <c r="D2895" s="4">
        <v>12.396699999999999</v>
      </c>
      <c r="E2895" s="4">
        <v>13.114800000000001</v>
      </c>
      <c r="F2895" s="4">
        <f t="shared" si="180"/>
        <v>12.440133333333334</v>
      </c>
      <c r="I2895" s="4" t="s">
        <v>4055</v>
      </c>
      <c r="J2895" s="4">
        <v>12.5966</v>
      </c>
      <c r="K2895" s="4">
        <v>11.892099999999999</v>
      </c>
      <c r="L2895" s="4">
        <v>12.267300000000001</v>
      </c>
      <c r="M2895" s="4">
        <f t="shared" si="181"/>
        <v>12.252000000000001</v>
      </c>
      <c r="Q2895" s="43" t="s">
        <v>4421</v>
      </c>
      <c r="R2895" s="4">
        <v>12.646902743976</v>
      </c>
      <c r="S2895" s="4">
        <v>12.5470142103207</v>
      </c>
      <c r="T2895" s="4">
        <v>12.432484096146499</v>
      </c>
      <c r="U2895" s="4">
        <f t="shared" si="182"/>
        <v>12.542133683481067</v>
      </c>
      <c r="X2895" s="43" t="s">
        <v>2740</v>
      </c>
      <c r="Y2895" s="4">
        <v>13.0306525978534</v>
      </c>
      <c r="Z2895" s="4">
        <v>12.797005213529699</v>
      </c>
      <c r="AA2895" s="4">
        <v>12.5019225190689</v>
      </c>
      <c r="AB2895" s="4">
        <f t="shared" si="183"/>
        <v>12.776526776817333</v>
      </c>
    </row>
    <row r="2896" spans="2:28" x14ac:dyDescent="0.2">
      <c r="B2896" s="4" t="s">
        <v>1035</v>
      </c>
      <c r="C2896" s="4">
        <v>12.275600000000001</v>
      </c>
      <c r="D2896" s="4">
        <v>12.450799999999999</v>
      </c>
      <c r="E2896" s="4">
        <v>12.5939</v>
      </c>
      <c r="F2896" s="4">
        <f t="shared" si="180"/>
        <v>12.440099999999999</v>
      </c>
      <c r="I2896" s="4" t="s">
        <v>1343</v>
      </c>
      <c r="J2896" s="4">
        <v>12.7155</v>
      </c>
      <c r="K2896" s="4">
        <v>11.5845</v>
      </c>
      <c r="L2896" s="4">
        <v>12.4442</v>
      </c>
      <c r="M2896" s="4">
        <f t="shared" si="181"/>
        <v>12.248066666666666</v>
      </c>
      <c r="Q2896" s="43" t="s">
        <v>4129</v>
      </c>
      <c r="R2896" s="4">
        <v>12.437212532433801</v>
      </c>
      <c r="S2896" s="4">
        <v>12.4998493468183</v>
      </c>
      <c r="T2896" s="4">
        <v>12.6810800832754</v>
      </c>
      <c r="U2896" s="4">
        <f t="shared" si="182"/>
        <v>12.539380654175835</v>
      </c>
      <c r="X2896" s="43" t="s">
        <v>3072</v>
      </c>
      <c r="Y2896" s="4">
        <v>12.820566236183</v>
      </c>
      <c r="Z2896" s="4">
        <v>12.6832250335415</v>
      </c>
      <c r="AA2896" s="4">
        <v>12.823094575622299</v>
      </c>
      <c r="AB2896" s="4">
        <f t="shared" si="183"/>
        <v>12.7756286151156</v>
      </c>
    </row>
    <row r="2897" spans="2:28" x14ac:dyDescent="0.2">
      <c r="B2897" s="4" t="s">
        <v>2324</v>
      </c>
      <c r="C2897" s="4">
        <v>13.3743</v>
      </c>
      <c r="D2897" s="4">
        <v>12.309200000000001</v>
      </c>
      <c r="E2897" s="4">
        <v>11.635899999999999</v>
      </c>
      <c r="F2897" s="4">
        <f t="shared" si="180"/>
        <v>12.4398</v>
      </c>
      <c r="I2897" s="4" t="s">
        <v>3274</v>
      </c>
      <c r="J2897" s="4">
        <v>12.2431</v>
      </c>
      <c r="K2897" s="4">
        <v>12.4537</v>
      </c>
      <c r="L2897" s="4">
        <v>12.0379</v>
      </c>
      <c r="M2897" s="4">
        <f t="shared" si="181"/>
        <v>12.244900000000001</v>
      </c>
      <c r="Q2897" s="43" t="s">
        <v>3525</v>
      </c>
      <c r="R2897" s="4">
        <v>12.3211823792976</v>
      </c>
      <c r="S2897" s="4">
        <v>12.776683358560399</v>
      </c>
      <c r="T2897" s="4">
        <v>12.5074909576308</v>
      </c>
      <c r="U2897" s="4">
        <f t="shared" si="182"/>
        <v>12.535118898496266</v>
      </c>
      <c r="X2897" s="43" t="s">
        <v>522</v>
      </c>
      <c r="Y2897" s="4">
        <v>12.8290877140708</v>
      </c>
      <c r="Z2897" s="4">
        <v>12.739616284158201</v>
      </c>
      <c r="AA2897" s="4">
        <v>12.7566627470742</v>
      </c>
      <c r="AB2897" s="4">
        <f t="shared" si="183"/>
        <v>12.7751222484344</v>
      </c>
    </row>
    <row r="2898" spans="2:28" x14ac:dyDescent="0.2">
      <c r="B2898" s="4" t="s">
        <v>3526</v>
      </c>
      <c r="C2898" s="4">
        <v>12.4108</v>
      </c>
      <c r="D2898" s="4">
        <v>12.626799999999999</v>
      </c>
      <c r="E2898" s="4">
        <v>12.2796</v>
      </c>
      <c r="F2898" s="4">
        <f t="shared" si="180"/>
        <v>12.439066666666667</v>
      </c>
      <c r="I2898" s="4" t="s">
        <v>2195</v>
      </c>
      <c r="J2898" s="4">
        <v>12.6096</v>
      </c>
      <c r="K2898" s="4">
        <v>11.240500000000001</v>
      </c>
      <c r="L2898" s="4">
        <v>12.883599999999999</v>
      </c>
      <c r="M2898" s="4">
        <f t="shared" si="181"/>
        <v>12.244566666666666</v>
      </c>
      <c r="Q2898" s="43" t="s">
        <v>3391</v>
      </c>
      <c r="R2898" s="4">
        <v>12.5723806604872</v>
      </c>
      <c r="S2898" s="4">
        <v>12.561742236346401</v>
      </c>
      <c r="T2898" s="4">
        <v>12.4627112623965</v>
      </c>
      <c r="U2898" s="4">
        <f t="shared" si="182"/>
        <v>12.5322780530767</v>
      </c>
      <c r="X2898" s="43" t="s">
        <v>844</v>
      </c>
      <c r="Y2898" s="4">
        <v>12.774984998924101</v>
      </c>
      <c r="Z2898" s="4">
        <v>13.0267823606004</v>
      </c>
      <c r="AA2898" s="4">
        <v>12.5223956947943</v>
      </c>
      <c r="AB2898" s="4">
        <f t="shared" si="183"/>
        <v>12.774721018106268</v>
      </c>
    </row>
    <row r="2899" spans="2:28" x14ac:dyDescent="0.2">
      <c r="B2899" s="4" t="s">
        <v>2275</v>
      </c>
      <c r="C2899" s="4">
        <v>12.403600000000001</v>
      </c>
      <c r="D2899" s="4">
        <v>12.6294</v>
      </c>
      <c r="E2899" s="4">
        <v>12.276199999999999</v>
      </c>
      <c r="F2899" s="4">
        <f t="shared" si="180"/>
        <v>12.436400000000001</v>
      </c>
      <c r="I2899" s="4" t="s">
        <v>3587</v>
      </c>
      <c r="J2899" s="4">
        <v>12.392899999999999</v>
      </c>
      <c r="K2899" s="4">
        <v>12.019</v>
      </c>
      <c r="L2899" s="4">
        <v>12.3178</v>
      </c>
      <c r="M2899" s="4">
        <f t="shared" si="181"/>
        <v>12.243233333333334</v>
      </c>
      <c r="Q2899" s="43" t="s">
        <v>4363</v>
      </c>
      <c r="R2899" s="4">
        <v>12.2319826267703</v>
      </c>
      <c r="S2899" s="4">
        <v>12.5952181871683</v>
      </c>
      <c r="T2899" s="4">
        <v>12.768768271270799</v>
      </c>
      <c r="U2899" s="4">
        <f t="shared" si="182"/>
        <v>12.531989695069798</v>
      </c>
      <c r="X2899" s="43" t="s">
        <v>812</v>
      </c>
      <c r="Y2899" s="4">
        <v>13.0651227839019</v>
      </c>
      <c r="Z2899" s="4">
        <v>13.4099458031484</v>
      </c>
      <c r="AA2899" s="4">
        <v>11.844434584199799</v>
      </c>
      <c r="AB2899" s="4">
        <f t="shared" si="183"/>
        <v>12.773167723750035</v>
      </c>
    </row>
    <row r="2900" spans="2:28" x14ac:dyDescent="0.2">
      <c r="B2900" s="4" t="s">
        <v>2882</v>
      </c>
      <c r="C2900" s="4">
        <v>12.859</v>
      </c>
      <c r="D2900" s="4">
        <v>12.286300000000001</v>
      </c>
      <c r="E2900" s="4">
        <v>12.163</v>
      </c>
      <c r="F2900" s="4">
        <f t="shared" si="180"/>
        <v>12.436100000000001</v>
      </c>
      <c r="I2900" s="4" t="s">
        <v>3316</v>
      </c>
      <c r="J2900" s="4">
        <v>12.1777</v>
      </c>
      <c r="K2900" s="4">
        <v>12.075100000000001</v>
      </c>
      <c r="L2900" s="4">
        <v>12.4726</v>
      </c>
      <c r="M2900" s="4">
        <f t="shared" si="181"/>
        <v>12.2418</v>
      </c>
      <c r="Q2900" s="43" t="s">
        <v>2740</v>
      </c>
      <c r="R2900" s="4">
        <v>11.8069735769421</v>
      </c>
      <c r="S2900" s="4">
        <v>13.194908474764899</v>
      </c>
      <c r="T2900" s="4">
        <v>12.589255114223301</v>
      </c>
      <c r="U2900" s="4">
        <f t="shared" si="182"/>
        <v>12.5303790553101</v>
      </c>
      <c r="X2900" s="43" t="s">
        <v>145</v>
      </c>
      <c r="Y2900" s="4">
        <v>13.040343269946201</v>
      </c>
      <c r="Z2900" s="4">
        <v>12.467251406315301</v>
      </c>
      <c r="AA2900" s="4">
        <v>12.8084772777519</v>
      </c>
      <c r="AB2900" s="4">
        <f t="shared" si="183"/>
        <v>12.772023984671135</v>
      </c>
    </row>
    <row r="2901" spans="2:28" x14ac:dyDescent="0.2">
      <c r="B2901" s="4" t="s">
        <v>127</v>
      </c>
      <c r="C2901" s="4">
        <v>12.4115</v>
      </c>
      <c r="D2901" s="4">
        <v>12.6326</v>
      </c>
      <c r="E2901" s="4">
        <v>12.2638</v>
      </c>
      <c r="F2901" s="4">
        <f t="shared" si="180"/>
        <v>12.435966666666667</v>
      </c>
      <c r="I2901" s="4" t="s">
        <v>4023</v>
      </c>
      <c r="J2901" s="4">
        <v>12.3675</v>
      </c>
      <c r="K2901" s="4">
        <v>12.1938</v>
      </c>
      <c r="L2901" s="4">
        <v>12.163600000000001</v>
      </c>
      <c r="M2901" s="4">
        <f t="shared" si="181"/>
        <v>12.241633333333333</v>
      </c>
      <c r="Q2901" s="43" t="s">
        <v>4199</v>
      </c>
      <c r="R2901" s="4">
        <v>12.144781555007601</v>
      </c>
      <c r="S2901" s="4">
        <v>12.5939267222977</v>
      </c>
      <c r="T2901" s="4">
        <v>12.8443988874299</v>
      </c>
      <c r="U2901" s="4">
        <f t="shared" si="182"/>
        <v>12.527702388245066</v>
      </c>
      <c r="X2901" s="43" t="s">
        <v>578</v>
      </c>
      <c r="Y2901" s="4">
        <v>12.7882368277927</v>
      </c>
      <c r="Z2901" s="4">
        <v>12.4604504820597</v>
      </c>
      <c r="AA2901" s="4">
        <v>13.0614087955255</v>
      </c>
      <c r="AB2901" s="4">
        <f t="shared" si="183"/>
        <v>12.770032035125967</v>
      </c>
    </row>
    <row r="2902" spans="2:28" x14ac:dyDescent="0.2">
      <c r="B2902" s="4" t="s">
        <v>2238</v>
      </c>
      <c r="C2902" s="4">
        <v>12.450200000000001</v>
      </c>
      <c r="D2902" s="4">
        <v>12.610900000000001</v>
      </c>
      <c r="E2902" s="4">
        <v>12.2204</v>
      </c>
      <c r="F2902" s="4">
        <f t="shared" si="180"/>
        <v>12.427166666666666</v>
      </c>
      <c r="I2902" s="4" t="s">
        <v>3212</v>
      </c>
      <c r="J2902" s="4">
        <v>12.757400000000001</v>
      </c>
      <c r="K2902" s="4">
        <v>10.9537</v>
      </c>
      <c r="L2902" s="4">
        <v>13.003</v>
      </c>
      <c r="M2902" s="4">
        <f t="shared" si="181"/>
        <v>12.238033333333334</v>
      </c>
      <c r="Q2902" s="43" t="s">
        <v>4451</v>
      </c>
      <c r="R2902" s="4">
        <v>12.5224456235826</v>
      </c>
      <c r="S2902" s="4">
        <v>12.5724032340884</v>
      </c>
      <c r="T2902" s="4">
        <v>12.4865880543305</v>
      </c>
      <c r="U2902" s="4">
        <f t="shared" si="182"/>
        <v>12.527145637333833</v>
      </c>
      <c r="X2902" s="43" t="s">
        <v>4373</v>
      </c>
      <c r="Y2902" s="4">
        <v>12.7852860761264</v>
      </c>
      <c r="Z2902" s="4">
        <v>12.706906476773501</v>
      </c>
      <c r="AA2902" s="4">
        <v>12.8043497789892</v>
      </c>
      <c r="AB2902" s="4">
        <f t="shared" si="183"/>
        <v>12.765514110629701</v>
      </c>
    </row>
    <row r="2903" spans="2:28" x14ac:dyDescent="0.2">
      <c r="B2903" s="4" t="s">
        <v>2619</v>
      </c>
      <c r="C2903" s="4">
        <v>12.428699999999999</v>
      </c>
      <c r="D2903" s="4">
        <v>13.1854</v>
      </c>
      <c r="E2903" s="4">
        <v>11.6662</v>
      </c>
      <c r="F2903" s="4">
        <f t="shared" si="180"/>
        <v>12.426766666666666</v>
      </c>
      <c r="I2903" s="4" t="s">
        <v>3806</v>
      </c>
      <c r="J2903" s="4">
        <v>12.2989</v>
      </c>
      <c r="K2903" s="4">
        <v>12.2906</v>
      </c>
      <c r="L2903" s="4">
        <v>12.0966</v>
      </c>
      <c r="M2903" s="4">
        <f t="shared" si="181"/>
        <v>12.228700000000002</v>
      </c>
      <c r="Q2903" s="43" t="s">
        <v>4340</v>
      </c>
      <c r="R2903" s="4">
        <v>12.620264597659601</v>
      </c>
      <c r="S2903" s="4">
        <v>12.6080598084157</v>
      </c>
      <c r="T2903" s="4">
        <v>12.3504292885228</v>
      </c>
      <c r="U2903" s="4">
        <f t="shared" si="182"/>
        <v>12.526251231532703</v>
      </c>
      <c r="X2903" s="43" t="s">
        <v>342</v>
      </c>
      <c r="Y2903" s="4">
        <v>12.575355497137499</v>
      </c>
      <c r="Z2903" s="4">
        <v>12.750135597683499</v>
      </c>
      <c r="AA2903" s="4">
        <v>12.970961323107</v>
      </c>
      <c r="AB2903" s="4">
        <f t="shared" si="183"/>
        <v>12.765484139309331</v>
      </c>
    </row>
    <row r="2904" spans="2:28" x14ac:dyDescent="0.2">
      <c r="B2904" s="4" t="s">
        <v>330</v>
      </c>
      <c r="C2904" s="4">
        <v>12.700900000000001</v>
      </c>
      <c r="D2904" s="4">
        <v>12.5586</v>
      </c>
      <c r="E2904" s="4">
        <v>12.0152</v>
      </c>
      <c r="F2904" s="4">
        <f t="shared" si="180"/>
        <v>12.424900000000001</v>
      </c>
      <c r="I2904" s="4" t="s">
        <v>2478</v>
      </c>
      <c r="J2904" s="4">
        <v>12.0662</v>
      </c>
      <c r="K2904" s="4">
        <v>11.9719</v>
      </c>
      <c r="L2904" s="4">
        <v>12.6454</v>
      </c>
      <c r="M2904" s="4">
        <f t="shared" si="181"/>
        <v>12.227833333333335</v>
      </c>
      <c r="Q2904" s="43" t="s">
        <v>2398</v>
      </c>
      <c r="R2904" s="4">
        <v>12.4112736636074</v>
      </c>
      <c r="S2904" s="4">
        <v>12.6058862776885</v>
      </c>
      <c r="T2904" s="4">
        <v>12.560593670483801</v>
      </c>
      <c r="U2904" s="4">
        <f t="shared" si="182"/>
        <v>12.525917870593233</v>
      </c>
      <c r="X2904" s="43" t="s">
        <v>552</v>
      </c>
      <c r="Y2904" s="4">
        <v>13.0565508760023</v>
      </c>
      <c r="Z2904" s="4">
        <v>12.722732347124699</v>
      </c>
      <c r="AA2904" s="4">
        <v>12.5154651323545</v>
      </c>
      <c r="AB2904" s="4">
        <f t="shared" si="183"/>
        <v>12.764916118493835</v>
      </c>
    </row>
    <row r="2905" spans="2:28" x14ac:dyDescent="0.2">
      <c r="B2905" s="4" t="s">
        <v>3149</v>
      </c>
      <c r="C2905" s="4">
        <v>12.614800000000001</v>
      </c>
      <c r="D2905" s="4">
        <v>11.4213</v>
      </c>
      <c r="E2905" s="4">
        <v>13.2334</v>
      </c>
      <c r="F2905" s="4">
        <f t="shared" si="180"/>
        <v>12.423166666666667</v>
      </c>
      <c r="I2905" s="4" t="s">
        <v>3647</v>
      </c>
      <c r="J2905" s="4">
        <v>12.296099999999999</v>
      </c>
      <c r="K2905" s="4">
        <v>12.0677</v>
      </c>
      <c r="L2905" s="4">
        <v>12.3094</v>
      </c>
      <c r="M2905" s="4">
        <f t="shared" si="181"/>
        <v>12.224399999999997</v>
      </c>
      <c r="Q2905" s="43" t="s">
        <v>800</v>
      </c>
      <c r="R2905" s="4">
        <v>11.837459978713699</v>
      </c>
      <c r="S2905" s="4">
        <v>12.9141294128393</v>
      </c>
      <c r="T2905" s="4">
        <v>12.825908260006999</v>
      </c>
      <c r="U2905" s="4">
        <f t="shared" si="182"/>
        <v>12.525832550519999</v>
      </c>
      <c r="X2905" s="43" t="s">
        <v>2360</v>
      </c>
      <c r="Y2905" s="4">
        <v>12.7542905146005</v>
      </c>
      <c r="Z2905" s="4">
        <v>12.430409818159299</v>
      </c>
      <c r="AA2905" s="4">
        <v>13.106596268748699</v>
      </c>
      <c r="AB2905" s="4">
        <f t="shared" si="183"/>
        <v>12.763765533836166</v>
      </c>
    </row>
    <row r="2906" spans="2:28" x14ac:dyDescent="0.2">
      <c r="B2906" s="4" t="s">
        <v>2522</v>
      </c>
      <c r="C2906" s="4">
        <v>12.4336</v>
      </c>
      <c r="D2906" s="4">
        <v>12.6799</v>
      </c>
      <c r="E2906" s="4">
        <v>12.1546</v>
      </c>
      <c r="F2906" s="4">
        <f t="shared" si="180"/>
        <v>12.422700000000001</v>
      </c>
      <c r="I2906" s="4" t="s">
        <v>3759</v>
      </c>
      <c r="J2906" s="4">
        <v>12.8537</v>
      </c>
      <c r="K2906" s="4">
        <v>11.2178</v>
      </c>
      <c r="L2906" s="4">
        <v>12.598000000000001</v>
      </c>
      <c r="M2906" s="4">
        <f t="shared" si="181"/>
        <v>12.223166666666666</v>
      </c>
      <c r="Q2906" s="43" t="s">
        <v>3348</v>
      </c>
      <c r="R2906" s="4">
        <v>12.505305294238999</v>
      </c>
      <c r="S2906" s="4">
        <v>12.626173177772399</v>
      </c>
      <c r="T2906" s="4">
        <v>12.4443906917232</v>
      </c>
      <c r="U2906" s="4">
        <f t="shared" si="182"/>
        <v>12.525289721244866</v>
      </c>
      <c r="X2906" s="43" t="s">
        <v>1311</v>
      </c>
      <c r="Y2906" s="4">
        <v>12.7394208142831</v>
      </c>
      <c r="Z2906" s="4">
        <v>12.7740035060701</v>
      </c>
      <c r="AA2906" s="4">
        <v>12.777849116639601</v>
      </c>
      <c r="AB2906" s="4">
        <f t="shared" si="183"/>
        <v>12.763757812330935</v>
      </c>
    </row>
    <row r="2907" spans="2:28" x14ac:dyDescent="0.2">
      <c r="B2907" s="4" t="s">
        <v>3299</v>
      </c>
      <c r="C2907" s="4">
        <v>12.4404</v>
      </c>
      <c r="D2907" s="4">
        <v>12.2509</v>
      </c>
      <c r="E2907" s="4">
        <v>12.535600000000001</v>
      </c>
      <c r="F2907" s="4">
        <f t="shared" si="180"/>
        <v>12.408966666666666</v>
      </c>
      <c r="I2907" s="4" t="s">
        <v>282</v>
      </c>
      <c r="J2907" s="4">
        <v>12.201700000000001</v>
      </c>
      <c r="K2907" s="4">
        <v>11.964</v>
      </c>
      <c r="L2907" s="4">
        <v>12.4986</v>
      </c>
      <c r="M2907" s="4">
        <f t="shared" si="181"/>
        <v>12.221433333333332</v>
      </c>
      <c r="Q2907" s="43" t="s">
        <v>4159</v>
      </c>
      <c r="R2907" s="4">
        <v>12.420970482357699</v>
      </c>
      <c r="S2907" s="4">
        <v>12.3877347469593</v>
      </c>
      <c r="T2907" s="4">
        <v>12.7596034647409</v>
      </c>
      <c r="U2907" s="4">
        <f t="shared" si="182"/>
        <v>12.522769564685966</v>
      </c>
      <c r="X2907" s="43" t="s">
        <v>4166</v>
      </c>
      <c r="Y2907" s="4">
        <v>12.9577788355972</v>
      </c>
      <c r="Z2907" s="4">
        <v>12.973273311145</v>
      </c>
      <c r="AA2907" s="4">
        <v>12.358613761011499</v>
      </c>
      <c r="AB2907" s="4">
        <f t="shared" si="183"/>
        <v>12.763221969251234</v>
      </c>
    </row>
    <row r="2908" spans="2:28" x14ac:dyDescent="0.2">
      <c r="B2908" s="4" t="s">
        <v>3632</v>
      </c>
      <c r="C2908" s="4">
        <v>11.987500000000001</v>
      </c>
      <c r="D2908" s="4">
        <v>12.4397</v>
      </c>
      <c r="E2908" s="4">
        <v>12.798500000000001</v>
      </c>
      <c r="F2908" s="4">
        <f t="shared" si="180"/>
        <v>12.408566666666667</v>
      </c>
      <c r="I2908" s="4" t="s">
        <v>1764</v>
      </c>
      <c r="J2908" s="4">
        <v>11.66</v>
      </c>
      <c r="K2908" s="4">
        <v>12.820399999999999</v>
      </c>
      <c r="L2908" s="4">
        <v>12.1547</v>
      </c>
      <c r="M2908" s="4">
        <f t="shared" si="181"/>
        <v>12.2117</v>
      </c>
      <c r="Q2908" s="43" t="s">
        <v>612</v>
      </c>
      <c r="R2908" s="4">
        <v>12.7152374867961</v>
      </c>
      <c r="S2908" s="4">
        <v>12.405019716439</v>
      </c>
      <c r="T2908" s="4">
        <v>12.4476335856525</v>
      </c>
      <c r="U2908" s="4">
        <f t="shared" si="182"/>
        <v>12.522630262962531</v>
      </c>
      <c r="X2908" s="43" t="s">
        <v>3083</v>
      </c>
      <c r="Y2908" s="4">
        <v>12.957297229838</v>
      </c>
      <c r="Z2908" s="4">
        <v>12.366900465377901</v>
      </c>
      <c r="AA2908" s="4">
        <v>12.964082344321</v>
      </c>
      <c r="AB2908" s="4">
        <f t="shared" si="183"/>
        <v>12.762760013178967</v>
      </c>
    </row>
    <row r="2909" spans="2:28" x14ac:dyDescent="0.2">
      <c r="B2909" s="4" t="s">
        <v>1012</v>
      </c>
      <c r="C2909" s="4">
        <v>14.041399999999999</v>
      </c>
      <c r="D2909" s="4">
        <v>11.7224</v>
      </c>
      <c r="E2909" s="4">
        <v>11.460599999999999</v>
      </c>
      <c r="F2909" s="4">
        <f t="shared" si="180"/>
        <v>12.408133333333334</v>
      </c>
      <c r="I2909" s="4" t="s">
        <v>1106</v>
      </c>
      <c r="J2909" s="4">
        <v>12.390700000000001</v>
      </c>
      <c r="K2909" s="4">
        <v>12.1471</v>
      </c>
      <c r="L2909" s="4">
        <v>12.0946</v>
      </c>
      <c r="M2909" s="4">
        <f t="shared" si="181"/>
        <v>12.210800000000001</v>
      </c>
      <c r="Q2909" s="43" t="s">
        <v>4174</v>
      </c>
      <c r="R2909" s="4">
        <v>12.5753303111926</v>
      </c>
      <c r="S2909" s="4">
        <v>12.4107235539458</v>
      </c>
      <c r="T2909" s="4">
        <v>12.580668749601401</v>
      </c>
      <c r="U2909" s="4">
        <f t="shared" si="182"/>
        <v>12.522240871579934</v>
      </c>
      <c r="X2909" s="43" t="s">
        <v>4328</v>
      </c>
      <c r="Y2909" s="4">
        <v>12.9707140739309</v>
      </c>
      <c r="Z2909" s="4">
        <v>12.4528758315652</v>
      </c>
      <c r="AA2909" s="4">
        <v>12.8625852089673</v>
      </c>
      <c r="AB2909" s="4">
        <f t="shared" si="183"/>
        <v>12.762058371487802</v>
      </c>
    </row>
    <row r="2910" spans="2:28" x14ac:dyDescent="0.2">
      <c r="B2910" s="4" t="s">
        <v>234</v>
      </c>
      <c r="C2910" s="4">
        <v>11.4777</v>
      </c>
      <c r="D2910" s="4">
        <v>12.844099999999999</v>
      </c>
      <c r="E2910" s="4">
        <v>12.8973</v>
      </c>
      <c r="F2910" s="4">
        <f t="shared" si="180"/>
        <v>12.406366666666665</v>
      </c>
      <c r="I2910" s="4" t="s">
        <v>1457</v>
      </c>
      <c r="J2910" s="4">
        <v>12.234500000000001</v>
      </c>
      <c r="K2910" s="4">
        <v>12.2524</v>
      </c>
      <c r="L2910" s="4">
        <v>12.1389</v>
      </c>
      <c r="M2910" s="4">
        <f t="shared" si="181"/>
        <v>12.208599999999999</v>
      </c>
      <c r="Q2910" s="43" t="s">
        <v>2725</v>
      </c>
      <c r="R2910" s="4">
        <v>12.113329654240699</v>
      </c>
      <c r="S2910" s="4">
        <v>12.7661517552157</v>
      </c>
      <c r="T2910" s="4">
        <v>12.6871341906712</v>
      </c>
      <c r="U2910" s="4">
        <f t="shared" si="182"/>
        <v>12.522205200042533</v>
      </c>
      <c r="X2910" s="43" t="s">
        <v>907</v>
      </c>
      <c r="Y2910" s="4">
        <v>12.1582411493061</v>
      </c>
      <c r="Z2910" s="4">
        <v>12.9213379146062</v>
      </c>
      <c r="AA2910" s="4">
        <v>13.2054143017988</v>
      </c>
      <c r="AB2910" s="4">
        <f t="shared" si="183"/>
        <v>12.761664455237034</v>
      </c>
    </row>
    <row r="2911" spans="2:28" x14ac:dyDescent="0.2">
      <c r="B2911" s="4" t="s">
        <v>2740</v>
      </c>
      <c r="C2911" s="4">
        <v>12.214399999999999</v>
      </c>
      <c r="D2911" s="4">
        <v>12.0853</v>
      </c>
      <c r="E2911" s="4">
        <v>12.905799999999999</v>
      </c>
      <c r="F2911" s="4">
        <f t="shared" si="180"/>
        <v>12.401833333333334</v>
      </c>
      <c r="I2911" s="4" t="s">
        <v>1460</v>
      </c>
      <c r="J2911" s="4">
        <v>11.5321</v>
      </c>
      <c r="K2911" s="4">
        <v>13.2715</v>
      </c>
      <c r="L2911" s="4">
        <v>11.8157</v>
      </c>
      <c r="M2911" s="4">
        <f t="shared" si="181"/>
        <v>12.206433333333331</v>
      </c>
      <c r="Q2911" s="43" t="s">
        <v>84</v>
      </c>
      <c r="R2911" s="4">
        <v>11.925489916816501</v>
      </c>
      <c r="S2911" s="4">
        <v>12.7358749041632</v>
      </c>
      <c r="T2911" s="4">
        <v>12.8918814773315</v>
      </c>
      <c r="U2911" s="4">
        <f t="shared" si="182"/>
        <v>12.517748766103734</v>
      </c>
      <c r="X2911" s="43" t="s">
        <v>3696</v>
      </c>
      <c r="Y2911" s="4">
        <v>12.559208625697201</v>
      </c>
      <c r="Z2911" s="4">
        <v>12.9315614244664</v>
      </c>
      <c r="AA2911" s="4">
        <v>12.788975668429099</v>
      </c>
      <c r="AB2911" s="4">
        <f t="shared" si="183"/>
        <v>12.759915239530899</v>
      </c>
    </row>
    <row r="2912" spans="2:28" x14ac:dyDescent="0.2">
      <c r="B2912" s="4" t="s">
        <v>2262</v>
      </c>
      <c r="C2912" s="4">
        <v>12.3681</v>
      </c>
      <c r="D2912" s="4">
        <v>12.5722</v>
      </c>
      <c r="E2912" s="4">
        <v>12.251899999999999</v>
      </c>
      <c r="F2912" s="4">
        <f t="shared" si="180"/>
        <v>12.397399999999999</v>
      </c>
      <c r="I2912" s="4" t="s">
        <v>480</v>
      </c>
      <c r="J2912" s="4">
        <v>12.3674</v>
      </c>
      <c r="K2912" s="4">
        <v>11.49</v>
      </c>
      <c r="L2912" s="4">
        <v>12.7544</v>
      </c>
      <c r="M2912" s="4">
        <f t="shared" si="181"/>
        <v>12.203933333333334</v>
      </c>
      <c r="Q2912" s="43" t="s">
        <v>4284</v>
      </c>
      <c r="R2912" s="4">
        <v>12.415810092311901</v>
      </c>
      <c r="S2912" s="4">
        <v>12.645015222365799</v>
      </c>
      <c r="T2912" s="4">
        <v>12.484693180950501</v>
      </c>
      <c r="U2912" s="4">
        <f t="shared" si="182"/>
        <v>12.515172831876066</v>
      </c>
      <c r="X2912" s="43" t="s">
        <v>2660</v>
      </c>
      <c r="Y2912" s="4">
        <v>12.740538861878701</v>
      </c>
      <c r="Z2912" s="4">
        <v>12.7334868554655</v>
      </c>
      <c r="AA2912" s="4">
        <v>12.8044269329902</v>
      </c>
      <c r="AB2912" s="4">
        <f t="shared" si="183"/>
        <v>12.759484216778134</v>
      </c>
    </row>
    <row r="2913" spans="2:28" x14ac:dyDescent="0.2">
      <c r="B2913" s="4" t="s">
        <v>412</v>
      </c>
      <c r="C2913" s="4">
        <v>12.756399999999999</v>
      </c>
      <c r="D2913" s="4">
        <v>12.1815</v>
      </c>
      <c r="E2913" s="4">
        <v>12.253</v>
      </c>
      <c r="F2913" s="4">
        <f t="shared" si="180"/>
        <v>12.396966666666666</v>
      </c>
      <c r="I2913" s="4" t="s">
        <v>3824</v>
      </c>
      <c r="J2913" s="4">
        <v>11.7074</v>
      </c>
      <c r="K2913" s="4">
        <v>12.377000000000001</v>
      </c>
      <c r="L2913" s="4">
        <v>12.526300000000001</v>
      </c>
      <c r="M2913" s="4">
        <f t="shared" si="181"/>
        <v>12.203566666666667</v>
      </c>
      <c r="Q2913" s="43" t="s">
        <v>578</v>
      </c>
      <c r="R2913" s="4">
        <v>12.3040885024564</v>
      </c>
      <c r="S2913" s="4">
        <v>12.7768445980533</v>
      </c>
      <c r="T2913" s="4">
        <v>12.455061628043</v>
      </c>
      <c r="U2913" s="4">
        <f t="shared" si="182"/>
        <v>12.5119982428509</v>
      </c>
      <c r="X2913" s="43" t="s">
        <v>3182</v>
      </c>
      <c r="Y2913" s="4">
        <v>12.837680365038199</v>
      </c>
      <c r="Z2913" s="4">
        <v>12.3905360956915</v>
      </c>
      <c r="AA2913" s="4">
        <v>13.0481151628776</v>
      </c>
      <c r="AB2913" s="4">
        <f t="shared" si="183"/>
        <v>12.7587772078691</v>
      </c>
    </row>
    <row r="2914" spans="2:28" x14ac:dyDescent="0.2">
      <c r="B2914" s="4" t="s">
        <v>3406</v>
      </c>
      <c r="C2914" s="4">
        <v>12.545400000000001</v>
      </c>
      <c r="D2914" s="4">
        <v>12.632400000000001</v>
      </c>
      <c r="E2914" s="4">
        <v>12.0077</v>
      </c>
      <c r="F2914" s="4">
        <f t="shared" si="180"/>
        <v>12.395166666666668</v>
      </c>
      <c r="I2914" s="4" t="s">
        <v>2394</v>
      </c>
      <c r="J2914" s="4">
        <v>10.996700000000001</v>
      </c>
      <c r="K2914" s="4">
        <v>12.6099</v>
      </c>
      <c r="L2914" s="4">
        <v>13.0036</v>
      </c>
      <c r="M2914" s="4">
        <f t="shared" si="181"/>
        <v>12.2034</v>
      </c>
      <c r="Q2914" s="43" t="s">
        <v>711</v>
      </c>
      <c r="R2914" s="4">
        <v>11.067390018318401</v>
      </c>
      <c r="S2914" s="4">
        <v>13.529106432815601</v>
      </c>
      <c r="T2914" s="4">
        <v>12.9309211332187</v>
      </c>
      <c r="U2914" s="4">
        <f t="shared" si="182"/>
        <v>12.509139194784234</v>
      </c>
      <c r="X2914" s="43" t="s">
        <v>773</v>
      </c>
      <c r="Y2914" s="4">
        <v>12.316711163493901</v>
      </c>
      <c r="Z2914" s="4">
        <v>13.0203327077104</v>
      </c>
      <c r="AA2914" s="4">
        <v>12.9372944254758</v>
      </c>
      <c r="AB2914" s="4">
        <f t="shared" si="183"/>
        <v>12.758112765560034</v>
      </c>
    </row>
    <row r="2915" spans="2:28" x14ac:dyDescent="0.2">
      <c r="B2915" s="4" t="s">
        <v>1294</v>
      </c>
      <c r="C2915" s="4">
        <v>12.8154</v>
      </c>
      <c r="D2915" s="4">
        <v>10.869</v>
      </c>
      <c r="E2915" s="4">
        <v>13.4991</v>
      </c>
      <c r="F2915" s="4">
        <f t="shared" si="180"/>
        <v>12.394500000000001</v>
      </c>
      <c r="I2915" s="4" t="s">
        <v>371</v>
      </c>
      <c r="J2915" s="4">
        <v>11.8672</v>
      </c>
      <c r="K2915" s="4">
        <v>12.4491</v>
      </c>
      <c r="L2915" s="4">
        <v>12.2921</v>
      </c>
      <c r="M2915" s="4">
        <f t="shared" si="181"/>
        <v>12.202799999999998</v>
      </c>
      <c r="Q2915" s="43" t="s">
        <v>433</v>
      </c>
      <c r="R2915" s="4">
        <v>12.9293633619471</v>
      </c>
      <c r="S2915" s="4">
        <v>12.197807566104901</v>
      </c>
      <c r="T2915" s="4">
        <v>12.394096973295801</v>
      </c>
      <c r="U2915" s="4">
        <f t="shared" si="182"/>
        <v>12.507089300449268</v>
      </c>
      <c r="X2915" s="43" t="s">
        <v>2547</v>
      </c>
      <c r="Y2915" s="4">
        <v>12.7449408205689</v>
      </c>
      <c r="Z2915" s="4">
        <v>12.502866596384001</v>
      </c>
      <c r="AA2915" s="4">
        <v>13.026138384257999</v>
      </c>
      <c r="AB2915" s="4">
        <f t="shared" si="183"/>
        <v>12.757981933736966</v>
      </c>
    </row>
    <row r="2916" spans="2:28" x14ac:dyDescent="0.2">
      <c r="B2916" s="4" t="s">
        <v>177</v>
      </c>
      <c r="C2916" s="4">
        <v>12.6082</v>
      </c>
      <c r="D2916" s="4">
        <v>12.143000000000001</v>
      </c>
      <c r="E2916" s="4">
        <v>12.428100000000001</v>
      </c>
      <c r="F2916" s="4">
        <f t="shared" si="180"/>
        <v>12.393099999999999</v>
      </c>
      <c r="I2916" s="4" t="s">
        <v>3492</v>
      </c>
      <c r="J2916" s="4">
        <v>12.6569</v>
      </c>
      <c r="K2916" s="4">
        <v>11.6166</v>
      </c>
      <c r="L2916" s="4">
        <v>12.3291</v>
      </c>
      <c r="M2916" s="4">
        <f t="shared" si="181"/>
        <v>12.200866666666665</v>
      </c>
      <c r="Q2916" s="43" t="s">
        <v>672</v>
      </c>
      <c r="R2916" s="4">
        <v>12.1387853502222</v>
      </c>
      <c r="S2916" s="4">
        <v>12.9798411240091</v>
      </c>
      <c r="T2916" s="4">
        <v>12.398278136196099</v>
      </c>
      <c r="U2916" s="4">
        <f t="shared" si="182"/>
        <v>12.505634870142465</v>
      </c>
      <c r="X2916" s="45" t="s">
        <v>401</v>
      </c>
      <c r="Y2916" s="24">
        <v>12.702016071664501</v>
      </c>
      <c r="Z2916" s="24">
        <v>12.8144713922247</v>
      </c>
      <c r="AA2916" s="24">
        <v>12.7457430998225</v>
      </c>
      <c r="AB2916" s="4">
        <f t="shared" si="183"/>
        <v>12.754076854570565</v>
      </c>
    </row>
    <row r="2917" spans="2:28" x14ac:dyDescent="0.2">
      <c r="B2917" s="4" t="s">
        <v>2562</v>
      </c>
      <c r="C2917" s="4">
        <v>12.2928</v>
      </c>
      <c r="D2917" s="4">
        <v>12.622199999999999</v>
      </c>
      <c r="E2917" s="4">
        <v>12.2506</v>
      </c>
      <c r="F2917" s="4">
        <f t="shared" si="180"/>
        <v>12.388533333333333</v>
      </c>
      <c r="I2917" s="4" t="s">
        <v>3364</v>
      </c>
      <c r="J2917" s="4">
        <v>11.0642</v>
      </c>
      <c r="K2917" s="4">
        <v>14.2468</v>
      </c>
      <c r="L2917" s="4">
        <v>11.290100000000001</v>
      </c>
      <c r="M2917" s="4">
        <f t="shared" si="181"/>
        <v>12.200366666666667</v>
      </c>
      <c r="Q2917" s="43" t="s">
        <v>2955</v>
      </c>
      <c r="R2917" s="4">
        <v>12.5267729387838</v>
      </c>
      <c r="S2917" s="4">
        <v>12.3197474458181</v>
      </c>
      <c r="T2917" s="4">
        <v>12.665555588338201</v>
      </c>
      <c r="U2917" s="4">
        <f t="shared" si="182"/>
        <v>12.504025324313368</v>
      </c>
      <c r="X2917" s="43" t="s">
        <v>2146</v>
      </c>
      <c r="Y2917" s="4">
        <v>12.7947748186812</v>
      </c>
      <c r="Z2917" s="4">
        <v>12.773058030937699</v>
      </c>
      <c r="AA2917" s="4">
        <v>12.6912646450347</v>
      </c>
      <c r="AB2917" s="4">
        <f t="shared" si="183"/>
        <v>12.753032498217868</v>
      </c>
    </row>
    <row r="2918" spans="2:28" x14ac:dyDescent="0.2">
      <c r="B2918" s="4" t="s">
        <v>3882</v>
      </c>
      <c r="C2918" s="4">
        <v>13.068</v>
      </c>
      <c r="D2918" s="4">
        <v>12.364000000000001</v>
      </c>
      <c r="E2918" s="4">
        <v>11.728400000000001</v>
      </c>
      <c r="F2918" s="4">
        <f t="shared" si="180"/>
        <v>12.386800000000001</v>
      </c>
      <c r="I2918" s="4" t="s">
        <v>3413</v>
      </c>
      <c r="J2918" s="4">
        <v>10.095800000000001</v>
      </c>
      <c r="K2918" s="4">
        <v>15.185600000000001</v>
      </c>
      <c r="L2918" s="4">
        <v>11.3146</v>
      </c>
      <c r="M2918" s="4">
        <f t="shared" si="181"/>
        <v>12.198666666666668</v>
      </c>
      <c r="Q2918" s="43" t="s">
        <v>3576</v>
      </c>
      <c r="R2918" s="4">
        <v>12.6464764419426</v>
      </c>
      <c r="S2918" s="4">
        <v>12.3283578348598</v>
      </c>
      <c r="T2918" s="4">
        <v>12.534653568653701</v>
      </c>
      <c r="U2918" s="4">
        <f t="shared" si="182"/>
        <v>12.503162615152034</v>
      </c>
      <c r="X2918" s="43" t="s">
        <v>2656</v>
      </c>
      <c r="Y2918" s="4">
        <v>12.7368759051753</v>
      </c>
      <c r="Z2918" s="4">
        <v>12.9026551965349</v>
      </c>
      <c r="AA2918" s="4">
        <v>12.602851572084299</v>
      </c>
      <c r="AB2918" s="4">
        <f t="shared" si="183"/>
        <v>12.747460891264831</v>
      </c>
    </row>
    <row r="2919" spans="2:28" x14ac:dyDescent="0.2">
      <c r="B2919" s="4" t="s">
        <v>1739</v>
      </c>
      <c r="C2919" s="4">
        <v>12.162699999999999</v>
      </c>
      <c r="D2919" s="4">
        <v>12.582100000000001</v>
      </c>
      <c r="E2919" s="4">
        <v>12.412699999999999</v>
      </c>
      <c r="F2919" s="4">
        <f t="shared" si="180"/>
        <v>12.385833333333332</v>
      </c>
      <c r="I2919" s="4" t="s">
        <v>778</v>
      </c>
      <c r="J2919" s="4">
        <v>11.847</v>
      </c>
      <c r="K2919" s="4">
        <v>11.9702</v>
      </c>
      <c r="L2919" s="4">
        <v>12.772600000000001</v>
      </c>
      <c r="M2919" s="4">
        <f t="shared" si="181"/>
        <v>12.196599999999998</v>
      </c>
      <c r="Q2919" s="43" t="s">
        <v>801</v>
      </c>
      <c r="R2919" s="4">
        <v>11.9683396493405</v>
      </c>
      <c r="S2919" s="4">
        <v>12.6918054316856</v>
      </c>
      <c r="T2919" s="4">
        <v>12.8439309899744</v>
      </c>
      <c r="U2919" s="4">
        <f t="shared" si="182"/>
        <v>12.501358690333499</v>
      </c>
      <c r="X2919" s="43" t="s">
        <v>558</v>
      </c>
      <c r="Y2919" s="4">
        <v>12.4621693222094</v>
      </c>
      <c r="Z2919" s="4">
        <v>12.6417922131434</v>
      </c>
      <c r="AA2919" s="4">
        <v>13.1364325309601</v>
      </c>
      <c r="AB2919" s="4">
        <f t="shared" si="183"/>
        <v>12.746798022104301</v>
      </c>
    </row>
    <row r="2920" spans="2:28" x14ac:dyDescent="0.2">
      <c r="B2920" s="4" t="s">
        <v>206</v>
      </c>
      <c r="C2920" s="4">
        <v>12.686299999999999</v>
      </c>
      <c r="D2920" s="4">
        <v>12.6624</v>
      </c>
      <c r="E2920" s="4">
        <v>11.8085</v>
      </c>
      <c r="F2920" s="4">
        <f t="shared" si="180"/>
        <v>12.385733333333334</v>
      </c>
      <c r="I2920" s="4" t="s">
        <v>3285</v>
      </c>
      <c r="J2920" s="4">
        <v>12.1936</v>
      </c>
      <c r="K2920" s="4">
        <v>12.7646</v>
      </c>
      <c r="L2920" s="4">
        <v>11.6189</v>
      </c>
      <c r="M2920" s="4">
        <f t="shared" si="181"/>
        <v>12.192366666666667</v>
      </c>
      <c r="Q2920" s="43" t="s">
        <v>4599</v>
      </c>
      <c r="R2920" s="4">
        <v>12.3793380565664</v>
      </c>
      <c r="S2920" s="4">
        <v>12.481709415134601</v>
      </c>
      <c r="T2920" s="4">
        <v>12.6389527709115</v>
      </c>
      <c r="U2920" s="4">
        <f t="shared" si="182"/>
        <v>12.500000080870834</v>
      </c>
      <c r="X2920" s="43" t="s">
        <v>4426</v>
      </c>
      <c r="Y2920" s="4">
        <v>12.500745653108501</v>
      </c>
      <c r="Z2920" s="4">
        <v>12.673811103552699</v>
      </c>
      <c r="AA2920" s="4">
        <v>13.064974272732099</v>
      </c>
      <c r="AB2920" s="4">
        <f t="shared" si="183"/>
        <v>12.746510343131099</v>
      </c>
    </row>
    <row r="2921" spans="2:28" x14ac:dyDescent="0.2">
      <c r="B2921" s="4" t="s">
        <v>3499</v>
      </c>
      <c r="C2921" s="4">
        <v>12.4392</v>
      </c>
      <c r="D2921" s="4">
        <v>12.6218</v>
      </c>
      <c r="E2921" s="4">
        <v>12.0939</v>
      </c>
      <c r="F2921" s="4">
        <f t="shared" si="180"/>
        <v>12.384966666666665</v>
      </c>
      <c r="I2921" s="4" t="s">
        <v>2972</v>
      </c>
      <c r="J2921" s="4">
        <v>12.626799999999999</v>
      </c>
      <c r="K2921" s="4">
        <v>12.000999999999999</v>
      </c>
      <c r="L2921" s="4">
        <v>11.9343</v>
      </c>
      <c r="M2921" s="4">
        <f t="shared" si="181"/>
        <v>12.187366666666668</v>
      </c>
      <c r="Q2921" s="43" t="s">
        <v>354</v>
      </c>
      <c r="R2921" s="4">
        <v>12.3978635450983</v>
      </c>
      <c r="S2921" s="4">
        <v>12.6426855557651</v>
      </c>
      <c r="T2921" s="4">
        <v>12.4592997076795</v>
      </c>
      <c r="U2921" s="4">
        <f t="shared" si="182"/>
        <v>12.499949602847634</v>
      </c>
      <c r="X2921" s="43" t="s">
        <v>2892</v>
      </c>
      <c r="Y2921" s="4">
        <v>12.6192397600911</v>
      </c>
      <c r="Z2921" s="4">
        <v>12.7364572890516</v>
      </c>
      <c r="AA2921" s="4">
        <v>12.8825236193007</v>
      </c>
      <c r="AB2921" s="4">
        <f t="shared" si="183"/>
        <v>12.746073556147799</v>
      </c>
    </row>
    <row r="2922" spans="2:28" x14ac:dyDescent="0.2">
      <c r="B2922" s="4" t="s">
        <v>1818</v>
      </c>
      <c r="C2922" s="4">
        <v>11.960900000000001</v>
      </c>
      <c r="D2922" s="4">
        <v>12.414999999999999</v>
      </c>
      <c r="E2922" s="4">
        <v>12.7789</v>
      </c>
      <c r="F2922" s="4">
        <f t="shared" si="180"/>
        <v>12.384933333333334</v>
      </c>
      <c r="I2922" s="4" t="s">
        <v>3395</v>
      </c>
      <c r="J2922" s="4">
        <v>12.1189</v>
      </c>
      <c r="K2922" s="4">
        <v>11.474500000000001</v>
      </c>
      <c r="L2922" s="4">
        <v>12.954700000000001</v>
      </c>
      <c r="M2922" s="4">
        <f t="shared" si="181"/>
        <v>12.182700000000002</v>
      </c>
      <c r="Q2922" s="43" t="s">
        <v>3482</v>
      </c>
      <c r="R2922" s="4">
        <v>12.4038765056551</v>
      </c>
      <c r="S2922" s="4">
        <v>12.4529406770761</v>
      </c>
      <c r="T2922" s="4">
        <v>12.642397653859</v>
      </c>
      <c r="U2922" s="4">
        <f t="shared" si="182"/>
        <v>12.499738278863399</v>
      </c>
      <c r="X2922" s="43" t="s">
        <v>70</v>
      </c>
      <c r="Y2922" s="4">
        <v>12.861324006348299</v>
      </c>
      <c r="Z2922" s="4">
        <v>12.6325386292771</v>
      </c>
      <c r="AA2922" s="4">
        <v>12.742583079555899</v>
      </c>
      <c r="AB2922" s="4">
        <f t="shared" si="183"/>
        <v>12.745481905060432</v>
      </c>
    </row>
    <row r="2923" spans="2:28" x14ac:dyDescent="0.2">
      <c r="B2923" s="4" t="s">
        <v>2928</v>
      </c>
      <c r="C2923" s="4">
        <v>11.8264</v>
      </c>
      <c r="D2923" s="4">
        <v>11.8925</v>
      </c>
      <c r="E2923" s="4">
        <v>13.4291</v>
      </c>
      <c r="F2923" s="4">
        <f t="shared" si="180"/>
        <v>12.382666666666665</v>
      </c>
      <c r="I2923" s="4" t="s">
        <v>248</v>
      </c>
      <c r="J2923" s="4">
        <v>12.128500000000001</v>
      </c>
      <c r="K2923" s="4">
        <v>11.941700000000001</v>
      </c>
      <c r="L2923" s="4">
        <v>12.469099999999999</v>
      </c>
      <c r="M2923" s="4">
        <f t="shared" si="181"/>
        <v>12.179766666666666</v>
      </c>
      <c r="Q2923" s="43" t="s">
        <v>2643</v>
      </c>
      <c r="R2923" s="4">
        <v>12.166565557460499</v>
      </c>
      <c r="S2923" s="4">
        <v>12.7549985620299</v>
      </c>
      <c r="T2923" s="4">
        <v>12.5761103585571</v>
      </c>
      <c r="U2923" s="4">
        <f t="shared" si="182"/>
        <v>12.499224826015833</v>
      </c>
      <c r="X2923" s="43" t="s">
        <v>3258</v>
      </c>
      <c r="Y2923" s="4">
        <v>12.7952067998649</v>
      </c>
      <c r="Z2923" s="4">
        <v>12.702895179763299</v>
      </c>
      <c r="AA2923" s="4">
        <v>12.734265145746299</v>
      </c>
      <c r="AB2923" s="4">
        <f t="shared" si="183"/>
        <v>12.744122375124832</v>
      </c>
    </row>
    <row r="2924" spans="2:28" x14ac:dyDescent="0.2">
      <c r="B2924" s="4" t="s">
        <v>3107</v>
      </c>
      <c r="C2924" s="4">
        <v>12.165100000000001</v>
      </c>
      <c r="D2924" s="4">
        <v>12.622</v>
      </c>
      <c r="E2924" s="4">
        <v>12.357799999999999</v>
      </c>
      <c r="F2924" s="4">
        <f t="shared" si="180"/>
        <v>12.381633333333333</v>
      </c>
      <c r="I2924" s="4" t="s">
        <v>2712</v>
      </c>
      <c r="J2924" s="4">
        <v>12.403</v>
      </c>
      <c r="K2924" s="4">
        <v>11.573700000000001</v>
      </c>
      <c r="L2924" s="4">
        <v>12.560499999999999</v>
      </c>
      <c r="M2924" s="4">
        <f t="shared" si="181"/>
        <v>12.179066666666666</v>
      </c>
      <c r="Q2924" s="43" t="s">
        <v>315</v>
      </c>
      <c r="R2924" s="4">
        <v>12.5985794905109</v>
      </c>
      <c r="S2924" s="4">
        <v>12.564717440943699</v>
      </c>
      <c r="T2924" s="4">
        <v>12.333064581355501</v>
      </c>
      <c r="U2924" s="4">
        <f t="shared" si="182"/>
        <v>12.4987871709367</v>
      </c>
      <c r="X2924" s="43" t="s">
        <v>40</v>
      </c>
      <c r="Y2924" s="4">
        <v>12.8706281217915</v>
      </c>
      <c r="Z2924" s="4">
        <v>12.921214346655001</v>
      </c>
      <c r="AA2924" s="4">
        <v>12.440334563733099</v>
      </c>
      <c r="AB2924" s="4">
        <f t="shared" si="183"/>
        <v>12.744059010726533</v>
      </c>
    </row>
    <row r="2925" spans="2:28" x14ac:dyDescent="0.2">
      <c r="B2925" s="4" t="s">
        <v>2774</v>
      </c>
      <c r="C2925" s="4">
        <v>10.7735</v>
      </c>
      <c r="D2925" s="4">
        <v>14.1874</v>
      </c>
      <c r="E2925" s="4">
        <v>12.1538</v>
      </c>
      <c r="F2925" s="4">
        <f t="shared" si="180"/>
        <v>12.371566666666666</v>
      </c>
      <c r="I2925" s="4" t="s">
        <v>3384</v>
      </c>
      <c r="J2925" s="4">
        <v>12.6114</v>
      </c>
      <c r="K2925" s="4">
        <v>12.593500000000001</v>
      </c>
      <c r="L2925" s="4">
        <v>11.312200000000001</v>
      </c>
      <c r="M2925" s="4">
        <f t="shared" si="181"/>
        <v>12.172366666666667</v>
      </c>
      <c r="Q2925" s="43" t="s">
        <v>2178</v>
      </c>
      <c r="R2925" s="4">
        <v>12.4195602853625</v>
      </c>
      <c r="S2925" s="4">
        <v>12.687851549140101</v>
      </c>
      <c r="T2925" s="4">
        <v>12.380061611159</v>
      </c>
      <c r="U2925" s="4">
        <f t="shared" si="182"/>
        <v>12.495824481887199</v>
      </c>
      <c r="X2925" s="43" t="s">
        <v>3503</v>
      </c>
      <c r="Y2925" s="4">
        <v>12.73450427137</v>
      </c>
      <c r="Z2925" s="4">
        <v>12.643363833759199</v>
      </c>
      <c r="AA2925" s="4">
        <v>12.8486131461498</v>
      </c>
      <c r="AB2925" s="4">
        <f t="shared" si="183"/>
        <v>12.742160417092999</v>
      </c>
    </row>
    <row r="2926" spans="2:28" x14ac:dyDescent="0.2">
      <c r="B2926" s="4" t="s">
        <v>633</v>
      </c>
      <c r="C2926" s="4">
        <v>13.4695</v>
      </c>
      <c r="D2926" s="4">
        <v>13.108700000000001</v>
      </c>
      <c r="E2926" s="4">
        <v>10.532999999999999</v>
      </c>
      <c r="F2926" s="4">
        <f t="shared" si="180"/>
        <v>12.370400000000002</v>
      </c>
      <c r="I2926" s="4" t="s">
        <v>685</v>
      </c>
      <c r="J2926" s="4">
        <v>12.392300000000001</v>
      </c>
      <c r="K2926" s="4">
        <v>12.432700000000001</v>
      </c>
      <c r="L2926" s="4">
        <v>11.673999999999999</v>
      </c>
      <c r="M2926" s="4">
        <f t="shared" si="181"/>
        <v>12.166333333333334</v>
      </c>
      <c r="Q2926" s="43" t="s">
        <v>747</v>
      </c>
      <c r="R2926" s="4">
        <v>12.6349895404778</v>
      </c>
      <c r="S2926" s="4">
        <v>12.3793614913182</v>
      </c>
      <c r="T2926" s="4">
        <v>12.4653119699471</v>
      </c>
      <c r="U2926" s="4">
        <f t="shared" si="182"/>
        <v>12.493221000581032</v>
      </c>
      <c r="X2926" s="43" t="s">
        <v>1032</v>
      </c>
      <c r="Y2926" s="4">
        <v>12.7415333187601</v>
      </c>
      <c r="Z2926" s="4">
        <v>12.8638465556523</v>
      </c>
      <c r="AA2926" s="4">
        <v>12.6210068222372</v>
      </c>
      <c r="AB2926" s="4">
        <f t="shared" si="183"/>
        <v>12.7421288988832</v>
      </c>
    </row>
    <row r="2927" spans="2:28" x14ac:dyDescent="0.2">
      <c r="B2927" s="4" t="s">
        <v>747</v>
      </c>
      <c r="C2927" s="4">
        <v>12.452299999999999</v>
      </c>
      <c r="D2927" s="4">
        <v>12.3238</v>
      </c>
      <c r="E2927" s="4">
        <v>12.319800000000001</v>
      </c>
      <c r="F2927" s="4">
        <f t="shared" si="180"/>
        <v>12.3653</v>
      </c>
      <c r="I2927" s="4" t="s">
        <v>197</v>
      </c>
      <c r="J2927" s="4">
        <v>12.625999999999999</v>
      </c>
      <c r="K2927" s="4">
        <v>11.164400000000001</v>
      </c>
      <c r="L2927" s="4">
        <v>12.696999999999999</v>
      </c>
      <c r="M2927" s="4">
        <f t="shared" si="181"/>
        <v>12.162466666666665</v>
      </c>
      <c r="Q2927" s="43" t="s">
        <v>944</v>
      </c>
      <c r="R2927" s="4">
        <v>12.0722800093716</v>
      </c>
      <c r="S2927" s="4">
        <v>12.911515434979499</v>
      </c>
      <c r="T2927" s="4">
        <v>12.495236452780199</v>
      </c>
      <c r="U2927" s="4">
        <f t="shared" si="182"/>
        <v>12.4930106323771</v>
      </c>
      <c r="X2927" s="43" t="s">
        <v>3554</v>
      </c>
      <c r="Y2927" s="4">
        <v>12.5514668444123</v>
      </c>
      <c r="Z2927" s="4">
        <v>12.850955675389899</v>
      </c>
      <c r="AA2927" s="4">
        <v>12.810949697061901</v>
      </c>
      <c r="AB2927" s="4">
        <f t="shared" si="183"/>
        <v>12.7377907389547</v>
      </c>
    </row>
    <row r="2928" spans="2:28" x14ac:dyDescent="0.2">
      <c r="B2928" s="4" t="s">
        <v>1257</v>
      </c>
      <c r="C2928" s="4">
        <v>12.0403</v>
      </c>
      <c r="D2928" s="4">
        <v>12.7782</v>
      </c>
      <c r="E2928" s="4">
        <v>12.268700000000001</v>
      </c>
      <c r="F2928" s="4">
        <f t="shared" si="180"/>
        <v>12.362400000000001</v>
      </c>
      <c r="I2928" s="4" t="s">
        <v>3955</v>
      </c>
      <c r="J2928" s="4">
        <v>11.576000000000001</v>
      </c>
      <c r="K2928" s="4">
        <v>12.730399999999999</v>
      </c>
      <c r="L2928" s="4">
        <v>12.1747</v>
      </c>
      <c r="M2928" s="4">
        <f t="shared" si="181"/>
        <v>12.160366666666667</v>
      </c>
      <c r="Q2928" s="43" t="s">
        <v>3410</v>
      </c>
      <c r="R2928" s="4">
        <v>12.0002536316463</v>
      </c>
      <c r="S2928" s="4">
        <v>13.050683813743399</v>
      </c>
      <c r="T2928" s="4">
        <v>12.426792114423501</v>
      </c>
      <c r="U2928" s="4">
        <f t="shared" si="182"/>
        <v>12.492576519937733</v>
      </c>
      <c r="X2928" s="43" t="s">
        <v>77</v>
      </c>
      <c r="Y2928" s="4">
        <v>12.813642423117299</v>
      </c>
      <c r="Z2928" s="4">
        <v>12.0866989411982</v>
      </c>
      <c r="AA2928" s="4">
        <v>13.309414549136999</v>
      </c>
      <c r="AB2928" s="4">
        <f t="shared" si="183"/>
        <v>12.736585304484166</v>
      </c>
    </row>
    <row r="2929" spans="2:28" x14ac:dyDescent="0.2">
      <c r="B2929" s="4" t="s">
        <v>156</v>
      </c>
      <c r="C2929" s="4">
        <v>12.4688</v>
      </c>
      <c r="D2929" s="4">
        <v>12.201499999999999</v>
      </c>
      <c r="E2929" s="4">
        <v>12.4108</v>
      </c>
      <c r="F2929" s="4">
        <f t="shared" si="180"/>
        <v>12.360366666666666</v>
      </c>
      <c r="I2929" s="4" t="s">
        <v>475</v>
      </c>
      <c r="J2929" s="4">
        <v>12.3146</v>
      </c>
      <c r="K2929" s="4">
        <v>11.5404</v>
      </c>
      <c r="L2929" s="4">
        <v>12.6075</v>
      </c>
      <c r="M2929" s="4">
        <f t="shared" si="181"/>
        <v>12.154166666666667</v>
      </c>
      <c r="Q2929" s="43" t="s">
        <v>3663</v>
      </c>
      <c r="R2929" s="4">
        <v>12.414504462859799</v>
      </c>
      <c r="S2929" s="4">
        <v>12.506027569637199</v>
      </c>
      <c r="T2929" s="4">
        <v>12.550735522469999</v>
      </c>
      <c r="U2929" s="4">
        <f t="shared" si="182"/>
        <v>12.490422518322333</v>
      </c>
      <c r="X2929" s="43" t="s">
        <v>1435</v>
      </c>
      <c r="Y2929" s="4">
        <v>12.9162900659536</v>
      </c>
      <c r="Z2929" s="4">
        <v>12.665703960763601</v>
      </c>
      <c r="AA2929" s="4">
        <v>12.6236226598916</v>
      </c>
      <c r="AB2929" s="4">
        <f t="shared" si="183"/>
        <v>12.735205562202934</v>
      </c>
    </row>
    <row r="2930" spans="2:28" x14ac:dyDescent="0.2">
      <c r="B2930" s="4" t="s">
        <v>2107</v>
      </c>
      <c r="C2930" s="4">
        <v>11.227</v>
      </c>
      <c r="D2930" s="4">
        <v>12.353300000000001</v>
      </c>
      <c r="E2930" s="4">
        <v>13.483000000000001</v>
      </c>
      <c r="F2930" s="4">
        <f t="shared" si="180"/>
        <v>12.354433333333333</v>
      </c>
      <c r="I2930" s="4" t="s">
        <v>3331</v>
      </c>
      <c r="J2930" s="4">
        <v>11.952400000000001</v>
      </c>
      <c r="K2930" s="4">
        <v>12.222300000000001</v>
      </c>
      <c r="L2930" s="4">
        <v>12.2806</v>
      </c>
      <c r="M2930" s="4">
        <f t="shared" si="181"/>
        <v>12.151766666666667</v>
      </c>
      <c r="Q2930" s="43" t="s">
        <v>707</v>
      </c>
      <c r="R2930" s="4">
        <v>12.257680037052801</v>
      </c>
      <c r="S2930" s="4">
        <v>12.3845318725787</v>
      </c>
      <c r="T2930" s="4">
        <v>12.8275506467731</v>
      </c>
      <c r="U2930" s="4">
        <f t="shared" si="182"/>
        <v>12.489920852134865</v>
      </c>
      <c r="X2930" s="43" t="s">
        <v>3806</v>
      </c>
      <c r="Y2930" s="4">
        <v>12.841466528635699</v>
      </c>
      <c r="Z2930" s="4">
        <v>12.9543516039786</v>
      </c>
      <c r="AA2930" s="4">
        <v>12.4069515864811</v>
      </c>
      <c r="AB2930" s="4">
        <f t="shared" si="183"/>
        <v>12.7342565730318</v>
      </c>
    </row>
    <row r="2931" spans="2:28" x14ac:dyDescent="0.2">
      <c r="B2931" s="4" t="s">
        <v>1879</v>
      </c>
      <c r="C2931" s="4">
        <v>11.540699999999999</v>
      </c>
      <c r="D2931" s="4">
        <v>12.3979</v>
      </c>
      <c r="E2931" s="4">
        <v>13.116400000000001</v>
      </c>
      <c r="F2931" s="4">
        <f t="shared" si="180"/>
        <v>12.351666666666667</v>
      </c>
      <c r="I2931" s="4" t="s">
        <v>862</v>
      </c>
      <c r="J2931" s="4">
        <v>12.698600000000001</v>
      </c>
      <c r="K2931" s="4">
        <v>11.452500000000001</v>
      </c>
      <c r="L2931" s="4">
        <v>12.303699999999999</v>
      </c>
      <c r="M2931" s="4">
        <f t="shared" si="181"/>
        <v>12.1516</v>
      </c>
      <c r="Q2931" s="43" t="s">
        <v>1257</v>
      </c>
      <c r="R2931" s="4">
        <v>12.4654459697334</v>
      </c>
      <c r="S2931" s="4">
        <v>12.652266292733501</v>
      </c>
      <c r="T2931" s="4">
        <v>12.352014021007401</v>
      </c>
      <c r="U2931" s="4">
        <f t="shared" si="182"/>
        <v>12.4899087611581</v>
      </c>
      <c r="X2931" s="43" t="s">
        <v>2955</v>
      </c>
      <c r="Y2931" s="4">
        <v>12.4370494795987</v>
      </c>
      <c r="Z2931" s="4">
        <v>12.9817720326723</v>
      </c>
      <c r="AA2931" s="4">
        <v>12.781781139485799</v>
      </c>
      <c r="AB2931" s="4">
        <f t="shared" si="183"/>
        <v>12.733534217252268</v>
      </c>
    </row>
    <row r="2932" spans="2:28" x14ac:dyDescent="0.2">
      <c r="B2932" s="4" t="s">
        <v>2678</v>
      </c>
      <c r="C2932" s="4">
        <v>11.965400000000001</v>
      </c>
      <c r="D2932" s="4">
        <v>12.481</v>
      </c>
      <c r="E2932" s="4">
        <v>12.603300000000001</v>
      </c>
      <c r="F2932" s="4">
        <f t="shared" si="180"/>
        <v>12.3499</v>
      </c>
      <c r="I2932" s="4" t="s">
        <v>2158</v>
      </c>
      <c r="J2932" s="4">
        <v>12.770300000000001</v>
      </c>
      <c r="K2932" s="4">
        <v>11.0609</v>
      </c>
      <c r="L2932" s="4">
        <v>12.6218</v>
      </c>
      <c r="M2932" s="4">
        <f t="shared" si="181"/>
        <v>12.151000000000002</v>
      </c>
      <c r="Q2932" s="43" t="s">
        <v>69</v>
      </c>
      <c r="R2932" s="4">
        <v>12.676694134043601</v>
      </c>
      <c r="S2932" s="4">
        <v>12.533465883675801</v>
      </c>
      <c r="T2932" s="4">
        <v>12.2552061301016</v>
      </c>
      <c r="U2932" s="4">
        <f t="shared" si="182"/>
        <v>12.488455382607</v>
      </c>
      <c r="X2932" s="43" t="s">
        <v>3819</v>
      </c>
      <c r="Y2932" s="4">
        <v>12.784531030884899</v>
      </c>
      <c r="Z2932" s="4">
        <v>12.7500160945647</v>
      </c>
      <c r="AA2932" s="4">
        <v>12.6616418140154</v>
      </c>
      <c r="AB2932" s="4">
        <f t="shared" si="183"/>
        <v>12.732062979821668</v>
      </c>
    </row>
    <row r="2933" spans="2:28" x14ac:dyDescent="0.2">
      <c r="B2933" s="4" t="s">
        <v>3708</v>
      </c>
      <c r="C2933" s="4">
        <v>11.538</v>
      </c>
      <c r="D2933" s="4">
        <v>12.510899999999999</v>
      </c>
      <c r="E2933" s="4">
        <v>12.994899999999999</v>
      </c>
      <c r="F2933" s="4">
        <f t="shared" si="180"/>
        <v>12.347933333333332</v>
      </c>
      <c r="I2933" s="4" t="s">
        <v>3677</v>
      </c>
      <c r="J2933" s="4">
        <v>12.8743</v>
      </c>
      <c r="K2933" s="4">
        <v>11.2791</v>
      </c>
      <c r="L2933" s="4">
        <v>12.2906</v>
      </c>
      <c r="M2933" s="4">
        <f t="shared" si="181"/>
        <v>12.147999999999998</v>
      </c>
      <c r="Q2933" s="43" t="s">
        <v>1870</v>
      </c>
      <c r="R2933" s="4">
        <v>12.322668753833099</v>
      </c>
      <c r="S2933" s="4">
        <v>12.816809525829299</v>
      </c>
      <c r="T2933" s="4">
        <v>12.3230332226463</v>
      </c>
      <c r="U2933" s="4">
        <f t="shared" si="182"/>
        <v>12.487503834102901</v>
      </c>
      <c r="X2933" s="43" t="s">
        <v>3534</v>
      </c>
      <c r="Y2933" s="4">
        <v>12.725948533088699</v>
      </c>
      <c r="Z2933" s="4">
        <v>12.6204353874859</v>
      </c>
      <c r="AA2933" s="4">
        <v>12.8471385242607</v>
      </c>
      <c r="AB2933" s="4">
        <f t="shared" si="183"/>
        <v>12.731174148278432</v>
      </c>
    </row>
    <row r="2934" spans="2:28" x14ac:dyDescent="0.2">
      <c r="B2934" s="4" t="s">
        <v>2419</v>
      </c>
      <c r="C2934" s="4">
        <v>10.8653</v>
      </c>
      <c r="D2934" s="4">
        <v>13.1318</v>
      </c>
      <c r="E2934" s="4">
        <v>13.036300000000001</v>
      </c>
      <c r="F2934" s="4">
        <f t="shared" si="180"/>
        <v>12.344466666666667</v>
      </c>
      <c r="I2934" s="4" t="s">
        <v>2464</v>
      </c>
      <c r="J2934" s="4">
        <v>12.641400000000001</v>
      </c>
      <c r="K2934" s="4">
        <v>10.968500000000001</v>
      </c>
      <c r="L2934" s="4">
        <v>12.831200000000001</v>
      </c>
      <c r="M2934" s="4">
        <f t="shared" si="181"/>
        <v>12.147033333333335</v>
      </c>
      <c r="Q2934" s="43" t="s">
        <v>2142</v>
      </c>
      <c r="R2934" s="4">
        <v>12.2197739661183</v>
      </c>
      <c r="S2934" s="4">
        <v>12.7410622021169</v>
      </c>
      <c r="T2934" s="4">
        <v>12.4732644412271</v>
      </c>
      <c r="U2934" s="4">
        <f t="shared" si="182"/>
        <v>12.478033536487432</v>
      </c>
      <c r="X2934" s="43" t="s">
        <v>2985</v>
      </c>
      <c r="Y2934" s="4">
        <v>12.828257066325101</v>
      </c>
      <c r="Z2934" s="4">
        <v>12.607789954543399</v>
      </c>
      <c r="AA2934" s="4">
        <v>12.751021504496</v>
      </c>
      <c r="AB2934" s="4">
        <f t="shared" si="183"/>
        <v>12.729022841788167</v>
      </c>
    </row>
    <row r="2935" spans="2:28" x14ac:dyDescent="0.2">
      <c r="B2935" s="4" t="s">
        <v>1395</v>
      </c>
      <c r="C2935" s="4">
        <v>12.231999999999999</v>
      </c>
      <c r="D2935" s="4">
        <v>12.6656</v>
      </c>
      <c r="E2935" s="4">
        <v>12.1351</v>
      </c>
      <c r="F2935" s="4">
        <f t="shared" si="180"/>
        <v>12.344233333333333</v>
      </c>
      <c r="I2935" s="4" t="s">
        <v>32</v>
      </c>
      <c r="J2935" s="4">
        <v>12.958500000000001</v>
      </c>
      <c r="K2935" s="4">
        <v>11.3042</v>
      </c>
      <c r="L2935" s="4">
        <v>12.17</v>
      </c>
      <c r="M2935" s="4">
        <f t="shared" si="181"/>
        <v>12.144233333333334</v>
      </c>
      <c r="Q2935" s="43" t="s">
        <v>4344</v>
      </c>
      <c r="R2935" s="4">
        <v>12.5012454219949</v>
      </c>
      <c r="S2935" s="4">
        <v>12.481485140279201</v>
      </c>
      <c r="T2935" s="4">
        <v>12.4466090557636</v>
      </c>
      <c r="U2935" s="4">
        <f t="shared" si="182"/>
        <v>12.476446539345901</v>
      </c>
      <c r="X2935" s="43" t="s">
        <v>1824</v>
      </c>
      <c r="Y2935" s="4">
        <v>12.598841275101501</v>
      </c>
      <c r="Z2935" s="4">
        <v>12.818018331767</v>
      </c>
      <c r="AA2935" s="4">
        <v>12.7682377778464</v>
      </c>
      <c r="AB2935" s="4">
        <f t="shared" si="183"/>
        <v>12.728365794904967</v>
      </c>
    </row>
    <row r="2936" spans="2:28" x14ac:dyDescent="0.2">
      <c r="B2936" s="4" t="s">
        <v>2518</v>
      </c>
      <c r="C2936" s="4">
        <v>12.5787</v>
      </c>
      <c r="D2936" s="4">
        <v>12.4139</v>
      </c>
      <c r="E2936" s="4">
        <v>12.0383</v>
      </c>
      <c r="F2936" s="4">
        <f t="shared" si="180"/>
        <v>12.343633333333335</v>
      </c>
      <c r="I2936" s="4" t="s">
        <v>1579</v>
      </c>
      <c r="J2936" s="4">
        <v>11.4163</v>
      </c>
      <c r="K2936" s="4">
        <v>13.2425</v>
      </c>
      <c r="L2936" s="4">
        <v>11.767300000000001</v>
      </c>
      <c r="M2936" s="4">
        <f t="shared" si="181"/>
        <v>12.142033333333332</v>
      </c>
      <c r="Q2936" s="43" t="s">
        <v>900</v>
      </c>
      <c r="R2936" s="4">
        <v>12.0828799560951</v>
      </c>
      <c r="S2936" s="4">
        <v>12.8700836661657</v>
      </c>
      <c r="T2936" s="4">
        <v>12.471906587180101</v>
      </c>
      <c r="U2936" s="4">
        <f t="shared" si="182"/>
        <v>12.4749567364803</v>
      </c>
      <c r="X2936" s="43" t="s">
        <v>1117</v>
      </c>
      <c r="Y2936" s="4">
        <v>12.4788375605123</v>
      </c>
      <c r="Z2936" s="4">
        <v>13.0002256617962</v>
      </c>
      <c r="AA2936" s="4">
        <v>12.701181930398</v>
      </c>
      <c r="AB2936" s="4">
        <f t="shared" si="183"/>
        <v>12.726748384235501</v>
      </c>
    </row>
    <row r="2937" spans="2:28" x14ac:dyDescent="0.2">
      <c r="B2937" s="4" t="s">
        <v>3678</v>
      </c>
      <c r="C2937" s="4">
        <v>12.1928</v>
      </c>
      <c r="D2937" s="4">
        <v>12.496700000000001</v>
      </c>
      <c r="E2937" s="4">
        <v>12.3401</v>
      </c>
      <c r="F2937" s="4">
        <f t="shared" si="180"/>
        <v>12.343200000000001</v>
      </c>
      <c r="I2937" s="4" t="s">
        <v>3927</v>
      </c>
      <c r="J2937" s="4">
        <v>11.6134</v>
      </c>
      <c r="K2937" s="4">
        <v>12.3719</v>
      </c>
      <c r="L2937" s="4">
        <v>12.433199999999999</v>
      </c>
      <c r="M2937" s="4">
        <f t="shared" si="181"/>
        <v>12.1395</v>
      </c>
      <c r="Q2937" s="43" t="s">
        <v>558</v>
      </c>
      <c r="R2937" s="4">
        <v>11.8720942307159</v>
      </c>
      <c r="S2937" s="4">
        <v>12.985335832773799</v>
      </c>
      <c r="T2937" s="4">
        <v>12.5628032459673</v>
      </c>
      <c r="U2937" s="4">
        <f t="shared" si="182"/>
        <v>12.473411103152335</v>
      </c>
      <c r="X2937" s="43" t="s">
        <v>3872</v>
      </c>
      <c r="Y2937" s="4">
        <v>12.7113098773366</v>
      </c>
      <c r="Z2937" s="4">
        <v>12.8741945365979</v>
      </c>
      <c r="AA2937" s="4">
        <v>12.586395320637299</v>
      </c>
      <c r="AB2937" s="4">
        <f t="shared" si="183"/>
        <v>12.7239665781906</v>
      </c>
    </row>
    <row r="2938" spans="2:28" x14ac:dyDescent="0.2">
      <c r="B2938" s="4" t="s">
        <v>1271</v>
      </c>
      <c r="C2938" s="4">
        <v>12.1656</v>
      </c>
      <c r="D2938" s="4">
        <v>12.859299999999999</v>
      </c>
      <c r="E2938" s="4">
        <v>11.9803</v>
      </c>
      <c r="F2938" s="4">
        <f t="shared" si="180"/>
        <v>12.335066666666668</v>
      </c>
      <c r="I2938" s="4" t="s">
        <v>1209</v>
      </c>
      <c r="J2938" s="4">
        <v>11.5608</v>
      </c>
      <c r="K2938" s="4">
        <v>12.636900000000001</v>
      </c>
      <c r="L2938" s="4">
        <v>12.190200000000001</v>
      </c>
      <c r="M2938" s="4">
        <f t="shared" si="181"/>
        <v>12.129300000000001</v>
      </c>
      <c r="Q2938" s="43" t="s">
        <v>571</v>
      </c>
      <c r="R2938" s="4">
        <v>12.217535192527199</v>
      </c>
      <c r="S2938" s="4">
        <v>12.588054877756701</v>
      </c>
      <c r="T2938" s="4">
        <v>12.611392864247099</v>
      </c>
      <c r="U2938" s="4">
        <f t="shared" si="182"/>
        <v>12.472327644843666</v>
      </c>
      <c r="X2938" s="43" t="s">
        <v>2627</v>
      </c>
      <c r="Y2938" s="4">
        <v>12.6375366009448</v>
      </c>
      <c r="Z2938" s="4">
        <v>12.7338369577345</v>
      </c>
      <c r="AA2938" s="4">
        <v>12.7902431812847</v>
      </c>
      <c r="AB2938" s="4">
        <f t="shared" si="183"/>
        <v>12.720538913321334</v>
      </c>
    </row>
    <row r="2939" spans="2:28" x14ac:dyDescent="0.2">
      <c r="B2939" s="4" t="s">
        <v>1114</v>
      </c>
      <c r="C2939" s="4">
        <v>12.3713</v>
      </c>
      <c r="D2939" s="4">
        <v>12.709099999999999</v>
      </c>
      <c r="E2939" s="4">
        <v>11.911899999999999</v>
      </c>
      <c r="F2939" s="4">
        <f t="shared" si="180"/>
        <v>12.330766666666667</v>
      </c>
      <c r="I2939" s="4" t="s">
        <v>2903</v>
      </c>
      <c r="J2939" s="4">
        <v>12.184699999999999</v>
      </c>
      <c r="K2939" s="4">
        <v>12.6767</v>
      </c>
      <c r="L2939" s="4">
        <v>11.525499999999999</v>
      </c>
      <c r="M2939" s="4">
        <f t="shared" si="181"/>
        <v>12.128966666666665</v>
      </c>
      <c r="Q2939" s="43" t="s">
        <v>1427</v>
      </c>
      <c r="R2939" s="4">
        <v>11.8252232825711</v>
      </c>
      <c r="S2939" s="4">
        <v>13.0199562742034</v>
      </c>
      <c r="T2939" s="4">
        <v>12.568249291007</v>
      </c>
      <c r="U2939" s="4">
        <f t="shared" si="182"/>
        <v>12.471142949260502</v>
      </c>
      <c r="X2939" s="43" t="s">
        <v>229</v>
      </c>
      <c r="Y2939" s="4">
        <v>13.1550190273587</v>
      </c>
      <c r="Z2939" s="4">
        <v>12.5410612140914</v>
      </c>
      <c r="AA2939" s="4">
        <v>12.465153975480099</v>
      </c>
      <c r="AB2939" s="4">
        <f t="shared" si="183"/>
        <v>12.720411405643398</v>
      </c>
    </row>
    <row r="2940" spans="2:28" x14ac:dyDescent="0.2">
      <c r="B2940" s="4" t="s">
        <v>3085</v>
      </c>
      <c r="C2940" s="4">
        <v>12.742699999999999</v>
      </c>
      <c r="D2940" s="4">
        <v>12.217599999999999</v>
      </c>
      <c r="E2940" s="4">
        <v>12.0176</v>
      </c>
      <c r="F2940" s="4">
        <f t="shared" si="180"/>
        <v>12.325966666666666</v>
      </c>
      <c r="I2940" s="4" t="s">
        <v>2969</v>
      </c>
      <c r="J2940" s="4">
        <v>11.9222</v>
      </c>
      <c r="K2940" s="4">
        <v>12.1113</v>
      </c>
      <c r="L2940" s="4">
        <v>12.3483</v>
      </c>
      <c r="M2940" s="4">
        <f t="shared" si="181"/>
        <v>12.127266666666666</v>
      </c>
      <c r="Q2940" s="43" t="s">
        <v>1750</v>
      </c>
      <c r="R2940" s="4">
        <v>12.4203433645574</v>
      </c>
      <c r="S2940" s="4">
        <v>12.5127743754646</v>
      </c>
      <c r="T2940" s="4">
        <v>12.4790070698335</v>
      </c>
      <c r="U2940" s="4">
        <f t="shared" si="182"/>
        <v>12.470708269951833</v>
      </c>
      <c r="X2940" s="43" t="s">
        <v>1505</v>
      </c>
      <c r="Y2940" s="4">
        <v>12.585980973768899</v>
      </c>
      <c r="Z2940" s="4">
        <v>12.571260587938699</v>
      </c>
      <c r="AA2940" s="4">
        <v>13.001002808312499</v>
      </c>
      <c r="AB2940" s="4">
        <f t="shared" si="183"/>
        <v>12.7194147900067</v>
      </c>
    </row>
    <row r="2941" spans="2:28" x14ac:dyDescent="0.2">
      <c r="B2941" s="4" t="s">
        <v>2397</v>
      </c>
      <c r="C2941" s="4">
        <v>12.361700000000001</v>
      </c>
      <c r="D2941" s="4">
        <v>12.0945</v>
      </c>
      <c r="E2941" s="4">
        <v>12.5139</v>
      </c>
      <c r="F2941" s="4">
        <f t="shared" si="180"/>
        <v>12.323366666666667</v>
      </c>
      <c r="I2941" s="4" t="s">
        <v>2581</v>
      </c>
      <c r="J2941" s="4">
        <v>12.3147</v>
      </c>
      <c r="K2941" s="4">
        <v>11.786199999999999</v>
      </c>
      <c r="L2941" s="4">
        <v>12.2606</v>
      </c>
      <c r="M2941" s="4">
        <f t="shared" si="181"/>
        <v>12.1205</v>
      </c>
      <c r="Q2941" s="43" t="s">
        <v>1310</v>
      </c>
      <c r="R2941" s="4">
        <v>12.584362970567399</v>
      </c>
      <c r="S2941" s="4">
        <v>12.4553882725747</v>
      </c>
      <c r="T2941" s="4">
        <v>12.3700737966474</v>
      </c>
      <c r="U2941" s="4">
        <f t="shared" si="182"/>
        <v>12.469941679929832</v>
      </c>
      <c r="X2941" s="43" t="s">
        <v>560</v>
      </c>
      <c r="Y2941" s="4">
        <v>12.707345188589199</v>
      </c>
      <c r="Z2941" s="4">
        <v>12.677522144765801</v>
      </c>
      <c r="AA2941" s="4">
        <v>12.7669514663013</v>
      </c>
      <c r="AB2941" s="4">
        <f t="shared" si="183"/>
        <v>12.717272933218766</v>
      </c>
    </row>
    <row r="2942" spans="2:28" x14ac:dyDescent="0.2">
      <c r="B2942" s="4" t="s">
        <v>3266</v>
      </c>
      <c r="C2942" s="4">
        <v>12.200699999999999</v>
      </c>
      <c r="D2942" s="4">
        <v>12.4695</v>
      </c>
      <c r="E2942" s="4">
        <v>12.2996</v>
      </c>
      <c r="F2942" s="4">
        <f t="shared" si="180"/>
        <v>12.323266666666667</v>
      </c>
      <c r="I2942" s="4" t="s">
        <v>1160</v>
      </c>
      <c r="J2942" s="4">
        <v>12.2735</v>
      </c>
      <c r="K2942" s="4">
        <v>11.3622</v>
      </c>
      <c r="L2942" s="4">
        <v>12.713800000000001</v>
      </c>
      <c r="M2942" s="4">
        <f t="shared" si="181"/>
        <v>12.1165</v>
      </c>
      <c r="Q2942" s="43" t="s">
        <v>496</v>
      </c>
      <c r="R2942" s="4">
        <v>12.221753037743101</v>
      </c>
      <c r="S2942" s="4">
        <v>12.6591435099336</v>
      </c>
      <c r="T2942" s="4">
        <v>12.527726337553499</v>
      </c>
      <c r="U2942" s="4">
        <f t="shared" si="182"/>
        <v>12.4695409617434</v>
      </c>
      <c r="X2942" s="43" t="s">
        <v>395</v>
      </c>
      <c r="Y2942" s="4">
        <v>12.6879868408968</v>
      </c>
      <c r="Z2942" s="4">
        <v>12.673755360312301</v>
      </c>
      <c r="AA2942" s="4">
        <v>12.779913792441899</v>
      </c>
      <c r="AB2942" s="4">
        <f t="shared" si="183"/>
        <v>12.713885331217</v>
      </c>
    </row>
    <row r="2943" spans="2:28" x14ac:dyDescent="0.2">
      <c r="B2943" s="4" t="s">
        <v>14</v>
      </c>
      <c r="C2943" s="4">
        <v>12.4399</v>
      </c>
      <c r="D2943" s="4">
        <v>12.4229</v>
      </c>
      <c r="E2943" s="4">
        <v>12.089600000000001</v>
      </c>
      <c r="F2943" s="4">
        <f t="shared" si="180"/>
        <v>12.317466666666666</v>
      </c>
      <c r="I2943" s="4" t="s">
        <v>3800</v>
      </c>
      <c r="J2943" s="4">
        <v>12.261200000000001</v>
      </c>
      <c r="K2943" s="4">
        <v>11.5036</v>
      </c>
      <c r="L2943" s="4">
        <v>12.5754</v>
      </c>
      <c r="M2943" s="4">
        <f t="shared" si="181"/>
        <v>12.1134</v>
      </c>
      <c r="Q2943" s="43" t="s">
        <v>718</v>
      </c>
      <c r="R2943" s="4">
        <v>12.507732867696401</v>
      </c>
      <c r="S2943" s="4">
        <v>12.713632787195101</v>
      </c>
      <c r="T2943" s="4">
        <v>12.183047104478501</v>
      </c>
      <c r="U2943" s="4">
        <f t="shared" si="182"/>
        <v>12.468137586456669</v>
      </c>
      <c r="X2943" s="43" t="s">
        <v>138</v>
      </c>
      <c r="Y2943" s="4">
        <v>12.757311761147299</v>
      </c>
      <c r="Z2943" s="4">
        <v>12.582456944466299</v>
      </c>
      <c r="AA2943" s="4">
        <v>12.8012873266597</v>
      </c>
      <c r="AB2943" s="4">
        <f t="shared" si="183"/>
        <v>12.713685344091099</v>
      </c>
    </row>
    <row r="2944" spans="2:28" x14ac:dyDescent="0.2">
      <c r="B2944" s="4" t="s">
        <v>1683</v>
      </c>
      <c r="C2944" s="4">
        <v>12.238300000000001</v>
      </c>
      <c r="D2944" s="4">
        <v>12.263299999999999</v>
      </c>
      <c r="E2944" s="4">
        <v>12.4483</v>
      </c>
      <c r="F2944" s="4">
        <f t="shared" si="180"/>
        <v>12.316633333333334</v>
      </c>
      <c r="I2944" s="4" t="s">
        <v>3946</v>
      </c>
      <c r="J2944" s="4">
        <v>12.4754</v>
      </c>
      <c r="K2944" s="4">
        <v>11.4085</v>
      </c>
      <c r="L2944" s="4">
        <v>12.452299999999999</v>
      </c>
      <c r="M2944" s="4">
        <f t="shared" si="181"/>
        <v>12.112066666666665</v>
      </c>
      <c r="Q2944" s="43" t="s">
        <v>1658</v>
      </c>
      <c r="R2944" s="4">
        <v>12.5730743143752</v>
      </c>
      <c r="S2944" s="4">
        <v>12.627477742907701</v>
      </c>
      <c r="T2944" s="4">
        <v>12.203543546448101</v>
      </c>
      <c r="U2944" s="4">
        <f t="shared" si="182"/>
        <v>12.468031867910334</v>
      </c>
      <c r="X2944" s="43" t="s">
        <v>417</v>
      </c>
      <c r="Y2944" s="4">
        <v>12.7771559389377</v>
      </c>
      <c r="Z2944" s="4">
        <v>12.601523452364001</v>
      </c>
      <c r="AA2944" s="4">
        <v>12.7579647845205</v>
      </c>
      <c r="AB2944" s="4">
        <f t="shared" si="183"/>
        <v>12.712214725274066</v>
      </c>
    </row>
    <row r="2945" spans="2:28" x14ac:dyDescent="0.2">
      <c r="B2945" s="4" t="s">
        <v>3836</v>
      </c>
      <c r="C2945" s="4">
        <v>12.0932</v>
      </c>
      <c r="D2945" s="4">
        <v>12.4781</v>
      </c>
      <c r="E2945" s="4">
        <v>12.373900000000001</v>
      </c>
      <c r="F2945" s="4">
        <f t="shared" si="180"/>
        <v>12.315066666666667</v>
      </c>
      <c r="I2945" s="4" t="s">
        <v>2397</v>
      </c>
      <c r="J2945" s="4">
        <v>12.48</v>
      </c>
      <c r="K2945" s="4">
        <v>11.017300000000001</v>
      </c>
      <c r="L2945" s="4">
        <v>12.825799999999999</v>
      </c>
      <c r="M2945" s="4">
        <f t="shared" si="181"/>
        <v>12.107700000000001</v>
      </c>
      <c r="Q2945" s="43" t="s">
        <v>4368</v>
      </c>
      <c r="R2945" s="4">
        <v>12.600340931279</v>
      </c>
      <c r="S2945" s="4">
        <v>12.4279981441606</v>
      </c>
      <c r="T2945" s="4">
        <v>12.375129435619501</v>
      </c>
      <c r="U2945" s="4">
        <f t="shared" si="182"/>
        <v>12.467822837019702</v>
      </c>
      <c r="X2945" s="43" t="s">
        <v>3177</v>
      </c>
      <c r="Y2945" s="4">
        <v>12.72977541813</v>
      </c>
      <c r="Z2945" s="4">
        <v>12.7660872020321</v>
      </c>
      <c r="AA2945" s="4">
        <v>12.632576120179801</v>
      </c>
      <c r="AB2945" s="4">
        <f t="shared" si="183"/>
        <v>12.709479580113966</v>
      </c>
    </row>
    <row r="2946" spans="2:28" x14ac:dyDescent="0.2">
      <c r="B2946" s="4" t="s">
        <v>4092</v>
      </c>
      <c r="C2946" s="4">
        <v>11.323600000000001</v>
      </c>
      <c r="D2946" s="4">
        <v>12.5724</v>
      </c>
      <c r="E2946" s="4">
        <v>13.042899999999999</v>
      </c>
      <c r="F2946" s="4">
        <f t="shared" ref="F2946:F3009" si="184">(C2946+D2946+E2946)/3</f>
        <v>12.312966666666668</v>
      </c>
      <c r="I2946" s="4" t="s">
        <v>45</v>
      </c>
      <c r="J2946" s="4">
        <v>13.104100000000001</v>
      </c>
      <c r="K2946" s="4">
        <v>12.4839</v>
      </c>
      <c r="L2946" s="4">
        <v>10.718500000000001</v>
      </c>
      <c r="M2946" s="4">
        <f t="shared" ref="M2946:M3009" si="185">(J2946+K2946+L2946)/3</f>
        <v>12.102166666666667</v>
      </c>
      <c r="Q2946" s="43" t="s">
        <v>2797</v>
      </c>
      <c r="R2946" s="4">
        <v>12.237835257905701</v>
      </c>
      <c r="S2946" s="4">
        <v>12.4397117850217</v>
      </c>
      <c r="T2946" s="4">
        <v>12.7227095233442</v>
      </c>
      <c r="U2946" s="4">
        <f t="shared" ref="U2946:U3009" si="186">(R2946+S2946+T2946)/3</f>
        <v>12.4667521887572</v>
      </c>
      <c r="X2946" s="43" t="s">
        <v>2568</v>
      </c>
      <c r="Y2946" s="4">
        <v>12.6568437041037</v>
      </c>
      <c r="Z2946" s="4">
        <v>12.799735212008301</v>
      </c>
      <c r="AA2946" s="4">
        <v>12.6644490380767</v>
      </c>
      <c r="AB2946" s="4">
        <f t="shared" ref="AB2946:AB3009" si="187">(Y2946+Z2946+AA2946)/3</f>
        <v>12.707009318062902</v>
      </c>
    </row>
    <row r="2947" spans="2:28" x14ac:dyDescent="0.2">
      <c r="B2947" s="4" t="s">
        <v>172</v>
      </c>
      <c r="C2947" s="4">
        <v>12.107699999999999</v>
      </c>
      <c r="D2947" s="4">
        <v>12.324299999999999</v>
      </c>
      <c r="E2947" s="4">
        <v>12.5015</v>
      </c>
      <c r="F2947" s="4">
        <f t="shared" si="184"/>
        <v>12.311166666666665</v>
      </c>
      <c r="I2947" s="4" t="s">
        <v>3654</v>
      </c>
      <c r="J2947" s="4">
        <v>12.3642</v>
      </c>
      <c r="K2947" s="4">
        <v>11.614000000000001</v>
      </c>
      <c r="L2947" s="4">
        <v>12.3149</v>
      </c>
      <c r="M2947" s="4">
        <f t="shared" si="185"/>
        <v>12.097700000000001</v>
      </c>
      <c r="Q2947" s="43" t="s">
        <v>1819</v>
      </c>
      <c r="R2947" s="4">
        <v>12.3908708572705</v>
      </c>
      <c r="S2947" s="4">
        <v>12.3885731734754</v>
      </c>
      <c r="T2947" s="4">
        <v>12.6201473925607</v>
      </c>
      <c r="U2947" s="4">
        <f t="shared" si="186"/>
        <v>12.466530474435535</v>
      </c>
      <c r="X2947" s="43" t="s">
        <v>2685</v>
      </c>
      <c r="Y2947" s="4">
        <v>12.559810891954299</v>
      </c>
      <c r="Z2947" s="4">
        <v>12.785167313881001</v>
      </c>
      <c r="AA2947" s="4">
        <v>12.7711286758725</v>
      </c>
      <c r="AB2947" s="4">
        <f t="shared" si="187"/>
        <v>12.705368960569267</v>
      </c>
    </row>
    <row r="2948" spans="2:28" x14ac:dyDescent="0.2">
      <c r="B2948" s="4" t="s">
        <v>3868</v>
      </c>
      <c r="C2948" s="4">
        <v>11.7752</v>
      </c>
      <c r="D2948" s="4">
        <v>12.351800000000001</v>
      </c>
      <c r="E2948" s="4">
        <v>12.795199999999999</v>
      </c>
      <c r="F2948" s="4">
        <f t="shared" si="184"/>
        <v>12.307400000000001</v>
      </c>
      <c r="I2948" s="4" t="s">
        <v>3764</v>
      </c>
      <c r="J2948" s="4">
        <v>12.049200000000001</v>
      </c>
      <c r="K2948" s="4">
        <v>12.102</v>
      </c>
      <c r="L2948" s="4">
        <v>12.133699999999999</v>
      </c>
      <c r="M2948" s="4">
        <f t="shared" si="185"/>
        <v>12.094966666666666</v>
      </c>
      <c r="Q2948" s="43" t="s">
        <v>3336</v>
      </c>
      <c r="R2948" s="4">
        <v>12.4727659148126</v>
      </c>
      <c r="S2948" s="4">
        <v>12.3594079651087</v>
      </c>
      <c r="T2948" s="4">
        <v>12.561848032010399</v>
      </c>
      <c r="U2948" s="4">
        <f t="shared" si="186"/>
        <v>12.464673970643901</v>
      </c>
      <c r="X2948" s="43" t="s">
        <v>2045</v>
      </c>
      <c r="Y2948" s="4">
        <v>12.757808939379901</v>
      </c>
      <c r="Z2948" s="4">
        <v>12.746491793770099</v>
      </c>
      <c r="AA2948" s="4">
        <v>12.601644227237999</v>
      </c>
      <c r="AB2948" s="4">
        <f t="shared" si="187"/>
        <v>12.701981653462667</v>
      </c>
    </row>
    <row r="2949" spans="2:28" x14ac:dyDescent="0.2">
      <c r="B2949" s="4" t="s">
        <v>3475</v>
      </c>
      <c r="C2949" s="4">
        <v>12.521100000000001</v>
      </c>
      <c r="D2949" s="4">
        <v>12.6914</v>
      </c>
      <c r="E2949" s="4">
        <v>11.7074</v>
      </c>
      <c r="F2949" s="4">
        <f t="shared" si="184"/>
        <v>12.306633333333332</v>
      </c>
      <c r="I2949" s="4" t="s">
        <v>2740</v>
      </c>
      <c r="J2949" s="4">
        <v>11.507300000000001</v>
      </c>
      <c r="K2949" s="4">
        <v>12.519600000000001</v>
      </c>
      <c r="L2949" s="4">
        <v>12.240500000000001</v>
      </c>
      <c r="M2949" s="4">
        <f t="shared" si="185"/>
        <v>12.089133333333335</v>
      </c>
      <c r="Q2949" s="43" t="s">
        <v>3534</v>
      </c>
      <c r="R2949" s="4">
        <v>12.590884209267101</v>
      </c>
      <c r="S2949" s="4">
        <v>12.516419067448799</v>
      </c>
      <c r="T2949" s="4">
        <v>12.283157541546</v>
      </c>
      <c r="U2949" s="4">
        <f t="shared" si="186"/>
        <v>12.463486939420633</v>
      </c>
      <c r="X2949" s="43" t="s">
        <v>4499</v>
      </c>
      <c r="Y2949" s="4">
        <v>12.651234685584001</v>
      </c>
      <c r="Z2949" s="4">
        <v>12.9831695796235</v>
      </c>
      <c r="AA2949" s="4">
        <v>12.4698021752613</v>
      </c>
      <c r="AB2949" s="4">
        <f t="shared" si="187"/>
        <v>12.701402146822934</v>
      </c>
    </row>
    <row r="2950" spans="2:28" x14ac:dyDescent="0.2">
      <c r="B2950" s="4" t="s">
        <v>79</v>
      </c>
      <c r="C2950" s="4">
        <v>12.6028</v>
      </c>
      <c r="D2950" s="4">
        <v>12.139699999999999</v>
      </c>
      <c r="E2950" s="4">
        <v>12.175800000000001</v>
      </c>
      <c r="F2950" s="4">
        <f t="shared" si="184"/>
        <v>12.306100000000001</v>
      </c>
      <c r="I2950" s="4" t="s">
        <v>2846</v>
      </c>
      <c r="J2950" s="4">
        <v>12.5199</v>
      </c>
      <c r="K2950" s="4">
        <v>10.936400000000001</v>
      </c>
      <c r="L2950" s="4">
        <v>12.809900000000001</v>
      </c>
      <c r="M2950" s="4">
        <f t="shared" si="185"/>
        <v>12.088733333333332</v>
      </c>
      <c r="Q2950" s="43" t="s">
        <v>4367</v>
      </c>
      <c r="R2950" s="4">
        <v>12.4537019705124</v>
      </c>
      <c r="S2950" s="4">
        <v>12.1880947005221</v>
      </c>
      <c r="T2950" s="4">
        <v>12.744476411977001</v>
      </c>
      <c r="U2950" s="4">
        <f t="shared" si="186"/>
        <v>12.462091027670501</v>
      </c>
      <c r="X2950" s="43" t="s">
        <v>670</v>
      </c>
      <c r="Y2950" s="4">
        <v>12.960000544849301</v>
      </c>
      <c r="Z2950" s="4">
        <v>12.768449714619999</v>
      </c>
      <c r="AA2950" s="4">
        <v>12.3577533035578</v>
      </c>
      <c r="AB2950" s="4">
        <f t="shared" si="187"/>
        <v>12.695401187675699</v>
      </c>
    </row>
    <row r="2951" spans="2:28" x14ac:dyDescent="0.2">
      <c r="B2951" s="4" t="s">
        <v>2942</v>
      </c>
      <c r="C2951" s="4">
        <v>12.4681</v>
      </c>
      <c r="D2951" s="4">
        <v>12.552099999999999</v>
      </c>
      <c r="E2951" s="4">
        <v>11.878500000000001</v>
      </c>
      <c r="F2951" s="4">
        <f t="shared" si="184"/>
        <v>12.299566666666665</v>
      </c>
      <c r="I2951" s="4" t="s">
        <v>315</v>
      </c>
      <c r="J2951" s="4">
        <v>12.5291</v>
      </c>
      <c r="K2951" s="4">
        <v>11.315200000000001</v>
      </c>
      <c r="L2951" s="4">
        <v>12.3758</v>
      </c>
      <c r="M2951" s="4">
        <f t="shared" si="185"/>
        <v>12.073366666666667</v>
      </c>
      <c r="Q2951" s="43" t="s">
        <v>499</v>
      </c>
      <c r="R2951" s="4">
        <v>12.449130645749401</v>
      </c>
      <c r="S2951" s="4">
        <v>12.365945589159701</v>
      </c>
      <c r="T2951" s="4">
        <v>12.566908045016699</v>
      </c>
      <c r="U2951" s="4">
        <f t="shared" si="186"/>
        <v>12.460661426641934</v>
      </c>
      <c r="X2951" s="43" t="s">
        <v>280</v>
      </c>
      <c r="Y2951" s="4">
        <v>12.565351695926299</v>
      </c>
      <c r="Z2951" s="4">
        <v>12.6533266668416</v>
      </c>
      <c r="AA2951" s="4">
        <v>12.866993538384</v>
      </c>
      <c r="AB2951" s="4">
        <f t="shared" si="187"/>
        <v>12.695223967050632</v>
      </c>
    </row>
    <row r="2952" spans="2:28" x14ac:dyDescent="0.2">
      <c r="B2952" s="4" t="s">
        <v>3734</v>
      </c>
      <c r="C2952" s="4">
        <v>12.2254</v>
      </c>
      <c r="D2952" s="4">
        <v>12.3225</v>
      </c>
      <c r="E2952" s="4">
        <v>12.3338</v>
      </c>
      <c r="F2952" s="4">
        <f t="shared" si="184"/>
        <v>12.293899999999999</v>
      </c>
      <c r="I2952" s="4" t="s">
        <v>984</v>
      </c>
      <c r="J2952" s="4">
        <v>11.7302</v>
      </c>
      <c r="K2952" s="4">
        <v>12.384499999999999</v>
      </c>
      <c r="L2952" s="4">
        <v>12.0701</v>
      </c>
      <c r="M2952" s="4">
        <f t="shared" si="185"/>
        <v>12.061599999999999</v>
      </c>
      <c r="Q2952" s="43" t="s">
        <v>3055</v>
      </c>
      <c r="R2952" s="4">
        <v>12.846805926685899</v>
      </c>
      <c r="S2952" s="4">
        <v>12.425011183636199</v>
      </c>
      <c r="T2952" s="4">
        <v>12.0971465095542</v>
      </c>
      <c r="U2952" s="4">
        <f t="shared" si="186"/>
        <v>12.456321206625432</v>
      </c>
      <c r="X2952" s="43" t="s">
        <v>1275</v>
      </c>
      <c r="Y2952" s="4">
        <v>12.245885553058701</v>
      </c>
      <c r="Z2952" s="4">
        <v>12.918027445278099</v>
      </c>
      <c r="AA2952" s="4">
        <v>12.9072094649416</v>
      </c>
      <c r="AB2952" s="4">
        <f t="shared" si="187"/>
        <v>12.690374154426133</v>
      </c>
    </row>
    <row r="2953" spans="2:28" x14ac:dyDescent="0.2">
      <c r="B2953" s="4" t="s">
        <v>281</v>
      </c>
      <c r="C2953" s="4">
        <v>12.4849</v>
      </c>
      <c r="D2953" s="4">
        <v>12.1258</v>
      </c>
      <c r="E2953" s="4">
        <v>12.2659</v>
      </c>
      <c r="F2953" s="4">
        <f t="shared" si="184"/>
        <v>12.292200000000001</v>
      </c>
      <c r="I2953" s="4" t="s">
        <v>683</v>
      </c>
      <c r="J2953" s="4">
        <v>12.3607</v>
      </c>
      <c r="K2953" s="4">
        <v>11.824400000000001</v>
      </c>
      <c r="L2953" s="4">
        <v>11.999499999999999</v>
      </c>
      <c r="M2953" s="4">
        <f t="shared" si="185"/>
        <v>12.061533333333331</v>
      </c>
      <c r="Q2953" s="43" t="s">
        <v>4429</v>
      </c>
      <c r="R2953" s="4">
        <v>12.494236268775399</v>
      </c>
      <c r="S2953" s="4">
        <v>12.2271922421561</v>
      </c>
      <c r="T2953" s="4">
        <v>12.6423732732265</v>
      </c>
      <c r="U2953" s="4">
        <f t="shared" si="186"/>
        <v>12.454600594719333</v>
      </c>
      <c r="X2953" s="43" t="s">
        <v>1879</v>
      </c>
      <c r="Y2953" s="4">
        <v>13.2457258861177</v>
      </c>
      <c r="Z2953" s="4">
        <v>13.048482920230599</v>
      </c>
      <c r="AA2953" s="4">
        <v>11.767838333638901</v>
      </c>
      <c r="AB2953" s="4">
        <f t="shared" si="187"/>
        <v>12.687349046662399</v>
      </c>
    </row>
    <row r="2954" spans="2:28" x14ac:dyDescent="0.2">
      <c r="B2954" s="4" t="s">
        <v>2987</v>
      </c>
      <c r="C2954" s="4">
        <v>12.082100000000001</v>
      </c>
      <c r="D2954" s="4">
        <v>12.6568</v>
      </c>
      <c r="E2954" s="4">
        <v>12.1008</v>
      </c>
      <c r="F2954" s="4">
        <f t="shared" si="184"/>
        <v>12.2799</v>
      </c>
      <c r="I2954" s="4" t="s">
        <v>2812</v>
      </c>
      <c r="J2954" s="4">
        <v>12.353400000000001</v>
      </c>
      <c r="K2954" s="4">
        <v>12.1737</v>
      </c>
      <c r="L2954" s="4">
        <v>11.6516</v>
      </c>
      <c r="M2954" s="4">
        <f t="shared" si="185"/>
        <v>12.059566666666667</v>
      </c>
      <c r="Q2954" s="43" t="s">
        <v>2035</v>
      </c>
      <c r="R2954" s="4">
        <v>12.467421681153599</v>
      </c>
      <c r="S2954" s="4">
        <v>12.7874749254346</v>
      </c>
      <c r="T2954" s="4">
        <v>12.1084897432315</v>
      </c>
      <c r="U2954" s="4">
        <f t="shared" si="186"/>
        <v>12.454462116606566</v>
      </c>
      <c r="X2954" s="43" t="s">
        <v>3281</v>
      </c>
      <c r="Y2954" s="4">
        <v>12.472788433420201</v>
      </c>
      <c r="Z2954" s="4">
        <v>12.8754554776782</v>
      </c>
      <c r="AA2954" s="4">
        <v>12.704127428979801</v>
      </c>
      <c r="AB2954" s="4">
        <f t="shared" si="187"/>
        <v>12.684123780026068</v>
      </c>
    </row>
    <row r="2955" spans="2:28" x14ac:dyDescent="0.2">
      <c r="B2955" s="4" t="s">
        <v>2391</v>
      </c>
      <c r="C2955" s="4">
        <v>12.2212</v>
      </c>
      <c r="D2955" s="4">
        <v>12.3818</v>
      </c>
      <c r="E2955" s="4">
        <v>12.2211</v>
      </c>
      <c r="F2955" s="4">
        <f t="shared" si="184"/>
        <v>12.274700000000001</v>
      </c>
      <c r="I2955" s="4" t="s">
        <v>2302</v>
      </c>
      <c r="J2955" s="4">
        <v>12.788</v>
      </c>
      <c r="K2955" s="4">
        <v>12.2286</v>
      </c>
      <c r="L2955" s="4">
        <v>11.1553</v>
      </c>
      <c r="M2955" s="4">
        <f t="shared" si="185"/>
        <v>12.0573</v>
      </c>
      <c r="Q2955" s="43" t="s">
        <v>4619</v>
      </c>
      <c r="R2955" s="4">
        <v>12.164704784400801</v>
      </c>
      <c r="S2955" s="4">
        <v>12.7777680614814</v>
      </c>
      <c r="T2955" s="4">
        <v>12.4206776730335</v>
      </c>
      <c r="U2955" s="4">
        <f t="shared" si="186"/>
        <v>12.454383506305234</v>
      </c>
      <c r="X2955" s="43" t="s">
        <v>4107</v>
      </c>
      <c r="Y2955" s="4">
        <v>12.592760788251701</v>
      </c>
      <c r="Z2955" s="4">
        <v>12.0886041891278</v>
      </c>
      <c r="AA2955" s="4">
        <v>13.3684174719066</v>
      </c>
      <c r="AB2955" s="4">
        <f t="shared" si="187"/>
        <v>12.6832608164287</v>
      </c>
    </row>
    <row r="2956" spans="2:28" x14ac:dyDescent="0.2">
      <c r="B2956" s="4" t="s">
        <v>806</v>
      </c>
      <c r="C2956" s="4">
        <v>12.663399999999999</v>
      </c>
      <c r="D2956" s="4">
        <v>11.235799999999999</v>
      </c>
      <c r="E2956" s="4">
        <v>12.9152</v>
      </c>
      <c r="F2956" s="4">
        <f t="shared" si="184"/>
        <v>12.271466666666667</v>
      </c>
      <c r="I2956" s="4" t="s">
        <v>1033</v>
      </c>
      <c r="J2956" s="4">
        <v>12.278600000000001</v>
      </c>
      <c r="K2956" s="4">
        <v>11.8161</v>
      </c>
      <c r="L2956" s="4">
        <v>12.0724</v>
      </c>
      <c r="M2956" s="4">
        <f t="shared" si="185"/>
        <v>12.055700000000002</v>
      </c>
      <c r="Q2956" s="43" t="s">
        <v>3632</v>
      </c>
      <c r="R2956" s="4">
        <v>12.5077912338388</v>
      </c>
      <c r="S2956" s="4">
        <v>12.486590597835299</v>
      </c>
      <c r="T2956" s="4">
        <v>12.3634577729431</v>
      </c>
      <c r="U2956" s="4">
        <f t="shared" si="186"/>
        <v>12.452613201539066</v>
      </c>
      <c r="X2956" s="43" t="s">
        <v>3567</v>
      </c>
      <c r="Y2956" s="4">
        <v>12.5916882635322</v>
      </c>
      <c r="Z2956" s="4">
        <v>12.9082141234971</v>
      </c>
      <c r="AA2956" s="4">
        <v>12.541149358340901</v>
      </c>
      <c r="AB2956" s="4">
        <f t="shared" si="187"/>
        <v>12.680350581790067</v>
      </c>
    </row>
    <row r="2957" spans="2:28" x14ac:dyDescent="0.2">
      <c r="B2957" s="4" t="s">
        <v>2098</v>
      </c>
      <c r="C2957" s="4">
        <v>11.1911</v>
      </c>
      <c r="D2957" s="4">
        <v>12.9438</v>
      </c>
      <c r="E2957" s="4">
        <v>12.6662</v>
      </c>
      <c r="F2957" s="4">
        <f t="shared" si="184"/>
        <v>12.267033333333336</v>
      </c>
      <c r="I2957" s="4" t="s">
        <v>89</v>
      </c>
      <c r="J2957" s="4">
        <v>11.1555</v>
      </c>
      <c r="K2957" s="4">
        <v>12.1782</v>
      </c>
      <c r="L2957" s="4">
        <v>12.8279</v>
      </c>
      <c r="M2957" s="4">
        <f t="shared" si="185"/>
        <v>12.053866666666666</v>
      </c>
      <c r="Q2957" s="43" t="s">
        <v>4377</v>
      </c>
      <c r="R2957" s="4">
        <v>12.5560364383369</v>
      </c>
      <c r="S2957" s="4">
        <v>12.633801132572</v>
      </c>
      <c r="T2957" s="4">
        <v>12.1639092280304</v>
      </c>
      <c r="U2957" s="4">
        <f t="shared" si="186"/>
        <v>12.451248932979766</v>
      </c>
      <c r="X2957" s="43" t="s">
        <v>4432</v>
      </c>
      <c r="Y2957" s="4">
        <v>12.5931587908717</v>
      </c>
      <c r="Z2957" s="4">
        <v>13.1640785484168</v>
      </c>
      <c r="AA2957" s="4">
        <v>12.281244998984301</v>
      </c>
      <c r="AB2957" s="4">
        <f t="shared" si="187"/>
        <v>12.679494112757601</v>
      </c>
    </row>
    <row r="2958" spans="2:28" x14ac:dyDescent="0.2">
      <c r="B2958" s="4" t="s">
        <v>3009</v>
      </c>
      <c r="C2958" s="4">
        <v>12.372199999999999</v>
      </c>
      <c r="D2958" s="4">
        <v>11.294499999999999</v>
      </c>
      <c r="E2958" s="4">
        <v>13.1175</v>
      </c>
      <c r="F2958" s="4">
        <f t="shared" si="184"/>
        <v>12.2614</v>
      </c>
      <c r="I2958" s="4" t="s">
        <v>3055</v>
      </c>
      <c r="J2958" s="4">
        <v>11.6295</v>
      </c>
      <c r="K2958" s="4">
        <v>12.9177</v>
      </c>
      <c r="L2958" s="4">
        <v>11.6129</v>
      </c>
      <c r="M2958" s="4">
        <f t="shared" si="185"/>
        <v>12.053366666666667</v>
      </c>
      <c r="Q2958" s="43" t="s">
        <v>359</v>
      </c>
      <c r="R2958" s="4">
        <v>12.308027879263401</v>
      </c>
      <c r="S2958" s="4">
        <v>12.586740990409499</v>
      </c>
      <c r="T2958" s="4">
        <v>12.4518675872358</v>
      </c>
      <c r="U2958" s="4">
        <f t="shared" si="186"/>
        <v>12.448878818969566</v>
      </c>
      <c r="X2958" s="43" t="s">
        <v>2846</v>
      </c>
      <c r="Y2958" s="4">
        <v>12.695461357332</v>
      </c>
      <c r="Z2958" s="4">
        <v>12.5778618044013</v>
      </c>
      <c r="AA2958" s="4">
        <v>12.757327575222201</v>
      </c>
      <c r="AB2958" s="4">
        <f t="shared" si="187"/>
        <v>12.676883578985167</v>
      </c>
    </row>
    <row r="2959" spans="2:28" x14ac:dyDescent="0.2">
      <c r="B2959" s="4" t="s">
        <v>3204</v>
      </c>
      <c r="C2959" s="4">
        <v>13.056100000000001</v>
      </c>
      <c r="D2959" s="4">
        <v>12.561299999999999</v>
      </c>
      <c r="E2959" s="4">
        <v>11.164999999999999</v>
      </c>
      <c r="F2959" s="4">
        <f t="shared" si="184"/>
        <v>12.260799999999998</v>
      </c>
      <c r="I2959" s="4" t="s">
        <v>1027</v>
      </c>
      <c r="J2959" s="4">
        <v>12.442</v>
      </c>
      <c r="K2959" s="4">
        <v>11.0983</v>
      </c>
      <c r="L2959" s="4">
        <v>12.609500000000001</v>
      </c>
      <c r="M2959" s="4">
        <f t="shared" si="185"/>
        <v>12.049933333333334</v>
      </c>
      <c r="Q2959" s="43" t="s">
        <v>4575</v>
      </c>
      <c r="R2959" s="4">
        <v>12.5924638654033</v>
      </c>
      <c r="S2959" s="4">
        <v>12.5114365108341</v>
      </c>
      <c r="T2959" s="4">
        <v>12.242258071095501</v>
      </c>
      <c r="U2959" s="4">
        <f t="shared" si="186"/>
        <v>12.448719482444298</v>
      </c>
      <c r="X2959" s="43" t="s">
        <v>2811</v>
      </c>
      <c r="Y2959" s="4">
        <v>12.843371927881501</v>
      </c>
      <c r="Z2959" s="4">
        <v>12.4871648226049</v>
      </c>
      <c r="AA2959" s="4">
        <v>12.677689168010099</v>
      </c>
      <c r="AB2959" s="4">
        <f t="shared" si="187"/>
        <v>12.669408639498833</v>
      </c>
    </row>
    <row r="2960" spans="2:28" x14ac:dyDescent="0.2">
      <c r="B2960" s="4" t="s">
        <v>317</v>
      </c>
      <c r="C2960" s="4">
        <v>12.4659</v>
      </c>
      <c r="D2960" s="4">
        <v>12.559900000000001</v>
      </c>
      <c r="E2960" s="4">
        <v>11.751099999999999</v>
      </c>
      <c r="F2960" s="4">
        <f t="shared" si="184"/>
        <v>12.258966666666666</v>
      </c>
      <c r="I2960" s="4" t="s">
        <v>2142</v>
      </c>
      <c r="J2960" s="4">
        <v>12.2658</v>
      </c>
      <c r="K2960" s="4">
        <v>11.867100000000001</v>
      </c>
      <c r="L2960" s="4">
        <v>12.016400000000001</v>
      </c>
      <c r="M2960" s="4">
        <f t="shared" si="185"/>
        <v>12.049766666666665</v>
      </c>
      <c r="Q2960" s="43" t="s">
        <v>4327</v>
      </c>
      <c r="R2960" s="4">
        <v>11.729688357091</v>
      </c>
      <c r="S2960" s="4">
        <v>12.940697421855001</v>
      </c>
      <c r="T2960" s="4">
        <v>12.6732778126851</v>
      </c>
      <c r="U2960" s="4">
        <f t="shared" si="186"/>
        <v>12.447887863877034</v>
      </c>
      <c r="X2960" s="43" t="s">
        <v>3908</v>
      </c>
      <c r="Y2960" s="4">
        <v>13.005820432708701</v>
      </c>
      <c r="Z2960" s="4">
        <v>13.0817076285373</v>
      </c>
      <c r="AA2960" s="4">
        <v>11.916623456125601</v>
      </c>
      <c r="AB2960" s="4">
        <f t="shared" si="187"/>
        <v>12.668050505790534</v>
      </c>
    </row>
    <row r="2961" spans="2:28" x14ac:dyDescent="0.2">
      <c r="B2961" s="4" t="s">
        <v>4114</v>
      </c>
      <c r="C2961" s="4">
        <v>11.8879</v>
      </c>
      <c r="D2961" s="4">
        <v>12.1715</v>
      </c>
      <c r="E2961" s="4">
        <v>12.716699999999999</v>
      </c>
      <c r="F2961" s="4">
        <f t="shared" si="184"/>
        <v>12.258699999999999</v>
      </c>
      <c r="I2961" s="4" t="s">
        <v>2594</v>
      </c>
      <c r="J2961" s="4">
        <v>12.8713</v>
      </c>
      <c r="K2961" s="4">
        <v>10.4389</v>
      </c>
      <c r="L2961" s="4">
        <v>12.8133</v>
      </c>
      <c r="M2961" s="4">
        <f t="shared" si="185"/>
        <v>12.041166666666667</v>
      </c>
      <c r="Q2961" s="43">
        <v>45722</v>
      </c>
      <c r="R2961" s="4">
        <v>12.500880656401501</v>
      </c>
      <c r="S2961" s="4">
        <v>12.270272242005399</v>
      </c>
      <c r="T2961" s="4">
        <v>12.563551946480301</v>
      </c>
      <c r="U2961" s="4">
        <f t="shared" si="186"/>
        <v>12.444901614962399</v>
      </c>
      <c r="X2961" s="43" t="s">
        <v>1605</v>
      </c>
      <c r="Y2961" s="4">
        <v>12.5744180176328</v>
      </c>
      <c r="Z2961" s="4">
        <v>12.632597245836299</v>
      </c>
      <c r="AA2961" s="4">
        <v>12.7952847497547</v>
      </c>
      <c r="AB2961" s="4">
        <f t="shared" si="187"/>
        <v>12.667433337741267</v>
      </c>
    </row>
    <row r="2962" spans="2:28" x14ac:dyDescent="0.2">
      <c r="B2962" s="4" t="s">
        <v>501</v>
      </c>
      <c r="C2962" s="4">
        <v>11.956300000000001</v>
      </c>
      <c r="D2962" s="4">
        <v>12.751200000000001</v>
      </c>
      <c r="E2962" s="4">
        <v>12.0669</v>
      </c>
      <c r="F2962" s="4">
        <f t="shared" si="184"/>
        <v>12.258133333333333</v>
      </c>
      <c r="I2962" s="4" t="s">
        <v>534</v>
      </c>
      <c r="J2962" s="4">
        <v>11.920500000000001</v>
      </c>
      <c r="K2962" s="4">
        <v>12.1601</v>
      </c>
      <c r="L2962" s="4">
        <v>12.040699999999999</v>
      </c>
      <c r="M2962" s="4">
        <f t="shared" si="185"/>
        <v>12.040433333333333</v>
      </c>
      <c r="Q2962" s="43" t="s">
        <v>207</v>
      </c>
      <c r="R2962" s="4">
        <v>12.3007251249722</v>
      </c>
      <c r="S2962" s="4">
        <v>12.630191507530499</v>
      </c>
      <c r="T2962" s="4">
        <v>12.4033921901345</v>
      </c>
      <c r="U2962" s="4">
        <f t="shared" si="186"/>
        <v>12.444769607545732</v>
      </c>
      <c r="X2962" s="43" t="s">
        <v>3837</v>
      </c>
      <c r="Y2962" s="4">
        <v>12.6525233933707</v>
      </c>
      <c r="Z2962" s="4">
        <v>12.477625087225199</v>
      </c>
      <c r="AA2962" s="4">
        <v>12.867423431925699</v>
      </c>
      <c r="AB2962" s="4">
        <f t="shared" si="187"/>
        <v>12.665857304173867</v>
      </c>
    </row>
    <row r="2963" spans="2:28" x14ac:dyDescent="0.2">
      <c r="B2963" s="4" t="s">
        <v>318</v>
      </c>
      <c r="C2963" s="4">
        <v>12.3611</v>
      </c>
      <c r="D2963" s="4">
        <v>12.0204</v>
      </c>
      <c r="E2963" s="4">
        <v>12.3908</v>
      </c>
      <c r="F2963" s="4">
        <f t="shared" si="184"/>
        <v>12.257433333333333</v>
      </c>
      <c r="I2963" s="4" t="s">
        <v>3107</v>
      </c>
      <c r="J2963" s="4">
        <v>12.3398</v>
      </c>
      <c r="K2963" s="4">
        <v>11.721399999999999</v>
      </c>
      <c r="L2963" s="4">
        <v>12.053100000000001</v>
      </c>
      <c r="M2963" s="4">
        <f t="shared" si="185"/>
        <v>12.0381</v>
      </c>
      <c r="Q2963" s="43" t="s">
        <v>4434</v>
      </c>
      <c r="R2963" s="4">
        <v>12.1218303370485</v>
      </c>
      <c r="S2963" s="4">
        <v>12.4537949253483</v>
      </c>
      <c r="T2963" s="4">
        <v>12.758072338935699</v>
      </c>
      <c r="U2963" s="4">
        <f t="shared" si="186"/>
        <v>12.444565867110832</v>
      </c>
      <c r="X2963" s="43" t="s">
        <v>3941</v>
      </c>
      <c r="Y2963" s="4">
        <v>12.8194084378335</v>
      </c>
      <c r="Z2963" s="4">
        <v>12.6210520795228</v>
      </c>
      <c r="AA2963" s="4">
        <v>12.5539068827531</v>
      </c>
      <c r="AB2963" s="4">
        <f t="shared" si="187"/>
        <v>12.6647891333698</v>
      </c>
    </row>
    <row r="2964" spans="2:28" x14ac:dyDescent="0.2">
      <c r="B2964" s="4" t="s">
        <v>3021</v>
      </c>
      <c r="C2964" s="4">
        <v>12.017099999999999</v>
      </c>
      <c r="D2964" s="4">
        <v>12.4971</v>
      </c>
      <c r="E2964" s="4">
        <v>12.2575</v>
      </c>
      <c r="F2964" s="4">
        <f t="shared" si="184"/>
        <v>12.257233333333332</v>
      </c>
      <c r="I2964" s="4" t="s">
        <v>520</v>
      </c>
      <c r="J2964" s="4">
        <v>12.150399999999999</v>
      </c>
      <c r="K2964" s="4">
        <v>12.449299999999999</v>
      </c>
      <c r="L2964" s="4">
        <v>11.4975</v>
      </c>
      <c r="M2964" s="4">
        <f t="shared" si="185"/>
        <v>12.032400000000001</v>
      </c>
      <c r="Q2964" s="43" t="s">
        <v>2517</v>
      </c>
      <c r="R2964" s="4">
        <v>12.519813099406401</v>
      </c>
      <c r="S2964" s="4">
        <v>12.4861717149979</v>
      </c>
      <c r="T2964" s="4">
        <v>12.323487029133799</v>
      </c>
      <c r="U2964" s="4">
        <f t="shared" si="186"/>
        <v>12.443157281179367</v>
      </c>
      <c r="X2964" s="43" t="s">
        <v>2849</v>
      </c>
      <c r="Y2964" s="4">
        <v>12.6900256331076</v>
      </c>
      <c r="Z2964" s="4">
        <v>12.574301438978599</v>
      </c>
      <c r="AA2964" s="4">
        <v>12.7281658419564</v>
      </c>
      <c r="AB2964" s="4">
        <f t="shared" si="187"/>
        <v>12.664164304680867</v>
      </c>
    </row>
    <row r="2965" spans="2:28" x14ac:dyDescent="0.2">
      <c r="B2965" s="4" t="s">
        <v>2591</v>
      </c>
      <c r="C2965" s="4">
        <v>12.127000000000001</v>
      </c>
      <c r="D2965" s="4">
        <v>11.5593</v>
      </c>
      <c r="E2965" s="4">
        <v>13.0764</v>
      </c>
      <c r="F2965" s="4">
        <f t="shared" si="184"/>
        <v>12.254233333333334</v>
      </c>
      <c r="I2965" s="4" t="s">
        <v>3526</v>
      </c>
      <c r="J2965" s="4">
        <v>11.9732</v>
      </c>
      <c r="K2965" s="4">
        <v>11.966100000000001</v>
      </c>
      <c r="L2965" s="4">
        <v>12.148099999999999</v>
      </c>
      <c r="M2965" s="4">
        <f t="shared" si="185"/>
        <v>12.029133333333334</v>
      </c>
      <c r="Q2965" s="43" t="s">
        <v>3528</v>
      </c>
      <c r="R2965" s="4">
        <v>12.3216318428044</v>
      </c>
      <c r="S2965" s="4">
        <v>12.537144321532899</v>
      </c>
      <c r="T2965" s="4">
        <v>12.463061997573901</v>
      </c>
      <c r="U2965" s="4">
        <f t="shared" si="186"/>
        <v>12.440612720637068</v>
      </c>
      <c r="X2965" s="43" t="s">
        <v>2178</v>
      </c>
      <c r="Y2965" s="4">
        <v>12.2698589601672</v>
      </c>
      <c r="Z2965" s="4">
        <v>12.8220920023597</v>
      </c>
      <c r="AA2965" s="4">
        <v>12.8995240337005</v>
      </c>
      <c r="AB2965" s="4">
        <f t="shared" si="187"/>
        <v>12.663824998742468</v>
      </c>
    </row>
    <row r="2966" spans="2:28" x14ac:dyDescent="0.2">
      <c r="B2966" s="4" t="s">
        <v>2360</v>
      </c>
      <c r="C2966" s="4">
        <v>11.1944</v>
      </c>
      <c r="D2966" s="4">
        <v>12.589399999999999</v>
      </c>
      <c r="E2966" s="4">
        <v>12.965999999999999</v>
      </c>
      <c r="F2966" s="4">
        <f t="shared" si="184"/>
        <v>12.249933333333333</v>
      </c>
      <c r="I2966" s="4" t="s">
        <v>3319</v>
      </c>
      <c r="J2966" s="4">
        <v>11.5642</v>
      </c>
      <c r="K2966" s="4">
        <v>12.3749</v>
      </c>
      <c r="L2966" s="4">
        <v>12.1403</v>
      </c>
      <c r="M2966" s="4">
        <f t="shared" si="185"/>
        <v>12.026466666666666</v>
      </c>
      <c r="Q2966" s="43" t="s">
        <v>118</v>
      </c>
      <c r="R2966" s="4">
        <v>12.537913943337999</v>
      </c>
      <c r="S2966" s="4">
        <v>12.4158034083025</v>
      </c>
      <c r="T2966" s="4">
        <v>12.3601353122524</v>
      </c>
      <c r="U2966" s="4">
        <f t="shared" si="186"/>
        <v>12.4379508879643</v>
      </c>
      <c r="X2966" s="43" t="s">
        <v>813</v>
      </c>
      <c r="Y2966" s="4">
        <v>12.721026593585799</v>
      </c>
      <c r="Z2966" s="4">
        <v>12.4211557954171</v>
      </c>
      <c r="AA2966" s="4">
        <v>12.8450496704687</v>
      </c>
      <c r="AB2966" s="4">
        <f t="shared" si="187"/>
        <v>12.662410686490531</v>
      </c>
    </row>
    <row r="2967" spans="2:28" x14ac:dyDescent="0.2">
      <c r="B2967" s="4" t="s">
        <v>2158</v>
      </c>
      <c r="C2967" s="4">
        <v>12.8757</v>
      </c>
      <c r="D2967" s="4">
        <v>11.8467</v>
      </c>
      <c r="E2967" s="4">
        <v>12.0259</v>
      </c>
      <c r="F2967" s="4">
        <f t="shared" si="184"/>
        <v>12.249433333333334</v>
      </c>
      <c r="I2967" s="4" t="s">
        <v>2927</v>
      </c>
      <c r="J2967" s="4">
        <v>12.0199</v>
      </c>
      <c r="K2967" s="4">
        <v>11.960599999999999</v>
      </c>
      <c r="L2967" s="4">
        <v>12.096399999999999</v>
      </c>
      <c r="M2967" s="4">
        <f t="shared" si="185"/>
        <v>12.025633333333332</v>
      </c>
      <c r="Q2967" s="43" t="s">
        <v>1238</v>
      </c>
      <c r="R2967" s="4">
        <v>12.504036059618</v>
      </c>
      <c r="S2967" s="4">
        <v>12.497091071543</v>
      </c>
      <c r="T2967" s="4">
        <v>12.310303835537299</v>
      </c>
      <c r="U2967" s="4">
        <f t="shared" si="186"/>
        <v>12.437143655566098</v>
      </c>
      <c r="X2967" s="43" t="s">
        <v>899</v>
      </c>
      <c r="Y2967" s="4">
        <v>12.8318431806434</v>
      </c>
      <c r="Z2967" s="4">
        <v>12.630113641511199</v>
      </c>
      <c r="AA2967" s="4">
        <v>12.5247323813843</v>
      </c>
      <c r="AB2967" s="4">
        <f t="shared" si="187"/>
        <v>12.662229734512968</v>
      </c>
    </row>
    <row r="2968" spans="2:28" x14ac:dyDescent="0.2">
      <c r="B2968" s="4" t="s">
        <v>3351</v>
      </c>
      <c r="C2968" s="4">
        <v>12.414400000000001</v>
      </c>
      <c r="D2968" s="4">
        <v>11.0589</v>
      </c>
      <c r="E2968" s="4">
        <v>13.269299999999999</v>
      </c>
      <c r="F2968" s="4">
        <f t="shared" si="184"/>
        <v>12.247533333333335</v>
      </c>
      <c r="I2968" s="4" t="s">
        <v>2054</v>
      </c>
      <c r="J2968" s="4">
        <v>12.327400000000001</v>
      </c>
      <c r="K2968" s="4">
        <v>12.3766</v>
      </c>
      <c r="L2968" s="4">
        <v>11.370200000000001</v>
      </c>
      <c r="M2968" s="4">
        <f t="shared" si="185"/>
        <v>12.024733333333335</v>
      </c>
      <c r="Q2968" s="43" t="s">
        <v>855</v>
      </c>
      <c r="R2968" s="4">
        <v>11.7074818116805</v>
      </c>
      <c r="S2968" s="4">
        <v>12.785481379559901</v>
      </c>
      <c r="T2968" s="4">
        <v>12.8134750892201</v>
      </c>
      <c r="U2968" s="4">
        <f t="shared" si="186"/>
        <v>12.435479426820166</v>
      </c>
      <c r="X2968" s="43" t="s">
        <v>3239</v>
      </c>
      <c r="Y2968" s="4">
        <v>12.888035444861799</v>
      </c>
      <c r="Z2968" s="4">
        <v>12.448659652678</v>
      </c>
      <c r="AA2968" s="4">
        <v>12.6493827718232</v>
      </c>
      <c r="AB2968" s="4">
        <f t="shared" si="187"/>
        <v>12.662025956454334</v>
      </c>
    </row>
    <row r="2969" spans="2:28" x14ac:dyDescent="0.2">
      <c r="B2969" s="4" t="s">
        <v>3697</v>
      </c>
      <c r="C2969" s="4">
        <v>11.919700000000001</v>
      </c>
      <c r="D2969" s="4">
        <v>12.4513</v>
      </c>
      <c r="E2969" s="4">
        <v>12.370200000000001</v>
      </c>
      <c r="F2969" s="4">
        <f t="shared" si="184"/>
        <v>12.247066666666669</v>
      </c>
      <c r="I2969" s="4" t="s">
        <v>1344</v>
      </c>
      <c r="J2969" s="4">
        <v>11.8942</v>
      </c>
      <c r="K2969" s="4">
        <v>12.7826</v>
      </c>
      <c r="L2969" s="4">
        <v>11.394600000000001</v>
      </c>
      <c r="M2969" s="4">
        <f t="shared" si="185"/>
        <v>12.0238</v>
      </c>
      <c r="Q2969" s="43" t="s">
        <v>1181</v>
      </c>
      <c r="R2969" s="4">
        <v>12.0837568537615</v>
      </c>
      <c r="S2969" s="4">
        <v>12.7968834142786</v>
      </c>
      <c r="T2969" s="4">
        <v>12.4206999377696</v>
      </c>
      <c r="U2969" s="4">
        <f t="shared" si="186"/>
        <v>12.433780068603234</v>
      </c>
      <c r="X2969" s="43" t="s">
        <v>1005</v>
      </c>
      <c r="Y2969" s="4">
        <v>12.640383804774</v>
      </c>
      <c r="Z2969" s="4">
        <v>12.789713296898601</v>
      </c>
      <c r="AA2969" s="4">
        <v>12.5559011764296</v>
      </c>
      <c r="AB2969" s="4">
        <f t="shared" si="187"/>
        <v>12.661999426034066</v>
      </c>
    </row>
    <row r="2970" spans="2:28" x14ac:dyDescent="0.2">
      <c r="B2970" s="4" t="s">
        <v>2302</v>
      </c>
      <c r="C2970" s="4">
        <v>12.0589</v>
      </c>
      <c r="D2970" s="4">
        <v>13.115500000000001</v>
      </c>
      <c r="E2970" s="4">
        <v>11.5625</v>
      </c>
      <c r="F2970" s="4">
        <f t="shared" si="184"/>
        <v>12.245633333333332</v>
      </c>
      <c r="I2970" s="4" t="s">
        <v>2610</v>
      </c>
      <c r="J2970" s="4">
        <v>12.273300000000001</v>
      </c>
      <c r="K2970" s="4">
        <v>12.310700000000001</v>
      </c>
      <c r="L2970" s="4">
        <v>11.486000000000001</v>
      </c>
      <c r="M2970" s="4">
        <f t="shared" si="185"/>
        <v>12.023333333333335</v>
      </c>
      <c r="Q2970" s="43" t="s">
        <v>846</v>
      </c>
      <c r="R2970" s="4">
        <v>11.720472690182699</v>
      </c>
      <c r="S2970" s="4">
        <v>12.896537327746399</v>
      </c>
      <c r="T2970" s="4">
        <v>12.680182434011799</v>
      </c>
      <c r="U2970" s="4">
        <f t="shared" si="186"/>
        <v>12.432397483980298</v>
      </c>
      <c r="X2970" s="43" t="s">
        <v>4573</v>
      </c>
      <c r="Y2970" s="4">
        <v>12.5643439425323</v>
      </c>
      <c r="Z2970" s="4">
        <v>12.6679914391301</v>
      </c>
      <c r="AA2970" s="4">
        <v>12.751982184225</v>
      </c>
      <c r="AB2970" s="4">
        <f t="shared" si="187"/>
        <v>12.661439188629133</v>
      </c>
    </row>
    <row r="2971" spans="2:28" x14ac:dyDescent="0.2">
      <c r="B2971" s="4" t="s">
        <v>3653</v>
      </c>
      <c r="C2971" s="4">
        <v>11.727399999999999</v>
      </c>
      <c r="D2971" s="4">
        <v>12.555099999999999</v>
      </c>
      <c r="E2971" s="4">
        <v>12.422499999999999</v>
      </c>
      <c r="F2971" s="4">
        <f t="shared" si="184"/>
        <v>12.234999999999999</v>
      </c>
      <c r="I2971" s="4" t="s">
        <v>3740</v>
      </c>
      <c r="J2971" s="4">
        <v>10.678900000000001</v>
      </c>
      <c r="K2971" s="4">
        <v>12.962400000000001</v>
      </c>
      <c r="L2971" s="4">
        <v>12.427199999999999</v>
      </c>
      <c r="M2971" s="4">
        <f t="shared" si="185"/>
        <v>12.022833333333333</v>
      </c>
      <c r="Q2971" s="43" t="s">
        <v>1920</v>
      </c>
      <c r="R2971" s="4">
        <v>12.129040667684199</v>
      </c>
      <c r="S2971" s="4">
        <v>12.599627337115599</v>
      </c>
      <c r="T2971" s="4">
        <v>12.562316454645</v>
      </c>
      <c r="U2971" s="4">
        <f t="shared" si="186"/>
        <v>12.430328153148267</v>
      </c>
      <c r="X2971" s="43" t="s">
        <v>2168</v>
      </c>
      <c r="Y2971" s="4">
        <v>12.782499617492601</v>
      </c>
      <c r="Z2971" s="4">
        <v>12.2892300289056</v>
      </c>
      <c r="AA2971" s="4">
        <v>12.9061640162638</v>
      </c>
      <c r="AB2971" s="4">
        <f t="shared" si="187"/>
        <v>12.659297887553999</v>
      </c>
    </row>
    <row r="2972" spans="2:28" x14ac:dyDescent="0.2">
      <c r="B2972" s="4" t="s">
        <v>4113</v>
      </c>
      <c r="C2972" s="4">
        <v>11.875299999999999</v>
      </c>
      <c r="D2972" s="4">
        <v>11.8721</v>
      </c>
      <c r="E2972" s="4">
        <v>12.937799999999999</v>
      </c>
      <c r="F2972" s="4">
        <f t="shared" si="184"/>
        <v>12.228399999999999</v>
      </c>
      <c r="I2972" s="4" t="s">
        <v>1401</v>
      </c>
      <c r="J2972" s="4">
        <v>11.6181</v>
      </c>
      <c r="K2972" s="4">
        <v>13.165699999999999</v>
      </c>
      <c r="L2972" s="4">
        <v>11.2812</v>
      </c>
      <c r="M2972" s="4">
        <f t="shared" si="185"/>
        <v>12.021666666666667</v>
      </c>
      <c r="Q2972" s="43" t="s">
        <v>1177</v>
      </c>
      <c r="R2972" s="4">
        <v>12.1857966657694</v>
      </c>
      <c r="S2972" s="4">
        <v>12.6029058440652</v>
      </c>
      <c r="T2972" s="4">
        <v>12.4990973943922</v>
      </c>
      <c r="U2972" s="4">
        <f t="shared" si="186"/>
        <v>12.429266634742268</v>
      </c>
      <c r="X2972" s="43" t="s">
        <v>4411</v>
      </c>
      <c r="Y2972" s="4">
        <v>12.7842860398273</v>
      </c>
      <c r="Z2972" s="4">
        <v>12.5191728675993</v>
      </c>
      <c r="AA2972" s="4">
        <v>12.6665732577668</v>
      </c>
      <c r="AB2972" s="4">
        <f t="shared" si="187"/>
        <v>12.656677388397801</v>
      </c>
    </row>
    <row r="2973" spans="2:28" x14ac:dyDescent="0.2">
      <c r="B2973" s="4" t="s">
        <v>3850</v>
      </c>
      <c r="C2973" s="4">
        <v>12.1975</v>
      </c>
      <c r="D2973" s="4">
        <v>12.2293</v>
      </c>
      <c r="E2973" s="4">
        <v>12.253399999999999</v>
      </c>
      <c r="F2973" s="4">
        <f t="shared" si="184"/>
        <v>12.226733333333334</v>
      </c>
      <c r="I2973" s="4" t="s">
        <v>2017</v>
      </c>
      <c r="J2973" s="4">
        <v>11.9069</v>
      </c>
      <c r="K2973" s="4">
        <v>11.6311</v>
      </c>
      <c r="L2973" s="4">
        <v>12.498799999999999</v>
      </c>
      <c r="M2973" s="4">
        <f t="shared" si="185"/>
        <v>12.012266666666667</v>
      </c>
      <c r="Q2973" s="43" t="s">
        <v>3883</v>
      </c>
      <c r="R2973" s="4">
        <v>11.626795323132599</v>
      </c>
      <c r="S2973" s="4">
        <v>12.6408933280337</v>
      </c>
      <c r="T2973" s="4">
        <v>13.0183383283456</v>
      </c>
      <c r="U2973" s="4">
        <f t="shared" si="186"/>
        <v>12.428675659837301</v>
      </c>
      <c r="X2973" s="43" t="s">
        <v>3928</v>
      </c>
      <c r="Y2973" s="4">
        <v>12.5989838886443</v>
      </c>
      <c r="Z2973" s="4">
        <v>12.5575532383591</v>
      </c>
      <c r="AA2973" s="4">
        <v>12.8107928945461</v>
      </c>
      <c r="AB2973" s="4">
        <f t="shared" si="187"/>
        <v>12.655776673849834</v>
      </c>
    </row>
    <row r="2974" spans="2:28" x14ac:dyDescent="0.2">
      <c r="B2974" s="4" t="s">
        <v>2958</v>
      </c>
      <c r="C2974" s="4">
        <v>12.426</v>
      </c>
      <c r="D2974" s="4">
        <v>12.476100000000001</v>
      </c>
      <c r="E2974" s="4">
        <v>11.769500000000001</v>
      </c>
      <c r="F2974" s="4">
        <f t="shared" si="184"/>
        <v>12.223866666666666</v>
      </c>
      <c r="I2974" s="4" t="s">
        <v>3121</v>
      </c>
      <c r="J2974" s="4">
        <v>12.1561</v>
      </c>
      <c r="K2974" s="4">
        <v>12.4785</v>
      </c>
      <c r="L2974" s="4">
        <v>11.397500000000001</v>
      </c>
      <c r="M2974" s="4">
        <f t="shared" si="185"/>
        <v>12.0107</v>
      </c>
      <c r="Q2974" s="43" t="s">
        <v>4483</v>
      </c>
      <c r="R2974" s="4">
        <v>12.0998050719446</v>
      </c>
      <c r="S2974" s="4">
        <v>12.4996843021937</v>
      </c>
      <c r="T2974" s="4">
        <v>12.6729813495885</v>
      </c>
      <c r="U2974" s="4">
        <f t="shared" si="186"/>
        <v>12.424156907908932</v>
      </c>
      <c r="X2974" s="43" t="s">
        <v>3410</v>
      </c>
      <c r="Y2974" s="4">
        <v>12.501653012641899</v>
      </c>
      <c r="Z2974" s="4">
        <v>12.599982413993599</v>
      </c>
      <c r="AA2974" s="4">
        <v>12.858926601734399</v>
      </c>
      <c r="AB2974" s="4">
        <f t="shared" si="187"/>
        <v>12.653520676123298</v>
      </c>
    </row>
    <row r="2975" spans="2:28" x14ac:dyDescent="0.2">
      <c r="B2975" s="4" t="s">
        <v>3825</v>
      </c>
      <c r="C2975" s="4">
        <v>12.355499999999999</v>
      </c>
      <c r="D2975" s="4">
        <v>12.119899999999999</v>
      </c>
      <c r="E2975" s="4">
        <v>12.1943</v>
      </c>
      <c r="F2975" s="4">
        <f t="shared" si="184"/>
        <v>12.223233333333333</v>
      </c>
      <c r="I2975" s="4" t="s">
        <v>4081</v>
      </c>
      <c r="J2975" s="4">
        <v>11.722300000000001</v>
      </c>
      <c r="K2975" s="4">
        <v>12.0144</v>
      </c>
      <c r="L2975" s="4">
        <v>12.2942</v>
      </c>
      <c r="M2975" s="4">
        <f t="shared" si="185"/>
        <v>12.010300000000001</v>
      </c>
      <c r="Q2975" s="43" t="s">
        <v>861</v>
      </c>
      <c r="R2975" s="4">
        <v>11.7258230788538</v>
      </c>
      <c r="S2975" s="4">
        <v>12.744903439681099</v>
      </c>
      <c r="T2975" s="4">
        <v>12.795813265696101</v>
      </c>
      <c r="U2975" s="4">
        <f t="shared" si="186"/>
        <v>12.422179928077</v>
      </c>
      <c r="X2975" s="43" t="s">
        <v>3482</v>
      </c>
      <c r="Y2975" s="4">
        <v>12.2534367484712</v>
      </c>
      <c r="Z2975" s="4">
        <v>13.304509440497201</v>
      </c>
      <c r="AA2975" s="4">
        <v>12.3956535382742</v>
      </c>
      <c r="AB2975" s="4">
        <f t="shared" si="187"/>
        <v>12.651199909080868</v>
      </c>
    </row>
    <row r="2976" spans="2:28" x14ac:dyDescent="0.2">
      <c r="B2976" s="4" t="s">
        <v>3565</v>
      </c>
      <c r="C2976" s="4">
        <v>12.000500000000001</v>
      </c>
      <c r="D2976" s="4">
        <v>12.5085</v>
      </c>
      <c r="E2976" s="4">
        <v>12.158200000000001</v>
      </c>
      <c r="F2976" s="4">
        <f t="shared" si="184"/>
        <v>12.2224</v>
      </c>
      <c r="I2976" s="4" t="s">
        <v>675</v>
      </c>
      <c r="J2976" s="4">
        <v>11.613899999999999</v>
      </c>
      <c r="K2976" s="4">
        <v>12.8376</v>
      </c>
      <c r="L2976" s="4">
        <v>11.5784</v>
      </c>
      <c r="M2976" s="4">
        <f t="shared" si="185"/>
        <v>12.009966666666665</v>
      </c>
      <c r="Q2976" s="43" t="s">
        <v>2016</v>
      </c>
      <c r="R2976" s="4">
        <v>11.564001047137699</v>
      </c>
      <c r="S2976" s="4">
        <v>12.8512314610996</v>
      </c>
      <c r="T2976" s="4">
        <v>12.8425040557469</v>
      </c>
      <c r="U2976" s="4">
        <f t="shared" si="186"/>
        <v>12.419245521328065</v>
      </c>
      <c r="X2976" s="43" t="s">
        <v>1687</v>
      </c>
      <c r="Y2976" s="4">
        <v>12.777428517059001</v>
      </c>
      <c r="Z2976" s="4">
        <v>12.7751183885876</v>
      </c>
      <c r="AA2976" s="4">
        <v>12.394465897927599</v>
      </c>
      <c r="AB2976" s="4">
        <f t="shared" si="187"/>
        <v>12.649004267858066</v>
      </c>
    </row>
    <row r="2977" spans="2:28" x14ac:dyDescent="0.2">
      <c r="B2977" s="4" t="s">
        <v>2643</v>
      </c>
      <c r="C2977" s="4">
        <v>12.244</v>
      </c>
      <c r="D2977" s="4">
        <v>12.2912</v>
      </c>
      <c r="E2977" s="4">
        <v>12.125400000000001</v>
      </c>
      <c r="F2977" s="4">
        <f t="shared" si="184"/>
        <v>12.2202</v>
      </c>
      <c r="I2977" s="4" t="s">
        <v>2522</v>
      </c>
      <c r="J2977" s="4">
        <v>10.9932</v>
      </c>
      <c r="K2977" s="4">
        <v>13.680199999999999</v>
      </c>
      <c r="L2977" s="4">
        <v>11.331899999999999</v>
      </c>
      <c r="M2977" s="4">
        <f t="shared" si="185"/>
        <v>12.001766666666667</v>
      </c>
      <c r="Q2977" s="43" t="s">
        <v>439</v>
      </c>
      <c r="R2977" s="4">
        <v>13.0897949263382</v>
      </c>
      <c r="S2977" s="4">
        <v>12.337253335200201</v>
      </c>
      <c r="T2977" s="4">
        <v>11.8302512494563</v>
      </c>
      <c r="U2977" s="4">
        <f t="shared" si="186"/>
        <v>12.419099836998233</v>
      </c>
      <c r="X2977" s="43" t="s">
        <v>3932</v>
      </c>
      <c r="Y2977" s="4">
        <v>12.6345818075647</v>
      </c>
      <c r="Z2977" s="4">
        <v>12.559632520189099</v>
      </c>
      <c r="AA2977" s="4">
        <v>12.7492557510518</v>
      </c>
      <c r="AB2977" s="4">
        <f t="shared" si="187"/>
        <v>12.647823359601865</v>
      </c>
    </row>
    <row r="2978" spans="2:28" x14ac:dyDescent="0.2">
      <c r="B2978" s="4" t="s">
        <v>540</v>
      </c>
      <c r="C2978" s="4">
        <v>12.2662</v>
      </c>
      <c r="D2978" s="4">
        <v>12.2439</v>
      </c>
      <c r="E2978" s="4">
        <v>12.138400000000001</v>
      </c>
      <c r="F2978" s="4">
        <f t="shared" si="184"/>
        <v>12.216166666666666</v>
      </c>
      <c r="I2978" s="4" t="s">
        <v>382</v>
      </c>
      <c r="J2978" s="4">
        <v>12.146100000000001</v>
      </c>
      <c r="K2978" s="4">
        <v>11.6128</v>
      </c>
      <c r="L2978" s="4">
        <v>12.2333</v>
      </c>
      <c r="M2978" s="4">
        <f t="shared" si="185"/>
        <v>11.997399999999999</v>
      </c>
      <c r="Q2978" s="43" t="s">
        <v>3328</v>
      </c>
      <c r="R2978" s="4">
        <v>12.091531067956</v>
      </c>
      <c r="S2978" s="4">
        <v>12.321054579389999</v>
      </c>
      <c r="T2978" s="4">
        <v>12.8428672698571</v>
      </c>
      <c r="U2978" s="4">
        <f t="shared" si="186"/>
        <v>12.418484305734367</v>
      </c>
      <c r="X2978" s="43" t="s">
        <v>866</v>
      </c>
      <c r="Y2978" s="4">
        <v>12.6475221913181</v>
      </c>
      <c r="Z2978" s="4">
        <v>12.681157017939499</v>
      </c>
      <c r="AA2978" s="4">
        <v>12.6090120734917</v>
      </c>
      <c r="AB2978" s="4">
        <f t="shared" si="187"/>
        <v>12.645897094249767</v>
      </c>
    </row>
    <row r="2979" spans="2:28" x14ac:dyDescent="0.2">
      <c r="B2979" s="4" t="s">
        <v>3546</v>
      </c>
      <c r="C2979" s="4">
        <v>12.660299999999999</v>
      </c>
      <c r="D2979" s="4">
        <v>12.9244</v>
      </c>
      <c r="E2979" s="4">
        <v>11.059200000000001</v>
      </c>
      <c r="F2979" s="4">
        <f t="shared" si="184"/>
        <v>12.214633333333333</v>
      </c>
      <c r="I2979" s="4" t="s">
        <v>1823</v>
      </c>
      <c r="J2979" s="4">
        <v>11.833600000000001</v>
      </c>
      <c r="K2979" s="4">
        <v>12.035500000000001</v>
      </c>
      <c r="L2979" s="4">
        <v>12.114100000000001</v>
      </c>
      <c r="M2979" s="4">
        <f t="shared" si="185"/>
        <v>11.994400000000001</v>
      </c>
      <c r="Q2979" s="43" t="s">
        <v>679</v>
      </c>
      <c r="R2979" s="4">
        <v>11.4078331570558</v>
      </c>
      <c r="S2979" s="4">
        <v>12.871299580617899</v>
      </c>
      <c r="T2979" s="4">
        <v>12.975351944444499</v>
      </c>
      <c r="U2979" s="4">
        <f t="shared" si="186"/>
        <v>12.418161560706066</v>
      </c>
      <c r="X2979" s="43" t="s">
        <v>3370</v>
      </c>
      <c r="Y2979" s="4">
        <v>12.885889046774199</v>
      </c>
      <c r="Z2979" s="4">
        <v>12.455649926568199</v>
      </c>
      <c r="AA2979" s="4">
        <v>12.592899737992401</v>
      </c>
      <c r="AB2979" s="4">
        <f t="shared" si="187"/>
        <v>12.644812903778266</v>
      </c>
    </row>
    <row r="2980" spans="2:28" x14ac:dyDescent="0.2">
      <c r="B2980" s="4" t="s">
        <v>89</v>
      </c>
      <c r="C2980" s="4">
        <v>12.2006</v>
      </c>
      <c r="D2980" s="4">
        <v>11.552899999999999</v>
      </c>
      <c r="E2980" s="4">
        <v>12.8903</v>
      </c>
      <c r="F2980" s="4">
        <f t="shared" si="184"/>
        <v>12.214599999999999</v>
      </c>
      <c r="I2980" s="4" t="s">
        <v>351</v>
      </c>
      <c r="J2980" s="4">
        <v>11.88</v>
      </c>
      <c r="K2980" s="4">
        <v>12.2189</v>
      </c>
      <c r="L2980" s="4">
        <v>11.8843</v>
      </c>
      <c r="M2980" s="4">
        <f t="shared" si="185"/>
        <v>11.994399999999999</v>
      </c>
      <c r="Q2980" s="43" t="s">
        <v>4425</v>
      </c>
      <c r="R2980" s="4">
        <v>12.841816003602601</v>
      </c>
      <c r="S2980" s="4">
        <v>12.2778517302221</v>
      </c>
      <c r="T2980" s="4">
        <v>12.131875356450699</v>
      </c>
      <c r="U2980" s="4">
        <f t="shared" si="186"/>
        <v>12.417181030091799</v>
      </c>
      <c r="X2980" s="43" t="s">
        <v>1800</v>
      </c>
      <c r="Y2980" s="4">
        <v>12.588809589968299</v>
      </c>
      <c r="Z2980" s="4">
        <v>12.5448297615767</v>
      </c>
      <c r="AA2980" s="4">
        <v>12.7962164965729</v>
      </c>
      <c r="AB2980" s="4">
        <f t="shared" si="187"/>
        <v>12.643285282705966</v>
      </c>
    </row>
    <row r="2981" spans="2:28" x14ac:dyDescent="0.2">
      <c r="B2981" s="4" t="s">
        <v>2519</v>
      </c>
      <c r="C2981" s="4">
        <v>10.956200000000001</v>
      </c>
      <c r="D2981" s="4">
        <v>13.0822</v>
      </c>
      <c r="E2981" s="4">
        <v>12.6021</v>
      </c>
      <c r="F2981" s="4">
        <f t="shared" si="184"/>
        <v>12.213500000000002</v>
      </c>
      <c r="I2981" s="4" t="s">
        <v>138</v>
      </c>
      <c r="J2981" s="4">
        <v>12.520300000000001</v>
      </c>
      <c r="K2981" s="4">
        <v>11.413500000000001</v>
      </c>
      <c r="L2981" s="4">
        <v>12.0252</v>
      </c>
      <c r="M2981" s="4">
        <f t="shared" si="185"/>
        <v>11.986333333333334</v>
      </c>
      <c r="Q2981" s="43" t="s">
        <v>2123</v>
      </c>
      <c r="R2981" s="4">
        <v>12.0025615859795</v>
      </c>
      <c r="S2981" s="4">
        <v>12.6640746724316</v>
      </c>
      <c r="T2981" s="4">
        <v>12.5830466760997</v>
      </c>
      <c r="U2981" s="4">
        <f t="shared" si="186"/>
        <v>12.416560978170267</v>
      </c>
      <c r="X2981" s="43" t="s">
        <v>1186</v>
      </c>
      <c r="Y2981" s="4">
        <v>12.834952036400299</v>
      </c>
      <c r="Z2981" s="4">
        <v>12.3167371447727</v>
      </c>
      <c r="AA2981" s="4">
        <v>12.7744493393925</v>
      </c>
      <c r="AB2981" s="4">
        <f t="shared" si="187"/>
        <v>12.642046173521834</v>
      </c>
    </row>
    <row r="2982" spans="2:28" x14ac:dyDescent="0.2">
      <c r="B2982" s="4" t="s">
        <v>75</v>
      </c>
      <c r="C2982" s="4">
        <v>12.2111</v>
      </c>
      <c r="D2982" s="4">
        <v>11.8561</v>
      </c>
      <c r="E2982" s="4">
        <v>12.571199999999999</v>
      </c>
      <c r="F2982" s="4">
        <f t="shared" si="184"/>
        <v>12.2128</v>
      </c>
      <c r="I2982" s="4" t="s">
        <v>1540</v>
      </c>
      <c r="J2982" s="4">
        <v>12.0984</v>
      </c>
      <c r="K2982" s="4">
        <v>12.457100000000001</v>
      </c>
      <c r="L2982" s="4">
        <v>11.3995</v>
      </c>
      <c r="M2982" s="4">
        <f t="shared" si="185"/>
        <v>11.984999999999999</v>
      </c>
      <c r="Q2982" s="43" t="s">
        <v>4382</v>
      </c>
      <c r="R2982" s="4">
        <v>12.4994330733916</v>
      </c>
      <c r="S2982" s="4">
        <v>12.433395245858801</v>
      </c>
      <c r="T2982" s="4">
        <v>12.314289883380001</v>
      </c>
      <c r="U2982" s="4">
        <f t="shared" si="186"/>
        <v>12.415706067543468</v>
      </c>
      <c r="X2982" s="43">
        <v>45901</v>
      </c>
      <c r="Y2982" s="4">
        <v>12.7326668821655</v>
      </c>
      <c r="Z2982" s="4">
        <v>12.633963703445</v>
      </c>
      <c r="AA2982" s="4">
        <v>12.5594899015013</v>
      </c>
      <c r="AB2982" s="4">
        <f t="shared" si="187"/>
        <v>12.6420401623706</v>
      </c>
    </row>
    <row r="2983" spans="2:28" x14ac:dyDescent="0.2">
      <c r="B2983" s="4" t="s">
        <v>2436</v>
      </c>
      <c r="C2983" s="4">
        <v>12.0144</v>
      </c>
      <c r="D2983" s="4">
        <v>12.5702</v>
      </c>
      <c r="E2983" s="4">
        <v>12.027200000000001</v>
      </c>
      <c r="F2983" s="4">
        <f t="shared" si="184"/>
        <v>12.203933333333334</v>
      </c>
      <c r="I2983" s="4" t="s">
        <v>3939</v>
      </c>
      <c r="J2983" s="4">
        <v>12.1425</v>
      </c>
      <c r="K2983" s="4">
        <v>12.051500000000001</v>
      </c>
      <c r="L2983" s="4">
        <v>11.7506</v>
      </c>
      <c r="M2983" s="4">
        <f t="shared" si="185"/>
        <v>11.981533333333333</v>
      </c>
      <c r="Q2983" s="43" t="s">
        <v>116</v>
      </c>
      <c r="R2983" s="4">
        <v>11.1240286691378</v>
      </c>
      <c r="S2983" s="4">
        <v>13.1978982641323</v>
      </c>
      <c r="T2983" s="4">
        <v>12.9227300975926</v>
      </c>
      <c r="U2983" s="4">
        <f t="shared" si="186"/>
        <v>12.414885676954233</v>
      </c>
      <c r="X2983" s="43" t="s">
        <v>2030</v>
      </c>
      <c r="Y2983" s="4">
        <v>12.6956632261482</v>
      </c>
      <c r="Z2983" s="4">
        <v>12.701368894826301</v>
      </c>
      <c r="AA2983" s="4">
        <v>12.523603958518001</v>
      </c>
      <c r="AB2983" s="4">
        <f t="shared" si="187"/>
        <v>12.640212026497501</v>
      </c>
    </row>
    <row r="2984" spans="2:28" x14ac:dyDescent="0.2">
      <c r="B2984" s="4" t="s">
        <v>3700</v>
      </c>
      <c r="C2984" s="4">
        <v>12.1153</v>
      </c>
      <c r="D2984" s="4">
        <v>11.928800000000001</v>
      </c>
      <c r="E2984" s="4">
        <v>12.5426</v>
      </c>
      <c r="F2984" s="4">
        <f t="shared" si="184"/>
        <v>12.195566666666666</v>
      </c>
      <c r="I2984" s="4" t="s">
        <v>2247</v>
      </c>
      <c r="J2984" s="4">
        <v>12.4397</v>
      </c>
      <c r="K2984" s="4">
        <v>11.7067</v>
      </c>
      <c r="L2984" s="4">
        <v>11.796200000000001</v>
      </c>
      <c r="M2984" s="4">
        <f t="shared" si="185"/>
        <v>11.980866666666666</v>
      </c>
      <c r="Q2984" s="43" t="s">
        <v>3430</v>
      </c>
      <c r="R2984" s="4">
        <v>12.3867042152149</v>
      </c>
      <c r="S2984" s="4">
        <v>12.637361680881</v>
      </c>
      <c r="T2984" s="4">
        <v>12.209052814623</v>
      </c>
      <c r="U2984" s="4">
        <f t="shared" si="186"/>
        <v>12.411039570239632</v>
      </c>
      <c r="X2984" s="43" t="s">
        <v>2241</v>
      </c>
      <c r="Y2984" s="4">
        <v>12.632793863197101</v>
      </c>
      <c r="Z2984" s="4">
        <v>12.5742881672134</v>
      </c>
      <c r="AA2984" s="4">
        <v>12.7131736160899</v>
      </c>
      <c r="AB2984" s="4">
        <f t="shared" si="187"/>
        <v>12.640085215500134</v>
      </c>
    </row>
    <row r="2985" spans="2:28" x14ac:dyDescent="0.2">
      <c r="B2985" s="4" t="s">
        <v>3341</v>
      </c>
      <c r="C2985" s="4">
        <v>12.5686</v>
      </c>
      <c r="D2985" s="4">
        <v>12.999599999999999</v>
      </c>
      <c r="E2985" s="4">
        <v>11.0143</v>
      </c>
      <c r="F2985" s="4">
        <f t="shared" si="184"/>
        <v>12.194166666666666</v>
      </c>
      <c r="I2985" s="4" t="s">
        <v>3480</v>
      </c>
      <c r="J2985" s="4">
        <v>11.7193</v>
      </c>
      <c r="K2985" s="4">
        <v>12.9886</v>
      </c>
      <c r="L2985" s="4">
        <v>11.233499999999999</v>
      </c>
      <c r="M2985" s="4">
        <f t="shared" si="185"/>
        <v>11.980466666666667</v>
      </c>
      <c r="Q2985" s="43" t="s">
        <v>908</v>
      </c>
      <c r="R2985" s="4">
        <v>12.552544257225399</v>
      </c>
      <c r="S2985" s="4">
        <v>12.5388460932871</v>
      </c>
      <c r="T2985" s="4">
        <v>12.1399778531216</v>
      </c>
      <c r="U2985" s="4">
        <f t="shared" si="186"/>
        <v>12.410456067878032</v>
      </c>
      <c r="X2985" s="43" t="s">
        <v>1499</v>
      </c>
      <c r="Y2985" s="4">
        <v>13.0728254699041</v>
      </c>
      <c r="Z2985" s="4">
        <v>12.683501581261099</v>
      </c>
      <c r="AA2985" s="4">
        <v>12.1618346396316</v>
      </c>
      <c r="AB2985" s="4">
        <f t="shared" si="187"/>
        <v>12.6393872302656</v>
      </c>
    </row>
    <row r="2986" spans="2:28" x14ac:dyDescent="0.2">
      <c r="B2986" s="4" t="s">
        <v>1124</v>
      </c>
      <c r="C2986" s="4">
        <v>12.147399999999999</v>
      </c>
      <c r="D2986" s="4">
        <v>12.0037</v>
      </c>
      <c r="E2986" s="4">
        <v>12.3827</v>
      </c>
      <c r="F2986" s="4">
        <f t="shared" si="184"/>
        <v>12.177933333333334</v>
      </c>
      <c r="I2986" s="4" t="s">
        <v>1419</v>
      </c>
      <c r="J2986" s="4">
        <v>11.562799999999999</v>
      </c>
      <c r="K2986" s="4">
        <v>12.462</v>
      </c>
      <c r="L2986" s="4">
        <v>11.909000000000001</v>
      </c>
      <c r="M2986" s="4">
        <f t="shared" si="185"/>
        <v>11.977933333333333</v>
      </c>
      <c r="Q2986" s="43" t="s">
        <v>2182</v>
      </c>
      <c r="R2986" s="4">
        <v>12.2300584900937</v>
      </c>
      <c r="S2986" s="4">
        <v>12.5448637501666</v>
      </c>
      <c r="T2986" s="4">
        <v>12.4536656562393</v>
      </c>
      <c r="U2986" s="4">
        <f t="shared" si="186"/>
        <v>12.409529298833201</v>
      </c>
      <c r="X2986" s="43" t="s">
        <v>4252</v>
      </c>
      <c r="Y2986" s="4">
        <v>12.626912944469099</v>
      </c>
      <c r="Z2986" s="4">
        <v>12.4678297247583</v>
      </c>
      <c r="AA2986" s="4">
        <v>12.816410787611501</v>
      </c>
      <c r="AB2986" s="4">
        <f t="shared" si="187"/>
        <v>12.637051152279634</v>
      </c>
    </row>
    <row r="2987" spans="2:28" x14ac:dyDescent="0.2">
      <c r="B2987" s="4" t="s">
        <v>3994</v>
      </c>
      <c r="C2987" s="4">
        <v>12.2935</v>
      </c>
      <c r="D2987" s="4">
        <v>11.8629</v>
      </c>
      <c r="E2987" s="4">
        <v>12.3771</v>
      </c>
      <c r="F2987" s="4">
        <f t="shared" si="184"/>
        <v>12.177833333333332</v>
      </c>
      <c r="I2987" s="4" t="s">
        <v>3025</v>
      </c>
      <c r="J2987" s="4">
        <v>12.503299999999999</v>
      </c>
      <c r="K2987" s="4">
        <v>10.869400000000001</v>
      </c>
      <c r="L2987" s="4">
        <v>12.5381</v>
      </c>
      <c r="M2987" s="4">
        <f t="shared" si="185"/>
        <v>11.970266666666667</v>
      </c>
      <c r="Q2987" s="43" t="s">
        <v>1548</v>
      </c>
      <c r="R2987" s="4">
        <v>12.590862868192101</v>
      </c>
      <c r="S2987" s="4">
        <v>12.897014777548099</v>
      </c>
      <c r="T2987" s="4">
        <v>11.737431756457701</v>
      </c>
      <c r="U2987" s="4">
        <f t="shared" si="186"/>
        <v>12.4084364673993</v>
      </c>
      <c r="X2987" s="43" t="s">
        <v>516</v>
      </c>
      <c r="Y2987" s="4">
        <v>13.049140275071499</v>
      </c>
      <c r="Z2987" s="4">
        <v>12.3873638720369</v>
      </c>
      <c r="AA2987" s="4">
        <v>12.473899414203</v>
      </c>
      <c r="AB2987" s="4">
        <f t="shared" si="187"/>
        <v>12.636801187103799</v>
      </c>
    </row>
    <row r="2988" spans="2:28" x14ac:dyDescent="0.2">
      <c r="B2988" s="4" t="s">
        <v>181</v>
      </c>
      <c r="C2988" s="4">
        <v>12.6866</v>
      </c>
      <c r="D2988" s="4">
        <v>11.9779</v>
      </c>
      <c r="E2988" s="4">
        <v>11.859500000000001</v>
      </c>
      <c r="F2988" s="4">
        <f t="shared" si="184"/>
        <v>12.174666666666667</v>
      </c>
      <c r="I2988" s="4" t="s">
        <v>3044</v>
      </c>
      <c r="J2988" s="4">
        <v>12.6637</v>
      </c>
      <c r="K2988" s="4">
        <v>10.341100000000001</v>
      </c>
      <c r="L2988" s="4">
        <v>12.9032</v>
      </c>
      <c r="M2988" s="4">
        <f t="shared" si="185"/>
        <v>11.969333333333333</v>
      </c>
      <c r="Q2988" s="43" t="s">
        <v>4085</v>
      </c>
      <c r="R2988" s="4">
        <v>12.282874642658401</v>
      </c>
      <c r="S2988" s="4">
        <v>12.6293571398085</v>
      </c>
      <c r="T2988" s="4">
        <v>12.2900499655814</v>
      </c>
      <c r="U2988" s="4">
        <f t="shared" si="186"/>
        <v>12.400760582682766</v>
      </c>
      <c r="X2988" s="43" t="s">
        <v>2919</v>
      </c>
      <c r="Y2988" s="4">
        <v>12.670012954305401</v>
      </c>
      <c r="Z2988" s="4">
        <v>12.7064551308495</v>
      </c>
      <c r="AA2988" s="4">
        <v>12.533756784427</v>
      </c>
      <c r="AB2988" s="4">
        <f t="shared" si="187"/>
        <v>12.636741623193968</v>
      </c>
    </row>
    <row r="2989" spans="2:28" x14ac:dyDescent="0.2">
      <c r="B2989" s="4" t="s">
        <v>201</v>
      </c>
      <c r="C2989" s="4">
        <v>12.984400000000001</v>
      </c>
      <c r="D2989" s="4">
        <v>11.8375</v>
      </c>
      <c r="E2989" s="4">
        <v>11.6988</v>
      </c>
      <c r="F2989" s="4">
        <f t="shared" si="184"/>
        <v>12.173566666666666</v>
      </c>
      <c r="I2989" s="4" t="s">
        <v>1747</v>
      </c>
      <c r="J2989" s="4">
        <v>11.9259</v>
      </c>
      <c r="K2989" s="4">
        <v>11.498900000000001</v>
      </c>
      <c r="L2989" s="4">
        <v>12.478300000000001</v>
      </c>
      <c r="M2989" s="4">
        <f t="shared" si="185"/>
        <v>11.967700000000001</v>
      </c>
      <c r="Q2989" s="43" t="s">
        <v>878</v>
      </c>
      <c r="R2989" s="4">
        <v>11.978637879162999</v>
      </c>
      <c r="S2989" s="4">
        <v>12.688962019548899</v>
      </c>
      <c r="T2989" s="4">
        <v>12.497359863380099</v>
      </c>
      <c r="U2989" s="4">
        <f t="shared" si="186"/>
        <v>12.388319920697333</v>
      </c>
      <c r="X2989" s="43" t="s">
        <v>2680</v>
      </c>
      <c r="Y2989" s="4">
        <v>12.515340448548899</v>
      </c>
      <c r="Z2989" s="4">
        <v>12.6084019269646</v>
      </c>
      <c r="AA2989" s="4">
        <v>12.776023229416801</v>
      </c>
      <c r="AB2989" s="4">
        <f t="shared" si="187"/>
        <v>12.633255201643435</v>
      </c>
    </row>
    <row r="2990" spans="2:28" x14ac:dyDescent="0.2">
      <c r="B2990" s="4" t="s">
        <v>2483</v>
      </c>
      <c r="C2990" s="4">
        <v>12.4551</v>
      </c>
      <c r="D2990" s="4">
        <v>11.258100000000001</v>
      </c>
      <c r="E2990" s="4">
        <v>12.7666</v>
      </c>
      <c r="F2990" s="4">
        <f t="shared" si="184"/>
        <v>12.159933333333333</v>
      </c>
      <c r="I2990" s="4" t="s">
        <v>1515</v>
      </c>
      <c r="J2990" s="4">
        <v>11.4809</v>
      </c>
      <c r="K2990" s="4">
        <v>12.491</v>
      </c>
      <c r="L2990" s="4">
        <v>11.9283</v>
      </c>
      <c r="M2990" s="4">
        <f t="shared" si="185"/>
        <v>11.966733333333332</v>
      </c>
      <c r="Q2990" s="43" t="s">
        <v>4137</v>
      </c>
      <c r="R2990" s="4">
        <v>12.0815054331749</v>
      </c>
      <c r="S2990" s="4">
        <v>12.696323991430299</v>
      </c>
      <c r="T2990" s="4">
        <v>12.383378153520701</v>
      </c>
      <c r="U2990" s="4">
        <f t="shared" si="186"/>
        <v>12.387069192708635</v>
      </c>
      <c r="X2990" s="43" t="s">
        <v>737</v>
      </c>
      <c r="Y2990" s="4">
        <v>12.5201685937396</v>
      </c>
      <c r="Z2990" s="4">
        <v>12.6701565078087</v>
      </c>
      <c r="AA2990" s="4">
        <v>12.700447443952401</v>
      </c>
      <c r="AB2990" s="4">
        <f t="shared" si="187"/>
        <v>12.630257515166901</v>
      </c>
    </row>
    <row r="2991" spans="2:28" x14ac:dyDescent="0.2">
      <c r="B2991" s="4" t="s">
        <v>2595</v>
      </c>
      <c r="C2991" s="4">
        <v>12.084199999999999</v>
      </c>
      <c r="D2991" s="4">
        <v>11.978899999999999</v>
      </c>
      <c r="E2991" s="4">
        <v>12.3992</v>
      </c>
      <c r="F2991" s="4">
        <f t="shared" si="184"/>
        <v>12.1541</v>
      </c>
      <c r="I2991" s="4" t="s">
        <v>231</v>
      </c>
      <c r="J2991" s="4">
        <v>12.272</v>
      </c>
      <c r="K2991" s="4">
        <v>11.5661</v>
      </c>
      <c r="L2991" s="4">
        <v>12.0441</v>
      </c>
      <c r="M2991" s="4">
        <f t="shared" si="185"/>
        <v>11.960733333333332</v>
      </c>
      <c r="Q2991" s="43" t="s">
        <v>4354</v>
      </c>
      <c r="R2991" s="4">
        <v>12.4667600282396</v>
      </c>
      <c r="S2991" s="4">
        <v>12.5757676247984</v>
      </c>
      <c r="T2991" s="4">
        <v>12.1143152871326</v>
      </c>
      <c r="U2991" s="4">
        <f t="shared" si="186"/>
        <v>12.385614313390199</v>
      </c>
      <c r="X2991" s="43" t="s">
        <v>2754</v>
      </c>
      <c r="Y2991" s="4">
        <v>12.512893704619</v>
      </c>
      <c r="Z2991" s="4">
        <v>12.217076654025901</v>
      </c>
      <c r="AA2991" s="4">
        <v>13.1605901353819</v>
      </c>
      <c r="AB2991" s="4">
        <f t="shared" si="187"/>
        <v>12.630186831342266</v>
      </c>
    </row>
    <row r="2992" spans="2:28" x14ac:dyDescent="0.2">
      <c r="B2992" s="4" t="s">
        <v>1088</v>
      </c>
      <c r="C2992" s="4">
        <v>11.999000000000001</v>
      </c>
      <c r="D2992" s="4">
        <v>12.3734</v>
      </c>
      <c r="E2992" s="4">
        <v>12.0893</v>
      </c>
      <c r="F2992" s="4">
        <f t="shared" si="184"/>
        <v>12.1539</v>
      </c>
      <c r="I2992" s="4" t="s">
        <v>1584</v>
      </c>
      <c r="J2992" s="4">
        <v>12.678800000000001</v>
      </c>
      <c r="K2992" s="4">
        <v>10.755000000000001</v>
      </c>
      <c r="L2992" s="4">
        <v>12.439</v>
      </c>
      <c r="M2992" s="4">
        <f t="shared" si="185"/>
        <v>11.957599999999999</v>
      </c>
      <c r="Q2992" s="43" t="s">
        <v>1275</v>
      </c>
      <c r="R2992" s="4">
        <v>11.9932539065999</v>
      </c>
      <c r="S2992" s="4">
        <v>12.5016413340852</v>
      </c>
      <c r="T2992" s="4">
        <v>12.6618105501586</v>
      </c>
      <c r="U2992" s="4">
        <f t="shared" si="186"/>
        <v>12.3855685969479</v>
      </c>
      <c r="X2992" s="43" t="s">
        <v>3688</v>
      </c>
      <c r="Y2992" s="4">
        <v>12.4610259657971</v>
      </c>
      <c r="Z2992" s="4">
        <v>12.714557198130199</v>
      </c>
      <c r="AA2992" s="4">
        <v>12.713110626622299</v>
      </c>
      <c r="AB2992" s="4">
        <f t="shared" si="187"/>
        <v>12.629564596849866</v>
      </c>
    </row>
    <row r="2993" spans="2:28" x14ac:dyDescent="0.2">
      <c r="B2993" s="4" t="s">
        <v>161</v>
      </c>
      <c r="C2993" s="4">
        <v>12.178800000000001</v>
      </c>
      <c r="D2993" s="4">
        <v>12.568899999999999</v>
      </c>
      <c r="E2993" s="4">
        <v>11.707000000000001</v>
      </c>
      <c r="F2993" s="4">
        <f t="shared" si="184"/>
        <v>12.151566666666668</v>
      </c>
      <c r="I2993" s="4" t="s">
        <v>1068</v>
      </c>
      <c r="J2993" s="4">
        <v>10.9824</v>
      </c>
      <c r="K2993" s="4">
        <v>14.539400000000001</v>
      </c>
      <c r="L2993" s="4">
        <v>10.3248</v>
      </c>
      <c r="M2993" s="4">
        <f t="shared" si="185"/>
        <v>11.948866666666666</v>
      </c>
      <c r="Q2993" s="43" t="s">
        <v>3188</v>
      </c>
      <c r="R2993" s="4">
        <v>12.175520296425599</v>
      </c>
      <c r="S2993" s="4">
        <v>12.5107312627095</v>
      </c>
      <c r="T2993" s="4">
        <v>12.461400157353999</v>
      </c>
      <c r="U2993" s="4">
        <f t="shared" si="186"/>
        <v>12.382550572163034</v>
      </c>
      <c r="X2993" s="43" t="s">
        <v>3995</v>
      </c>
      <c r="Y2993" s="4">
        <v>12.5975202075028</v>
      </c>
      <c r="Z2993" s="4">
        <v>12.5850409592072</v>
      </c>
      <c r="AA2993" s="4">
        <v>12.705176319440101</v>
      </c>
      <c r="AB2993" s="4">
        <f t="shared" si="187"/>
        <v>12.6292458287167</v>
      </c>
    </row>
    <row r="2994" spans="2:28" x14ac:dyDescent="0.2">
      <c r="B2994" s="4" t="s">
        <v>2976</v>
      </c>
      <c r="C2994" s="4">
        <v>12.0017</v>
      </c>
      <c r="D2994" s="4">
        <v>12.3926</v>
      </c>
      <c r="E2994" s="4">
        <v>12.057700000000001</v>
      </c>
      <c r="F2994" s="4">
        <f t="shared" si="184"/>
        <v>12.150666666666666</v>
      </c>
      <c r="I2994" s="4" t="s">
        <v>3155</v>
      </c>
      <c r="J2994" s="4">
        <v>12.1663</v>
      </c>
      <c r="K2994" s="4">
        <v>11.557700000000001</v>
      </c>
      <c r="L2994" s="4">
        <v>12.1136</v>
      </c>
      <c r="M2994" s="4">
        <f t="shared" si="185"/>
        <v>11.945866666666667</v>
      </c>
      <c r="Q2994" s="43" t="s">
        <v>1185</v>
      </c>
      <c r="R2994" s="4">
        <v>11.937042807930499</v>
      </c>
      <c r="S2994" s="4">
        <v>12.5725340908765</v>
      </c>
      <c r="T2994" s="4">
        <v>12.6337806612582</v>
      </c>
      <c r="U2994" s="4">
        <f t="shared" si="186"/>
        <v>12.3811191866884</v>
      </c>
      <c r="X2994" s="43" t="s">
        <v>2165</v>
      </c>
      <c r="Y2994" s="4">
        <v>12.7679444892939</v>
      </c>
      <c r="Z2994" s="4">
        <v>12.4877102748697</v>
      </c>
      <c r="AA2994" s="4">
        <v>12.6309152997512</v>
      </c>
      <c r="AB2994" s="4">
        <f t="shared" si="187"/>
        <v>12.6288566879716</v>
      </c>
    </row>
    <row r="2995" spans="2:28" x14ac:dyDescent="0.2">
      <c r="B2995" s="4" t="s">
        <v>319</v>
      </c>
      <c r="C2995" s="4">
        <v>12.6038</v>
      </c>
      <c r="D2995" s="4">
        <v>11.573600000000001</v>
      </c>
      <c r="E2995" s="4">
        <v>12.273099999999999</v>
      </c>
      <c r="F2995" s="4">
        <f t="shared" si="184"/>
        <v>12.150166666666665</v>
      </c>
      <c r="I2995" s="4" t="s">
        <v>2768</v>
      </c>
      <c r="J2995" s="4">
        <v>11.6134</v>
      </c>
      <c r="K2995" s="4">
        <v>11.411799999999999</v>
      </c>
      <c r="L2995" s="4">
        <v>12.8104</v>
      </c>
      <c r="M2995" s="4">
        <f t="shared" si="185"/>
        <v>11.9452</v>
      </c>
      <c r="Q2995" s="43" t="s">
        <v>4438</v>
      </c>
      <c r="R2995" s="4">
        <v>12.6191811430655</v>
      </c>
      <c r="S2995" s="4">
        <v>12.290645078871</v>
      </c>
      <c r="T2995" s="4">
        <v>12.231867148415899</v>
      </c>
      <c r="U2995" s="4">
        <f t="shared" si="186"/>
        <v>12.380564456784134</v>
      </c>
      <c r="X2995" s="43" t="s">
        <v>4276</v>
      </c>
      <c r="Y2995" s="4">
        <v>12.941869089873</v>
      </c>
      <c r="Z2995" s="4">
        <v>12.5811628952848</v>
      </c>
      <c r="AA2995" s="4">
        <v>12.3627763630454</v>
      </c>
      <c r="AB2995" s="4">
        <f t="shared" si="187"/>
        <v>12.628602782734399</v>
      </c>
    </row>
    <row r="2996" spans="2:28" x14ac:dyDescent="0.2">
      <c r="B2996" s="4" t="s">
        <v>1307</v>
      </c>
      <c r="C2996" s="4">
        <v>12.360300000000001</v>
      </c>
      <c r="D2996" s="4">
        <v>11.716100000000001</v>
      </c>
      <c r="E2996" s="4">
        <v>12.3674</v>
      </c>
      <c r="F2996" s="4">
        <f t="shared" si="184"/>
        <v>12.147933333333333</v>
      </c>
      <c r="I2996" s="4" t="s">
        <v>2854</v>
      </c>
      <c r="J2996" s="4">
        <v>12.261699999999999</v>
      </c>
      <c r="K2996" s="4">
        <v>11.150700000000001</v>
      </c>
      <c r="L2996" s="4">
        <v>12.4184</v>
      </c>
      <c r="M2996" s="4">
        <f t="shared" si="185"/>
        <v>11.943599999999998</v>
      </c>
      <c r="Q2996" s="43" t="s">
        <v>4462</v>
      </c>
      <c r="R2996" s="4">
        <v>12.5262024843235</v>
      </c>
      <c r="S2996" s="4">
        <v>12.693925230327199</v>
      </c>
      <c r="T2996" s="4">
        <v>11.9124785160671</v>
      </c>
      <c r="U2996" s="4">
        <f t="shared" si="186"/>
        <v>12.377535410239267</v>
      </c>
      <c r="X2996" s="43" t="s">
        <v>4589</v>
      </c>
      <c r="Y2996" s="4">
        <v>12.658917475110099</v>
      </c>
      <c r="Z2996" s="4">
        <v>12.2834805850647</v>
      </c>
      <c r="AA2996" s="4">
        <v>12.9342682959185</v>
      </c>
      <c r="AB2996" s="4">
        <f t="shared" si="187"/>
        <v>12.625555452031099</v>
      </c>
    </row>
    <row r="2997" spans="2:28" x14ac:dyDescent="0.2">
      <c r="B2997" s="4" t="s">
        <v>789</v>
      </c>
      <c r="C2997" s="4">
        <v>12.6036</v>
      </c>
      <c r="D2997" s="4">
        <v>12.045199999999999</v>
      </c>
      <c r="E2997" s="4">
        <v>11.793900000000001</v>
      </c>
      <c r="F2997" s="4">
        <f t="shared" si="184"/>
        <v>12.147566666666668</v>
      </c>
      <c r="I2997" s="4" t="s">
        <v>723</v>
      </c>
      <c r="J2997" s="4">
        <v>11.8719</v>
      </c>
      <c r="K2997" s="4">
        <v>12.053800000000001</v>
      </c>
      <c r="L2997" s="4">
        <v>11.894</v>
      </c>
      <c r="M2997" s="4">
        <f t="shared" si="185"/>
        <v>11.9399</v>
      </c>
      <c r="Q2997" s="43" t="s">
        <v>3634</v>
      </c>
      <c r="R2997" s="4">
        <v>12.3203660337453</v>
      </c>
      <c r="S2997" s="4">
        <v>12.727182907884201</v>
      </c>
      <c r="T2997" s="4">
        <v>12.0784109425332</v>
      </c>
      <c r="U2997" s="4">
        <f t="shared" si="186"/>
        <v>12.375319961387566</v>
      </c>
      <c r="X2997" s="43" t="s">
        <v>3842</v>
      </c>
      <c r="Y2997" s="4">
        <v>12.8435866265659</v>
      </c>
      <c r="Z2997" s="4">
        <v>12.680318239699201</v>
      </c>
      <c r="AA2997" s="4">
        <v>12.350815234039599</v>
      </c>
      <c r="AB2997" s="4">
        <f t="shared" si="187"/>
        <v>12.624906700101567</v>
      </c>
    </row>
    <row r="2998" spans="2:28" x14ac:dyDescent="0.2">
      <c r="B2998" s="4" t="s">
        <v>2195</v>
      </c>
      <c r="C2998" s="4">
        <v>12.2797</v>
      </c>
      <c r="D2998" s="4">
        <v>11.988899999999999</v>
      </c>
      <c r="E2998" s="4">
        <v>12.164400000000001</v>
      </c>
      <c r="F2998" s="4">
        <f t="shared" si="184"/>
        <v>12.144333333333334</v>
      </c>
      <c r="I2998" s="4" t="s">
        <v>2436</v>
      </c>
      <c r="J2998" s="4">
        <v>12.451700000000001</v>
      </c>
      <c r="K2998" s="4">
        <v>10.712999999999999</v>
      </c>
      <c r="L2998" s="4">
        <v>12.6335</v>
      </c>
      <c r="M2998" s="4">
        <f t="shared" si="185"/>
        <v>11.932733333333333</v>
      </c>
      <c r="Q2998" s="43" t="s">
        <v>560</v>
      </c>
      <c r="R2998" s="4">
        <v>12.351468725794099</v>
      </c>
      <c r="S2998" s="4">
        <v>12.4276195593465</v>
      </c>
      <c r="T2998" s="4">
        <v>12.346002666967699</v>
      </c>
      <c r="U2998" s="4">
        <f t="shared" si="186"/>
        <v>12.375030317369431</v>
      </c>
      <c r="X2998" s="43" t="s">
        <v>4039</v>
      </c>
      <c r="Y2998" s="4">
        <v>12.3765645040645</v>
      </c>
      <c r="Z2998" s="4">
        <v>12.5742167420646</v>
      </c>
      <c r="AA2998" s="4">
        <v>12.9200890535328</v>
      </c>
      <c r="AB2998" s="4">
        <f t="shared" si="187"/>
        <v>12.623623433220635</v>
      </c>
    </row>
    <row r="2999" spans="2:28" x14ac:dyDescent="0.2">
      <c r="B2999" s="4" t="s">
        <v>2842</v>
      </c>
      <c r="C2999" s="4">
        <v>11.865600000000001</v>
      </c>
      <c r="D2999" s="4">
        <v>11.9526</v>
      </c>
      <c r="E2999" s="4">
        <v>12.606999999999999</v>
      </c>
      <c r="F2999" s="4">
        <f t="shared" si="184"/>
        <v>12.141733333333335</v>
      </c>
      <c r="I2999" s="4" t="s">
        <v>2284</v>
      </c>
      <c r="J2999" s="4">
        <v>12.2577</v>
      </c>
      <c r="K2999" s="4">
        <v>11.3284</v>
      </c>
      <c r="L2999" s="4">
        <v>12.208299999999999</v>
      </c>
      <c r="M2999" s="4">
        <f t="shared" si="185"/>
        <v>11.931466666666667</v>
      </c>
      <c r="Q2999" s="43" t="s">
        <v>715</v>
      </c>
      <c r="R2999" s="4">
        <v>11.992523492954</v>
      </c>
      <c r="S2999" s="4">
        <v>12.342169248510899</v>
      </c>
      <c r="T2999" s="4">
        <v>12.7677613773459</v>
      </c>
      <c r="U2999" s="4">
        <f t="shared" si="186"/>
        <v>12.367484706270266</v>
      </c>
      <c r="X2999" s="43" t="s">
        <v>4339</v>
      </c>
      <c r="Y2999" s="4">
        <v>12.676569954741201</v>
      </c>
      <c r="Z2999" s="4">
        <v>12.4180433527644</v>
      </c>
      <c r="AA2999" s="4">
        <v>12.767609324605299</v>
      </c>
      <c r="AB2999" s="4">
        <f t="shared" si="187"/>
        <v>12.6207408773703</v>
      </c>
    </row>
    <row r="3000" spans="2:28" x14ac:dyDescent="0.2">
      <c r="B3000" s="4" t="s">
        <v>4101</v>
      </c>
      <c r="C3000" s="4">
        <v>11.8725</v>
      </c>
      <c r="D3000" s="4">
        <v>12.369300000000001</v>
      </c>
      <c r="E3000" s="4">
        <v>12.1692</v>
      </c>
      <c r="F3000" s="4">
        <f t="shared" si="184"/>
        <v>12.137</v>
      </c>
      <c r="I3000" s="4" t="s">
        <v>2958</v>
      </c>
      <c r="J3000" s="4">
        <v>11.992900000000001</v>
      </c>
      <c r="K3000" s="4">
        <v>11.914</v>
      </c>
      <c r="L3000" s="4">
        <v>11.8786</v>
      </c>
      <c r="M3000" s="4">
        <f t="shared" si="185"/>
        <v>11.9285</v>
      </c>
      <c r="Q3000" s="43" t="s">
        <v>1240</v>
      </c>
      <c r="R3000" s="4">
        <v>12.1552915430045</v>
      </c>
      <c r="S3000" s="4">
        <v>12.445898187698999</v>
      </c>
      <c r="T3000" s="4">
        <v>12.4979440709028</v>
      </c>
      <c r="U3000" s="4">
        <f t="shared" si="186"/>
        <v>12.366377933868767</v>
      </c>
      <c r="X3000" s="43" t="s">
        <v>4282</v>
      </c>
      <c r="Y3000" s="4">
        <v>12.378550157803399</v>
      </c>
      <c r="Z3000" s="4">
        <v>12.6381152243963</v>
      </c>
      <c r="AA3000" s="4">
        <v>12.843067919453301</v>
      </c>
      <c r="AB3000" s="4">
        <f t="shared" si="187"/>
        <v>12.619911100550999</v>
      </c>
    </row>
    <row r="3001" spans="2:28" x14ac:dyDescent="0.2">
      <c r="B3001" s="4" t="s">
        <v>873</v>
      </c>
      <c r="C3001" s="4">
        <v>12.1839</v>
      </c>
      <c r="D3001" s="4">
        <v>12.005800000000001</v>
      </c>
      <c r="E3001" s="4">
        <v>12.2209</v>
      </c>
      <c r="F3001" s="4">
        <f t="shared" si="184"/>
        <v>12.136866666666668</v>
      </c>
      <c r="I3001" s="4" t="s">
        <v>2067</v>
      </c>
      <c r="J3001" s="4">
        <v>11.6374</v>
      </c>
      <c r="K3001" s="4">
        <v>12.254200000000001</v>
      </c>
      <c r="L3001" s="4">
        <v>11.8902</v>
      </c>
      <c r="M3001" s="4">
        <f t="shared" si="185"/>
        <v>11.927266666666668</v>
      </c>
      <c r="Q3001" s="43" t="s">
        <v>4136</v>
      </c>
      <c r="R3001" s="4">
        <v>12.084260337134699</v>
      </c>
      <c r="S3001" s="4">
        <v>12.535956790431101</v>
      </c>
      <c r="T3001" s="4">
        <v>12.444788465958901</v>
      </c>
      <c r="U3001" s="4">
        <f t="shared" si="186"/>
        <v>12.355001864508234</v>
      </c>
      <c r="X3001" s="43" t="s">
        <v>230</v>
      </c>
      <c r="Y3001" s="4">
        <v>12.58653333204</v>
      </c>
      <c r="Z3001" s="4">
        <v>12.7854326901354</v>
      </c>
      <c r="AA3001" s="4">
        <v>12.483752790846999</v>
      </c>
      <c r="AB3001" s="4">
        <f t="shared" si="187"/>
        <v>12.618572937674132</v>
      </c>
    </row>
    <row r="3002" spans="2:28" x14ac:dyDescent="0.2">
      <c r="B3002" s="4" t="s">
        <v>553</v>
      </c>
      <c r="C3002" s="4">
        <v>11.9908</v>
      </c>
      <c r="D3002" s="4">
        <v>12.141999999999999</v>
      </c>
      <c r="E3002" s="4">
        <v>12.2624</v>
      </c>
      <c r="F3002" s="4">
        <f t="shared" si="184"/>
        <v>12.131733333333335</v>
      </c>
      <c r="I3002" s="4" t="s">
        <v>3482</v>
      </c>
      <c r="J3002" s="4">
        <v>11.4602</v>
      </c>
      <c r="K3002" s="4">
        <v>12.3042</v>
      </c>
      <c r="L3002" s="4">
        <v>12.0162</v>
      </c>
      <c r="M3002" s="4">
        <f t="shared" si="185"/>
        <v>11.926866666666667</v>
      </c>
      <c r="Q3002" s="43" t="s">
        <v>4594</v>
      </c>
      <c r="R3002" s="4">
        <v>11.784541199239399</v>
      </c>
      <c r="S3002" s="4">
        <v>12.6206608945008</v>
      </c>
      <c r="T3002" s="4">
        <v>12.6580149879429</v>
      </c>
      <c r="U3002" s="4">
        <f t="shared" si="186"/>
        <v>12.354405693894366</v>
      </c>
      <c r="X3002" s="43" t="s">
        <v>4260</v>
      </c>
      <c r="Y3002" s="4">
        <v>12.916127127182101</v>
      </c>
      <c r="Z3002" s="4">
        <v>12.2313833301804</v>
      </c>
      <c r="AA3002" s="4">
        <v>12.702304747226099</v>
      </c>
      <c r="AB3002" s="4">
        <f t="shared" si="187"/>
        <v>12.616605068196201</v>
      </c>
    </row>
    <row r="3003" spans="2:28" x14ac:dyDescent="0.2">
      <c r="B3003" s="4" t="s">
        <v>2611</v>
      </c>
      <c r="C3003" s="4">
        <v>11.597200000000001</v>
      </c>
      <c r="D3003" s="4">
        <v>12.3126</v>
      </c>
      <c r="E3003" s="4">
        <v>12.4848</v>
      </c>
      <c r="F3003" s="4">
        <f t="shared" si="184"/>
        <v>12.131533333333332</v>
      </c>
      <c r="I3003" s="4" t="s">
        <v>3406</v>
      </c>
      <c r="J3003" s="4">
        <v>12.1837</v>
      </c>
      <c r="K3003" s="4">
        <v>11.720499999999999</v>
      </c>
      <c r="L3003" s="4">
        <v>11.832700000000001</v>
      </c>
      <c r="M3003" s="4">
        <f t="shared" si="185"/>
        <v>11.9123</v>
      </c>
      <c r="Q3003" s="43" t="s">
        <v>3846</v>
      </c>
      <c r="R3003" s="4">
        <v>12.1338653112809</v>
      </c>
      <c r="S3003" s="4">
        <v>12.4526878307383</v>
      </c>
      <c r="T3003" s="4">
        <v>12.4590133236014</v>
      </c>
      <c r="U3003" s="4">
        <f t="shared" si="186"/>
        <v>12.348522155206865</v>
      </c>
      <c r="X3003" s="43" t="s">
        <v>3670</v>
      </c>
      <c r="Y3003" s="4">
        <v>12.4125509430447</v>
      </c>
      <c r="Z3003" s="4">
        <v>12.7599070016333</v>
      </c>
      <c r="AA3003" s="4">
        <v>12.675744448126901</v>
      </c>
      <c r="AB3003" s="4">
        <f t="shared" si="187"/>
        <v>12.6160674642683</v>
      </c>
    </row>
    <row r="3004" spans="2:28" x14ac:dyDescent="0.2">
      <c r="B3004" s="4" t="s">
        <v>2980</v>
      </c>
      <c r="C3004" s="4">
        <v>12.2675</v>
      </c>
      <c r="D3004" s="4">
        <v>11.9055</v>
      </c>
      <c r="E3004" s="4">
        <v>12.2197</v>
      </c>
      <c r="F3004" s="4">
        <f t="shared" si="184"/>
        <v>12.130900000000002</v>
      </c>
      <c r="I3004" s="4" t="s">
        <v>553</v>
      </c>
      <c r="J3004" s="4">
        <v>12.1652</v>
      </c>
      <c r="K3004" s="4">
        <v>11.476800000000001</v>
      </c>
      <c r="L3004" s="4">
        <v>12.0932</v>
      </c>
      <c r="M3004" s="4">
        <f t="shared" si="185"/>
        <v>11.911733333333336</v>
      </c>
      <c r="Q3004" s="43" t="s">
        <v>4473</v>
      </c>
      <c r="R3004" s="4">
        <v>12.0652020437327</v>
      </c>
      <c r="S3004" s="4">
        <v>12.692510081785001</v>
      </c>
      <c r="T3004" s="4">
        <v>12.286850677340199</v>
      </c>
      <c r="U3004" s="4">
        <f t="shared" si="186"/>
        <v>12.348187600952633</v>
      </c>
      <c r="X3004" s="43" t="s">
        <v>2497</v>
      </c>
      <c r="Y3004" s="4">
        <v>12.470476738013501</v>
      </c>
      <c r="Z3004" s="4">
        <v>12.6985643154615</v>
      </c>
      <c r="AA3004" s="4">
        <v>12.675917189146</v>
      </c>
      <c r="AB3004" s="4">
        <f t="shared" si="187"/>
        <v>12.614986080873665</v>
      </c>
    </row>
    <row r="3005" spans="2:28" x14ac:dyDescent="0.2">
      <c r="B3005" s="4" t="s">
        <v>2811</v>
      </c>
      <c r="C3005" s="4">
        <v>12.5776</v>
      </c>
      <c r="D3005" s="4">
        <v>12.451499999999999</v>
      </c>
      <c r="E3005" s="4">
        <v>11.3599</v>
      </c>
      <c r="F3005" s="4">
        <f t="shared" si="184"/>
        <v>12.129666666666665</v>
      </c>
      <c r="I3005" s="4" t="s">
        <v>386</v>
      </c>
      <c r="J3005" s="4">
        <v>12.1022</v>
      </c>
      <c r="K3005" s="4">
        <v>11.3786</v>
      </c>
      <c r="L3005" s="4">
        <v>12.2309</v>
      </c>
      <c r="M3005" s="4">
        <f t="shared" si="185"/>
        <v>11.9039</v>
      </c>
      <c r="Q3005" s="43" t="s">
        <v>1021</v>
      </c>
      <c r="R3005" s="4">
        <v>12.233619006395299</v>
      </c>
      <c r="S3005" s="4">
        <v>12.6025449508991</v>
      </c>
      <c r="T3005" s="4">
        <v>12.193768415220999</v>
      </c>
      <c r="U3005" s="4">
        <f t="shared" si="186"/>
        <v>12.343310790838466</v>
      </c>
      <c r="X3005" s="43" t="s">
        <v>4362</v>
      </c>
      <c r="Y3005" s="4">
        <v>12.326632805432199</v>
      </c>
      <c r="Z3005" s="4">
        <v>12.6312999129788</v>
      </c>
      <c r="AA3005" s="4">
        <v>12.8812254301653</v>
      </c>
      <c r="AB3005" s="4">
        <f t="shared" si="187"/>
        <v>12.613052716192101</v>
      </c>
    </row>
    <row r="3006" spans="2:28" x14ac:dyDescent="0.2">
      <c r="B3006" s="12" t="s">
        <v>420</v>
      </c>
      <c r="C3006" s="12">
        <v>12.1815</v>
      </c>
      <c r="D3006" s="12">
        <v>12.333</v>
      </c>
      <c r="E3006" s="12">
        <v>11.8744</v>
      </c>
      <c r="F3006" s="4">
        <f t="shared" si="184"/>
        <v>12.129633333333333</v>
      </c>
      <c r="I3006" s="4" t="s">
        <v>2973</v>
      </c>
      <c r="J3006" s="4">
        <v>11.2189</v>
      </c>
      <c r="K3006" s="4">
        <v>13.5557</v>
      </c>
      <c r="L3006" s="4">
        <v>10.9314</v>
      </c>
      <c r="M3006" s="4">
        <f t="shared" si="185"/>
        <v>11.902000000000001</v>
      </c>
      <c r="Q3006" s="43" t="s">
        <v>139</v>
      </c>
      <c r="R3006" s="4">
        <v>11.9671965967611</v>
      </c>
      <c r="S3006" s="4">
        <v>12.5395754547759</v>
      </c>
      <c r="T3006" s="4">
        <v>12.515377762455801</v>
      </c>
      <c r="U3006" s="4">
        <f t="shared" si="186"/>
        <v>12.340716604664266</v>
      </c>
      <c r="X3006" s="43" t="s">
        <v>1967</v>
      </c>
      <c r="Y3006" s="4">
        <v>12.8471843700192</v>
      </c>
      <c r="Z3006" s="4">
        <v>12.350252782754101</v>
      </c>
      <c r="AA3006" s="4">
        <v>12.6394846067702</v>
      </c>
      <c r="AB3006" s="4">
        <f t="shared" si="187"/>
        <v>12.612307253181166</v>
      </c>
    </row>
    <row r="3007" spans="2:28" x14ac:dyDescent="0.2">
      <c r="B3007" s="4" t="s">
        <v>392</v>
      </c>
      <c r="C3007" s="4">
        <v>11.669600000000001</v>
      </c>
      <c r="D3007" s="4">
        <v>12.2113</v>
      </c>
      <c r="E3007" s="4">
        <v>12.488899999999999</v>
      </c>
      <c r="F3007" s="4">
        <f t="shared" si="184"/>
        <v>12.123266666666666</v>
      </c>
      <c r="I3007" s="4" t="s">
        <v>3325</v>
      </c>
      <c r="J3007" s="4">
        <v>12.407400000000001</v>
      </c>
      <c r="K3007" s="4">
        <v>10.994899999999999</v>
      </c>
      <c r="L3007" s="4">
        <v>12.299200000000001</v>
      </c>
      <c r="M3007" s="4">
        <f t="shared" si="185"/>
        <v>11.900500000000001</v>
      </c>
      <c r="Q3007" s="43" t="s">
        <v>2393</v>
      </c>
      <c r="R3007" s="4">
        <v>12.1576785380621</v>
      </c>
      <c r="S3007" s="4">
        <v>12.474157385790001</v>
      </c>
      <c r="T3007" s="4">
        <v>12.379613628652301</v>
      </c>
      <c r="U3007" s="4">
        <f t="shared" si="186"/>
        <v>12.3371498508348</v>
      </c>
      <c r="X3007" s="43" t="s">
        <v>4599</v>
      </c>
      <c r="Y3007" s="4">
        <v>12.4463403008681</v>
      </c>
      <c r="Z3007" s="4">
        <v>12.8604269748565</v>
      </c>
      <c r="AA3007" s="4">
        <v>12.521845022348799</v>
      </c>
      <c r="AB3007" s="4">
        <f t="shared" si="187"/>
        <v>12.609537432691132</v>
      </c>
    </row>
    <row r="3008" spans="2:28" x14ac:dyDescent="0.2">
      <c r="B3008" s="4" t="s">
        <v>4099</v>
      </c>
      <c r="C3008" s="4">
        <v>13.5199</v>
      </c>
      <c r="D3008" s="4">
        <v>11.8605</v>
      </c>
      <c r="E3008" s="4">
        <v>10.985799999999999</v>
      </c>
      <c r="F3008" s="4">
        <f t="shared" si="184"/>
        <v>12.122066666666667</v>
      </c>
      <c r="I3008" s="4" t="s">
        <v>18</v>
      </c>
      <c r="J3008" s="4">
        <v>11.9551</v>
      </c>
      <c r="K3008" s="4">
        <v>14.0862</v>
      </c>
      <c r="L3008" s="4">
        <v>9.6582000000000008</v>
      </c>
      <c r="M3008" s="4">
        <f t="shared" si="185"/>
        <v>11.899833333333333</v>
      </c>
      <c r="Q3008" s="43" t="s">
        <v>4077</v>
      </c>
      <c r="R3008" s="4">
        <v>12.1338606063629</v>
      </c>
      <c r="S3008" s="4">
        <v>12.243316823007801</v>
      </c>
      <c r="T3008" s="4">
        <v>12.629590699739</v>
      </c>
      <c r="U3008" s="4">
        <f t="shared" si="186"/>
        <v>12.335589376369901</v>
      </c>
      <c r="X3008" s="43" t="s">
        <v>2579</v>
      </c>
      <c r="Y3008" s="4">
        <v>12.636222816053399</v>
      </c>
      <c r="Z3008" s="4">
        <v>12.9603260508921</v>
      </c>
      <c r="AA3008" s="4">
        <v>12.2253644335544</v>
      </c>
      <c r="AB3008" s="4">
        <f t="shared" si="187"/>
        <v>12.607304433499968</v>
      </c>
    </row>
    <row r="3009" spans="2:28" x14ac:dyDescent="0.2">
      <c r="B3009" s="4" t="s">
        <v>4096</v>
      </c>
      <c r="C3009" s="4">
        <v>11.283200000000001</v>
      </c>
      <c r="D3009" s="4">
        <v>11.852399999999999</v>
      </c>
      <c r="E3009" s="4">
        <v>13.226900000000001</v>
      </c>
      <c r="F3009" s="4">
        <f t="shared" si="184"/>
        <v>12.120833333333332</v>
      </c>
      <c r="I3009" s="4" t="s">
        <v>321</v>
      </c>
      <c r="J3009" s="4">
        <v>11.4116</v>
      </c>
      <c r="K3009" s="4">
        <v>11.985200000000001</v>
      </c>
      <c r="L3009" s="4">
        <v>12.2743</v>
      </c>
      <c r="M3009" s="4">
        <f t="shared" si="185"/>
        <v>11.890366666666665</v>
      </c>
      <c r="Q3009" s="43" t="s">
        <v>3713</v>
      </c>
      <c r="R3009" s="4">
        <v>12.2387969736741</v>
      </c>
      <c r="S3009" s="4">
        <v>12.294714956999</v>
      </c>
      <c r="T3009" s="4">
        <v>12.471656310916501</v>
      </c>
      <c r="U3009" s="4">
        <f t="shared" si="186"/>
        <v>12.335056080529867</v>
      </c>
      <c r="X3009" s="43" t="s">
        <v>3912</v>
      </c>
      <c r="Y3009" s="4">
        <v>12.9307538581162</v>
      </c>
      <c r="Z3009" s="4">
        <v>12.6907746030155</v>
      </c>
      <c r="AA3009" s="4">
        <v>12.199513878679101</v>
      </c>
      <c r="AB3009" s="4">
        <f t="shared" si="187"/>
        <v>12.607014113270267</v>
      </c>
    </row>
    <row r="3010" spans="2:28" x14ac:dyDescent="0.2">
      <c r="B3010" s="4" t="s">
        <v>3931</v>
      </c>
      <c r="C3010" s="4">
        <v>12.2483</v>
      </c>
      <c r="D3010" s="4">
        <v>12.244300000000001</v>
      </c>
      <c r="E3010" s="4">
        <v>11.8665</v>
      </c>
      <c r="F3010" s="4">
        <f t="shared" ref="F3010:F3073" si="188">(C3010+D3010+E3010)/3</f>
        <v>12.119700000000002</v>
      </c>
      <c r="I3010" s="4" t="s">
        <v>3995</v>
      </c>
      <c r="J3010" s="4">
        <v>11.978899999999999</v>
      </c>
      <c r="K3010" s="4">
        <v>11.6744</v>
      </c>
      <c r="L3010" s="4">
        <v>11.9838</v>
      </c>
      <c r="M3010" s="4">
        <f t="shared" ref="M3010:M3073" si="189">(J3010+K3010+L3010)/3</f>
        <v>11.879033333333334</v>
      </c>
      <c r="Q3010" s="43" t="s">
        <v>497</v>
      </c>
      <c r="R3010" s="4">
        <v>12.292030488442</v>
      </c>
      <c r="S3010" s="4">
        <v>12.3064391919592</v>
      </c>
      <c r="T3010" s="4">
        <v>12.405918211085</v>
      </c>
      <c r="U3010" s="4">
        <f t="shared" ref="U3010:U3073" si="190">(R3010+S3010+T3010)/3</f>
        <v>12.334795963828734</v>
      </c>
      <c r="X3010" s="43" t="s">
        <v>4337</v>
      </c>
      <c r="Y3010" s="4">
        <v>12.6720312927338</v>
      </c>
      <c r="Z3010" s="4">
        <v>12.9266959265489</v>
      </c>
      <c r="AA3010" s="4">
        <v>12.1987050864068</v>
      </c>
      <c r="AB3010" s="4">
        <f t="shared" ref="AB3010:AB3073" si="191">(Y3010+Z3010+AA3010)/3</f>
        <v>12.599144101896499</v>
      </c>
    </row>
    <row r="3011" spans="2:28" x14ac:dyDescent="0.2">
      <c r="B3011" s="4" t="s">
        <v>3511</v>
      </c>
      <c r="C3011" s="4">
        <v>12.150600000000001</v>
      </c>
      <c r="D3011" s="4">
        <v>12.2346</v>
      </c>
      <c r="E3011" s="4">
        <v>11.9551</v>
      </c>
      <c r="F3011" s="4">
        <f t="shared" si="188"/>
        <v>12.113433333333333</v>
      </c>
      <c r="I3011" s="4" t="s">
        <v>3085</v>
      </c>
      <c r="J3011" s="4">
        <v>12.3621</v>
      </c>
      <c r="K3011" s="4">
        <v>11.39</v>
      </c>
      <c r="L3011" s="4">
        <v>11.8802</v>
      </c>
      <c r="M3011" s="4">
        <f t="shared" si="189"/>
        <v>11.877433333333334</v>
      </c>
      <c r="Q3011" s="43" t="s">
        <v>1813</v>
      </c>
      <c r="R3011" s="4">
        <v>12.647348695772999</v>
      </c>
      <c r="S3011" s="4">
        <v>12.1346426801164</v>
      </c>
      <c r="T3011" s="4">
        <v>12.215533331356699</v>
      </c>
      <c r="U3011" s="4">
        <f t="shared" si="190"/>
        <v>12.332508235748699</v>
      </c>
      <c r="X3011" s="43" t="s">
        <v>3740</v>
      </c>
      <c r="Y3011" s="4">
        <v>12.515538400588101</v>
      </c>
      <c r="Z3011" s="4">
        <v>12.984753539326</v>
      </c>
      <c r="AA3011" s="4">
        <v>12.296003608058101</v>
      </c>
      <c r="AB3011" s="4">
        <f t="shared" si="191"/>
        <v>12.598765182657401</v>
      </c>
    </row>
    <row r="3012" spans="2:28" x14ac:dyDescent="0.2">
      <c r="B3012" s="4" t="s">
        <v>1225</v>
      </c>
      <c r="C3012" s="4">
        <v>12.396100000000001</v>
      </c>
      <c r="D3012" s="4">
        <v>12.0579</v>
      </c>
      <c r="E3012" s="4">
        <v>11.8842</v>
      </c>
      <c r="F3012" s="4">
        <f t="shared" si="188"/>
        <v>12.112733333333333</v>
      </c>
      <c r="I3012" s="4" t="s">
        <v>3881</v>
      </c>
      <c r="J3012" s="4">
        <v>11.5502</v>
      </c>
      <c r="K3012" s="4">
        <v>12.5669</v>
      </c>
      <c r="L3012" s="4">
        <v>11.489699999999999</v>
      </c>
      <c r="M3012" s="4">
        <f t="shared" si="189"/>
        <v>11.868933333333333</v>
      </c>
      <c r="Q3012" s="43" t="s">
        <v>663</v>
      </c>
      <c r="R3012" s="4">
        <v>11.9346329352729</v>
      </c>
      <c r="S3012" s="4">
        <v>12.576203092693101</v>
      </c>
      <c r="T3012" s="4">
        <v>12.485191481282801</v>
      </c>
      <c r="U3012" s="4">
        <f t="shared" si="190"/>
        <v>12.332009169749602</v>
      </c>
      <c r="X3012" s="43" t="s">
        <v>210</v>
      </c>
      <c r="Y3012" s="4">
        <v>12.5195581555607</v>
      </c>
      <c r="Z3012" s="4">
        <v>12.4349913928046</v>
      </c>
      <c r="AA3012" s="4">
        <v>12.8407552780212</v>
      </c>
      <c r="AB3012" s="4">
        <f t="shared" si="191"/>
        <v>12.598434942128833</v>
      </c>
    </row>
    <row r="3013" spans="2:28" x14ac:dyDescent="0.2">
      <c r="B3013" s="4" t="s">
        <v>3618</v>
      </c>
      <c r="C3013" s="4">
        <v>12.148999999999999</v>
      </c>
      <c r="D3013" s="4">
        <v>12.200799999999999</v>
      </c>
      <c r="E3013" s="4">
        <v>11.9877</v>
      </c>
      <c r="F3013" s="4">
        <f t="shared" si="188"/>
        <v>12.112499999999999</v>
      </c>
      <c r="I3013" s="4" t="s">
        <v>2982</v>
      </c>
      <c r="J3013" s="4">
        <v>12.5746</v>
      </c>
      <c r="K3013" s="4">
        <v>9.9510000000000005</v>
      </c>
      <c r="L3013" s="4">
        <v>13.028499999999999</v>
      </c>
      <c r="M3013" s="4">
        <f t="shared" si="189"/>
        <v>11.851366666666665</v>
      </c>
      <c r="Q3013" s="43" t="s">
        <v>4336</v>
      </c>
      <c r="R3013" s="4">
        <v>12.129198400718799</v>
      </c>
      <c r="S3013" s="4">
        <v>12.210524805647401</v>
      </c>
      <c r="T3013" s="4">
        <v>12.6512747236583</v>
      </c>
      <c r="U3013" s="4">
        <f t="shared" si="190"/>
        <v>12.330332643341501</v>
      </c>
      <c r="X3013" s="43" t="s">
        <v>4246</v>
      </c>
      <c r="Y3013" s="4">
        <v>12.6020277686433</v>
      </c>
      <c r="Z3013" s="4">
        <v>12.7380039781932</v>
      </c>
      <c r="AA3013" s="4">
        <v>12.448240389964999</v>
      </c>
      <c r="AB3013" s="4">
        <f t="shared" si="191"/>
        <v>12.596090712267168</v>
      </c>
    </row>
    <row r="3014" spans="2:28" x14ac:dyDescent="0.2">
      <c r="B3014" s="4" t="s">
        <v>2888</v>
      </c>
      <c r="C3014" s="4">
        <v>12.5649</v>
      </c>
      <c r="D3014" s="4">
        <v>11.3588</v>
      </c>
      <c r="E3014" s="4">
        <v>12.395300000000001</v>
      </c>
      <c r="F3014" s="4">
        <f t="shared" si="188"/>
        <v>12.106333333333334</v>
      </c>
      <c r="I3014" s="4" t="s">
        <v>3758</v>
      </c>
      <c r="J3014" s="4">
        <v>11.3627</v>
      </c>
      <c r="K3014" s="4">
        <v>12.998799999999999</v>
      </c>
      <c r="L3014" s="4">
        <v>11.187200000000001</v>
      </c>
      <c r="M3014" s="4">
        <f t="shared" si="189"/>
        <v>11.849566666666666</v>
      </c>
      <c r="Q3014" s="43" t="s">
        <v>2270</v>
      </c>
      <c r="R3014" s="4">
        <v>12.419347624474799</v>
      </c>
      <c r="S3014" s="4">
        <v>12.175005986550699</v>
      </c>
      <c r="T3014" s="4">
        <v>12.384732933940899</v>
      </c>
      <c r="U3014" s="4">
        <f t="shared" si="190"/>
        <v>12.326362181655464</v>
      </c>
      <c r="X3014" s="43" t="s">
        <v>1023</v>
      </c>
      <c r="Y3014" s="4">
        <v>12.395925940255699</v>
      </c>
      <c r="Z3014" s="4">
        <v>12.584720778418699</v>
      </c>
      <c r="AA3014" s="4">
        <v>12.7942421341734</v>
      </c>
      <c r="AB3014" s="4">
        <f t="shared" si="191"/>
        <v>12.591629617615935</v>
      </c>
    </row>
    <row r="3015" spans="2:28" x14ac:dyDescent="0.2">
      <c r="B3015" s="4" t="s">
        <v>2054</v>
      </c>
      <c r="C3015" s="4">
        <v>12.413600000000001</v>
      </c>
      <c r="D3015" s="4">
        <v>12.0555</v>
      </c>
      <c r="E3015" s="4">
        <v>11.8354</v>
      </c>
      <c r="F3015" s="4">
        <f t="shared" si="188"/>
        <v>12.101500000000001</v>
      </c>
      <c r="I3015" s="4" t="s">
        <v>1754</v>
      </c>
      <c r="J3015" s="4">
        <v>11.7744</v>
      </c>
      <c r="K3015" s="4">
        <v>11.946899999999999</v>
      </c>
      <c r="L3015" s="4">
        <v>11.822699999999999</v>
      </c>
      <c r="M3015" s="4">
        <f t="shared" si="189"/>
        <v>11.847999999999999</v>
      </c>
      <c r="Q3015" s="43" t="s">
        <v>2289</v>
      </c>
      <c r="R3015" s="4">
        <v>11.8560772012691</v>
      </c>
      <c r="S3015" s="4">
        <v>12.5726876217279</v>
      </c>
      <c r="T3015" s="4">
        <v>12.5402810174753</v>
      </c>
      <c r="U3015" s="4">
        <f t="shared" si="190"/>
        <v>12.323015280157433</v>
      </c>
      <c r="X3015" s="43" t="s">
        <v>2855</v>
      </c>
      <c r="Y3015" s="4">
        <v>12.633151728857399</v>
      </c>
      <c r="Z3015" s="4">
        <v>12.6710033361492</v>
      </c>
      <c r="AA3015" s="4">
        <v>12.4677047224401</v>
      </c>
      <c r="AB3015" s="4">
        <f t="shared" si="191"/>
        <v>12.5906199291489</v>
      </c>
    </row>
    <row r="3016" spans="2:28" x14ac:dyDescent="0.2">
      <c r="B3016" s="4" t="s">
        <v>1344</v>
      </c>
      <c r="C3016" s="4">
        <v>12.428599999999999</v>
      </c>
      <c r="D3016" s="4">
        <v>11.904299999999999</v>
      </c>
      <c r="E3016" s="4">
        <v>11.968299999999999</v>
      </c>
      <c r="F3016" s="4">
        <f t="shared" si="188"/>
        <v>12.100399999999999</v>
      </c>
      <c r="I3016" s="4" t="s">
        <v>1504</v>
      </c>
      <c r="J3016" s="4">
        <v>11.529299999999999</v>
      </c>
      <c r="K3016" s="4">
        <v>12.1629</v>
      </c>
      <c r="L3016" s="4">
        <v>11.829599999999999</v>
      </c>
      <c r="M3016" s="4">
        <f t="shared" si="189"/>
        <v>11.8406</v>
      </c>
      <c r="Q3016" s="43" t="s">
        <v>4087</v>
      </c>
      <c r="R3016" s="4">
        <v>12.284694874147201</v>
      </c>
      <c r="S3016" s="4">
        <v>12.4760193700474</v>
      </c>
      <c r="T3016" s="4">
        <v>12.205907020289899</v>
      </c>
      <c r="U3016" s="4">
        <f t="shared" si="190"/>
        <v>12.3222070881615</v>
      </c>
      <c r="X3016" s="43" t="s">
        <v>4494</v>
      </c>
      <c r="Y3016" s="4">
        <v>12.6340761772896</v>
      </c>
      <c r="Z3016" s="4">
        <v>12.5857039772559</v>
      </c>
      <c r="AA3016" s="4">
        <v>12.5453265882583</v>
      </c>
      <c r="AB3016" s="4">
        <f t="shared" si="191"/>
        <v>12.588368914267933</v>
      </c>
    </row>
    <row r="3017" spans="2:28" x14ac:dyDescent="0.2">
      <c r="B3017" s="4" t="s">
        <v>433</v>
      </c>
      <c r="C3017" s="4">
        <v>12.1622</v>
      </c>
      <c r="D3017" s="4">
        <v>11.9864</v>
      </c>
      <c r="E3017" s="4">
        <v>12.1419</v>
      </c>
      <c r="F3017" s="4">
        <f t="shared" si="188"/>
        <v>12.096833333333334</v>
      </c>
      <c r="I3017" s="4" t="s">
        <v>2842</v>
      </c>
      <c r="J3017" s="4">
        <v>11.8787</v>
      </c>
      <c r="K3017" s="4">
        <v>11.454000000000001</v>
      </c>
      <c r="L3017" s="4">
        <v>12.1839</v>
      </c>
      <c r="M3017" s="4">
        <f t="shared" si="189"/>
        <v>11.838866666666668</v>
      </c>
      <c r="Q3017" s="43" t="s">
        <v>3477</v>
      </c>
      <c r="R3017" s="4">
        <v>12.350338098156101</v>
      </c>
      <c r="S3017" s="4">
        <v>12.2878207079877</v>
      </c>
      <c r="T3017" s="4">
        <v>12.3241376228549</v>
      </c>
      <c r="U3017" s="4">
        <f t="shared" si="190"/>
        <v>12.3207654763329</v>
      </c>
      <c r="X3017" s="43" t="s">
        <v>2927</v>
      </c>
      <c r="Y3017" s="4">
        <v>12.652964219846901</v>
      </c>
      <c r="Z3017" s="4">
        <v>12.3905126902148</v>
      </c>
      <c r="AA3017" s="4">
        <v>12.7194884637071</v>
      </c>
      <c r="AB3017" s="4">
        <f t="shared" si="191"/>
        <v>12.587655124589601</v>
      </c>
    </row>
    <row r="3018" spans="2:28" x14ac:dyDescent="0.2">
      <c r="B3018" s="4" t="s">
        <v>341</v>
      </c>
      <c r="C3018" s="4">
        <v>12.1846</v>
      </c>
      <c r="D3018" s="4">
        <v>12.310700000000001</v>
      </c>
      <c r="E3018" s="4">
        <v>11.7872</v>
      </c>
      <c r="F3018" s="4">
        <f t="shared" si="188"/>
        <v>12.094166666666666</v>
      </c>
      <c r="I3018" s="4" t="s">
        <v>2141</v>
      </c>
      <c r="J3018" s="4">
        <v>11.6942</v>
      </c>
      <c r="K3018" s="4">
        <v>12.132099999999999</v>
      </c>
      <c r="L3018" s="4">
        <v>11.6768</v>
      </c>
      <c r="M3018" s="4">
        <f t="shared" si="189"/>
        <v>11.834366666666668</v>
      </c>
      <c r="Q3018" s="43" t="s">
        <v>4530</v>
      </c>
      <c r="R3018" s="4">
        <v>11.9309052674885</v>
      </c>
      <c r="S3018" s="4">
        <v>12.905910630782399</v>
      </c>
      <c r="T3018" s="4">
        <v>12.1227963594337</v>
      </c>
      <c r="U3018" s="4">
        <f t="shared" si="190"/>
        <v>12.3198707525682</v>
      </c>
      <c r="X3018" s="43" t="s">
        <v>574</v>
      </c>
      <c r="Y3018" s="4">
        <v>12.5828922996018</v>
      </c>
      <c r="Z3018" s="4">
        <v>12.203094646086599</v>
      </c>
      <c r="AA3018" s="4">
        <v>12.974423551174301</v>
      </c>
      <c r="AB3018" s="4">
        <f t="shared" si="191"/>
        <v>12.586803498954234</v>
      </c>
    </row>
    <row r="3019" spans="2:28" x14ac:dyDescent="0.2">
      <c r="B3019" s="4" t="s">
        <v>1111</v>
      </c>
      <c r="C3019" s="4">
        <v>12.0017</v>
      </c>
      <c r="D3019" s="4">
        <v>12.823499999999999</v>
      </c>
      <c r="E3019" s="4">
        <v>11.454599999999999</v>
      </c>
      <c r="F3019" s="4">
        <f t="shared" si="188"/>
        <v>12.093266666666665</v>
      </c>
      <c r="I3019" s="4" t="s">
        <v>486</v>
      </c>
      <c r="J3019" s="4">
        <v>12.2301</v>
      </c>
      <c r="K3019" s="4">
        <v>11.099</v>
      </c>
      <c r="L3019" s="4">
        <v>12.1463</v>
      </c>
      <c r="M3019" s="4">
        <f t="shared" si="189"/>
        <v>11.825133333333333</v>
      </c>
      <c r="Q3019" s="43" t="s">
        <v>3431</v>
      </c>
      <c r="R3019" s="4">
        <v>12.2749498880774</v>
      </c>
      <c r="S3019" s="4">
        <v>12.530893964164401</v>
      </c>
      <c r="T3019" s="4">
        <v>12.138347798525899</v>
      </c>
      <c r="U3019" s="4">
        <f t="shared" si="190"/>
        <v>12.3147305502559</v>
      </c>
      <c r="X3019" s="43" t="s">
        <v>3348</v>
      </c>
      <c r="Y3019" s="4">
        <v>12.558249589638899</v>
      </c>
      <c r="Z3019" s="4">
        <v>12.716977548538599</v>
      </c>
      <c r="AA3019" s="4">
        <v>12.4845979735929</v>
      </c>
      <c r="AB3019" s="4">
        <f t="shared" si="191"/>
        <v>12.586608370590133</v>
      </c>
    </row>
    <row r="3020" spans="2:28" x14ac:dyDescent="0.2">
      <c r="B3020" s="4" t="s">
        <v>414</v>
      </c>
      <c r="C3020" s="4">
        <v>12.0975</v>
      </c>
      <c r="D3020" s="4">
        <v>11.9392</v>
      </c>
      <c r="E3020" s="4">
        <v>12.225099999999999</v>
      </c>
      <c r="F3020" s="4">
        <f t="shared" si="188"/>
        <v>12.087266666666666</v>
      </c>
      <c r="I3020" s="4" t="s">
        <v>2115</v>
      </c>
      <c r="J3020" s="4">
        <v>11.5724</v>
      </c>
      <c r="K3020" s="4">
        <v>12.180300000000001</v>
      </c>
      <c r="L3020" s="4">
        <v>11.6936</v>
      </c>
      <c r="M3020" s="4">
        <f t="shared" si="189"/>
        <v>11.815433333333333</v>
      </c>
      <c r="Q3020" s="43" t="s">
        <v>526</v>
      </c>
      <c r="R3020" s="4">
        <v>12.243035507497201</v>
      </c>
      <c r="S3020" s="4">
        <v>12.2760794013109</v>
      </c>
      <c r="T3020" s="4">
        <v>12.421506716969899</v>
      </c>
      <c r="U3020" s="4">
        <f t="shared" si="190"/>
        <v>12.313540541926001</v>
      </c>
      <c r="X3020" s="43" t="s">
        <v>1010</v>
      </c>
      <c r="Y3020" s="4">
        <v>12.5160307883035</v>
      </c>
      <c r="Z3020" s="4">
        <v>12.648139296693399</v>
      </c>
      <c r="AA3020" s="4">
        <v>12.594649978366601</v>
      </c>
      <c r="AB3020" s="4">
        <f t="shared" si="191"/>
        <v>12.5862733544545</v>
      </c>
    </row>
    <row r="3021" spans="2:28" x14ac:dyDescent="0.2">
      <c r="B3021" s="46" t="s">
        <v>3932</v>
      </c>
      <c r="C3021" s="4">
        <v>12.034800000000001</v>
      </c>
      <c r="D3021" s="4">
        <v>12.1516</v>
      </c>
      <c r="E3021" s="4">
        <v>12.0686</v>
      </c>
      <c r="F3021" s="4">
        <f t="shared" si="188"/>
        <v>12.084999999999999</v>
      </c>
      <c r="I3021" s="4" t="s">
        <v>2353</v>
      </c>
      <c r="J3021" s="4">
        <v>11.398</v>
      </c>
      <c r="K3021" s="4">
        <v>12.294499999999999</v>
      </c>
      <c r="L3021" s="4">
        <v>11.7363</v>
      </c>
      <c r="M3021" s="4">
        <f t="shared" si="189"/>
        <v>11.809599999999998</v>
      </c>
      <c r="Q3021" s="43" t="s">
        <v>4374</v>
      </c>
      <c r="R3021" s="4">
        <v>12.4540393269464</v>
      </c>
      <c r="S3021" s="4">
        <v>12.4482354811613</v>
      </c>
      <c r="T3021" s="4">
        <v>12.027592324463001</v>
      </c>
      <c r="U3021" s="4">
        <f t="shared" si="190"/>
        <v>12.309955710856899</v>
      </c>
      <c r="X3021" s="43" t="s">
        <v>3367</v>
      </c>
      <c r="Y3021" s="4">
        <v>12.604751574121099</v>
      </c>
      <c r="Z3021" s="4">
        <v>12.530165258235</v>
      </c>
      <c r="AA3021" s="4">
        <v>12.622915320790201</v>
      </c>
      <c r="AB3021" s="4">
        <f t="shared" si="191"/>
        <v>12.585944051048765</v>
      </c>
    </row>
    <row r="3022" spans="2:28" x14ac:dyDescent="0.2">
      <c r="B3022" s="4" t="s">
        <v>2448</v>
      </c>
      <c r="C3022" s="4">
        <v>12.049099999999999</v>
      </c>
      <c r="D3022" s="4">
        <v>11.837199999999999</v>
      </c>
      <c r="E3022" s="4">
        <v>12.3497</v>
      </c>
      <c r="F3022" s="4">
        <f t="shared" si="188"/>
        <v>12.078666666666665</v>
      </c>
      <c r="I3022" s="4" t="s">
        <v>3023</v>
      </c>
      <c r="J3022" s="4">
        <v>12.863</v>
      </c>
      <c r="K3022" s="4">
        <v>9.5944000000000003</v>
      </c>
      <c r="L3022" s="4">
        <v>12.964399999999999</v>
      </c>
      <c r="M3022" s="4">
        <f t="shared" si="189"/>
        <v>11.807266666666665</v>
      </c>
      <c r="Q3022" s="43" t="s">
        <v>4307</v>
      </c>
      <c r="R3022" s="4">
        <v>12.0082209448013</v>
      </c>
      <c r="S3022" s="4">
        <v>12.672675064797399</v>
      </c>
      <c r="T3022" s="4">
        <v>12.242757833172201</v>
      </c>
      <c r="U3022" s="4">
        <f t="shared" si="190"/>
        <v>12.307884614256965</v>
      </c>
      <c r="X3022" s="43" t="s">
        <v>208</v>
      </c>
      <c r="Y3022" s="4">
        <v>12.5488771316877</v>
      </c>
      <c r="Z3022" s="4">
        <v>12.474886325306001</v>
      </c>
      <c r="AA3022" s="4">
        <v>12.7323065425665</v>
      </c>
      <c r="AB3022" s="4">
        <f t="shared" si="191"/>
        <v>12.585356666520065</v>
      </c>
    </row>
    <row r="3023" spans="2:28" x14ac:dyDescent="0.2">
      <c r="B3023" s="4" t="s">
        <v>1800</v>
      </c>
      <c r="C3023" s="4">
        <v>13.0555</v>
      </c>
      <c r="D3023" s="4">
        <v>12.0398</v>
      </c>
      <c r="E3023" s="4">
        <v>11.1274</v>
      </c>
      <c r="F3023" s="4">
        <f t="shared" si="188"/>
        <v>12.074233333333334</v>
      </c>
      <c r="I3023" s="4" t="s">
        <v>1912</v>
      </c>
      <c r="J3023" s="4">
        <v>11.088699999999999</v>
      </c>
      <c r="K3023" s="4">
        <v>13.175000000000001</v>
      </c>
      <c r="L3023" s="4">
        <v>11.154999999999999</v>
      </c>
      <c r="M3023" s="4">
        <f t="shared" si="189"/>
        <v>11.806233333333333</v>
      </c>
      <c r="Q3023" s="43" t="s">
        <v>3921</v>
      </c>
      <c r="R3023" s="4">
        <v>12.5751296100186</v>
      </c>
      <c r="S3023" s="4">
        <v>12.325423540048799</v>
      </c>
      <c r="T3023" s="4">
        <v>12.0174256084945</v>
      </c>
      <c r="U3023" s="4">
        <f t="shared" si="190"/>
        <v>12.305992919520634</v>
      </c>
      <c r="X3023" s="43" t="s">
        <v>4342</v>
      </c>
      <c r="Y3023" s="4">
        <v>13.260925694662699</v>
      </c>
      <c r="Z3023" s="4">
        <v>12.1341209604814</v>
      </c>
      <c r="AA3023" s="4">
        <v>12.344517001860201</v>
      </c>
      <c r="AB3023" s="4">
        <f t="shared" si="191"/>
        <v>12.579854552334766</v>
      </c>
    </row>
    <row r="3024" spans="2:28" x14ac:dyDescent="0.2">
      <c r="B3024" s="4" t="s">
        <v>1750</v>
      </c>
      <c r="C3024" s="4">
        <v>12.143700000000001</v>
      </c>
      <c r="D3024" s="4">
        <v>12.6038</v>
      </c>
      <c r="E3024" s="4">
        <v>11.468</v>
      </c>
      <c r="F3024" s="4">
        <f t="shared" si="188"/>
        <v>12.071833333333336</v>
      </c>
      <c r="I3024" s="4" t="s">
        <v>2928</v>
      </c>
      <c r="J3024" s="4">
        <v>11.4594</v>
      </c>
      <c r="K3024" s="4">
        <v>12.3537</v>
      </c>
      <c r="L3024" s="4">
        <v>11.6051</v>
      </c>
      <c r="M3024" s="4">
        <f t="shared" si="189"/>
        <v>11.806066666666666</v>
      </c>
      <c r="Q3024" s="43" t="s">
        <v>4415</v>
      </c>
      <c r="R3024" s="4">
        <v>11.8130073220737</v>
      </c>
      <c r="S3024" s="4">
        <v>12.4722589628897</v>
      </c>
      <c r="T3024" s="4">
        <v>12.6308510588511</v>
      </c>
      <c r="U3024" s="4">
        <f t="shared" si="190"/>
        <v>12.305372447938167</v>
      </c>
      <c r="X3024" s="43" t="s">
        <v>3846</v>
      </c>
      <c r="Y3024" s="4">
        <v>12.6345680931783</v>
      </c>
      <c r="Z3024" s="4">
        <v>12.5821743991396</v>
      </c>
      <c r="AA3024" s="4">
        <v>12.5134782080563</v>
      </c>
      <c r="AB3024" s="4">
        <f t="shared" si="191"/>
        <v>12.576740233458066</v>
      </c>
    </row>
    <row r="3025" spans="2:28" x14ac:dyDescent="0.2">
      <c r="B3025" s="4" t="s">
        <v>2247</v>
      </c>
      <c r="C3025" s="4">
        <v>11.773300000000001</v>
      </c>
      <c r="D3025" s="4">
        <v>11.9338</v>
      </c>
      <c r="E3025" s="4">
        <v>12.494899999999999</v>
      </c>
      <c r="F3025" s="4">
        <f t="shared" si="188"/>
        <v>12.067333333333332</v>
      </c>
      <c r="I3025" s="4" t="s">
        <v>1607</v>
      </c>
      <c r="J3025" s="4">
        <v>12.0319</v>
      </c>
      <c r="K3025" s="4">
        <v>12.5199</v>
      </c>
      <c r="L3025" s="4">
        <v>10.833500000000001</v>
      </c>
      <c r="M3025" s="4">
        <f t="shared" si="189"/>
        <v>11.7951</v>
      </c>
      <c r="Q3025" s="43" t="s">
        <v>1769</v>
      </c>
      <c r="R3025" s="4">
        <v>11.999249817053901</v>
      </c>
      <c r="S3025" s="4">
        <v>12.698734722611199</v>
      </c>
      <c r="T3025" s="4">
        <v>12.2125001861342</v>
      </c>
      <c r="U3025" s="4">
        <f t="shared" si="190"/>
        <v>12.303494908599767</v>
      </c>
      <c r="X3025" s="43" t="s">
        <v>1537</v>
      </c>
      <c r="Y3025" s="4">
        <v>12.754757006853</v>
      </c>
      <c r="Z3025" s="4">
        <v>12.581615570991101</v>
      </c>
      <c r="AA3025" s="4">
        <v>12.3888637659655</v>
      </c>
      <c r="AB3025" s="4">
        <f t="shared" si="191"/>
        <v>12.575078781269866</v>
      </c>
    </row>
    <row r="3026" spans="2:28" x14ac:dyDescent="0.2">
      <c r="B3026" s="4" t="s">
        <v>2334</v>
      </c>
      <c r="C3026" s="4">
        <v>12.462999999999999</v>
      </c>
      <c r="D3026" s="4">
        <v>11.882300000000001</v>
      </c>
      <c r="E3026" s="4">
        <v>11.848100000000001</v>
      </c>
      <c r="F3026" s="4">
        <f t="shared" si="188"/>
        <v>12.064466666666668</v>
      </c>
      <c r="I3026" s="4" t="s">
        <v>3912</v>
      </c>
      <c r="J3026" s="4">
        <v>12.009600000000001</v>
      </c>
      <c r="K3026" s="4">
        <v>11.481199999999999</v>
      </c>
      <c r="L3026" s="4">
        <v>11.8775</v>
      </c>
      <c r="M3026" s="4">
        <f t="shared" si="189"/>
        <v>11.789433333333333</v>
      </c>
      <c r="Q3026" s="43" t="s">
        <v>2481</v>
      </c>
      <c r="R3026" s="4">
        <v>12.3425458322035</v>
      </c>
      <c r="S3026" s="4">
        <v>12.4487710179208</v>
      </c>
      <c r="T3026" s="4">
        <v>12.116319881117899</v>
      </c>
      <c r="U3026" s="4">
        <f t="shared" si="190"/>
        <v>12.302545577080734</v>
      </c>
      <c r="X3026" s="43" t="s">
        <v>2371</v>
      </c>
      <c r="Y3026" s="4">
        <v>12.4632526857363</v>
      </c>
      <c r="Z3026" s="4">
        <v>12.380779971689099</v>
      </c>
      <c r="AA3026" s="4">
        <v>12.8805330321178</v>
      </c>
      <c r="AB3026" s="4">
        <f t="shared" si="191"/>
        <v>12.574855229847733</v>
      </c>
    </row>
    <row r="3027" spans="2:28" x14ac:dyDescent="0.2">
      <c r="B3027" s="4" t="s">
        <v>2941</v>
      </c>
      <c r="C3027" s="4">
        <v>12.4376</v>
      </c>
      <c r="D3027" s="4">
        <v>11.6845</v>
      </c>
      <c r="E3027" s="4">
        <v>12.0472</v>
      </c>
      <c r="F3027" s="4">
        <f t="shared" si="188"/>
        <v>12.056433333333333</v>
      </c>
      <c r="I3027" s="4" t="s">
        <v>2059</v>
      </c>
      <c r="J3027" s="4">
        <v>11.6631</v>
      </c>
      <c r="K3027" s="4">
        <v>11.541499999999999</v>
      </c>
      <c r="L3027" s="4">
        <v>12.133900000000001</v>
      </c>
      <c r="M3027" s="4">
        <f t="shared" si="189"/>
        <v>11.779499999999999</v>
      </c>
      <c r="Q3027" s="43" t="s">
        <v>4037</v>
      </c>
      <c r="R3027" s="4">
        <v>12.078372512327601</v>
      </c>
      <c r="S3027" s="4">
        <v>12.4796049117605</v>
      </c>
      <c r="T3027" s="4">
        <v>12.334823975006801</v>
      </c>
      <c r="U3027" s="4">
        <f t="shared" si="190"/>
        <v>12.297600466364967</v>
      </c>
      <c r="X3027" s="43" t="s">
        <v>232</v>
      </c>
      <c r="Y3027" s="4">
        <v>12.512672679748199</v>
      </c>
      <c r="Z3027" s="4">
        <v>12.4985849774471</v>
      </c>
      <c r="AA3027" s="4">
        <v>12.705284134753001</v>
      </c>
      <c r="AB3027" s="4">
        <f t="shared" si="191"/>
        <v>12.5721805973161</v>
      </c>
    </row>
    <row r="3028" spans="2:28" x14ac:dyDescent="0.2">
      <c r="B3028" s="4" t="s">
        <v>2284</v>
      </c>
      <c r="C3028" s="4">
        <v>12.6229</v>
      </c>
      <c r="D3028" s="4">
        <v>11.968400000000001</v>
      </c>
      <c r="E3028" s="4">
        <v>11.565300000000001</v>
      </c>
      <c r="F3028" s="4">
        <f t="shared" si="188"/>
        <v>12.052199999999999</v>
      </c>
      <c r="I3028" s="4" t="s">
        <v>752</v>
      </c>
      <c r="J3028" s="4">
        <v>10.9909</v>
      </c>
      <c r="K3028" s="4">
        <v>12.1417</v>
      </c>
      <c r="L3028" s="4">
        <v>12.1831</v>
      </c>
      <c r="M3028" s="4">
        <f t="shared" si="189"/>
        <v>11.7719</v>
      </c>
      <c r="Q3028" s="43" t="s">
        <v>541</v>
      </c>
      <c r="R3028" s="4">
        <v>11.9559619374654</v>
      </c>
      <c r="S3028" s="4">
        <v>12.318396566853499</v>
      </c>
      <c r="T3028" s="4">
        <v>12.615435229507501</v>
      </c>
      <c r="U3028" s="4">
        <f t="shared" si="190"/>
        <v>12.296597911275464</v>
      </c>
      <c r="X3028" s="43" t="s">
        <v>2977</v>
      </c>
      <c r="Y3028" s="4">
        <v>12.659084072722701</v>
      </c>
      <c r="Z3028" s="4">
        <v>12.4286196450036</v>
      </c>
      <c r="AA3028" s="4">
        <v>12.626574706260101</v>
      </c>
      <c r="AB3028" s="4">
        <f t="shared" si="191"/>
        <v>12.5714261413288</v>
      </c>
    </row>
    <row r="3029" spans="2:28" x14ac:dyDescent="0.2">
      <c r="B3029" s="4" t="s">
        <v>197</v>
      </c>
      <c r="C3029" s="4">
        <v>11.816000000000001</v>
      </c>
      <c r="D3029" s="4">
        <v>12.139099999999999</v>
      </c>
      <c r="E3029" s="4">
        <v>12.198600000000001</v>
      </c>
      <c r="F3029" s="4">
        <f t="shared" si="188"/>
        <v>12.051233333333334</v>
      </c>
      <c r="I3029" s="4" t="s">
        <v>714</v>
      </c>
      <c r="J3029" s="4">
        <v>12.3643</v>
      </c>
      <c r="K3029" s="4">
        <v>11.1257</v>
      </c>
      <c r="L3029" s="4">
        <v>11.802199999999999</v>
      </c>
      <c r="M3029" s="4">
        <f t="shared" si="189"/>
        <v>11.764066666666666</v>
      </c>
      <c r="Q3029" s="43" t="s">
        <v>883</v>
      </c>
      <c r="R3029" s="4">
        <v>12.028779070719001</v>
      </c>
      <c r="S3029" s="4">
        <v>12.5275623817613</v>
      </c>
      <c r="T3029" s="4">
        <v>12.3332869581387</v>
      </c>
      <c r="U3029" s="4">
        <f t="shared" si="190"/>
        <v>12.296542803539666</v>
      </c>
      <c r="X3029" s="43" t="s">
        <v>431</v>
      </c>
      <c r="Y3029" s="4">
        <v>12.186686791970301</v>
      </c>
      <c r="Z3029" s="4">
        <v>12.9278920074337</v>
      </c>
      <c r="AA3029" s="4">
        <v>12.596176840452401</v>
      </c>
      <c r="AB3029" s="4">
        <f t="shared" si="191"/>
        <v>12.570251879952133</v>
      </c>
    </row>
    <row r="3030" spans="2:28" x14ac:dyDescent="0.2">
      <c r="B3030" s="4" t="s">
        <v>832</v>
      </c>
      <c r="C3030" s="4">
        <v>11.2545</v>
      </c>
      <c r="D3030" s="4">
        <v>12.0166</v>
      </c>
      <c r="E3030" s="4">
        <v>12.8805</v>
      </c>
      <c r="F3030" s="4">
        <f t="shared" si="188"/>
        <v>12.050533333333334</v>
      </c>
      <c r="I3030" s="4" t="s">
        <v>4069</v>
      </c>
      <c r="J3030" s="4">
        <v>11.5982</v>
      </c>
      <c r="K3030" s="4">
        <v>11.6036</v>
      </c>
      <c r="L3030" s="4">
        <v>12.0684</v>
      </c>
      <c r="M3030" s="4">
        <f t="shared" si="189"/>
        <v>11.756733333333335</v>
      </c>
      <c r="Q3030" s="43" t="s">
        <v>1027</v>
      </c>
      <c r="R3030" s="4">
        <v>12.0176924821389</v>
      </c>
      <c r="S3030" s="4">
        <v>12.5904134558154</v>
      </c>
      <c r="T3030" s="4">
        <v>12.2813137102989</v>
      </c>
      <c r="U3030" s="4">
        <f t="shared" si="190"/>
        <v>12.296473216084399</v>
      </c>
      <c r="X3030" s="43" t="s">
        <v>4364</v>
      </c>
      <c r="Y3030" s="4">
        <v>12.436594929318799</v>
      </c>
      <c r="Z3030" s="4">
        <v>12.8327025851416</v>
      </c>
      <c r="AA3030" s="4">
        <v>12.4392410898925</v>
      </c>
      <c r="AB3030" s="4">
        <f t="shared" si="191"/>
        <v>12.569512868117632</v>
      </c>
    </row>
    <row r="3031" spans="2:28" x14ac:dyDescent="0.2">
      <c r="B3031" s="4" t="s">
        <v>2767</v>
      </c>
      <c r="C3031" s="4">
        <v>10.632899999999999</v>
      </c>
      <c r="D3031" s="4">
        <v>10.582000000000001</v>
      </c>
      <c r="E3031" s="4">
        <v>14.928900000000001</v>
      </c>
      <c r="F3031" s="4">
        <f t="shared" si="188"/>
        <v>12.047933333333333</v>
      </c>
      <c r="I3031" s="4" t="s">
        <v>3036</v>
      </c>
      <c r="J3031" s="4">
        <v>12.4269</v>
      </c>
      <c r="K3031" s="4">
        <v>10.5686</v>
      </c>
      <c r="L3031" s="4">
        <v>12.266299999999999</v>
      </c>
      <c r="M3031" s="4">
        <f t="shared" si="189"/>
        <v>11.753933333333334</v>
      </c>
      <c r="Q3031" s="43" t="s">
        <v>4371</v>
      </c>
      <c r="R3031" s="4">
        <v>11.7639475157654</v>
      </c>
      <c r="S3031" s="4">
        <v>12.5571517284223</v>
      </c>
      <c r="T3031" s="4">
        <v>12.566170478195099</v>
      </c>
      <c r="U3031" s="4">
        <f t="shared" si="190"/>
        <v>12.2957565741276</v>
      </c>
      <c r="X3031" s="43" t="s">
        <v>2079</v>
      </c>
      <c r="Y3031" s="4">
        <v>12.620571001388001</v>
      </c>
      <c r="Z3031" s="4">
        <v>12.062455645600799</v>
      </c>
      <c r="AA3031" s="4">
        <v>13.0236379736813</v>
      </c>
      <c r="AB3031" s="4">
        <f t="shared" si="191"/>
        <v>12.568888206890032</v>
      </c>
    </row>
    <row r="3032" spans="2:28" x14ac:dyDescent="0.2">
      <c r="B3032" s="4" t="s">
        <v>4022</v>
      </c>
      <c r="C3032" s="4">
        <v>12.9726</v>
      </c>
      <c r="D3032" s="4">
        <v>12.1134</v>
      </c>
      <c r="E3032" s="4">
        <v>11.0572</v>
      </c>
      <c r="F3032" s="4">
        <f t="shared" si="188"/>
        <v>12.047733333333333</v>
      </c>
      <c r="I3032" s="4" t="s">
        <v>2285</v>
      </c>
      <c r="J3032" s="4">
        <v>11.3253</v>
      </c>
      <c r="K3032" s="4">
        <v>13.027799999999999</v>
      </c>
      <c r="L3032" s="4">
        <v>10.894500000000001</v>
      </c>
      <c r="M3032" s="4">
        <f t="shared" si="189"/>
        <v>11.7492</v>
      </c>
      <c r="Q3032" s="43" t="s">
        <v>144</v>
      </c>
      <c r="R3032" s="4">
        <v>12.1337546084841</v>
      </c>
      <c r="S3032" s="4">
        <v>12.385376108372199</v>
      </c>
      <c r="T3032" s="4">
        <v>12.3667525687199</v>
      </c>
      <c r="U3032" s="4">
        <f t="shared" si="190"/>
        <v>12.2952944285254</v>
      </c>
      <c r="X3032" s="43" t="s">
        <v>3505</v>
      </c>
      <c r="Y3032" s="4">
        <v>12.622128379238699</v>
      </c>
      <c r="Z3032" s="4">
        <v>12.663373777246701</v>
      </c>
      <c r="AA3032" s="4">
        <v>12.415584100962599</v>
      </c>
      <c r="AB3032" s="4">
        <f t="shared" si="191"/>
        <v>12.567028752482665</v>
      </c>
    </row>
    <row r="3033" spans="2:28" x14ac:dyDescent="0.2">
      <c r="B3033" s="4" t="s">
        <v>2358</v>
      </c>
      <c r="C3033" s="4">
        <v>12.704499999999999</v>
      </c>
      <c r="D3033" s="4">
        <v>13.5738</v>
      </c>
      <c r="E3033" s="4">
        <v>9.8474000000000004</v>
      </c>
      <c r="F3033" s="4">
        <f t="shared" si="188"/>
        <v>12.0419</v>
      </c>
      <c r="I3033" s="4" t="s">
        <v>3770</v>
      </c>
      <c r="J3033" s="4">
        <v>12.434699999999999</v>
      </c>
      <c r="K3033" s="4">
        <v>11.0168</v>
      </c>
      <c r="L3033" s="4">
        <v>11.7668</v>
      </c>
      <c r="M3033" s="4">
        <f t="shared" si="189"/>
        <v>11.739433333333332</v>
      </c>
      <c r="Q3033" s="43" t="s">
        <v>765</v>
      </c>
      <c r="R3033" s="4">
        <v>12.1781682731062</v>
      </c>
      <c r="S3033" s="4">
        <v>12.550667666980599</v>
      </c>
      <c r="T3033" s="4">
        <v>12.1501496754454</v>
      </c>
      <c r="U3033" s="4">
        <f t="shared" si="190"/>
        <v>12.2929952051774</v>
      </c>
      <c r="X3033" s="43" t="s">
        <v>3299</v>
      </c>
      <c r="Y3033" s="4">
        <v>12.4117227368814</v>
      </c>
      <c r="Z3033" s="4">
        <v>12.745600842513401</v>
      </c>
      <c r="AA3033" s="4">
        <v>12.5380820790912</v>
      </c>
      <c r="AB3033" s="4">
        <f t="shared" si="191"/>
        <v>12.565135219495332</v>
      </c>
    </row>
    <row r="3034" spans="2:28" x14ac:dyDescent="0.2">
      <c r="B3034" s="4" t="s">
        <v>3441</v>
      </c>
      <c r="C3034" s="4">
        <v>12.372</v>
      </c>
      <c r="D3034" s="4">
        <v>12.3108</v>
      </c>
      <c r="E3034" s="4">
        <v>11.418699999999999</v>
      </c>
      <c r="F3034" s="4">
        <f t="shared" si="188"/>
        <v>12.033833333333334</v>
      </c>
      <c r="I3034" s="4" t="s">
        <v>3511</v>
      </c>
      <c r="J3034" s="4">
        <v>11.7103</v>
      </c>
      <c r="K3034" s="4">
        <v>11.7407</v>
      </c>
      <c r="L3034" s="4">
        <v>11.757999999999999</v>
      </c>
      <c r="M3034" s="4">
        <f t="shared" si="189"/>
        <v>11.736333333333334</v>
      </c>
      <c r="Q3034" s="43" t="s">
        <v>4246</v>
      </c>
      <c r="R3034" s="4">
        <v>12.0655385574855</v>
      </c>
      <c r="S3034" s="4">
        <v>12.7333533473139</v>
      </c>
      <c r="T3034" s="4">
        <v>12.0753935136973</v>
      </c>
      <c r="U3034" s="4">
        <f t="shared" si="190"/>
        <v>12.291428472832232</v>
      </c>
      <c r="X3034" s="43" t="s">
        <v>4520</v>
      </c>
      <c r="Y3034" s="4">
        <v>12.6612274101512</v>
      </c>
      <c r="Z3034" s="4">
        <v>12.2557576283651</v>
      </c>
      <c r="AA3034" s="4">
        <v>12.7750354513625</v>
      </c>
      <c r="AB3034" s="4">
        <f t="shared" si="191"/>
        <v>12.564006829959601</v>
      </c>
    </row>
    <row r="3035" spans="2:28" x14ac:dyDescent="0.2">
      <c r="B3035" s="4" t="s">
        <v>2739</v>
      </c>
      <c r="C3035" s="4">
        <v>12.348800000000001</v>
      </c>
      <c r="D3035" s="4">
        <v>12.2339</v>
      </c>
      <c r="E3035" s="4">
        <v>11.5097</v>
      </c>
      <c r="F3035" s="4">
        <f t="shared" si="188"/>
        <v>12.030800000000001</v>
      </c>
      <c r="I3035" s="4" t="s">
        <v>2801</v>
      </c>
      <c r="J3035" s="4">
        <v>11.4621</v>
      </c>
      <c r="K3035" s="4">
        <v>12.4161</v>
      </c>
      <c r="L3035" s="4">
        <v>11.3162</v>
      </c>
      <c r="M3035" s="4">
        <f t="shared" si="189"/>
        <v>11.731466666666668</v>
      </c>
      <c r="Q3035" s="43" t="s">
        <v>962</v>
      </c>
      <c r="R3035" s="4">
        <v>11.408190658553099</v>
      </c>
      <c r="S3035" s="4">
        <v>13.0572201804779</v>
      </c>
      <c r="T3035" s="4">
        <v>12.4009273719698</v>
      </c>
      <c r="U3035" s="4">
        <f t="shared" si="190"/>
        <v>12.288779403666934</v>
      </c>
      <c r="X3035" s="43" t="s">
        <v>3498</v>
      </c>
      <c r="Y3035" s="4">
        <v>11.3759802505529</v>
      </c>
      <c r="Z3035" s="4">
        <v>13.0489219589131</v>
      </c>
      <c r="AA3035" s="4">
        <v>13.262563440886501</v>
      </c>
      <c r="AB3035" s="4">
        <f t="shared" si="191"/>
        <v>12.5624885501175</v>
      </c>
    </row>
    <row r="3036" spans="2:28" x14ac:dyDescent="0.2">
      <c r="B3036" s="4" t="s">
        <v>2906</v>
      </c>
      <c r="C3036" s="4">
        <v>12.225199999999999</v>
      </c>
      <c r="D3036" s="4">
        <v>12.196999999999999</v>
      </c>
      <c r="E3036" s="4">
        <v>11.667899999999999</v>
      </c>
      <c r="F3036" s="4">
        <f t="shared" si="188"/>
        <v>12.03003333333333</v>
      </c>
      <c r="I3036" s="4" t="s">
        <v>3469</v>
      </c>
      <c r="J3036" s="4">
        <v>11.3559</v>
      </c>
      <c r="K3036" s="4">
        <v>10.625</v>
      </c>
      <c r="L3036" s="4">
        <v>13.2</v>
      </c>
      <c r="M3036" s="4">
        <f t="shared" si="189"/>
        <v>11.726966666666664</v>
      </c>
      <c r="Q3036" s="43" t="s">
        <v>1866</v>
      </c>
      <c r="R3036" s="4">
        <v>11.916045063753501</v>
      </c>
      <c r="S3036" s="4">
        <v>12.548436699400099</v>
      </c>
      <c r="T3036" s="4">
        <v>12.382124598481701</v>
      </c>
      <c r="U3036" s="4">
        <f t="shared" si="190"/>
        <v>12.282202120545101</v>
      </c>
      <c r="X3036" s="43" t="s">
        <v>3091</v>
      </c>
      <c r="Y3036" s="4">
        <v>12.6903773261434</v>
      </c>
      <c r="Z3036" s="4">
        <v>12.3533693846602</v>
      </c>
      <c r="AA3036" s="4">
        <v>12.6347680300366</v>
      </c>
      <c r="AB3036" s="4">
        <f t="shared" si="191"/>
        <v>12.5595049136134</v>
      </c>
    </row>
    <row r="3037" spans="2:28" x14ac:dyDescent="0.2">
      <c r="B3037" s="4" t="s">
        <v>2471</v>
      </c>
      <c r="C3037" s="4">
        <v>10.923999999999999</v>
      </c>
      <c r="D3037" s="4">
        <v>12.8406</v>
      </c>
      <c r="E3037" s="4">
        <v>12.3148</v>
      </c>
      <c r="F3037" s="4">
        <f t="shared" si="188"/>
        <v>12.026466666666666</v>
      </c>
      <c r="I3037" s="4" t="s">
        <v>2739</v>
      </c>
      <c r="J3037" s="4">
        <v>11.395</v>
      </c>
      <c r="K3037" s="4">
        <v>11.5008</v>
      </c>
      <c r="L3037" s="4">
        <v>12.282999999999999</v>
      </c>
      <c r="M3037" s="4">
        <f t="shared" si="189"/>
        <v>11.726266666666668</v>
      </c>
      <c r="Q3037" s="43" t="s">
        <v>220</v>
      </c>
      <c r="R3037" s="4">
        <v>12.576591409115199</v>
      </c>
      <c r="S3037" s="4">
        <v>11.913320630152</v>
      </c>
      <c r="T3037" s="4">
        <v>12.352999182998801</v>
      </c>
      <c r="U3037" s="4">
        <f t="shared" si="190"/>
        <v>12.280970407421998</v>
      </c>
      <c r="X3037" s="43" t="s">
        <v>4585</v>
      </c>
      <c r="Y3037" s="4">
        <v>12.636542119963501</v>
      </c>
      <c r="Z3037" s="4">
        <v>12.561953296994799</v>
      </c>
      <c r="AA3037" s="4">
        <v>12.4717282555896</v>
      </c>
      <c r="AB3037" s="4">
        <f t="shared" si="191"/>
        <v>12.556741224182636</v>
      </c>
    </row>
    <row r="3038" spans="2:28" x14ac:dyDescent="0.2">
      <c r="B3038" s="4" t="s">
        <v>3056</v>
      </c>
      <c r="C3038" s="4">
        <v>11.554500000000001</v>
      </c>
      <c r="D3038" s="4">
        <v>11.5197</v>
      </c>
      <c r="E3038" s="4">
        <v>13.0007</v>
      </c>
      <c r="F3038" s="4">
        <f t="shared" si="188"/>
        <v>12.024966666666666</v>
      </c>
      <c r="I3038" s="4" t="s">
        <v>2508</v>
      </c>
      <c r="J3038" s="4">
        <v>12.2841</v>
      </c>
      <c r="K3038" s="4">
        <v>10.7347</v>
      </c>
      <c r="L3038" s="4">
        <v>12.158899999999999</v>
      </c>
      <c r="M3038" s="4">
        <f t="shared" si="189"/>
        <v>11.725900000000001</v>
      </c>
      <c r="Q3038" s="43" t="s">
        <v>3995</v>
      </c>
      <c r="R3038" s="4">
        <v>12.5207989071878</v>
      </c>
      <c r="S3038" s="4">
        <v>12.4510605597458</v>
      </c>
      <c r="T3038" s="4">
        <v>11.8695409751027</v>
      </c>
      <c r="U3038" s="4">
        <f t="shared" si="190"/>
        <v>12.280466814012101</v>
      </c>
      <c r="X3038" s="43" t="s">
        <v>3001</v>
      </c>
      <c r="Y3038" s="4">
        <v>12.519001294205999</v>
      </c>
      <c r="Z3038" s="4">
        <v>12.432586307858699</v>
      </c>
      <c r="AA3038" s="4">
        <v>12.7114748090441</v>
      </c>
      <c r="AB3038" s="4">
        <f t="shared" si="191"/>
        <v>12.554354137036265</v>
      </c>
    </row>
    <row r="3039" spans="2:28" x14ac:dyDescent="0.2">
      <c r="B3039" s="4" t="s">
        <v>2861</v>
      </c>
      <c r="C3039" s="4">
        <v>11.9192</v>
      </c>
      <c r="D3039" s="4">
        <v>12.2898</v>
      </c>
      <c r="E3039" s="4">
        <v>11.860200000000001</v>
      </c>
      <c r="F3039" s="4">
        <f t="shared" si="188"/>
        <v>12.023066666666667</v>
      </c>
      <c r="I3039" s="4" t="s">
        <v>1492</v>
      </c>
      <c r="J3039" s="4">
        <v>11.480499999999999</v>
      </c>
      <c r="K3039" s="4">
        <v>11.7241</v>
      </c>
      <c r="L3039" s="4">
        <v>11.973000000000001</v>
      </c>
      <c r="M3039" s="4">
        <f t="shared" si="189"/>
        <v>11.725866666666667</v>
      </c>
      <c r="Q3039" s="43" t="s">
        <v>963</v>
      </c>
      <c r="R3039" s="4">
        <v>12.276281736527899</v>
      </c>
      <c r="S3039" s="4">
        <v>12.4045981471505</v>
      </c>
      <c r="T3039" s="4">
        <v>12.138092135290201</v>
      </c>
      <c r="U3039" s="4">
        <f t="shared" si="190"/>
        <v>12.272990672989534</v>
      </c>
      <c r="X3039" s="43" t="s">
        <v>1419</v>
      </c>
      <c r="Y3039" s="4">
        <v>12.6452715749605</v>
      </c>
      <c r="Z3039" s="4">
        <v>12.326298547010399</v>
      </c>
      <c r="AA3039" s="4">
        <v>12.689620727008499</v>
      </c>
      <c r="AB3039" s="4">
        <f t="shared" si="191"/>
        <v>12.553730282993135</v>
      </c>
    </row>
    <row r="3040" spans="2:28" x14ac:dyDescent="0.2">
      <c r="B3040" s="4" t="s">
        <v>1165</v>
      </c>
      <c r="C3040" s="4">
        <v>12.244899999999999</v>
      </c>
      <c r="D3040" s="4">
        <v>12.169600000000001</v>
      </c>
      <c r="E3040" s="4">
        <v>11.6492</v>
      </c>
      <c r="F3040" s="4">
        <f t="shared" si="188"/>
        <v>12.021233333333333</v>
      </c>
      <c r="I3040" s="4" t="s">
        <v>566</v>
      </c>
      <c r="J3040" s="4">
        <v>10.715299999999999</v>
      </c>
      <c r="K3040" s="4">
        <v>13.853300000000001</v>
      </c>
      <c r="L3040" s="4">
        <v>10.604900000000001</v>
      </c>
      <c r="M3040" s="4">
        <f t="shared" si="189"/>
        <v>11.724500000000001</v>
      </c>
      <c r="Q3040" s="43" t="s">
        <v>2070</v>
      </c>
      <c r="R3040" s="4">
        <v>11.910659343187801</v>
      </c>
      <c r="S3040" s="4">
        <v>12.552656953645</v>
      </c>
      <c r="T3040" s="4">
        <v>12.348362820950699</v>
      </c>
      <c r="U3040" s="4">
        <f t="shared" si="190"/>
        <v>12.270559705927832</v>
      </c>
      <c r="X3040" s="43" t="s">
        <v>4450</v>
      </c>
      <c r="Y3040" s="4">
        <v>12.671120875462099</v>
      </c>
      <c r="Z3040" s="4">
        <v>12.2716621352451</v>
      </c>
      <c r="AA3040" s="4">
        <v>12.717699677696499</v>
      </c>
      <c r="AB3040" s="4">
        <f t="shared" si="191"/>
        <v>12.5534942294679</v>
      </c>
    </row>
    <row r="3041" spans="2:28" x14ac:dyDescent="0.2">
      <c r="B3041" s="4" t="s">
        <v>2074</v>
      </c>
      <c r="C3041" s="4">
        <v>11.8383</v>
      </c>
      <c r="D3041" s="4">
        <v>12.2395</v>
      </c>
      <c r="E3041" s="4">
        <v>11.985799999999999</v>
      </c>
      <c r="F3041" s="4">
        <f t="shared" si="188"/>
        <v>12.0212</v>
      </c>
      <c r="I3041" s="4" t="s">
        <v>87</v>
      </c>
      <c r="J3041" s="4">
        <v>11.851599999999999</v>
      </c>
      <c r="K3041" s="4">
        <v>10.785500000000001</v>
      </c>
      <c r="L3041" s="4">
        <v>12.495699999999999</v>
      </c>
      <c r="M3041" s="4">
        <f t="shared" si="189"/>
        <v>11.710933333333335</v>
      </c>
      <c r="Q3041" s="43" t="s">
        <v>2819</v>
      </c>
      <c r="R3041" s="4">
        <v>12.6478514545995</v>
      </c>
      <c r="S3041" s="4">
        <v>12.151120044947801</v>
      </c>
      <c r="T3041" s="4">
        <v>12.0121934167421</v>
      </c>
      <c r="U3041" s="4">
        <f t="shared" si="190"/>
        <v>12.270388305429799</v>
      </c>
      <c r="X3041" s="43" t="s">
        <v>1054</v>
      </c>
      <c r="Y3041" s="4">
        <v>12.593800519091801</v>
      </c>
      <c r="Z3041" s="4">
        <v>12.234560224399701</v>
      </c>
      <c r="AA3041" s="4">
        <v>12.8317293967796</v>
      </c>
      <c r="AB3041" s="4">
        <f t="shared" si="191"/>
        <v>12.553363380090367</v>
      </c>
    </row>
    <row r="3042" spans="2:28" x14ac:dyDescent="0.2">
      <c r="B3042" s="4" t="s">
        <v>70</v>
      </c>
      <c r="C3042" s="4">
        <v>12.4976</v>
      </c>
      <c r="D3042" s="4">
        <v>11.866199999999999</v>
      </c>
      <c r="E3042" s="4">
        <v>11.681699999999999</v>
      </c>
      <c r="F3042" s="4">
        <f t="shared" si="188"/>
        <v>12.015166666666666</v>
      </c>
      <c r="I3042" s="4" t="s">
        <v>3799</v>
      </c>
      <c r="J3042" s="4">
        <v>11.656700000000001</v>
      </c>
      <c r="K3042" s="4">
        <v>11.2636</v>
      </c>
      <c r="L3042" s="4">
        <v>12.2112</v>
      </c>
      <c r="M3042" s="4">
        <f t="shared" si="189"/>
        <v>11.710500000000001</v>
      </c>
      <c r="Q3042" s="43" t="s">
        <v>1182</v>
      </c>
      <c r="R3042" s="4">
        <v>12.3261014666768</v>
      </c>
      <c r="S3042" s="4">
        <v>12.113202630176501</v>
      </c>
      <c r="T3042" s="4">
        <v>12.3646287702223</v>
      </c>
      <c r="U3042" s="4">
        <f t="shared" si="190"/>
        <v>12.267977622358535</v>
      </c>
      <c r="X3042" s="43" t="s">
        <v>3228</v>
      </c>
      <c r="Y3042" s="4">
        <v>12.4982328311727</v>
      </c>
      <c r="Z3042" s="4">
        <v>12.457909759866</v>
      </c>
      <c r="AA3042" s="4">
        <v>12.7039122494535</v>
      </c>
      <c r="AB3042" s="4">
        <f t="shared" si="191"/>
        <v>12.5533516134974</v>
      </c>
    </row>
    <row r="3043" spans="2:28" x14ac:dyDescent="0.2">
      <c r="B3043" s="4" t="s">
        <v>2732</v>
      </c>
      <c r="C3043" s="4">
        <v>12.3294</v>
      </c>
      <c r="D3043" s="4">
        <v>11.2111</v>
      </c>
      <c r="E3043" s="4">
        <v>12.5015</v>
      </c>
      <c r="F3043" s="4">
        <f t="shared" si="188"/>
        <v>12.014000000000001</v>
      </c>
      <c r="I3043" s="4" t="s">
        <v>2089</v>
      </c>
      <c r="J3043" s="4">
        <v>11.8606</v>
      </c>
      <c r="K3043" s="4">
        <v>12.286899999999999</v>
      </c>
      <c r="L3043" s="4">
        <v>10.919700000000001</v>
      </c>
      <c r="M3043" s="4">
        <f t="shared" si="189"/>
        <v>11.689066666666667</v>
      </c>
      <c r="Q3043" s="43" t="s">
        <v>178</v>
      </c>
      <c r="R3043" s="4">
        <v>12.0815178602596</v>
      </c>
      <c r="S3043" s="4">
        <v>12.351666887794099</v>
      </c>
      <c r="T3043" s="4">
        <v>12.3536311040444</v>
      </c>
      <c r="U3043" s="4">
        <f t="shared" si="190"/>
        <v>12.262271950699366</v>
      </c>
      <c r="X3043" s="43" t="s">
        <v>663</v>
      </c>
      <c r="Y3043" s="4">
        <v>12.489303588970801</v>
      </c>
      <c r="Z3043" s="4">
        <v>12.4413407719756</v>
      </c>
      <c r="AA3043" s="4">
        <v>12.7236476948327</v>
      </c>
      <c r="AB3043" s="4">
        <f t="shared" si="191"/>
        <v>12.551430685259701</v>
      </c>
    </row>
    <row r="3044" spans="2:28" x14ac:dyDescent="0.2">
      <c r="B3044" s="4" t="s">
        <v>424</v>
      </c>
      <c r="C3044" s="4">
        <v>11.9741</v>
      </c>
      <c r="D3044" s="4">
        <v>12.0017</v>
      </c>
      <c r="E3044" s="4">
        <v>12.065899999999999</v>
      </c>
      <c r="F3044" s="4">
        <f t="shared" si="188"/>
        <v>12.0139</v>
      </c>
      <c r="I3044" s="4" t="s">
        <v>102</v>
      </c>
      <c r="J3044" s="4">
        <v>12.6191</v>
      </c>
      <c r="K3044" s="4">
        <v>11.5319</v>
      </c>
      <c r="L3044" s="4">
        <v>10.9068</v>
      </c>
      <c r="M3044" s="4">
        <f t="shared" si="189"/>
        <v>11.685933333333333</v>
      </c>
      <c r="Q3044" s="43" t="s">
        <v>1175</v>
      </c>
      <c r="R3044" s="4">
        <v>11.985984319090999</v>
      </c>
      <c r="S3044" s="4">
        <v>12.5113715000514</v>
      </c>
      <c r="T3044" s="4">
        <v>12.284932033775799</v>
      </c>
      <c r="U3044" s="4">
        <f t="shared" si="190"/>
        <v>12.260762617639401</v>
      </c>
      <c r="X3044" s="43" t="s">
        <v>334</v>
      </c>
      <c r="Y3044" s="4">
        <v>12.661537521712001</v>
      </c>
      <c r="Z3044" s="4">
        <v>12.519006033318901</v>
      </c>
      <c r="AA3044" s="4">
        <v>12.4577399969934</v>
      </c>
      <c r="AB3044" s="4">
        <f t="shared" si="191"/>
        <v>12.546094517341436</v>
      </c>
    </row>
    <row r="3045" spans="2:28" x14ac:dyDescent="0.2">
      <c r="B3045" s="4" t="s">
        <v>2142</v>
      </c>
      <c r="C3045" s="4">
        <v>12.2346</v>
      </c>
      <c r="D3045" s="4">
        <v>11.760999999999999</v>
      </c>
      <c r="E3045" s="4">
        <v>12.040800000000001</v>
      </c>
      <c r="F3045" s="4">
        <f t="shared" si="188"/>
        <v>12.012133333333333</v>
      </c>
      <c r="I3045" s="4" t="s">
        <v>2084</v>
      </c>
      <c r="J3045" s="4">
        <v>11.779299999999999</v>
      </c>
      <c r="K3045" s="4">
        <v>11.268700000000001</v>
      </c>
      <c r="L3045" s="4">
        <v>11.9841</v>
      </c>
      <c r="M3045" s="4">
        <f t="shared" si="189"/>
        <v>11.677366666666666</v>
      </c>
      <c r="Q3045" s="43" t="s">
        <v>2685</v>
      </c>
      <c r="R3045" s="4">
        <v>12.081012682043101</v>
      </c>
      <c r="S3045" s="4">
        <v>12.3904246502194</v>
      </c>
      <c r="T3045" s="4">
        <v>12.2997397077588</v>
      </c>
      <c r="U3045" s="4">
        <f t="shared" si="190"/>
        <v>12.257059013340433</v>
      </c>
      <c r="X3045" s="43" t="s">
        <v>346</v>
      </c>
      <c r="Y3045" s="4">
        <v>12.519859909798299</v>
      </c>
      <c r="Z3045" s="4">
        <v>12.510482843561</v>
      </c>
      <c r="AA3045" s="4">
        <v>12.6057524303659</v>
      </c>
      <c r="AB3045" s="4">
        <f t="shared" si="191"/>
        <v>12.545365061241734</v>
      </c>
    </row>
    <row r="3046" spans="2:28" x14ac:dyDescent="0.2">
      <c r="B3046" s="4" t="s">
        <v>672</v>
      </c>
      <c r="C3046" s="4">
        <v>12.9975</v>
      </c>
      <c r="D3046" s="4">
        <v>11.666499999999999</v>
      </c>
      <c r="E3046" s="4">
        <v>11.369899999999999</v>
      </c>
      <c r="F3046" s="4">
        <f t="shared" si="188"/>
        <v>12.0113</v>
      </c>
      <c r="I3046" s="4" t="s">
        <v>2480</v>
      </c>
      <c r="J3046" s="4">
        <v>12.0428</v>
      </c>
      <c r="K3046" s="4">
        <v>11.303699999999999</v>
      </c>
      <c r="L3046" s="4">
        <v>11.684799999999999</v>
      </c>
      <c r="M3046" s="4">
        <f t="shared" si="189"/>
        <v>11.677100000000001</v>
      </c>
      <c r="Q3046" s="43" t="s">
        <v>1036</v>
      </c>
      <c r="R3046" s="4">
        <v>11.9705238297128</v>
      </c>
      <c r="S3046" s="4">
        <v>12.5923507428537</v>
      </c>
      <c r="T3046" s="4">
        <v>12.2036020766372</v>
      </c>
      <c r="U3046" s="4">
        <f t="shared" si="190"/>
        <v>12.255492216401231</v>
      </c>
      <c r="X3046" s="43" t="s">
        <v>3019</v>
      </c>
      <c r="Y3046" s="4">
        <v>12.4721153454141</v>
      </c>
      <c r="Z3046" s="4">
        <v>12.4112718128476</v>
      </c>
      <c r="AA3046" s="4">
        <v>12.751103049501699</v>
      </c>
      <c r="AB3046" s="4">
        <f t="shared" si="191"/>
        <v>12.544830069254466</v>
      </c>
    </row>
    <row r="3047" spans="2:28" x14ac:dyDescent="0.2">
      <c r="B3047" s="4" t="s">
        <v>562</v>
      </c>
      <c r="C3047" s="4">
        <v>12.1564</v>
      </c>
      <c r="D3047" s="4">
        <v>12.0648</v>
      </c>
      <c r="E3047" s="4">
        <v>11.8093</v>
      </c>
      <c r="F3047" s="4">
        <f t="shared" si="188"/>
        <v>12.010166666666668</v>
      </c>
      <c r="I3047" s="4" t="s">
        <v>3248</v>
      </c>
      <c r="J3047" s="4">
        <v>11.751899999999999</v>
      </c>
      <c r="K3047" s="4">
        <v>12.011200000000001</v>
      </c>
      <c r="L3047" s="4">
        <v>11.228300000000001</v>
      </c>
      <c r="M3047" s="4">
        <f t="shared" si="189"/>
        <v>11.6638</v>
      </c>
      <c r="Q3047" s="43" t="s">
        <v>3473</v>
      </c>
      <c r="R3047" s="4">
        <v>11.9513557578335</v>
      </c>
      <c r="S3047" s="4">
        <v>12.403338723171199</v>
      </c>
      <c r="T3047" s="4">
        <v>12.411439851187099</v>
      </c>
      <c r="U3047" s="4">
        <f t="shared" si="190"/>
        <v>12.255378110730598</v>
      </c>
      <c r="X3047" s="43" t="s">
        <v>4604</v>
      </c>
      <c r="Y3047" s="4">
        <v>12.663847456383399</v>
      </c>
      <c r="Z3047" s="4">
        <v>12.2639282706816</v>
      </c>
      <c r="AA3047" s="4">
        <v>12.7062432911627</v>
      </c>
      <c r="AB3047" s="4">
        <f t="shared" si="191"/>
        <v>12.544673006075898</v>
      </c>
    </row>
    <row r="3048" spans="2:28" x14ac:dyDescent="0.2">
      <c r="B3048" s="4" t="s">
        <v>3177</v>
      </c>
      <c r="C3048" s="4">
        <v>12.010300000000001</v>
      </c>
      <c r="D3048" s="4">
        <v>12.092000000000001</v>
      </c>
      <c r="E3048" s="4">
        <v>11.9186</v>
      </c>
      <c r="F3048" s="4">
        <f t="shared" si="188"/>
        <v>12.006966666666665</v>
      </c>
      <c r="I3048" s="4" t="s">
        <v>2629</v>
      </c>
      <c r="J3048" s="4">
        <v>11.5909</v>
      </c>
      <c r="K3048" s="4">
        <v>10.755000000000001</v>
      </c>
      <c r="L3048" s="4">
        <v>12.644500000000001</v>
      </c>
      <c r="M3048" s="4">
        <f t="shared" si="189"/>
        <v>11.663466666666666</v>
      </c>
      <c r="Q3048" s="43" t="s">
        <v>3381</v>
      </c>
      <c r="R3048" s="4">
        <v>12.2034988246567</v>
      </c>
      <c r="S3048" s="4">
        <v>12.482815596042499</v>
      </c>
      <c r="T3048" s="4">
        <v>12.074746504167299</v>
      </c>
      <c r="U3048" s="4">
        <f t="shared" si="190"/>
        <v>12.2536869749555</v>
      </c>
      <c r="X3048" s="43" t="s">
        <v>4564</v>
      </c>
      <c r="Y3048" s="4">
        <v>12.8164968171211</v>
      </c>
      <c r="Z3048" s="4">
        <v>12.1994257052077</v>
      </c>
      <c r="AA3048" s="4">
        <v>12.6177608734349</v>
      </c>
      <c r="AB3048" s="4">
        <f t="shared" si="191"/>
        <v>12.544561131921233</v>
      </c>
    </row>
    <row r="3049" spans="2:28" x14ac:dyDescent="0.2">
      <c r="B3049" s="4" t="s">
        <v>2017</v>
      </c>
      <c r="C3049" s="4">
        <v>11.461499999999999</v>
      </c>
      <c r="D3049" s="4">
        <v>12.0763</v>
      </c>
      <c r="E3049" s="4">
        <v>12.479699999999999</v>
      </c>
      <c r="F3049" s="4">
        <f t="shared" si="188"/>
        <v>12.005833333333333</v>
      </c>
      <c r="I3049" s="4" t="s">
        <v>235</v>
      </c>
      <c r="J3049" s="4">
        <v>11.280200000000001</v>
      </c>
      <c r="K3049" s="4">
        <v>11.350199999999999</v>
      </c>
      <c r="L3049" s="4">
        <v>12.358700000000001</v>
      </c>
      <c r="M3049" s="4">
        <f t="shared" si="189"/>
        <v>11.663033333333333</v>
      </c>
      <c r="Q3049" s="43" t="s">
        <v>2042</v>
      </c>
      <c r="R3049" s="4">
        <v>12.1465163995876</v>
      </c>
      <c r="S3049" s="4">
        <v>12.480172605529001</v>
      </c>
      <c r="T3049" s="4">
        <v>12.133907670866501</v>
      </c>
      <c r="U3049" s="4">
        <f t="shared" si="190"/>
        <v>12.253532225327701</v>
      </c>
      <c r="X3049" s="43" t="s">
        <v>4257</v>
      </c>
      <c r="Y3049" s="4">
        <v>12.964951922201299</v>
      </c>
      <c r="Z3049" s="4">
        <v>12.0454591126765</v>
      </c>
      <c r="AA3049" s="4">
        <v>12.6216616566463</v>
      </c>
      <c r="AB3049" s="4">
        <f t="shared" si="191"/>
        <v>12.544024230508034</v>
      </c>
    </row>
    <row r="3050" spans="2:28" x14ac:dyDescent="0.2">
      <c r="B3050" s="4" t="s">
        <v>3045</v>
      </c>
      <c r="C3050" s="4">
        <v>12.473800000000001</v>
      </c>
      <c r="D3050" s="4">
        <v>12.3444</v>
      </c>
      <c r="E3050" s="4">
        <v>11.1913</v>
      </c>
      <c r="F3050" s="4">
        <f t="shared" si="188"/>
        <v>12.003166666666667</v>
      </c>
      <c r="I3050" s="4" t="s">
        <v>4054</v>
      </c>
      <c r="J3050" s="4">
        <v>10.7517</v>
      </c>
      <c r="K3050" s="4">
        <v>12.598599999999999</v>
      </c>
      <c r="L3050" s="4">
        <v>11.6088</v>
      </c>
      <c r="M3050" s="4">
        <f t="shared" si="189"/>
        <v>11.653033333333333</v>
      </c>
      <c r="Q3050" s="43" t="s">
        <v>772</v>
      </c>
      <c r="R3050" s="4">
        <v>11.7097398870707</v>
      </c>
      <c r="S3050" s="4">
        <v>12.614522792608501</v>
      </c>
      <c r="T3050" s="4">
        <v>12.433701569207599</v>
      </c>
      <c r="U3050" s="4">
        <f t="shared" si="190"/>
        <v>12.252654749628933</v>
      </c>
      <c r="X3050" s="43" t="s">
        <v>761</v>
      </c>
      <c r="Y3050" s="4">
        <v>12.804612267670301</v>
      </c>
      <c r="Z3050" s="4">
        <v>12.604896738525101</v>
      </c>
      <c r="AA3050" s="4">
        <v>12.217375375242799</v>
      </c>
      <c r="AB3050" s="4">
        <f t="shared" si="191"/>
        <v>12.542294793812735</v>
      </c>
    </row>
    <row r="3051" spans="2:28" x14ac:dyDescent="0.2">
      <c r="B3051" s="4" t="s">
        <v>3369</v>
      </c>
      <c r="C3051" s="4">
        <v>10.8375</v>
      </c>
      <c r="D3051" s="4">
        <v>11.940200000000001</v>
      </c>
      <c r="E3051" s="4">
        <v>13.226100000000001</v>
      </c>
      <c r="F3051" s="4">
        <f t="shared" si="188"/>
        <v>12.001266666666668</v>
      </c>
      <c r="I3051" s="4" t="s">
        <v>515</v>
      </c>
      <c r="J3051" s="4">
        <v>11.279199999999999</v>
      </c>
      <c r="K3051" s="4">
        <v>11.251099999999999</v>
      </c>
      <c r="L3051" s="4">
        <v>12.3912</v>
      </c>
      <c r="M3051" s="4">
        <f t="shared" si="189"/>
        <v>11.640499999999998</v>
      </c>
      <c r="Q3051" s="43" t="s">
        <v>4360</v>
      </c>
      <c r="R3051" s="4">
        <v>11.7135651649706</v>
      </c>
      <c r="S3051" s="4">
        <v>12.4561824080864</v>
      </c>
      <c r="T3051" s="4">
        <v>12.5843728049184</v>
      </c>
      <c r="U3051" s="4">
        <f t="shared" si="190"/>
        <v>12.251373459325135</v>
      </c>
      <c r="X3051" s="43" t="s">
        <v>4430</v>
      </c>
      <c r="Y3051" s="4">
        <v>12.524040088768301</v>
      </c>
      <c r="Z3051" s="4">
        <v>12.296019329191999</v>
      </c>
      <c r="AA3051" s="4">
        <v>12.794644566573099</v>
      </c>
      <c r="AB3051" s="4">
        <f t="shared" si="191"/>
        <v>12.538234661511133</v>
      </c>
    </row>
    <row r="3052" spans="2:28" x14ac:dyDescent="0.2">
      <c r="B3052" s="4" t="s">
        <v>2508</v>
      </c>
      <c r="C3052" s="4">
        <v>12.3492</v>
      </c>
      <c r="D3052" s="4">
        <v>11.826499999999999</v>
      </c>
      <c r="E3052" s="4">
        <v>11.8086</v>
      </c>
      <c r="F3052" s="4">
        <f t="shared" si="188"/>
        <v>11.994766666666665</v>
      </c>
      <c r="I3052" s="4" t="s">
        <v>1200</v>
      </c>
      <c r="J3052" s="4">
        <v>12.537599999999999</v>
      </c>
      <c r="K3052" s="4">
        <v>9.9499999999999993</v>
      </c>
      <c r="L3052" s="4">
        <v>12.4213</v>
      </c>
      <c r="M3052" s="4">
        <f t="shared" si="189"/>
        <v>11.6363</v>
      </c>
      <c r="Q3052" s="43" t="s">
        <v>2832</v>
      </c>
      <c r="R3052" s="4">
        <v>12.3129520370112</v>
      </c>
      <c r="S3052" s="4">
        <v>12.2223115006041</v>
      </c>
      <c r="T3052" s="4">
        <v>12.2182316352347</v>
      </c>
      <c r="U3052" s="4">
        <f t="shared" si="190"/>
        <v>12.251165057616667</v>
      </c>
      <c r="X3052" s="43" t="s">
        <v>2658</v>
      </c>
      <c r="Y3052" s="4">
        <v>12.535848372381601</v>
      </c>
      <c r="Z3052" s="4">
        <v>12.817893406801501</v>
      </c>
      <c r="AA3052" s="4">
        <v>12.2532381804776</v>
      </c>
      <c r="AB3052" s="4">
        <f t="shared" si="191"/>
        <v>12.535659986553569</v>
      </c>
    </row>
    <row r="3053" spans="2:28" x14ac:dyDescent="0.2">
      <c r="B3053" s="4" t="s">
        <v>1106</v>
      </c>
      <c r="C3053" s="4">
        <v>12.6698</v>
      </c>
      <c r="D3053" s="4">
        <v>11.834300000000001</v>
      </c>
      <c r="E3053" s="4">
        <v>11.476699999999999</v>
      </c>
      <c r="F3053" s="4">
        <f t="shared" si="188"/>
        <v>11.993600000000001</v>
      </c>
      <c r="I3053" s="4" t="s">
        <v>370</v>
      </c>
      <c r="J3053" s="4">
        <v>11.8331</v>
      </c>
      <c r="K3053" s="4">
        <v>10.9213</v>
      </c>
      <c r="L3053" s="4">
        <v>12.139099999999999</v>
      </c>
      <c r="M3053" s="4">
        <f t="shared" si="189"/>
        <v>11.631166666666667</v>
      </c>
      <c r="Q3053" s="43" t="s">
        <v>3745</v>
      </c>
      <c r="R3053" s="4">
        <v>12.044475539573501</v>
      </c>
      <c r="S3053" s="4">
        <v>12.0205476718625</v>
      </c>
      <c r="T3053" s="4">
        <v>12.6859577956858</v>
      </c>
      <c r="U3053" s="4">
        <f t="shared" si="190"/>
        <v>12.250327002373934</v>
      </c>
      <c r="X3053" s="43" t="s">
        <v>4489</v>
      </c>
      <c r="Y3053" s="4">
        <v>12.629091907839999</v>
      </c>
      <c r="Z3053" s="4">
        <v>12.410038633798999</v>
      </c>
      <c r="AA3053" s="4">
        <v>12.566230733591601</v>
      </c>
      <c r="AB3053" s="4">
        <f t="shared" si="191"/>
        <v>12.535120425076867</v>
      </c>
    </row>
    <row r="3054" spans="2:28" x14ac:dyDescent="0.2">
      <c r="B3054" s="4" t="s">
        <v>312</v>
      </c>
      <c r="C3054" s="4">
        <v>12.303900000000001</v>
      </c>
      <c r="D3054" s="4">
        <v>11.5707</v>
      </c>
      <c r="E3054" s="4">
        <v>12.0985</v>
      </c>
      <c r="F3054" s="4">
        <f t="shared" si="188"/>
        <v>11.991033333333334</v>
      </c>
      <c r="I3054" s="4" t="s">
        <v>3540</v>
      </c>
      <c r="J3054" s="4">
        <v>12.465</v>
      </c>
      <c r="K3054" s="4">
        <v>11.2509</v>
      </c>
      <c r="L3054" s="4">
        <v>11.163399999999999</v>
      </c>
      <c r="M3054" s="4">
        <f t="shared" si="189"/>
        <v>11.626433333333333</v>
      </c>
      <c r="Q3054" s="43" t="s">
        <v>667</v>
      </c>
      <c r="R3054" s="4">
        <v>11.7087535537152</v>
      </c>
      <c r="S3054" s="4">
        <v>12.702399117748</v>
      </c>
      <c r="T3054" s="4">
        <v>12.339444189487899</v>
      </c>
      <c r="U3054" s="4">
        <f t="shared" si="190"/>
        <v>12.250198953650367</v>
      </c>
      <c r="X3054" s="43" t="s">
        <v>1823</v>
      </c>
      <c r="Y3054" s="4">
        <v>12.6915095624276</v>
      </c>
      <c r="Z3054" s="4">
        <v>12.235935051201</v>
      </c>
      <c r="AA3054" s="4">
        <v>12.67735457545</v>
      </c>
      <c r="AB3054" s="4">
        <f t="shared" si="191"/>
        <v>12.534933063026202</v>
      </c>
    </row>
    <row r="3055" spans="2:28" x14ac:dyDescent="0.2">
      <c r="B3055" s="4" t="s">
        <v>28</v>
      </c>
      <c r="C3055" s="4">
        <v>11.936</v>
      </c>
      <c r="D3055" s="4">
        <v>11.9376</v>
      </c>
      <c r="E3055" s="4">
        <v>12.0534</v>
      </c>
      <c r="F3055" s="4">
        <f t="shared" si="188"/>
        <v>11.975666666666667</v>
      </c>
      <c r="I3055" s="4" t="s">
        <v>3686</v>
      </c>
      <c r="J3055" s="4">
        <v>11.671799999999999</v>
      </c>
      <c r="K3055" s="4">
        <v>11.866</v>
      </c>
      <c r="L3055" s="4">
        <v>11.3216</v>
      </c>
      <c r="M3055" s="4">
        <f t="shared" si="189"/>
        <v>11.619799999999998</v>
      </c>
      <c r="Q3055" s="43" t="s">
        <v>2839</v>
      </c>
      <c r="R3055" s="4">
        <v>12.1903445810546</v>
      </c>
      <c r="S3055" s="4">
        <v>11.999313298811201</v>
      </c>
      <c r="T3055" s="4">
        <v>12.5503737435261</v>
      </c>
      <c r="U3055" s="4">
        <f t="shared" si="190"/>
        <v>12.246677207797299</v>
      </c>
      <c r="X3055" s="43" t="s">
        <v>3713</v>
      </c>
      <c r="Y3055" s="4">
        <v>12.4521639528816</v>
      </c>
      <c r="Z3055" s="4">
        <v>12.3988104878408</v>
      </c>
      <c r="AA3055" s="4">
        <v>12.752228825850001</v>
      </c>
      <c r="AB3055" s="4">
        <f t="shared" si="191"/>
        <v>12.534401088857466</v>
      </c>
    </row>
    <row r="3056" spans="2:28" x14ac:dyDescent="0.2">
      <c r="B3056" s="4" t="s">
        <v>2553</v>
      </c>
      <c r="C3056" s="4">
        <v>11.016999999999999</v>
      </c>
      <c r="D3056" s="4">
        <v>12.46</v>
      </c>
      <c r="E3056" s="4">
        <v>12.448399999999999</v>
      </c>
      <c r="F3056" s="4">
        <f t="shared" si="188"/>
        <v>11.975133333333332</v>
      </c>
      <c r="I3056" s="4" t="s">
        <v>2916</v>
      </c>
      <c r="J3056" s="4">
        <v>11.7113</v>
      </c>
      <c r="K3056" s="4">
        <v>11.249700000000001</v>
      </c>
      <c r="L3056" s="4">
        <v>11.8948</v>
      </c>
      <c r="M3056" s="4">
        <f t="shared" si="189"/>
        <v>11.618600000000001</v>
      </c>
      <c r="Q3056" s="43" t="s">
        <v>4487</v>
      </c>
      <c r="R3056" s="4">
        <v>11.698798586791</v>
      </c>
      <c r="S3056" s="4">
        <v>12.542189482723799</v>
      </c>
      <c r="T3056" s="4">
        <v>12.4717318061283</v>
      </c>
      <c r="U3056" s="4">
        <f t="shared" si="190"/>
        <v>12.237573291881034</v>
      </c>
      <c r="X3056" s="43" t="s">
        <v>4605</v>
      </c>
      <c r="Y3056" s="4">
        <v>12.607992170104</v>
      </c>
      <c r="Z3056" s="4">
        <v>12.885164010592099</v>
      </c>
      <c r="AA3056" s="4">
        <v>12.105920404788799</v>
      </c>
      <c r="AB3056" s="4">
        <f t="shared" si="191"/>
        <v>12.533025528494965</v>
      </c>
    </row>
    <row r="3057" spans="2:28" x14ac:dyDescent="0.2">
      <c r="B3057" s="4" t="s">
        <v>3260</v>
      </c>
      <c r="C3057" s="4">
        <v>11.8108</v>
      </c>
      <c r="D3057" s="4">
        <v>12.298</v>
      </c>
      <c r="E3057" s="4">
        <v>11.801500000000001</v>
      </c>
      <c r="F3057" s="4">
        <f t="shared" si="188"/>
        <v>11.970100000000002</v>
      </c>
      <c r="I3057" s="4" t="s">
        <v>555</v>
      </c>
      <c r="J3057" s="4">
        <v>11.844200000000001</v>
      </c>
      <c r="K3057" s="4">
        <v>11.133900000000001</v>
      </c>
      <c r="L3057" s="4">
        <v>11.8706</v>
      </c>
      <c r="M3057" s="4">
        <f t="shared" si="189"/>
        <v>11.616233333333334</v>
      </c>
      <c r="Q3057" s="43" t="s">
        <v>3686</v>
      </c>
      <c r="R3057" s="4">
        <v>12.375395422527101</v>
      </c>
      <c r="S3057" s="4">
        <v>12.218896686233901</v>
      </c>
      <c r="T3057" s="4">
        <v>12.1157528244094</v>
      </c>
      <c r="U3057" s="4">
        <f t="shared" si="190"/>
        <v>12.236681644390133</v>
      </c>
      <c r="X3057" s="43" t="s">
        <v>2133</v>
      </c>
      <c r="Y3057" s="4">
        <v>12.4451523687964</v>
      </c>
      <c r="Z3057" s="4">
        <v>12.421339288081001</v>
      </c>
      <c r="AA3057" s="4">
        <v>12.729147447646</v>
      </c>
      <c r="AB3057" s="4">
        <f t="shared" si="191"/>
        <v>12.531879701507799</v>
      </c>
    </row>
    <row r="3058" spans="2:28" x14ac:dyDescent="0.2">
      <c r="B3058" s="4" t="s">
        <v>3250</v>
      </c>
      <c r="C3058" s="4">
        <v>12.8565</v>
      </c>
      <c r="D3058" s="4">
        <v>10.4809</v>
      </c>
      <c r="E3058" s="4">
        <v>12.5646</v>
      </c>
      <c r="F3058" s="4">
        <f t="shared" si="188"/>
        <v>11.967333333333334</v>
      </c>
      <c r="I3058" s="4" t="s">
        <v>3700</v>
      </c>
      <c r="J3058" s="4">
        <v>11.603199999999999</v>
      </c>
      <c r="K3058" s="4">
        <v>11.679</v>
      </c>
      <c r="L3058" s="4">
        <v>11.557399999999999</v>
      </c>
      <c r="M3058" s="4">
        <f t="shared" si="189"/>
        <v>11.613199999999999</v>
      </c>
      <c r="Q3058" s="43" t="s">
        <v>4439</v>
      </c>
      <c r="R3058" s="4">
        <v>11.8331911343248</v>
      </c>
      <c r="S3058" s="4">
        <v>12.3377641098759</v>
      </c>
      <c r="T3058" s="4">
        <v>12.538795680953999</v>
      </c>
      <c r="U3058" s="4">
        <f t="shared" si="190"/>
        <v>12.236583641718232</v>
      </c>
      <c r="X3058" s="43" t="s">
        <v>1471</v>
      </c>
      <c r="Y3058" s="4">
        <v>12.3170950011637</v>
      </c>
      <c r="Z3058" s="4">
        <v>13.1386493785902</v>
      </c>
      <c r="AA3058" s="4">
        <v>12.139616078473299</v>
      </c>
      <c r="AB3058" s="4">
        <f t="shared" si="191"/>
        <v>12.531786819409069</v>
      </c>
    </row>
    <row r="3059" spans="2:28" x14ac:dyDescent="0.2">
      <c r="B3059" s="4" t="s">
        <v>3030</v>
      </c>
      <c r="C3059" s="4">
        <v>12.594799999999999</v>
      </c>
      <c r="D3059" s="4">
        <v>11.7843</v>
      </c>
      <c r="E3059" s="4">
        <v>11.5101</v>
      </c>
      <c r="F3059" s="4">
        <f t="shared" si="188"/>
        <v>11.963066666666668</v>
      </c>
      <c r="I3059" s="4" t="s">
        <v>192</v>
      </c>
      <c r="J3059" s="4">
        <v>9.0447000000000006</v>
      </c>
      <c r="K3059" s="4">
        <v>13.452</v>
      </c>
      <c r="L3059" s="4">
        <v>12.3383</v>
      </c>
      <c r="M3059" s="4">
        <f t="shared" si="189"/>
        <v>11.611666666666666</v>
      </c>
      <c r="Q3059" s="43" t="s">
        <v>1226</v>
      </c>
      <c r="R3059" s="4">
        <v>12.112550648844501</v>
      </c>
      <c r="S3059" s="4">
        <v>12.569434379923401</v>
      </c>
      <c r="T3059" s="4">
        <v>12.0249586297339</v>
      </c>
      <c r="U3059" s="4">
        <f t="shared" si="190"/>
        <v>12.235647886167266</v>
      </c>
      <c r="X3059" s="43" t="s">
        <v>2501</v>
      </c>
      <c r="Y3059" s="4">
        <v>12.0912969481261</v>
      </c>
      <c r="Z3059" s="4">
        <v>12.8013158295423</v>
      </c>
      <c r="AA3059" s="4">
        <v>12.6975645296643</v>
      </c>
      <c r="AB3059" s="4">
        <f t="shared" si="191"/>
        <v>12.530059102444234</v>
      </c>
    </row>
    <row r="3060" spans="2:28" x14ac:dyDescent="0.2">
      <c r="B3060" s="4" t="s">
        <v>3338</v>
      </c>
      <c r="C3060" s="4">
        <v>11.876899999999999</v>
      </c>
      <c r="D3060" s="4">
        <v>11.5898</v>
      </c>
      <c r="E3060" s="4">
        <v>12.4221</v>
      </c>
      <c r="F3060" s="4">
        <f t="shared" si="188"/>
        <v>11.962933333333334</v>
      </c>
      <c r="I3060" s="4" t="s">
        <v>3189</v>
      </c>
      <c r="J3060" s="4">
        <v>11.654500000000001</v>
      </c>
      <c r="K3060" s="4">
        <v>10.541700000000001</v>
      </c>
      <c r="L3060" s="4">
        <v>12.634600000000001</v>
      </c>
      <c r="M3060" s="4">
        <f t="shared" si="189"/>
        <v>11.610266666666668</v>
      </c>
      <c r="Q3060" s="43" t="s">
        <v>33</v>
      </c>
      <c r="R3060" s="4">
        <v>12.1142954186521</v>
      </c>
      <c r="S3060" s="4">
        <v>12.579701473933699</v>
      </c>
      <c r="T3060" s="4">
        <v>12.0109259129066</v>
      </c>
      <c r="U3060" s="4">
        <f t="shared" si="190"/>
        <v>12.234974268497467</v>
      </c>
      <c r="X3060" s="43" t="s">
        <v>492</v>
      </c>
      <c r="Y3060" s="4">
        <v>12.3103165813238</v>
      </c>
      <c r="Z3060" s="4">
        <v>12.4790769340536</v>
      </c>
      <c r="AA3060" s="4">
        <v>12.7994767675101</v>
      </c>
      <c r="AB3060" s="4">
        <f t="shared" si="191"/>
        <v>12.529623427629167</v>
      </c>
    </row>
    <row r="3061" spans="2:28" x14ac:dyDescent="0.2">
      <c r="B3061" s="4" t="s">
        <v>121</v>
      </c>
      <c r="C3061" s="4">
        <v>12.1897</v>
      </c>
      <c r="D3061" s="4">
        <v>11.861800000000001</v>
      </c>
      <c r="E3061" s="4">
        <v>11.814299999999999</v>
      </c>
      <c r="F3061" s="4">
        <f t="shared" si="188"/>
        <v>11.955266666666667</v>
      </c>
      <c r="I3061" s="4" t="s">
        <v>103</v>
      </c>
      <c r="J3061" s="4">
        <v>12.196400000000001</v>
      </c>
      <c r="K3061" s="4">
        <v>10.959</v>
      </c>
      <c r="L3061" s="4">
        <v>11.639900000000001</v>
      </c>
      <c r="M3061" s="4">
        <f t="shared" si="189"/>
        <v>11.598433333333332</v>
      </c>
      <c r="Q3061" s="43">
        <v>45748</v>
      </c>
      <c r="R3061" s="4">
        <v>12.4643803625787</v>
      </c>
      <c r="S3061" s="4">
        <v>12.300836987575201</v>
      </c>
      <c r="T3061" s="4">
        <v>11.935310205323599</v>
      </c>
      <c r="U3061" s="4">
        <f t="shared" si="190"/>
        <v>12.233509185159166</v>
      </c>
      <c r="X3061" s="43" t="s">
        <v>366</v>
      </c>
      <c r="Y3061" s="4">
        <v>12.441980251658</v>
      </c>
      <c r="Z3061" s="4">
        <v>12.585768772397699</v>
      </c>
      <c r="AA3061" s="4">
        <v>12.5541123772161</v>
      </c>
      <c r="AB3061" s="4">
        <f t="shared" si="191"/>
        <v>12.527287133757268</v>
      </c>
    </row>
    <row r="3062" spans="2:28" x14ac:dyDescent="0.2">
      <c r="B3062" s="4" t="s">
        <v>3743</v>
      </c>
      <c r="C3062" s="4">
        <v>11.9595</v>
      </c>
      <c r="D3062" s="4">
        <v>11.7776</v>
      </c>
      <c r="E3062" s="4">
        <v>12.1279</v>
      </c>
      <c r="F3062" s="4">
        <f t="shared" si="188"/>
        <v>11.954999999999998</v>
      </c>
      <c r="I3062" s="4" t="s">
        <v>2154</v>
      </c>
      <c r="J3062" s="4">
        <v>12.2447</v>
      </c>
      <c r="K3062" s="4">
        <v>10.421900000000001</v>
      </c>
      <c r="L3062" s="4">
        <v>12.120200000000001</v>
      </c>
      <c r="M3062" s="4">
        <f t="shared" si="189"/>
        <v>11.595599999999999</v>
      </c>
      <c r="Q3062" s="43" t="s">
        <v>4081</v>
      </c>
      <c r="R3062" s="4">
        <v>12.329853797356</v>
      </c>
      <c r="S3062" s="4">
        <v>11.8714899996305</v>
      </c>
      <c r="T3062" s="4">
        <v>12.493418377925501</v>
      </c>
      <c r="U3062" s="4">
        <f t="shared" si="190"/>
        <v>12.231587391637333</v>
      </c>
      <c r="X3062" s="43" t="s">
        <v>3764</v>
      </c>
      <c r="Y3062" s="4">
        <v>12.5785195335453</v>
      </c>
      <c r="Z3062" s="4">
        <v>12.241555016407499</v>
      </c>
      <c r="AA3062" s="4">
        <v>12.7551601412788</v>
      </c>
      <c r="AB3062" s="4">
        <f t="shared" si="191"/>
        <v>12.525078230410534</v>
      </c>
    </row>
    <row r="3063" spans="2:28" x14ac:dyDescent="0.2">
      <c r="B3063" s="4" t="s">
        <v>3500</v>
      </c>
      <c r="C3063" s="4">
        <v>11.4466</v>
      </c>
      <c r="D3063" s="4">
        <v>11.521100000000001</v>
      </c>
      <c r="E3063" s="4">
        <v>12.8855</v>
      </c>
      <c r="F3063" s="4">
        <f t="shared" si="188"/>
        <v>11.951066666666668</v>
      </c>
      <c r="I3063" s="4" t="s">
        <v>2058</v>
      </c>
      <c r="J3063" s="4">
        <v>11.103999999999999</v>
      </c>
      <c r="K3063" s="4">
        <v>12.297800000000001</v>
      </c>
      <c r="L3063" s="4">
        <v>11.3399</v>
      </c>
      <c r="M3063" s="4">
        <f t="shared" si="189"/>
        <v>11.580566666666668</v>
      </c>
      <c r="Q3063" s="43" t="s">
        <v>3718</v>
      </c>
      <c r="R3063" s="4">
        <v>12.542623071731899</v>
      </c>
      <c r="S3063" s="4">
        <v>12.2831504916957</v>
      </c>
      <c r="T3063" s="4">
        <v>11.859309291045999</v>
      </c>
      <c r="U3063" s="4">
        <f t="shared" si="190"/>
        <v>12.228360951491199</v>
      </c>
      <c r="X3063" s="43" t="s">
        <v>4519</v>
      </c>
      <c r="Y3063" s="4">
        <v>12.4835065235737</v>
      </c>
      <c r="Z3063" s="4">
        <v>12.4898101296374</v>
      </c>
      <c r="AA3063" s="4">
        <v>12.5934782530263</v>
      </c>
      <c r="AB3063" s="4">
        <f t="shared" si="191"/>
        <v>12.5222649687458</v>
      </c>
    </row>
    <row r="3064" spans="2:28" x14ac:dyDescent="0.2">
      <c r="B3064" s="4" t="s">
        <v>2067</v>
      </c>
      <c r="C3064" s="4">
        <v>12.0402</v>
      </c>
      <c r="D3064" s="4">
        <v>11.7128</v>
      </c>
      <c r="E3064" s="4">
        <v>12.087400000000001</v>
      </c>
      <c r="F3064" s="4">
        <f t="shared" si="188"/>
        <v>11.946800000000001</v>
      </c>
      <c r="I3064" s="4" t="s">
        <v>2303</v>
      </c>
      <c r="J3064" s="4">
        <v>11.7707</v>
      </c>
      <c r="K3064" s="4">
        <v>10.369899999999999</v>
      </c>
      <c r="L3064" s="4">
        <v>12.599299999999999</v>
      </c>
      <c r="M3064" s="4">
        <f t="shared" si="189"/>
        <v>11.579966666666666</v>
      </c>
      <c r="Q3064" s="43" t="s">
        <v>3806</v>
      </c>
      <c r="R3064" s="4">
        <v>11.862195284467999</v>
      </c>
      <c r="S3064" s="4">
        <v>12.6483874714284</v>
      </c>
      <c r="T3064" s="4">
        <v>12.1663678939624</v>
      </c>
      <c r="U3064" s="4">
        <f t="shared" si="190"/>
        <v>12.2256502166196</v>
      </c>
      <c r="X3064" s="43" t="s">
        <v>2382</v>
      </c>
      <c r="Y3064" s="4">
        <v>12.6291818867748</v>
      </c>
      <c r="Z3064" s="4">
        <v>12.1743769137541</v>
      </c>
      <c r="AA3064" s="4">
        <v>12.7579638276995</v>
      </c>
      <c r="AB3064" s="4">
        <f t="shared" si="191"/>
        <v>12.5205075427428</v>
      </c>
    </row>
    <row r="3065" spans="2:28" x14ac:dyDescent="0.2">
      <c r="B3065" s="4" t="s">
        <v>466</v>
      </c>
      <c r="C3065" s="4">
        <v>12.3012</v>
      </c>
      <c r="D3065" s="4">
        <v>12.3291</v>
      </c>
      <c r="E3065" s="4">
        <v>11.204700000000001</v>
      </c>
      <c r="F3065" s="4">
        <f t="shared" si="188"/>
        <v>11.945</v>
      </c>
      <c r="I3065" s="4" t="s">
        <v>358</v>
      </c>
      <c r="J3065" s="4">
        <v>11.2217</v>
      </c>
      <c r="K3065" s="4">
        <v>12.7935</v>
      </c>
      <c r="L3065" s="4">
        <v>10.6371</v>
      </c>
      <c r="M3065" s="4">
        <f t="shared" si="189"/>
        <v>11.550766666666666</v>
      </c>
      <c r="Q3065" s="43" t="s">
        <v>2940</v>
      </c>
      <c r="R3065" s="4">
        <v>11.6977792807297</v>
      </c>
      <c r="S3065" s="4">
        <v>12.3652915485119</v>
      </c>
      <c r="T3065" s="4">
        <v>12.6110918113441</v>
      </c>
      <c r="U3065" s="4">
        <f t="shared" si="190"/>
        <v>12.224720880195234</v>
      </c>
      <c r="X3065" s="43" t="s">
        <v>2398</v>
      </c>
      <c r="Y3065" s="4">
        <v>12.466430348429499</v>
      </c>
      <c r="Z3065" s="4">
        <v>12.435935045316199</v>
      </c>
      <c r="AA3065" s="4">
        <v>12.6565258629846</v>
      </c>
      <c r="AB3065" s="4">
        <f t="shared" si="191"/>
        <v>12.519630418910099</v>
      </c>
    </row>
    <row r="3066" spans="2:28" x14ac:dyDescent="0.2">
      <c r="B3066" s="4" t="s">
        <v>324</v>
      </c>
      <c r="C3066" s="4">
        <v>13.210800000000001</v>
      </c>
      <c r="D3066" s="4">
        <v>10.9129</v>
      </c>
      <c r="E3066" s="4">
        <v>11.699400000000001</v>
      </c>
      <c r="F3066" s="4">
        <f t="shared" si="188"/>
        <v>11.941033333333332</v>
      </c>
      <c r="I3066" s="4" t="s">
        <v>126</v>
      </c>
      <c r="J3066" s="4">
        <v>11.4636</v>
      </c>
      <c r="K3066" s="4">
        <v>12.256399999999999</v>
      </c>
      <c r="L3066" s="4">
        <v>10.9095</v>
      </c>
      <c r="M3066" s="4">
        <f t="shared" si="189"/>
        <v>11.543166666666666</v>
      </c>
      <c r="Q3066" s="43" t="s">
        <v>2562</v>
      </c>
      <c r="R3066" s="4">
        <v>12.199988174927901</v>
      </c>
      <c r="S3066" s="4">
        <v>12.2252299101463</v>
      </c>
      <c r="T3066" s="4">
        <v>12.2451102726475</v>
      </c>
      <c r="U3066" s="4">
        <f t="shared" si="190"/>
        <v>12.223442785907233</v>
      </c>
      <c r="X3066" s="43" t="s">
        <v>4245</v>
      </c>
      <c r="Y3066" s="4">
        <v>12.388933065415999</v>
      </c>
      <c r="Z3066" s="4">
        <v>12.4520299695484</v>
      </c>
      <c r="AA3066" s="4">
        <v>12.711747693898401</v>
      </c>
      <c r="AB3066" s="4">
        <f t="shared" si="191"/>
        <v>12.517570242954266</v>
      </c>
    </row>
    <row r="3067" spans="2:28" x14ac:dyDescent="0.2">
      <c r="B3067" s="4" t="s">
        <v>1060</v>
      </c>
      <c r="C3067" s="4">
        <v>10.844900000000001</v>
      </c>
      <c r="D3067" s="4">
        <v>11.245900000000001</v>
      </c>
      <c r="E3067" s="4">
        <v>13.7204</v>
      </c>
      <c r="F3067" s="4">
        <f t="shared" si="188"/>
        <v>11.937066666666666</v>
      </c>
      <c r="I3067" s="4" t="s">
        <v>1508</v>
      </c>
      <c r="J3067" s="4">
        <v>10.4373</v>
      </c>
      <c r="K3067" s="4">
        <v>12.282999999999999</v>
      </c>
      <c r="L3067" s="4">
        <v>11.889699999999999</v>
      </c>
      <c r="M3067" s="4">
        <f t="shared" si="189"/>
        <v>11.536666666666667</v>
      </c>
      <c r="Q3067" s="43" t="s">
        <v>2941</v>
      </c>
      <c r="R3067" s="4">
        <v>12.176390681420299</v>
      </c>
      <c r="S3067" s="4">
        <v>12.249266890189499</v>
      </c>
      <c r="T3067" s="4">
        <v>12.2417118619046</v>
      </c>
      <c r="U3067" s="4">
        <f t="shared" si="190"/>
        <v>12.222456477838131</v>
      </c>
      <c r="X3067" s="43" t="s">
        <v>989</v>
      </c>
      <c r="Y3067" s="4">
        <v>12.6488265185197</v>
      </c>
      <c r="Z3067" s="4">
        <v>12.630479585351299</v>
      </c>
      <c r="AA3067" s="4">
        <v>12.264708641661899</v>
      </c>
      <c r="AB3067" s="4">
        <f t="shared" si="191"/>
        <v>12.514671581844299</v>
      </c>
    </row>
    <row r="3068" spans="2:28" x14ac:dyDescent="0.2">
      <c r="B3068" s="4" t="s">
        <v>3866</v>
      </c>
      <c r="C3068" s="4">
        <v>11.6523</v>
      </c>
      <c r="D3068" s="4">
        <v>12.4175</v>
      </c>
      <c r="E3068" s="4">
        <v>11.7248</v>
      </c>
      <c r="F3068" s="4">
        <f t="shared" si="188"/>
        <v>11.931533333333334</v>
      </c>
      <c r="I3068" s="4" t="s">
        <v>794</v>
      </c>
      <c r="J3068" s="4">
        <v>11.901899999999999</v>
      </c>
      <c r="K3068" s="4">
        <v>11.278600000000001</v>
      </c>
      <c r="L3068" s="4">
        <v>11.3569</v>
      </c>
      <c r="M3068" s="4">
        <f t="shared" si="189"/>
        <v>11.512466666666668</v>
      </c>
      <c r="Q3068" s="43" t="s">
        <v>1862</v>
      </c>
      <c r="R3068" s="4">
        <v>11.972278904309301</v>
      </c>
      <c r="S3068" s="4">
        <v>12.3798085964024</v>
      </c>
      <c r="T3068" s="4">
        <v>12.314679969414099</v>
      </c>
      <c r="U3068" s="4">
        <f t="shared" si="190"/>
        <v>12.222255823375265</v>
      </c>
      <c r="X3068" s="43" t="s">
        <v>3430</v>
      </c>
      <c r="Y3068" s="4">
        <v>12.305646690421399</v>
      </c>
      <c r="Z3068" s="4">
        <v>12.6638793390825</v>
      </c>
      <c r="AA3068" s="4">
        <v>12.5743102275691</v>
      </c>
      <c r="AB3068" s="4">
        <f t="shared" si="191"/>
        <v>12.514612085690999</v>
      </c>
    </row>
    <row r="3069" spans="2:28" x14ac:dyDescent="0.2">
      <c r="B3069" s="4" t="s">
        <v>2285</v>
      </c>
      <c r="C3069" s="4">
        <v>12.2249</v>
      </c>
      <c r="D3069" s="4">
        <v>11.663600000000001</v>
      </c>
      <c r="E3069" s="4">
        <v>11.899100000000001</v>
      </c>
      <c r="F3069" s="4">
        <f t="shared" si="188"/>
        <v>11.9292</v>
      </c>
      <c r="I3069" s="4" t="s">
        <v>3012</v>
      </c>
      <c r="J3069" s="4">
        <v>12.1624</v>
      </c>
      <c r="K3069" s="4">
        <v>11.546900000000001</v>
      </c>
      <c r="L3069" s="4">
        <v>10.7966</v>
      </c>
      <c r="M3069" s="4">
        <f t="shared" si="189"/>
        <v>11.501966666666666</v>
      </c>
      <c r="Q3069" s="43" t="s">
        <v>3068</v>
      </c>
      <c r="R3069" s="4">
        <v>12.040492255339799</v>
      </c>
      <c r="S3069" s="4">
        <v>12.5075601714782</v>
      </c>
      <c r="T3069" s="4">
        <v>12.1184391165399</v>
      </c>
      <c r="U3069" s="4">
        <f t="shared" si="190"/>
        <v>12.222163847785966</v>
      </c>
      <c r="X3069" s="43" t="s">
        <v>4539</v>
      </c>
      <c r="Y3069" s="4">
        <v>12.6388836719144</v>
      </c>
      <c r="Z3069" s="4">
        <v>12.037674885054599</v>
      </c>
      <c r="AA3069" s="4">
        <v>12.866780519841701</v>
      </c>
      <c r="AB3069" s="4">
        <f t="shared" si="191"/>
        <v>12.514446358936899</v>
      </c>
    </row>
    <row r="3070" spans="2:28" x14ac:dyDescent="0.2">
      <c r="B3070" s="4" t="s">
        <v>2858</v>
      </c>
      <c r="C3070" s="4">
        <v>12.301600000000001</v>
      </c>
      <c r="D3070" s="4">
        <v>11.573</v>
      </c>
      <c r="E3070" s="4">
        <v>11.8894</v>
      </c>
      <c r="F3070" s="4">
        <f t="shared" si="188"/>
        <v>11.921333333333335</v>
      </c>
      <c r="I3070" s="4" t="s">
        <v>1594</v>
      </c>
      <c r="J3070" s="4">
        <v>10.813700000000001</v>
      </c>
      <c r="K3070" s="4">
        <v>12.306900000000001</v>
      </c>
      <c r="L3070" s="4">
        <v>11.3225</v>
      </c>
      <c r="M3070" s="4">
        <f t="shared" si="189"/>
        <v>11.481033333333334</v>
      </c>
      <c r="Q3070" s="43" t="s">
        <v>4303</v>
      </c>
      <c r="R3070" s="4">
        <v>11.6879080297374</v>
      </c>
      <c r="S3070" s="4">
        <v>12.311932621009101</v>
      </c>
      <c r="T3070" s="4">
        <v>12.662374707673401</v>
      </c>
      <c r="U3070" s="4">
        <f t="shared" si="190"/>
        <v>12.220738452806634</v>
      </c>
      <c r="X3070" s="43" t="s">
        <v>2739</v>
      </c>
      <c r="Y3070" s="4">
        <v>12.621279190891499</v>
      </c>
      <c r="Z3070" s="4">
        <v>12.3914280968503</v>
      </c>
      <c r="AA3070" s="4">
        <v>12.528958162707999</v>
      </c>
      <c r="AB3070" s="4">
        <f t="shared" si="191"/>
        <v>12.513888483483266</v>
      </c>
    </row>
    <row r="3071" spans="2:28" x14ac:dyDescent="0.2">
      <c r="B3071" s="4" t="s">
        <v>445</v>
      </c>
      <c r="C3071" s="4">
        <v>12.288</v>
      </c>
      <c r="D3071" s="4">
        <v>10.8528</v>
      </c>
      <c r="E3071" s="4">
        <v>12.6134</v>
      </c>
      <c r="F3071" s="4">
        <f t="shared" si="188"/>
        <v>11.918066666666666</v>
      </c>
      <c r="I3071" s="4" t="s">
        <v>1800</v>
      </c>
      <c r="J3071" s="4">
        <v>11.8146</v>
      </c>
      <c r="K3071" s="4">
        <v>10.8621</v>
      </c>
      <c r="L3071" s="4">
        <v>11.747</v>
      </c>
      <c r="M3071" s="4">
        <f t="shared" si="189"/>
        <v>11.474566666666666</v>
      </c>
      <c r="Q3071" s="43" t="s">
        <v>152</v>
      </c>
      <c r="R3071" s="4">
        <v>11.784491777126499</v>
      </c>
      <c r="S3071" s="4">
        <v>12.220573281829299</v>
      </c>
      <c r="T3071" s="4">
        <v>12.652788601843399</v>
      </c>
      <c r="U3071" s="4">
        <f t="shared" si="190"/>
        <v>12.219284553599733</v>
      </c>
      <c r="X3071" s="43" t="s">
        <v>4251</v>
      </c>
      <c r="Y3071" s="4">
        <v>12.9131480659325</v>
      </c>
      <c r="Z3071" s="4">
        <v>12.044356924393099</v>
      </c>
      <c r="AA3071" s="4">
        <v>12.5824054393506</v>
      </c>
      <c r="AB3071" s="4">
        <f t="shared" si="191"/>
        <v>12.513303476558733</v>
      </c>
    </row>
    <row r="3072" spans="2:28" x14ac:dyDescent="0.2">
      <c r="B3072" s="4" t="s">
        <v>456</v>
      </c>
      <c r="C3072" s="4">
        <v>12.1524</v>
      </c>
      <c r="D3072" s="4">
        <v>11.7362</v>
      </c>
      <c r="E3072" s="4">
        <v>11.8644</v>
      </c>
      <c r="F3072" s="4">
        <f t="shared" si="188"/>
        <v>11.917666666666667</v>
      </c>
      <c r="I3072" s="4" t="s">
        <v>2688</v>
      </c>
      <c r="J3072" s="4">
        <v>11.9962</v>
      </c>
      <c r="K3072" s="4">
        <v>10.4518</v>
      </c>
      <c r="L3072" s="4">
        <v>11.9672</v>
      </c>
      <c r="M3072" s="4">
        <f t="shared" si="189"/>
        <v>11.471733333333333</v>
      </c>
      <c r="Q3072" s="43" t="s">
        <v>4281</v>
      </c>
      <c r="R3072" s="4">
        <v>12.319311696927</v>
      </c>
      <c r="S3072" s="4">
        <v>12.240846849771</v>
      </c>
      <c r="T3072" s="4">
        <v>12.0947154611431</v>
      </c>
      <c r="U3072" s="4">
        <f t="shared" si="190"/>
        <v>12.218291335947034</v>
      </c>
      <c r="X3072" s="43" t="s">
        <v>1263</v>
      </c>
      <c r="Y3072" s="4">
        <v>12.007675803602799</v>
      </c>
      <c r="Z3072" s="4">
        <v>12.7854491331068</v>
      </c>
      <c r="AA3072" s="4">
        <v>12.743492636081699</v>
      </c>
      <c r="AB3072" s="4">
        <f t="shared" si="191"/>
        <v>12.512205857597101</v>
      </c>
    </row>
    <row r="3073" spans="2:28" x14ac:dyDescent="0.2">
      <c r="B3073" s="4" t="s">
        <v>3509</v>
      </c>
      <c r="C3073" s="4">
        <v>11.732100000000001</v>
      </c>
      <c r="D3073" s="4">
        <v>12.048999999999999</v>
      </c>
      <c r="E3073" s="4">
        <v>11.9621</v>
      </c>
      <c r="F3073" s="4">
        <f t="shared" si="188"/>
        <v>11.914400000000001</v>
      </c>
      <c r="I3073" s="4" t="s">
        <v>1415</v>
      </c>
      <c r="J3073" s="4">
        <v>10.7425</v>
      </c>
      <c r="K3073" s="4">
        <v>11.6722</v>
      </c>
      <c r="L3073" s="4">
        <v>11.991</v>
      </c>
      <c r="M3073" s="4">
        <f t="shared" si="189"/>
        <v>11.468566666666666</v>
      </c>
      <c r="Q3073" s="43" t="s">
        <v>670</v>
      </c>
      <c r="R3073" s="4">
        <v>12.203511428357499</v>
      </c>
      <c r="S3073" s="4">
        <v>12.091586647326601</v>
      </c>
      <c r="T3073" s="4">
        <v>12.3535394794906</v>
      </c>
      <c r="U3073" s="4">
        <f t="shared" si="190"/>
        <v>12.216212518391567</v>
      </c>
      <c r="X3073" s="43" t="s">
        <v>4137</v>
      </c>
      <c r="Y3073" s="4">
        <v>12.4416500579561</v>
      </c>
      <c r="Z3073" s="4">
        <v>12.433765049264499</v>
      </c>
      <c r="AA3073" s="4">
        <v>12.6396922405058</v>
      </c>
      <c r="AB3073" s="4">
        <f t="shared" si="191"/>
        <v>12.505035782575467</v>
      </c>
    </row>
    <row r="3074" spans="2:28" x14ac:dyDescent="0.2">
      <c r="B3074" s="4" t="s">
        <v>3924</v>
      </c>
      <c r="C3074" s="4">
        <v>11.7584</v>
      </c>
      <c r="D3074" s="4">
        <v>12.149800000000001</v>
      </c>
      <c r="E3074" s="4">
        <v>11.820600000000001</v>
      </c>
      <c r="F3074" s="4">
        <f t="shared" ref="F3074:F3137" si="192">(C3074+D3074+E3074)/3</f>
        <v>11.909599999999999</v>
      </c>
      <c r="I3074" s="4" t="s">
        <v>3168</v>
      </c>
      <c r="J3074" s="4">
        <v>10.8484</v>
      </c>
      <c r="K3074" s="4">
        <v>11.990500000000001</v>
      </c>
      <c r="L3074" s="4">
        <v>11.4826</v>
      </c>
      <c r="M3074" s="4">
        <f t="shared" ref="M3074:M3137" si="193">(J3074+K3074+L3074)/3</f>
        <v>11.4405</v>
      </c>
      <c r="Q3074" s="43" t="s">
        <v>947</v>
      </c>
      <c r="R3074" s="4">
        <v>12.2667119436062</v>
      </c>
      <c r="S3074" s="4">
        <v>12.656250386641901</v>
      </c>
      <c r="T3074" s="4">
        <v>11.723516622019501</v>
      </c>
      <c r="U3074" s="4">
        <f t="shared" ref="U3074:U3137" si="194">(R3074+S3074+T3074)/3</f>
        <v>12.215492984089201</v>
      </c>
      <c r="X3074" s="43" t="s">
        <v>4190</v>
      </c>
      <c r="Y3074" s="4">
        <v>12.707975968286499</v>
      </c>
      <c r="Z3074" s="4">
        <v>12.7374649465647</v>
      </c>
      <c r="AA3074" s="4">
        <v>12.069449077797699</v>
      </c>
      <c r="AB3074" s="4">
        <f t="shared" ref="AB3074:AB3137" si="195">(Y3074+Z3074+AA3074)/3</f>
        <v>12.504963330882966</v>
      </c>
    </row>
    <row r="3075" spans="2:28" x14ac:dyDescent="0.2">
      <c r="B3075" s="4" t="s">
        <v>3047</v>
      </c>
      <c r="C3075" s="4">
        <v>11.672000000000001</v>
      </c>
      <c r="D3075" s="4">
        <v>11.9726</v>
      </c>
      <c r="E3075" s="4">
        <v>12.078799999999999</v>
      </c>
      <c r="F3075" s="4">
        <f t="shared" si="192"/>
        <v>11.9078</v>
      </c>
      <c r="I3075" s="4" t="s">
        <v>4076</v>
      </c>
      <c r="J3075" s="4">
        <v>11.008900000000001</v>
      </c>
      <c r="K3075" s="4">
        <v>11.224399999999999</v>
      </c>
      <c r="L3075" s="4">
        <v>12.087</v>
      </c>
      <c r="M3075" s="4">
        <f t="shared" si="193"/>
        <v>11.440100000000001</v>
      </c>
      <c r="Q3075" s="43" t="s">
        <v>2221</v>
      </c>
      <c r="R3075" s="4">
        <v>12.4464461010846</v>
      </c>
      <c r="S3075" s="4">
        <v>12.7079204909701</v>
      </c>
      <c r="T3075" s="4">
        <v>11.4911349602132</v>
      </c>
      <c r="U3075" s="4">
        <f t="shared" si="194"/>
        <v>12.215167184089301</v>
      </c>
      <c r="X3075" s="43" t="s">
        <v>3316</v>
      </c>
      <c r="Y3075" s="4">
        <v>12.5028224507557</v>
      </c>
      <c r="Z3075" s="4">
        <v>12.5369082005774</v>
      </c>
      <c r="AA3075" s="4">
        <v>12.470985449434499</v>
      </c>
      <c r="AB3075" s="4">
        <f t="shared" si="195"/>
        <v>12.503572033589201</v>
      </c>
    </row>
    <row r="3076" spans="2:28" x14ac:dyDescent="0.2">
      <c r="B3076" s="4" t="s">
        <v>2115</v>
      </c>
      <c r="C3076" s="4">
        <v>10.8224</v>
      </c>
      <c r="D3076" s="4">
        <v>13.346299999999999</v>
      </c>
      <c r="E3076" s="4">
        <v>11.545</v>
      </c>
      <c r="F3076" s="4">
        <f t="shared" si="192"/>
        <v>11.904566666666668</v>
      </c>
      <c r="I3076" s="4" t="s">
        <v>2732</v>
      </c>
      <c r="J3076" s="4">
        <v>10.986800000000001</v>
      </c>
      <c r="K3076" s="4">
        <v>12.805300000000001</v>
      </c>
      <c r="L3076" s="4">
        <v>10.4978</v>
      </c>
      <c r="M3076" s="4">
        <f t="shared" si="193"/>
        <v>11.429966666666667</v>
      </c>
      <c r="Q3076" s="43" t="s">
        <v>2348</v>
      </c>
      <c r="R3076" s="4">
        <v>12.0425342147359</v>
      </c>
      <c r="S3076" s="4">
        <v>12.217072709332101</v>
      </c>
      <c r="T3076" s="4">
        <v>12.3827448305743</v>
      </c>
      <c r="U3076" s="4">
        <f t="shared" si="194"/>
        <v>12.214117251547435</v>
      </c>
      <c r="X3076" s="43" t="s">
        <v>3699</v>
      </c>
      <c r="Y3076" s="4">
        <v>12.575756777113</v>
      </c>
      <c r="Z3076" s="4">
        <v>12.331923462425401</v>
      </c>
      <c r="AA3076" s="4">
        <v>12.6014711821435</v>
      </c>
      <c r="AB3076" s="4">
        <f t="shared" si="195"/>
        <v>12.503050473893966</v>
      </c>
    </row>
    <row r="3077" spans="2:28" x14ac:dyDescent="0.2">
      <c r="B3077" s="4" t="s">
        <v>3950</v>
      </c>
      <c r="C3077" s="4">
        <v>12.130100000000001</v>
      </c>
      <c r="D3077" s="4">
        <v>11.5526</v>
      </c>
      <c r="E3077" s="4">
        <v>12.023099999999999</v>
      </c>
      <c r="F3077" s="4">
        <f t="shared" si="192"/>
        <v>11.901933333333332</v>
      </c>
      <c r="I3077" s="4" t="s">
        <v>3565</v>
      </c>
      <c r="J3077" s="4">
        <v>11.8248</v>
      </c>
      <c r="K3077" s="4">
        <v>10.680899999999999</v>
      </c>
      <c r="L3077" s="4">
        <v>11.758100000000001</v>
      </c>
      <c r="M3077" s="4">
        <f t="shared" si="193"/>
        <v>11.421266666666666</v>
      </c>
      <c r="Q3077" s="43" t="s">
        <v>3062</v>
      </c>
      <c r="R3077" s="4">
        <v>12.3548795982096</v>
      </c>
      <c r="S3077" s="4">
        <v>12.1105611743839</v>
      </c>
      <c r="T3077" s="4">
        <v>12.1709048254218</v>
      </c>
      <c r="U3077" s="4">
        <f t="shared" si="194"/>
        <v>12.212115199338433</v>
      </c>
      <c r="X3077" s="43" t="s">
        <v>853</v>
      </c>
      <c r="Y3077" s="4">
        <v>12.3092554653697</v>
      </c>
      <c r="Z3077" s="4">
        <v>12.3543327593302</v>
      </c>
      <c r="AA3077" s="4">
        <v>12.8427005080881</v>
      </c>
      <c r="AB3077" s="4">
        <f t="shared" si="195"/>
        <v>12.502096244262667</v>
      </c>
    </row>
    <row r="3078" spans="2:28" x14ac:dyDescent="0.2">
      <c r="B3078" s="4" t="s">
        <v>3297</v>
      </c>
      <c r="C3078" s="4">
        <v>11.659000000000001</v>
      </c>
      <c r="D3078" s="4">
        <v>12.0364</v>
      </c>
      <c r="E3078" s="4">
        <v>12.009399999999999</v>
      </c>
      <c r="F3078" s="4">
        <f t="shared" si="192"/>
        <v>11.9016</v>
      </c>
      <c r="I3078" s="4" t="s">
        <v>2483</v>
      </c>
      <c r="J3078" s="4">
        <v>9.7825000000000006</v>
      </c>
      <c r="K3078" s="4">
        <v>14.5824</v>
      </c>
      <c r="L3078" s="4">
        <v>9.8754000000000008</v>
      </c>
      <c r="M3078" s="4">
        <f t="shared" si="193"/>
        <v>11.413433333333332</v>
      </c>
      <c r="Q3078" s="43" t="s">
        <v>2737</v>
      </c>
      <c r="R3078" s="4">
        <v>12.825129371769499</v>
      </c>
      <c r="S3078" s="4">
        <v>11.7402463124661</v>
      </c>
      <c r="T3078" s="4">
        <v>12.063936155741301</v>
      </c>
      <c r="U3078" s="4">
        <f t="shared" si="194"/>
        <v>12.209770613325633</v>
      </c>
      <c r="X3078" s="43" t="s">
        <v>520</v>
      </c>
      <c r="Y3078" s="4">
        <v>12.467633028434101</v>
      </c>
      <c r="Z3078" s="4">
        <v>12.450476426924199</v>
      </c>
      <c r="AA3078" s="4">
        <v>12.586815935033499</v>
      </c>
      <c r="AB3078" s="4">
        <f t="shared" si="195"/>
        <v>12.501641796797266</v>
      </c>
    </row>
    <row r="3079" spans="2:28" x14ac:dyDescent="0.2">
      <c r="B3079" s="4" t="s">
        <v>1794</v>
      </c>
      <c r="C3079" s="4">
        <v>10.7242</v>
      </c>
      <c r="D3079" s="4">
        <v>12.263400000000001</v>
      </c>
      <c r="E3079" s="4">
        <v>12.7143</v>
      </c>
      <c r="F3079" s="4">
        <f t="shared" si="192"/>
        <v>11.900633333333333</v>
      </c>
      <c r="I3079" s="4" t="s">
        <v>2414</v>
      </c>
      <c r="J3079" s="4">
        <v>10.714499999999999</v>
      </c>
      <c r="K3079" s="4">
        <v>11.280900000000001</v>
      </c>
      <c r="L3079" s="4">
        <v>12.196899999999999</v>
      </c>
      <c r="M3079" s="4">
        <f t="shared" si="193"/>
        <v>11.397433333333334</v>
      </c>
      <c r="Q3079" s="43" t="s">
        <v>510</v>
      </c>
      <c r="R3079" s="4">
        <v>12.152401839339101</v>
      </c>
      <c r="S3079" s="4">
        <v>12.5352194527319</v>
      </c>
      <c r="T3079" s="4">
        <v>11.941079095011</v>
      </c>
      <c r="U3079" s="4">
        <f t="shared" si="194"/>
        <v>12.209566795694</v>
      </c>
      <c r="X3079" s="43" t="s">
        <v>4159</v>
      </c>
      <c r="Y3079" s="4">
        <v>12.249714623487099</v>
      </c>
      <c r="Z3079" s="4">
        <v>12.5946147804231</v>
      </c>
      <c r="AA3079" s="4">
        <v>12.657194624613499</v>
      </c>
      <c r="AB3079" s="4">
        <f t="shared" si="195"/>
        <v>12.500508009507902</v>
      </c>
    </row>
    <row r="3080" spans="2:28" x14ac:dyDescent="0.2">
      <c r="B3080" s="4" t="s">
        <v>3710</v>
      </c>
      <c r="C3080" s="4">
        <v>11.633599999999999</v>
      </c>
      <c r="D3080" s="4">
        <v>11.5535</v>
      </c>
      <c r="E3080" s="4">
        <v>12.5082</v>
      </c>
      <c r="F3080" s="4">
        <f t="shared" si="192"/>
        <v>11.898433333333335</v>
      </c>
      <c r="I3080" s="4" t="s">
        <v>3552</v>
      </c>
      <c r="J3080" s="4">
        <v>10.9329</v>
      </c>
      <c r="K3080" s="4">
        <v>11.896599999999999</v>
      </c>
      <c r="L3080" s="4">
        <v>11.3285</v>
      </c>
      <c r="M3080" s="4">
        <f t="shared" si="193"/>
        <v>11.386000000000001</v>
      </c>
      <c r="Q3080" s="43" t="s">
        <v>4537</v>
      </c>
      <c r="R3080" s="4">
        <v>12.407047058989299</v>
      </c>
      <c r="S3080" s="4">
        <v>12.406886095693</v>
      </c>
      <c r="T3080" s="4">
        <v>11.8117229887146</v>
      </c>
      <c r="U3080" s="4">
        <f t="shared" si="194"/>
        <v>12.208552047798966</v>
      </c>
      <c r="X3080" s="43" t="s">
        <v>2548</v>
      </c>
      <c r="Y3080" s="4">
        <v>11.789912013505401</v>
      </c>
      <c r="Z3080" s="4">
        <v>12.8780754968056</v>
      </c>
      <c r="AA3080" s="4">
        <v>12.8320183879948</v>
      </c>
      <c r="AB3080" s="4">
        <f t="shared" si="195"/>
        <v>12.500001966101934</v>
      </c>
    </row>
    <row r="3081" spans="2:28" x14ac:dyDescent="0.2">
      <c r="B3081" s="4" t="s">
        <v>3925</v>
      </c>
      <c r="C3081" s="4">
        <v>12.072699999999999</v>
      </c>
      <c r="D3081" s="4">
        <v>12.2986</v>
      </c>
      <c r="E3081" s="4">
        <v>11.3188</v>
      </c>
      <c r="F3081" s="4">
        <f t="shared" si="192"/>
        <v>11.896700000000001</v>
      </c>
      <c r="I3081" s="4" t="s">
        <v>3953</v>
      </c>
      <c r="J3081" s="4">
        <v>11.863</v>
      </c>
      <c r="K3081" s="4">
        <v>10.743600000000001</v>
      </c>
      <c r="L3081" s="4">
        <v>11.544</v>
      </c>
      <c r="M3081" s="4">
        <f t="shared" si="193"/>
        <v>11.383533333333332</v>
      </c>
      <c r="Q3081" s="43" t="s">
        <v>1802</v>
      </c>
      <c r="R3081" s="4">
        <v>12.186335712198099</v>
      </c>
      <c r="S3081" s="4">
        <v>12.664693967490599</v>
      </c>
      <c r="T3081" s="4">
        <v>11.7634144740602</v>
      </c>
      <c r="U3081" s="4">
        <f t="shared" si="194"/>
        <v>12.2048147179163</v>
      </c>
      <c r="X3081" s="43" t="s">
        <v>3189</v>
      </c>
      <c r="Y3081" s="4">
        <v>12.5347972137182</v>
      </c>
      <c r="Z3081" s="4">
        <v>12.4319904084053</v>
      </c>
      <c r="AA3081" s="4">
        <v>12.5304505106627</v>
      </c>
      <c r="AB3081" s="4">
        <f t="shared" si="195"/>
        <v>12.499079377595399</v>
      </c>
    </row>
    <row r="3082" spans="2:28" x14ac:dyDescent="0.2">
      <c r="B3082" s="4" t="s">
        <v>1607</v>
      </c>
      <c r="C3082" s="4">
        <v>12.2044</v>
      </c>
      <c r="D3082" s="4">
        <v>12.0268</v>
      </c>
      <c r="E3082" s="4">
        <v>11.4572</v>
      </c>
      <c r="F3082" s="4">
        <f t="shared" si="192"/>
        <v>11.896133333333333</v>
      </c>
      <c r="I3082" s="4" t="s">
        <v>2702</v>
      </c>
      <c r="J3082" s="4">
        <v>12.2834</v>
      </c>
      <c r="K3082" s="4">
        <v>11.7035</v>
      </c>
      <c r="L3082" s="4">
        <v>10.137499999999999</v>
      </c>
      <c r="M3082" s="4">
        <f t="shared" si="193"/>
        <v>11.374799999999999</v>
      </c>
      <c r="Q3082" s="43" t="s">
        <v>4560</v>
      </c>
      <c r="R3082" s="4">
        <v>12.482918722492</v>
      </c>
      <c r="S3082" s="4">
        <v>12.080793869380001</v>
      </c>
      <c r="T3082" s="4">
        <v>12.039335436903</v>
      </c>
      <c r="U3082" s="4">
        <f t="shared" si="194"/>
        <v>12.201016009591667</v>
      </c>
      <c r="X3082" s="43" t="s">
        <v>4451</v>
      </c>
      <c r="Y3082" s="4">
        <v>12.1397037909259</v>
      </c>
      <c r="Z3082" s="4">
        <v>12.763117005155401</v>
      </c>
      <c r="AA3082" s="4">
        <v>12.5916664625995</v>
      </c>
      <c r="AB3082" s="4">
        <f t="shared" si="195"/>
        <v>12.498162419560266</v>
      </c>
    </row>
    <row r="3083" spans="2:28" x14ac:dyDescent="0.2">
      <c r="B3083" s="4" t="s">
        <v>668</v>
      </c>
      <c r="C3083" s="4">
        <v>12.8485</v>
      </c>
      <c r="D3083" s="4">
        <v>11.1921</v>
      </c>
      <c r="E3083" s="4">
        <v>11.6455</v>
      </c>
      <c r="F3083" s="4">
        <f t="shared" si="192"/>
        <v>11.895366666666666</v>
      </c>
      <c r="I3083" s="4" t="s">
        <v>2623</v>
      </c>
      <c r="J3083" s="4">
        <v>11.331899999999999</v>
      </c>
      <c r="K3083" s="4">
        <v>10.785500000000001</v>
      </c>
      <c r="L3083" s="4">
        <v>12.003399999999999</v>
      </c>
      <c r="M3083" s="4">
        <f t="shared" si="193"/>
        <v>11.373600000000001</v>
      </c>
      <c r="Q3083" s="43" t="s">
        <v>2981</v>
      </c>
      <c r="R3083" s="4">
        <v>12.345790074374801</v>
      </c>
      <c r="S3083" s="4">
        <v>12.217784302918099</v>
      </c>
      <c r="T3083" s="4">
        <v>12.036127088356199</v>
      </c>
      <c r="U3083" s="4">
        <f t="shared" si="194"/>
        <v>12.199900488549702</v>
      </c>
      <c r="X3083" s="43" t="s">
        <v>3950</v>
      </c>
      <c r="Y3083" s="4">
        <v>12.4319373485227</v>
      </c>
      <c r="Z3083" s="4">
        <v>12.3385167856958</v>
      </c>
      <c r="AA3083" s="4">
        <v>12.722798624919401</v>
      </c>
      <c r="AB3083" s="4">
        <f t="shared" si="195"/>
        <v>12.497750919712635</v>
      </c>
    </row>
    <row r="3084" spans="2:28" x14ac:dyDescent="0.2">
      <c r="B3084" s="4" t="s">
        <v>1520</v>
      </c>
      <c r="C3084" s="4">
        <v>9.3835999999999995</v>
      </c>
      <c r="D3084" s="4">
        <v>12.499700000000001</v>
      </c>
      <c r="E3084" s="4">
        <v>13.7812</v>
      </c>
      <c r="F3084" s="4">
        <f t="shared" si="192"/>
        <v>11.888166666666665</v>
      </c>
      <c r="I3084" s="4" t="s">
        <v>1967</v>
      </c>
      <c r="J3084" s="4">
        <v>11.443899999999999</v>
      </c>
      <c r="K3084" s="4">
        <v>10.0844</v>
      </c>
      <c r="L3084" s="4">
        <v>12.5905</v>
      </c>
      <c r="M3084" s="4">
        <f t="shared" si="193"/>
        <v>11.372933333333334</v>
      </c>
      <c r="Q3084" s="43" t="s">
        <v>1225</v>
      </c>
      <c r="R3084" s="4">
        <v>11.724127320474601</v>
      </c>
      <c r="S3084" s="4">
        <v>12.225455137773</v>
      </c>
      <c r="T3084" s="4">
        <v>12.642175373410801</v>
      </c>
      <c r="U3084" s="4">
        <f t="shared" si="194"/>
        <v>12.1972526105528</v>
      </c>
      <c r="X3084" s="43" t="s">
        <v>0</v>
      </c>
      <c r="Y3084" s="4">
        <v>12.311253572888599</v>
      </c>
      <c r="Z3084" s="4">
        <v>12.520964280635299</v>
      </c>
      <c r="AA3084" s="4">
        <v>12.6597442315396</v>
      </c>
      <c r="AB3084" s="4">
        <f t="shared" si="195"/>
        <v>12.497320695021166</v>
      </c>
    </row>
    <row r="3085" spans="2:28" x14ac:dyDescent="0.2">
      <c r="B3085" s="4" t="s">
        <v>184</v>
      </c>
      <c r="C3085" s="4">
        <v>12.1952</v>
      </c>
      <c r="D3085" s="4">
        <v>11.9488</v>
      </c>
      <c r="E3085" s="4">
        <v>11.519600000000001</v>
      </c>
      <c r="F3085" s="4">
        <f t="shared" si="192"/>
        <v>11.887866666666667</v>
      </c>
      <c r="I3085" s="4" t="s">
        <v>2420</v>
      </c>
      <c r="J3085" s="4">
        <v>12.0961</v>
      </c>
      <c r="K3085" s="4">
        <v>10.833299999999999</v>
      </c>
      <c r="L3085" s="4">
        <v>11.153499999999999</v>
      </c>
      <c r="M3085" s="4">
        <f t="shared" si="193"/>
        <v>11.360966666666668</v>
      </c>
      <c r="Q3085" s="43" t="s">
        <v>2493</v>
      </c>
      <c r="R3085" s="4">
        <v>12.238093110502501</v>
      </c>
      <c r="S3085" s="4">
        <v>12.339007237262701</v>
      </c>
      <c r="T3085" s="4">
        <v>11.974498661604599</v>
      </c>
      <c r="U3085" s="4">
        <f t="shared" si="194"/>
        <v>12.183866336456601</v>
      </c>
      <c r="X3085" s="43" t="s">
        <v>4267</v>
      </c>
      <c r="Y3085" s="4">
        <v>12.3104672525134</v>
      </c>
      <c r="Z3085" s="4">
        <v>12.1963297190466</v>
      </c>
      <c r="AA3085" s="4">
        <v>12.984778276336201</v>
      </c>
      <c r="AB3085" s="4">
        <f t="shared" si="195"/>
        <v>12.497191749298734</v>
      </c>
    </row>
    <row r="3086" spans="2:28" x14ac:dyDescent="0.2">
      <c r="B3086" s="4" t="s">
        <v>36</v>
      </c>
      <c r="C3086" s="4">
        <v>11.7141</v>
      </c>
      <c r="D3086" s="4">
        <v>11.9138</v>
      </c>
      <c r="E3086" s="4">
        <v>12.007400000000001</v>
      </c>
      <c r="F3086" s="4">
        <f t="shared" si="192"/>
        <v>11.878433333333334</v>
      </c>
      <c r="I3086" s="4" t="s">
        <v>4047</v>
      </c>
      <c r="J3086" s="4">
        <v>12.0473</v>
      </c>
      <c r="K3086" s="4">
        <v>10.7478</v>
      </c>
      <c r="L3086" s="4">
        <v>11.213699999999999</v>
      </c>
      <c r="M3086" s="4">
        <f t="shared" si="193"/>
        <v>11.336266666666665</v>
      </c>
      <c r="Q3086" s="43" t="s">
        <v>4138</v>
      </c>
      <c r="R3086" s="4">
        <v>11.778267361944399</v>
      </c>
      <c r="S3086" s="4">
        <v>12.3886450338358</v>
      </c>
      <c r="T3086" s="4">
        <v>12.382761241413</v>
      </c>
      <c r="U3086" s="4">
        <f t="shared" si="194"/>
        <v>12.183224545731067</v>
      </c>
      <c r="X3086" s="43" t="s">
        <v>1459</v>
      </c>
      <c r="Y3086" s="4">
        <v>12.4255679855682</v>
      </c>
      <c r="Z3086" s="4">
        <v>12.469917676011899</v>
      </c>
      <c r="AA3086" s="4">
        <v>12.5908215875289</v>
      </c>
      <c r="AB3086" s="4">
        <f t="shared" si="195"/>
        <v>12.495435749703001</v>
      </c>
    </row>
    <row r="3087" spans="2:28" x14ac:dyDescent="0.2">
      <c r="B3087" s="4" t="s">
        <v>2464</v>
      </c>
      <c r="C3087" s="4">
        <v>11.9772</v>
      </c>
      <c r="D3087" s="4">
        <v>11.7753</v>
      </c>
      <c r="E3087" s="4">
        <v>11.8658</v>
      </c>
      <c r="F3087" s="4">
        <f t="shared" si="192"/>
        <v>11.872766666666665</v>
      </c>
      <c r="I3087" s="4" t="s">
        <v>4048</v>
      </c>
      <c r="J3087" s="4">
        <v>11.678599999999999</v>
      </c>
      <c r="K3087" s="4">
        <v>10.761100000000001</v>
      </c>
      <c r="L3087" s="4">
        <v>11.553100000000001</v>
      </c>
      <c r="M3087" s="4">
        <f t="shared" si="193"/>
        <v>11.330933333333334</v>
      </c>
      <c r="Q3087" s="43" t="s">
        <v>3298</v>
      </c>
      <c r="R3087" s="4">
        <v>12.1116965832046</v>
      </c>
      <c r="S3087" s="4">
        <v>12.1197408196127</v>
      </c>
      <c r="T3087" s="4">
        <v>12.312280757656</v>
      </c>
      <c r="U3087" s="4">
        <f t="shared" si="194"/>
        <v>12.181239386824432</v>
      </c>
      <c r="X3087" s="43" t="s">
        <v>4085</v>
      </c>
      <c r="Y3087" s="4">
        <v>12.5516791636074</v>
      </c>
      <c r="Z3087" s="4">
        <v>12.2944509895864</v>
      </c>
      <c r="AA3087" s="4">
        <v>12.628365668043701</v>
      </c>
      <c r="AB3087" s="4">
        <f t="shared" si="195"/>
        <v>12.491498607079166</v>
      </c>
    </row>
    <row r="3088" spans="2:28" x14ac:dyDescent="0.2">
      <c r="B3088" s="4" t="s">
        <v>2141</v>
      </c>
      <c r="C3088" s="4">
        <v>12.0083</v>
      </c>
      <c r="D3088" s="4">
        <v>11.9169</v>
      </c>
      <c r="E3088" s="4">
        <v>11.6896</v>
      </c>
      <c r="F3088" s="4">
        <f t="shared" si="192"/>
        <v>11.871600000000001</v>
      </c>
      <c r="I3088" s="4" t="s">
        <v>957</v>
      </c>
      <c r="J3088" s="4">
        <v>12.0619</v>
      </c>
      <c r="K3088" s="4">
        <v>10.1081</v>
      </c>
      <c r="L3088" s="4">
        <v>11.8056</v>
      </c>
      <c r="M3088" s="4">
        <f t="shared" si="193"/>
        <v>11.325200000000001</v>
      </c>
      <c r="Q3088" s="43" t="s">
        <v>3367</v>
      </c>
      <c r="R3088" s="4">
        <v>12.124004909290401</v>
      </c>
      <c r="S3088" s="4">
        <v>12.211400580196599</v>
      </c>
      <c r="T3088" s="4">
        <v>12.2063784692469</v>
      </c>
      <c r="U3088" s="4">
        <f t="shared" si="194"/>
        <v>12.180594652911301</v>
      </c>
      <c r="X3088" s="43" t="s">
        <v>4421</v>
      </c>
      <c r="Y3088" s="4">
        <v>12.5835289316417</v>
      </c>
      <c r="Z3088" s="4">
        <v>12.553647862122499</v>
      </c>
      <c r="AA3088" s="4">
        <v>12.335336356693601</v>
      </c>
      <c r="AB3088" s="4">
        <f t="shared" si="195"/>
        <v>12.490837716819266</v>
      </c>
    </row>
    <row r="3089" spans="2:28" x14ac:dyDescent="0.2">
      <c r="B3089" s="4" t="s">
        <v>1786</v>
      </c>
      <c r="C3089" s="4">
        <v>12.1936</v>
      </c>
      <c r="D3089" s="4">
        <v>11.601800000000001</v>
      </c>
      <c r="E3089" s="4">
        <v>11.815200000000001</v>
      </c>
      <c r="F3089" s="4">
        <f t="shared" si="192"/>
        <v>11.870200000000002</v>
      </c>
      <c r="I3089" s="4" t="s">
        <v>472</v>
      </c>
      <c r="J3089" s="4">
        <v>10.305300000000001</v>
      </c>
      <c r="K3089" s="4">
        <v>12.7826</v>
      </c>
      <c r="L3089" s="4">
        <v>10.855700000000001</v>
      </c>
      <c r="M3089" s="4">
        <f t="shared" si="193"/>
        <v>11.314533333333335</v>
      </c>
      <c r="Q3089" s="43" t="s">
        <v>992</v>
      </c>
      <c r="R3089" s="4">
        <v>12.349653517217901</v>
      </c>
      <c r="S3089" s="4">
        <v>11.991718962776799</v>
      </c>
      <c r="T3089" s="4">
        <v>12.172469166815199</v>
      </c>
      <c r="U3089" s="4">
        <f t="shared" si="194"/>
        <v>12.171280548936634</v>
      </c>
      <c r="X3089" s="43" t="s">
        <v>2421</v>
      </c>
      <c r="Y3089" s="4">
        <v>12.210640012253799</v>
      </c>
      <c r="Z3089" s="4">
        <v>12.495816886044301</v>
      </c>
      <c r="AA3089" s="4">
        <v>12.7649268349859</v>
      </c>
      <c r="AB3089" s="4">
        <f t="shared" si="195"/>
        <v>12.490461244427999</v>
      </c>
    </row>
    <row r="3090" spans="2:28" x14ac:dyDescent="0.2">
      <c r="B3090" s="4" t="s">
        <v>4117</v>
      </c>
      <c r="C3090" s="4">
        <v>11.860200000000001</v>
      </c>
      <c r="D3090" s="4">
        <v>12.0726</v>
      </c>
      <c r="E3090" s="4">
        <v>11.6723</v>
      </c>
      <c r="F3090" s="4">
        <f t="shared" si="192"/>
        <v>11.868366666666667</v>
      </c>
      <c r="I3090" s="4" t="s">
        <v>3699</v>
      </c>
      <c r="J3090" s="4">
        <v>10.4764</v>
      </c>
      <c r="K3090" s="4">
        <v>12.041700000000001</v>
      </c>
      <c r="L3090" s="4">
        <v>11.3185</v>
      </c>
      <c r="M3090" s="4">
        <f t="shared" si="193"/>
        <v>11.278866666666667</v>
      </c>
      <c r="Q3090" s="43" t="s">
        <v>4380</v>
      </c>
      <c r="R3090" s="4">
        <v>11.8495357035947</v>
      </c>
      <c r="S3090" s="4">
        <v>12.327559658058201</v>
      </c>
      <c r="T3090" s="4">
        <v>12.3333457918698</v>
      </c>
      <c r="U3090" s="4">
        <f t="shared" si="194"/>
        <v>12.170147051174235</v>
      </c>
      <c r="X3090" s="43" t="s">
        <v>2562</v>
      </c>
      <c r="Y3090" s="4">
        <v>12.6129006439776</v>
      </c>
      <c r="Z3090" s="4">
        <v>12.5781109720659</v>
      </c>
      <c r="AA3090" s="4">
        <v>12.2796687451079</v>
      </c>
      <c r="AB3090" s="4">
        <f t="shared" si="195"/>
        <v>12.490226787050467</v>
      </c>
    </row>
    <row r="3091" spans="2:28" x14ac:dyDescent="0.2">
      <c r="B3091" s="4" t="s">
        <v>3737</v>
      </c>
      <c r="C3091" s="4">
        <v>11.4986</v>
      </c>
      <c r="D3091" s="4">
        <v>12.590299999999999</v>
      </c>
      <c r="E3091" s="4">
        <v>11.5025</v>
      </c>
      <c r="F3091" s="4">
        <f t="shared" si="192"/>
        <v>11.863799999999999</v>
      </c>
      <c r="I3091" s="4" t="s">
        <v>1551</v>
      </c>
      <c r="J3091" s="4">
        <v>11.6111</v>
      </c>
      <c r="K3091" s="4">
        <v>11.068099999999999</v>
      </c>
      <c r="L3091" s="4">
        <v>11.1309</v>
      </c>
      <c r="M3091" s="4">
        <f t="shared" si="193"/>
        <v>11.270033333333336</v>
      </c>
      <c r="Q3091" s="43" t="s">
        <v>547</v>
      </c>
      <c r="R3091" s="4">
        <v>11.741416350813701</v>
      </c>
      <c r="S3091" s="4">
        <v>12.438102230789401</v>
      </c>
      <c r="T3091" s="4">
        <v>12.3307524048635</v>
      </c>
      <c r="U3091" s="4">
        <f t="shared" si="194"/>
        <v>12.1700903288222</v>
      </c>
      <c r="X3091" s="43" t="s">
        <v>1011</v>
      </c>
      <c r="Y3091" s="4">
        <v>12.1072789144065</v>
      </c>
      <c r="Z3091" s="4">
        <v>12.7453612289462</v>
      </c>
      <c r="AA3091" s="4">
        <v>12.602773309403499</v>
      </c>
      <c r="AB3091" s="4">
        <f t="shared" si="195"/>
        <v>12.485137817585402</v>
      </c>
    </row>
    <row r="3092" spans="2:28" x14ac:dyDescent="0.2">
      <c r="B3092" s="4" t="s">
        <v>3603</v>
      </c>
      <c r="C3092" s="4">
        <v>11.744300000000001</v>
      </c>
      <c r="D3092" s="4">
        <v>11.785399999999999</v>
      </c>
      <c r="E3092" s="4">
        <v>12.0487</v>
      </c>
      <c r="F3092" s="4">
        <f t="shared" si="192"/>
        <v>11.859466666666668</v>
      </c>
      <c r="I3092" s="4" t="s">
        <v>1750</v>
      </c>
      <c r="J3092" s="4">
        <v>10.876799999999999</v>
      </c>
      <c r="K3092" s="4">
        <v>11.7476</v>
      </c>
      <c r="L3092" s="4">
        <v>11.1843</v>
      </c>
      <c r="M3092" s="4">
        <f t="shared" si="193"/>
        <v>11.269566666666668</v>
      </c>
      <c r="Q3092" s="43" t="s">
        <v>3608</v>
      </c>
      <c r="R3092" s="4">
        <v>12.114008430271999</v>
      </c>
      <c r="S3092" s="4">
        <v>12.318616681567001</v>
      </c>
      <c r="T3092" s="4">
        <v>12.0731535332155</v>
      </c>
      <c r="U3092" s="4">
        <f t="shared" si="194"/>
        <v>12.168592881684836</v>
      </c>
      <c r="X3092" s="43" t="s">
        <v>3883</v>
      </c>
      <c r="Y3092" s="4">
        <v>12.344059206531</v>
      </c>
      <c r="Z3092" s="4">
        <v>12.475239686449401</v>
      </c>
      <c r="AA3092" s="4">
        <v>12.625932869762799</v>
      </c>
      <c r="AB3092" s="4">
        <f t="shared" si="195"/>
        <v>12.481743920914399</v>
      </c>
    </row>
    <row r="3093" spans="2:28" x14ac:dyDescent="0.2">
      <c r="B3093" s="4" t="s">
        <v>2688</v>
      </c>
      <c r="C3093" s="4">
        <v>11.964499999999999</v>
      </c>
      <c r="D3093" s="4">
        <v>11.427300000000001</v>
      </c>
      <c r="E3093" s="4">
        <v>12.185</v>
      </c>
      <c r="F3093" s="4">
        <f t="shared" si="192"/>
        <v>11.858933333333333</v>
      </c>
      <c r="I3093" s="4" t="s">
        <v>3005</v>
      </c>
      <c r="J3093" s="4">
        <v>11.6517</v>
      </c>
      <c r="K3093" s="4">
        <v>11.471500000000001</v>
      </c>
      <c r="L3093" s="4">
        <v>10.647</v>
      </c>
      <c r="M3093" s="4">
        <f t="shared" si="193"/>
        <v>11.256733333333335</v>
      </c>
      <c r="Q3093" s="43" t="s">
        <v>1054</v>
      </c>
      <c r="R3093" s="4">
        <v>11.6292316681032</v>
      </c>
      <c r="S3093" s="4">
        <v>12.471486895628299</v>
      </c>
      <c r="T3093" s="4">
        <v>12.4049466107515</v>
      </c>
      <c r="U3093" s="4">
        <f t="shared" si="194"/>
        <v>12.168555058160999</v>
      </c>
      <c r="X3093" s="43" t="s">
        <v>421</v>
      </c>
      <c r="Y3093" s="4">
        <v>12.7403122369633</v>
      </c>
      <c r="Z3093" s="4">
        <v>12.2821620026321</v>
      </c>
      <c r="AA3093" s="4">
        <v>12.4204193545834</v>
      </c>
      <c r="AB3093" s="4">
        <f t="shared" si="195"/>
        <v>12.480964531392933</v>
      </c>
    </row>
    <row r="3094" spans="2:28" x14ac:dyDescent="0.2">
      <c r="B3094" s="4" t="s">
        <v>2758</v>
      </c>
      <c r="C3094" s="4">
        <v>11.438499999999999</v>
      </c>
      <c r="D3094" s="4">
        <v>12.022399999999999</v>
      </c>
      <c r="E3094" s="4">
        <v>12.111000000000001</v>
      </c>
      <c r="F3094" s="4">
        <f t="shared" si="192"/>
        <v>11.8573</v>
      </c>
      <c r="I3094" s="4" t="s">
        <v>333</v>
      </c>
      <c r="J3094" s="4">
        <v>10.387600000000001</v>
      </c>
      <c r="K3094" s="4">
        <v>12.2943</v>
      </c>
      <c r="L3094" s="4">
        <v>11.0852</v>
      </c>
      <c r="M3094" s="4">
        <f t="shared" si="193"/>
        <v>11.255699999999999</v>
      </c>
      <c r="Q3094" s="43" t="s">
        <v>737</v>
      </c>
      <c r="R3094" s="4">
        <v>11.9124842790687</v>
      </c>
      <c r="S3094" s="4">
        <v>12.403829023373101</v>
      </c>
      <c r="T3094" s="4">
        <v>12.1862078253462</v>
      </c>
      <c r="U3094" s="4">
        <f t="shared" si="194"/>
        <v>12.167507042596</v>
      </c>
      <c r="X3094" s="43" t="s">
        <v>4283</v>
      </c>
      <c r="Y3094" s="4">
        <v>12.797441201315101</v>
      </c>
      <c r="Z3094" s="4">
        <v>12.3681631009102</v>
      </c>
      <c r="AA3094" s="4">
        <v>12.256692807771399</v>
      </c>
      <c r="AB3094" s="4">
        <f t="shared" si="195"/>
        <v>12.474099036665566</v>
      </c>
    </row>
    <row r="3095" spans="2:28" x14ac:dyDescent="0.2">
      <c r="B3095" s="4" t="s">
        <v>3274</v>
      </c>
      <c r="C3095" s="4">
        <v>11.543200000000001</v>
      </c>
      <c r="D3095" s="4">
        <v>12.118600000000001</v>
      </c>
      <c r="E3095" s="4">
        <v>11.9068</v>
      </c>
      <c r="F3095" s="4">
        <f t="shared" si="192"/>
        <v>11.856200000000001</v>
      </c>
      <c r="I3095" s="4" t="s">
        <v>285</v>
      </c>
      <c r="J3095" s="4">
        <v>11.686299999999999</v>
      </c>
      <c r="K3095" s="4">
        <v>10.324400000000001</v>
      </c>
      <c r="L3095" s="4">
        <v>11.7361</v>
      </c>
      <c r="M3095" s="4">
        <f t="shared" si="193"/>
        <v>11.248933333333333</v>
      </c>
      <c r="Q3095" s="43" t="s">
        <v>4239</v>
      </c>
      <c r="R3095" s="4">
        <v>12.1484414537001</v>
      </c>
      <c r="S3095" s="4">
        <v>12.121092770995601</v>
      </c>
      <c r="T3095" s="4">
        <v>12.210686570634399</v>
      </c>
      <c r="U3095" s="4">
        <f t="shared" si="194"/>
        <v>12.160073598443367</v>
      </c>
      <c r="X3095" s="43" t="s">
        <v>1940</v>
      </c>
      <c r="Y3095" s="4">
        <v>12.3481248760627</v>
      </c>
      <c r="Z3095" s="4">
        <v>12.565567331757601</v>
      </c>
      <c r="AA3095" s="4">
        <v>12.5009034495933</v>
      </c>
      <c r="AB3095" s="4">
        <f t="shared" si="195"/>
        <v>12.471531885804533</v>
      </c>
    </row>
    <row r="3096" spans="2:28" x14ac:dyDescent="0.2">
      <c r="B3096" s="4" t="s">
        <v>3327</v>
      </c>
      <c r="C3096" s="4">
        <v>12.1012</v>
      </c>
      <c r="D3096" s="4">
        <v>12.004099999999999</v>
      </c>
      <c r="E3096" s="4">
        <v>11.443099999999999</v>
      </c>
      <c r="F3096" s="4">
        <f t="shared" si="192"/>
        <v>11.849466666666666</v>
      </c>
      <c r="I3096" s="4" t="s">
        <v>3297</v>
      </c>
      <c r="J3096" s="4">
        <v>11.270899999999999</v>
      </c>
      <c r="K3096" s="4">
        <v>10.5098</v>
      </c>
      <c r="L3096" s="4">
        <v>11.953200000000001</v>
      </c>
      <c r="M3096" s="4">
        <f t="shared" si="193"/>
        <v>11.244633333333333</v>
      </c>
      <c r="Q3096" s="43" t="s">
        <v>127</v>
      </c>
      <c r="R3096" s="4">
        <v>11.4085082980778</v>
      </c>
      <c r="S3096" s="4">
        <v>12.404475299</v>
      </c>
      <c r="T3096" s="4">
        <v>12.640516785573899</v>
      </c>
      <c r="U3096" s="4">
        <f t="shared" si="194"/>
        <v>12.151166794217232</v>
      </c>
      <c r="X3096" s="43" t="s">
        <v>2407</v>
      </c>
      <c r="Y3096" s="4">
        <v>12.417253522124501</v>
      </c>
      <c r="Z3096" s="4">
        <v>12.3276005206547</v>
      </c>
      <c r="AA3096" s="4">
        <v>12.666968357896801</v>
      </c>
      <c r="AB3096" s="4">
        <f t="shared" si="195"/>
        <v>12.470607466892</v>
      </c>
    </row>
    <row r="3097" spans="2:28" x14ac:dyDescent="0.2">
      <c r="B3097" s="4" t="s">
        <v>3130</v>
      </c>
      <c r="C3097" s="4">
        <v>10.972799999999999</v>
      </c>
      <c r="D3097" s="4">
        <v>12.3657</v>
      </c>
      <c r="E3097" s="4">
        <v>12.198</v>
      </c>
      <c r="F3097" s="4">
        <f t="shared" si="192"/>
        <v>11.845500000000001</v>
      </c>
      <c r="I3097" s="4" t="s">
        <v>2977</v>
      </c>
      <c r="J3097" s="4">
        <v>10.729200000000001</v>
      </c>
      <c r="K3097" s="4">
        <v>10.7515</v>
      </c>
      <c r="L3097" s="4">
        <v>12.2319</v>
      </c>
      <c r="M3097" s="4">
        <f t="shared" si="193"/>
        <v>11.237533333333332</v>
      </c>
      <c r="Q3097" s="43" t="s">
        <v>4172</v>
      </c>
      <c r="R3097" s="4">
        <v>12.3518010094717</v>
      </c>
      <c r="S3097" s="4">
        <v>11.9853473697334</v>
      </c>
      <c r="T3097" s="4">
        <v>12.108048082586199</v>
      </c>
      <c r="U3097" s="4">
        <f t="shared" si="194"/>
        <v>12.1483988205971</v>
      </c>
      <c r="X3097" s="43" t="s">
        <v>4498</v>
      </c>
      <c r="Y3097" s="4">
        <v>12.4024719329093</v>
      </c>
      <c r="Z3097" s="4">
        <v>12.269635873377799</v>
      </c>
      <c r="AA3097" s="4">
        <v>12.729586903167201</v>
      </c>
      <c r="AB3097" s="4">
        <f t="shared" si="195"/>
        <v>12.467231569818102</v>
      </c>
    </row>
    <row r="3098" spans="2:28" x14ac:dyDescent="0.2">
      <c r="B3098" s="4" t="s">
        <v>2977</v>
      </c>
      <c r="C3098" s="4">
        <v>11.324400000000001</v>
      </c>
      <c r="D3098" s="4">
        <v>11.8003</v>
      </c>
      <c r="E3098" s="4">
        <v>12.409000000000001</v>
      </c>
      <c r="F3098" s="4">
        <f t="shared" si="192"/>
        <v>11.844566666666667</v>
      </c>
      <c r="I3098" s="4" t="s">
        <v>259</v>
      </c>
      <c r="J3098" s="4">
        <v>11.2349</v>
      </c>
      <c r="K3098" s="4">
        <v>10.8378</v>
      </c>
      <c r="L3098" s="4">
        <v>11.637600000000001</v>
      </c>
      <c r="M3098" s="4">
        <f t="shared" si="193"/>
        <v>11.236766666666666</v>
      </c>
      <c r="Q3098" s="43" t="s">
        <v>693</v>
      </c>
      <c r="R3098" s="4">
        <v>11.888511734965199</v>
      </c>
      <c r="S3098" s="4">
        <v>12.3979494209936</v>
      </c>
      <c r="T3098" s="4">
        <v>12.158060068255301</v>
      </c>
      <c r="U3098" s="4">
        <f t="shared" si="194"/>
        <v>12.148173741404699</v>
      </c>
      <c r="X3098" s="43" t="s">
        <v>1559</v>
      </c>
      <c r="Y3098" s="4">
        <v>12.405171610054399</v>
      </c>
      <c r="Z3098" s="4">
        <v>12.170211650977301</v>
      </c>
      <c r="AA3098" s="4">
        <v>12.8255676569164</v>
      </c>
      <c r="AB3098" s="4">
        <f t="shared" si="195"/>
        <v>12.466983639316034</v>
      </c>
    </row>
    <row r="3099" spans="2:28" x14ac:dyDescent="0.2">
      <c r="B3099" s="4" t="s">
        <v>3291</v>
      </c>
      <c r="C3099" s="4">
        <v>12.223800000000001</v>
      </c>
      <c r="D3099" s="4">
        <v>11.730700000000001</v>
      </c>
      <c r="E3099" s="4">
        <v>11.5532</v>
      </c>
      <c r="F3099" s="4">
        <f t="shared" si="192"/>
        <v>11.835900000000001</v>
      </c>
      <c r="I3099" s="4" t="s">
        <v>1000</v>
      </c>
      <c r="J3099" s="4">
        <v>11.1579</v>
      </c>
      <c r="K3099" s="4">
        <v>10.5227</v>
      </c>
      <c r="L3099" s="4">
        <v>12.007300000000001</v>
      </c>
      <c r="M3099" s="4">
        <f t="shared" si="193"/>
        <v>11.2293</v>
      </c>
      <c r="Q3099" s="43" t="s">
        <v>3280</v>
      </c>
      <c r="R3099" s="4">
        <v>12.177541679949201</v>
      </c>
      <c r="S3099" s="4">
        <v>12.2609640770266</v>
      </c>
      <c r="T3099" s="4">
        <v>11.999697534564699</v>
      </c>
      <c r="U3099" s="4">
        <f t="shared" si="194"/>
        <v>12.146067763846835</v>
      </c>
      <c r="X3099" s="43" t="s">
        <v>4418</v>
      </c>
      <c r="Y3099" s="4">
        <v>12.382537310423199</v>
      </c>
      <c r="Z3099" s="4">
        <v>12.441202703579201</v>
      </c>
      <c r="AA3099" s="4">
        <v>12.572095876491201</v>
      </c>
      <c r="AB3099" s="4">
        <f t="shared" si="195"/>
        <v>12.465278630164534</v>
      </c>
    </row>
    <row r="3100" spans="2:28" x14ac:dyDescent="0.2">
      <c r="B3100" s="4" t="s">
        <v>3773</v>
      </c>
      <c r="C3100" s="4">
        <v>11.9663</v>
      </c>
      <c r="D3100" s="4">
        <v>11.4308</v>
      </c>
      <c r="E3100" s="4">
        <v>12.0997</v>
      </c>
      <c r="F3100" s="4">
        <f t="shared" si="192"/>
        <v>11.832266666666667</v>
      </c>
      <c r="I3100" s="4" t="s">
        <v>3067</v>
      </c>
      <c r="J3100" s="4">
        <v>10.533200000000001</v>
      </c>
      <c r="K3100" s="4">
        <v>11.5665</v>
      </c>
      <c r="L3100" s="4">
        <v>11.5276</v>
      </c>
      <c r="M3100" s="4">
        <f t="shared" si="193"/>
        <v>11.209099999999999</v>
      </c>
      <c r="Q3100" s="43" t="s">
        <v>893</v>
      </c>
      <c r="R3100" s="4">
        <v>11.766954924698901</v>
      </c>
      <c r="S3100" s="4">
        <v>12.6424487120407</v>
      </c>
      <c r="T3100" s="4">
        <v>12.021112919979499</v>
      </c>
      <c r="U3100" s="4">
        <f t="shared" si="194"/>
        <v>12.143505518906366</v>
      </c>
      <c r="X3100" s="43" t="s">
        <v>624</v>
      </c>
      <c r="Y3100" s="4">
        <v>12.381737279534899</v>
      </c>
      <c r="Z3100" s="4">
        <v>12.286194635363699</v>
      </c>
      <c r="AA3100" s="4">
        <v>12.7185888504362</v>
      </c>
      <c r="AB3100" s="4">
        <f t="shared" si="195"/>
        <v>12.462173588444934</v>
      </c>
    </row>
    <row r="3101" spans="2:28" x14ac:dyDescent="0.2">
      <c r="B3101" s="4" t="s">
        <v>270</v>
      </c>
      <c r="C3101" s="4">
        <v>12.2942</v>
      </c>
      <c r="D3101" s="4">
        <v>11.4754</v>
      </c>
      <c r="E3101" s="4">
        <v>11.71</v>
      </c>
      <c r="F3101" s="4">
        <f t="shared" si="192"/>
        <v>11.826533333333336</v>
      </c>
      <c r="I3101" s="4" t="s">
        <v>2803</v>
      </c>
      <c r="J3101" s="4">
        <v>10.791399999999999</v>
      </c>
      <c r="K3101" s="4">
        <v>11.0868</v>
      </c>
      <c r="L3101" s="4">
        <v>11.7454</v>
      </c>
      <c r="M3101" s="4">
        <f t="shared" si="193"/>
        <v>11.207866666666666</v>
      </c>
      <c r="Q3101" s="43" t="s">
        <v>983</v>
      </c>
      <c r="R3101" s="4">
        <v>12.2128248328555</v>
      </c>
      <c r="S3101" s="4">
        <v>12.277243795053201</v>
      </c>
      <c r="T3101" s="4">
        <v>11.939482568581401</v>
      </c>
      <c r="U3101" s="4">
        <f t="shared" si="194"/>
        <v>12.143183732163365</v>
      </c>
      <c r="X3101" s="43" t="s">
        <v>3590</v>
      </c>
      <c r="Y3101" s="4">
        <v>12.3150140687203</v>
      </c>
      <c r="Z3101" s="4">
        <v>12.3674562417782</v>
      </c>
      <c r="AA3101" s="4">
        <v>12.7024119637568</v>
      </c>
      <c r="AB3101" s="4">
        <f t="shared" si="195"/>
        <v>12.461627424751768</v>
      </c>
    </row>
    <row r="3102" spans="2:28" x14ac:dyDescent="0.2">
      <c r="B3102" s="4" t="s">
        <v>3747</v>
      </c>
      <c r="C3102" s="4">
        <v>11.4217</v>
      </c>
      <c r="D3102" s="4">
        <v>11.9109</v>
      </c>
      <c r="E3102" s="4">
        <v>12.1447</v>
      </c>
      <c r="F3102" s="4">
        <f t="shared" si="192"/>
        <v>11.825766666666667</v>
      </c>
      <c r="I3102" s="4" t="s">
        <v>1646</v>
      </c>
      <c r="J3102" s="4">
        <v>11.157400000000001</v>
      </c>
      <c r="K3102" s="4">
        <v>11.2624</v>
      </c>
      <c r="L3102" s="4">
        <v>11.1698</v>
      </c>
      <c r="M3102" s="4">
        <f t="shared" si="193"/>
        <v>11.196533333333335</v>
      </c>
      <c r="Q3102" s="43" t="s">
        <v>79</v>
      </c>
      <c r="R3102" s="4">
        <v>11.7363257814362</v>
      </c>
      <c r="S3102" s="4">
        <v>12.3055571310529</v>
      </c>
      <c r="T3102" s="4">
        <v>12.361242261417599</v>
      </c>
      <c r="U3102" s="4">
        <f t="shared" si="194"/>
        <v>12.134375057968901</v>
      </c>
      <c r="X3102" s="43" t="s">
        <v>4444</v>
      </c>
      <c r="Y3102" s="4">
        <v>12.5106036340629</v>
      </c>
      <c r="Z3102" s="4">
        <v>12.368280037795801</v>
      </c>
      <c r="AA3102" s="4">
        <v>12.5025624595915</v>
      </c>
      <c r="AB3102" s="4">
        <f t="shared" si="195"/>
        <v>12.460482043816734</v>
      </c>
    </row>
    <row r="3103" spans="2:28" x14ac:dyDescent="0.2">
      <c r="B3103" s="4" t="s">
        <v>3491</v>
      </c>
      <c r="C3103" s="4">
        <v>11.045999999999999</v>
      </c>
      <c r="D3103" s="4">
        <v>11.909700000000001</v>
      </c>
      <c r="E3103" s="4">
        <v>12.5206</v>
      </c>
      <c r="F3103" s="4">
        <f t="shared" si="192"/>
        <v>11.825433333333335</v>
      </c>
      <c r="I3103" s="4" t="s">
        <v>1880</v>
      </c>
      <c r="J3103" s="4">
        <v>12.0342</v>
      </c>
      <c r="K3103" s="4">
        <v>10.7218</v>
      </c>
      <c r="L3103" s="4">
        <v>10.8133</v>
      </c>
      <c r="M3103" s="4">
        <f t="shared" si="193"/>
        <v>11.189766666666666</v>
      </c>
      <c r="Q3103" s="43" t="s">
        <v>3437</v>
      </c>
      <c r="R3103" s="4">
        <v>11.8090884039292</v>
      </c>
      <c r="S3103" s="4">
        <v>12.495310873107901</v>
      </c>
      <c r="T3103" s="4">
        <v>12.095329186849501</v>
      </c>
      <c r="U3103" s="4">
        <f t="shared" si="194"/>
        <v>12.133242821295534</v>
      </c>
      <c r="X3103" s="43" t="s">
        <v>777</v>
      </c>
      <c r="Y3103" s="4">
        <v>12.6291760014063</v>
      </c>
      <c r="Z3103" s="4">
        <v>12.261871376347401</v>
      </c>
      <c r="AA3103" s="4">
        <v>12.487066536402001</v>
      </c>
      <c r="AB3103" s="4">
        <f t="shared" si="195"/>
        <v>12.459371304718568</v>
      </c>
    </row>
    <row r="3104" spans="2:28" x14ac:dyDescent="0.2">
      <c r="B3104" s="4" t="s">
        <v>3841</v>
      </c>
      <c r="C3104" s="4">
        <v>11.549799999999999</v>
      </c>
      <c r="D3104" s="4">
        <v>11.9133</v>
      </c>
      <c r="E3104" s="4">
        <v>12.006500000000001</v>
      </c>
      <c r="F3104" s="4">
        <f t="shared" si="192"/>
        <v>11.8232</v>
      </c>
      <c r="I3104" s="4" t="s">
        <v>2246</v>
      </c>
      <c r="J3104" s="4">
        <v>11.164300000000001</v>
      </c>
      <c r="K3104" s="4">
        <v>10.723000000000001</v>
      </c>
      <c r="L3104" s="4">
        <v>11.628</v>
      </c>
      <c r="M3104" s="4">
        <f t="shared" si="193"/>
        <v>11.171766666666668</v>
      </c>
      <c r="Q3104" s="43" t="s">
        <v>1312</v>
      </c>
      <c r="R3104" s="4">
        <v>11.808019639371199</v>
      </c>
      <c r="S3104" s="4">
        <v>12.303056228647</v>
      </c>
      <c r="T3104" s="4">
        <v>12.275535981356899</v>
      </c>
      <c r="U3104" s="4">
        <f t="shared" si="194"/>
        <v>12.128870616458366</v>
      </c>
      <c r="X3104" s="43" t="s">
        <v>4136</v>
      </c>
      <c r="Y3104" s="4">
        <v>12.4838495617819</v>
      </c>
      <c r="Z3104" s="4">
        <v>12.368828940365599</v>
      </c>
      <c r="AA3104" s="4">
        <v>12.5119953202564</v>
      </c>
      <c r="AB3104" s="4">
        <f t="shared" si="195"/>
        <v>12.454891274134633</v>
      </c>
    </row>
    <row r="3105" spans="2:28" x14ac:dyDescent="0.2">
      <c r="B3105" s="4" t="s">
        <v>1119</v>
      </c>
      <c r="C3105" s="4">
        <v>11.9071</v>
      </c>
      <c r="D3105" s="4">
        <v>11.0023</v>
      </c>
      <c r="E3105" s="4">
        <v>12.555400000000001</v>
      </c>
      <c r="F3105" s="4">
        <f t="shared" si="192"/>
        <v>11.821599999999998</v>
      </c>
      <c r="I3105" s="4" t="s">
        <v>986</v>
      </c>
      <c r="J3105" s="4">
        <v>10.635199999999999</v>
      </c>
      <c r="K3105" s="4">
        <v>11.0176</v>
      </c>
      <c r="L3105" s="4">
        <v>11.8109</v>
      </c>
      <c r="M3105" s="4">
        <f t="shared" si="193"/>
        <v>11.154566666666668</v>
      </c>
      <c r="Q3105" s="43" t="s">
        <v>3724</v>
      </c>
      <c r="R3105" s="4">
        <v>12.289257908296999</v>
      </c>
      <c r="S3105" s="4">
        <v>11.9694686514695</v>
      </c>
      <c r="T3105" s="4">
        <v>12.125442960475199</v>
      </c>
      <c r="U3105" s="4">
        <f t="shared" si="194"/>
        <v>12.128056506747233</v>
      </c>
      <c r="X3105" s="43" t="s">
        <v>4407</v>
      </c>
      <c r="Y3105" s="4">
        <v>12.523150569800199</v>
      </c>
      <c r="Z3105" s="4">
        <v>12.4673461005594</v>
      </c>
      <c r="AA3105" s="4">
        <v>12.372890392134201</v>
      </c>
      <c r="AB3105" s="4">
        <f t="shared" si="195"/>
        <v>12.454462354164599</v>
      </c>
    </row>
    <row r="3106" spans="2:28" x14ac:dyDescent="0.2">
      <c r="B3106" s="4" t="s">
        <v>1806</v>
      </c>
      <c r="C3106" s="4">
        <v>13.017099999999999</v>
      </c>
      <c r="D3106" s="4">
        <v>11.6837</v>
      </c>
      <c r="E3106" s="4">
        <v>10.763</v>
      </c>
      <c r="F3106" s="4">
        <f t="shared" si="192"/>
        <v>11.821266666666666</v>
      </c>
      <c r="I3106" s="4" t="s">
        <v>914</v>
      </c>
      <c r="J3106" s="4">
        <v>10.962999999999999</v>
      </c>
      <c r="K3106" s="4">
        <v>11.9519</v>
      </c>
      <c r="L3106" s="4">
        <v>10.514200000000001</v>
      </c>
      <c r="M3106" s="4">
        <f t="shared" si="193"/>
        <v>11.143033333333333</v>
      </c>
      <c r="Q3106" s="43" t="s">
        <v>936</v>
      </c>
      <c r="R3106" s="4">
        <v>12.3254130586177</v>
      </c>
      <c r="S3106" s="4">
        <v>12.3998250522008</v>
      </c>
      <c r="T3106" s="4">
        <v>11.656270042299999</v>
      </c>
      <c r="U3106" s="4">
        <f t="shared" si="194"/>
        <v>12.127169384372834</v>
      </c>
      <c r="X3106" s="43" t="s">
        <v>4138</v>
      </c>
      <c r="Y3106" s="4">
        <v>12.654844756524801</v>
      </c>
      <c r="Z3106" s="4">
        <v>12.2576723252837</v>
      </c>
      <c r="AA3106" s="4">
        <v>12.4415969433146</v>
      </c>
      <c r="AB3106" s="4">
        <f t="shared" si="195"/>
        <v>12.4513713417077</v>
      </c>
    </row>
    <row r="3107" spans="2:28" x14ac:dyDescent="0.2">
      <c r="B3107" s="4" t="s">
        <v>3563</v>
      </c>
      <c r="C3107" s="4">
        <v>11.5025</v>
      </c>
      <c r="D3107" s="4">
        <v>11.7704</v>
      </c>
      <c r="E3107" s="4">
        <v>12.185499999999999</v>
      </c>
      <c r="F3107" s="4">
        <f t="shared" si="192"/>
        <v>11.819466666666665</v>
      </c>
      <c r="I3107" s="4" t="s">
        <v>2392</v>
      </c>
      <c r="J3107" s="4">
        <v>11.662800000000001</v>
      </c>
      <c r="K3107" s="4">
        <v>9.4781999999999993</v>
      </c>
      <c r="L3107" s="4">
        <v>12.2523</v>
      </c>
      <c r="M3107" s="4">
        <f t="shared" si="193"/>
        <v>11.131099999999998</v>
      </c>
      <c r="Q3107" s="43" t="s">
        <v>709</v>
      </c>
      <c r="R3107" s="4">
        <v>11.9199881679162</v>
      </c>
      <c r="S3107" s="4">
        <v>12.8892886266615</v>
      </c>
      <c r="T3107" s="4">
        <v>11.5719092457563</v>
      </c>
      <c r="U3107" s="4">
        <f t="shared" si="194"/>
        <v>12.127062013444666</v>
      </c>
      <c r="X3107" s="43" t="s">
        <v>3197</v>
      </c>
      <c r="Y3107" s="4">
        <v>11.9221868155604</v>
      </c>
      <c r="Z3107" s="4">
        <v>12.092093854310701</v>
      </c>
      <c r="AA3107" s="4">
        <v>13.334496975941599</v>
      </c>
      <c r="AB3107" s="4">
        <f t="shared" si="195"/>
        <v>12.449592548604231</v>
      </c>
    </row>
    <row r="3108" spans="2:28" x14ac:dyDescent="0.2">
      <c r="B3108" s="4" t="s">
        <v>2565</v>
      </c>
      <c r="C3108" s="4">
        <v>12.017099999999999</v>
      </c>
      <c r="D3108" s="4">
        <v>12.396100000000001</v>
      </c>
      <c r="E3108" s="4">
        <v>11.037599999999999</v>
      </c>
      <c r="F3108" s="4">
        <f t="shared" si="192"/>
        <v>11.816933333333333</v>
      </c>
      <c r="I3108" s="4" t="s">
        <v>3533</v>
      </c>
      <c r="J3108" s="4">
        <v>10.7608</v>
      </c>
      <c r="K3108" s="4">
        <v>11.644299999999999</v>
      </c>
      <c r="L3108" s="4">
        <v>10.970499999999999</v>
      </c>
      <c r="M3108" s="4">
        <f t="shared" si="193"/>
        <v>11.1252</v>
      </c>
      <c r="Q3108" s="43" t="s">
        <v>2133</v>
      </c>
      <c r="R3108" s="4">
        <v>11.948636350422399</v>
      </c>
      <c r="S3108" s="4">
        <v>12.2787513713655</v>
      </c>
      <c r="T3108" s="4">
        <v>12.1441342625824</v>
      </c>
      <c r="U3108" s="4">
        <f t="shared" si="194"/>
        <v>12.123840661456766</v>
      </c>
      <c r="X3108" s="43" t="s">
        <v>683</v>
      </c>
      <c r="Y3108" s="4">
        <v>12.624603002867399</v>
      </c>
      <c r="Z3108" s="4">
        <v>12.1576862247882</v>
      </c>
      <c r="AA3108" s="4">
        <v>12.5618747445292</v>
      </c>
      <c r="AB3108" s="4">
        <f t="shared" si="195"/>
        <v>12.448054657394934</v>
      </c>
    </row>
    <row r="3109" spans="2:28" x14ac:dyDescent="0.2">
      <c r="B3109" s="4" t="s">
        <v>3560</v>
      </c>
      <c r="C3109" s="4">
        <v>11.661199999999999</v>
      </c>
      <c r="D3109" s="4">
        <v>12.0695</v>
      </c>
      <c r="E3109" s="4">
        <v>11.715999999999999</v>
      </c>
      <c r="F3109" s="4">
        <f t="shared" si="192"/>
        <v>11.815566666666667</v>
      </c>
      <c r="I3109" s="4" t="s">
        <v>106</v>
      </c>
      <c r="J3109" s="4">
        <v>7.3329000000000004</v>
      </c>
      <c r="K3109" s="4">
        <v>13.9793</v>
      </c>
      <c r="L3109" s="4">
        <v>12.0479</v>
      </c>
      <c r="M3109" s="4">
        <f t="shared" si="193"/>
        <v>11.120033333333334</v>
      </c>
      <c r="Q3109" s="43" t="s">
        <v>1311</v>
      </c>
      <c r="R3109" s="4">
        <v>11.7368626497541</v>
      </c>
      <c r="S3109" s="4">
        <v>12.4098811514116</v>
      </c>
      <c r="T3109" s="4">
        <v>12.2244551854464</v>
      </c>
      <c r="U3109" s="4">
        <f t="shared" si="194"/>
        <v>12.123732995537367</v>
      </c>
      <c r="X3109" s="43" t="s">
        <v>2361</v>
      </c>
      <c r="Y3109" s="4">
        <v>12.2982728448278</v>
      </c>
      <c r="Z3109" s="4">
        <v>12.606857551700701</v>
      </c>
      <c r="AA3109" s="4">
        <v>12.437495541175201</v>
      </c>
      <c r="AB3109" s="4">
        <f t="shared" si="195"/>
        <v>12.447541979234567</v>
      </c>
    </row>
    <row r="3110" spans="2:28" x14ac:dyDescent="0.2">
      <c r="B3110" s="4" t="s">
        <v>3779</v>
      </c>
      <c r="C3110" s="4">
        <v>11.8963</v>
      </c>
      <c r="D3110" s="4">
        <v>11.947800000000001</v>
      </c>
      <c r="E3110" s="4">
        <v>11.5984</v>
      </c>
      <c r="F3110" s="4">
        <f t="shared" si="192"/>
        <v>11.814166666666667</v>
      </c>
      <c r="I3110" s="4" t="s">
        <v>3984</v>
      </c>
      <c r="J3110" s="4">
        <v>10.771599999999999</v>
      </c>
      <c r="K3110" s="4">
        <v>12.1744</v>
      </c>
      <c r="L3110" s="4">
        <v>10.393700000000001</v>
      </c>
      <c r="M3110" s="4">
        <f t="shared" si="193"/>
        <v>11.113233333333334</v>
      </c>
      <c r="Q3110" s="43" t="s">
        <v>2919</v>
      </c>
      <c r="R3110" s="4">
        <v>11.6412493916876</v>
      </c>
      <c r="S3110" s="4">
        <v>12.606526823804</v>
      </c>
      <c r="T3110" s="4">
        <v>12.1213223402904</v>
      </c>
      <c r="U3110" s="4">
        <f t="shared" si="194"/>
        <v>12.123032851927332</v>
      </c>
      <c r="X3110" s="43" t="s">
        <v>703</v>
      </c>
      <c r="Y3110" s="4">
        <v>12.575353012083999</v>
      </c>
      <c r="Z3110" s="4">
        <v>12.302286447744301</v>
      </c>
      <c r="AA3110" s="4">
        <v>12.4629601076171</v>
      </c>
      <c r="AB3110" s="4">
        <f t="shared" si="195"/>
        <v>12.4468665224818</v>
      </c>
    </row>
    <row r="3111" spans="2:28" x14ac:dyDescent="0.2">
      <c r="B3111" s="4" t="s">
        <v>441</v>
      </c>
      <c r="C3111" s="4">
        <v>11.9428</v>
      </c>
      <c r="D3111" s="4">
        <v>12.028700000000001</v>
      </c>
      <c r="E3111" s="4">
        <v>11.457800000000001</v>
      </c>
      <c r="F3111" s="4">
        <f t="shared" si="192"/>
        <v>11.809766666666667</v>
      </c>
      <c r="I3111" s="4" t="s">
        <v>721</v>
      </c>
      <c r="J3111" s="4">
        <v>10.8721</v>
      </c>
      <c r="K3111" s="4">
        <v>11.8566</v>
      </c>
      <c r="L3111" s="4">
        <v>10.5648</v>
      </c>
      <c r="M3111" s="4">
        <f t="shared" si="193"/>
        <v>11.097833333333334</v>
      </c>
      <c r="Q3111" s="43" t="s">
        <v>3937</v>
      </c>
      <c r="R3111" s="4">
        <v>11.8480595671299</v>
      </c>
      <c r="S3111" s="4">
        <v>12.222973389201799</v>
      </c>
      <c r="T3111" s="4">
        <v>12.296326903044299</v>
      </c>
      <c r="U3111" s="4">
        <f t="shared" si="194"/>
        <v>12.122453286458665</v>
      </c>
      <c r="X3111" s="43" t="s">
        <v>345</v>
      </c>
      <c r="Y3111" s="4">
        <v>12.398034199414999</v>
      </c>
      <c r="Z3111" s="4">
        <v>12.4499387919639</v>
      </c>
      <c r="AA3111" s="4">
        <v>12.4911377109777</v>
      </c>
      <c r="AB3111" s="4">
        <f t="shared" si="195"/>
        <v>12.446370234118866</v>
      </c>
    </row>
    <row r="3112" spans="2:28" x14ac:dyDescent="0.2">
      <c r="B3112" s="4" t="s">
        <v>2969</v>
      </c>
      <c r="C3112" s="4">
        <v>11.651999999999999</v>
      </c>
      <c r="D3112" s="4">
        <v>12.2567</v>
      </c>
      <c r="E3112" s="4">
        <v>11.517200000000001</v>
      </c>
      <c r="F3112" s="4">
        <f t="shared" si="192"/>
        <v>11.808633333333333</v>
      </c>
      <c r="I3112" s="4" t="s">
        <v>2589</v>
      </c>
      <c r="J3112" s="4">
        <v>11.823700000000001</v>
      </c>
      <c r="K3112" s="4">
        <v>9.0021000000000004</v>
      </c>
      <c r="L3112" s="4">
        <v>12.4543</v>
      </c>
      <c r="M3112" s="4">
        <f t="shared" si="193"/>
        <v>11.093366666666668</v>
      </c>
      <c r="Q3112" s="43" t="s">
        <v>4167</v>
      </c>
      <c r="R3112" s="4">
        <v>11.6989189590248</v>
      </c>
      <c r="S3112" s="4">
        <v>12.184540771010701</v>
      </c>
      <c r="T3112" s="4">
        <v>12.477103524188401</v>
      </c>
      <c r="U3112" s="4">
        <f t="shared" si="194"/>
        <v>12.120187751407968</v>
      </c>
      <c r="X3112" s="43" t="s">
        <v>2922</v>
      </c>
      <c r="Y3112" s="4">
        <v>12.395759191549301</v>
      </c>
      <c r="Z3112" s="4">
        <v>12.5034823558405</v>
      </c>
      <c r="AA3112" s="4">
        <v>12.439349465713599</v>
      </c>
      <c r="AB3112" s="4">
        <f t="shared" si="195"/>
        <v>12.446197004367798</v>
      </c>
    </row>
    <row r="3113" spans="2:28" x14ac:dyDescent="0.2">
      <c r="B3113" s="4" t="s">
        <v>2736</v>
      </c>
      <c r="C3113" s="4">
        <v>12.0113</v>
      </c>
      <c r="D3113" s="4">
        <v>11.3186</v>
      </c>
      <c r="E3113" s="4">
        <v>12.0869</v>
      </c>
      <c r="F3113" s="4">
        <f t="shared" si="192"/>
        <v>11.8056</v>
      </c>
      <c r="I3113" s="4" t="s">
        <v>59</v>
      </c>
      <c r="J3113" s="4">
        <v>11.5098</v>
      </c>
      <c r="K3113" s="4">
        <v>10.6747</v>
      </c>
      <c r="L3113" s="4">
        <v>11.0846</v>
      </c>
      <c r="M3113" s="4">
        <f t="shared" si="193"/>
        <v>11.089700000000001</v>
      </c>
      <c r="Q3113" s="43" t="s">
        <v>421</v>
      </c>
      <c r="R3113" s="4">
        <v>12.035309570049099</v>
      </c>
      <c r="S3113" s="4">
        <v>12.453651217039701</v>
      </c>
      <c r="T3113" s="4">
        <v>11.867137639765</v>
      </c>
      <c r="U3113" s="4">
        <f t="shared" si="194"/>
        <v>12.118699475617932</v>
      </c>
      <c r="X3113" s="43" t="s">
        <v>4100</v>
      </c>
      <c r="Y3113" s="4">
        <v>12.4195306727641</v>
      </c>
      <c r="Z3113" s="4">
        <v>12.1050713765549</v>
      </c>
      <c r="AA3113" s="4">
        <v>12.808425454452999</v>
      </c>
      <c r="AB3113" s="4">
        <f t="shared" si="195"/>
        <v>12.444342501257333</v>
      </c>
    </row>
    <row r="3114" spans="2:28" x14ac:dyDescent="0.2">
      <c r="B3114" s="4" t="s">
        <v>3894</v>
      </c>
      <c r="C3114" s="4">
        <v>12.355700000000001</v>
      </c>
      <c r="D3114" s="4">
        <v>12.0228</v>
      </c>
      <c r="E3114" s="4">
        <v>11.0024</v>
      </c>
      <c r="F3114" s="4">
        <f t="shared" si="192"/>
        <v>11.793633333333334</v>
      </c>
      <c r="I3114" s="4" t="s">
        <v>2228</v>
      </c>
      <c r="J3114" s="4">
        <v>9.6577000000000002</v>
      </c>
      <c r="K3114" s="4">
        <v>11.8728</v>
      </c>
      <c r="L3114" s="4">
        <v>11.5814</v>
      </c>
      <c r="M3114" s="4">
        <f t="shared" si="193"/>
        <v>11.0373</v>
      </c>
      <c r="Q3114" s="43" t="s">
        <v>3165</v>
      </c>
      <c r="R3114" s="4">
        <v>11.794617946681701</v>
      </c>
      <c r="S3114" s="4">
        <v>12.3206468605485</v>
      </c>
      <c r="T3114" s="4">
        <v>12.229916013356901</v>
      </c>
      <c r="U3114" s="4">
        <f t="shared" si="194"/>
        <v>12.115060273529034</v>
      </c>
      <c r="X3114" s="43" t="s">
        <v>3525</v>
      </c>
      <c r="Y3114" s="4">
        <v>12.416865384304</v>
      </c>
      <c r="Z3114" s="4">
        <v>12.549729043294899</v>
      </c>
      <c r="AA3114" s="4">
        <v>12.3600107674784</v>
      </c>
      <c r="AB3114" s="4">
        <f t="shared" si="195"/>
        <v>12.442201731692434</v>
      </c>
    </row>
    <row r="3115" spans="2:28" x14ac:dyDescent="0.2">
      <c r="B3115" s="4" t="s">
        <v>3032</v>
      </c>
      <c r="C3115" s="4">
        <v>12.3163</v>
      </c>
      <c r="D3115" s="4">
        <v>11.658799999999999</v>
      </c>
      <c r="E3115" s="4">
        <v>11.4055</v>
      </c>
      <c r="F3115" s="4">
        <f t="shared" si="192"/>
        <v>11.793533333333334</v>
      </c>
      <c r="I3115" s="4" t="s">
        <v>27</v>
      </c>
      <c r="J3115" s="4">
        <v>10.9961</v>
      </c>
      <c r="K3115" s="4">
        <v>10.5421</v>
      </c>
      <c r="L3115" s="4">
        <v>11.5101</v>
      </c>
      <c r="M3115" s="4">
        <f t="shared" si="193"/>
        <v>11.0161</v>
      </c>
      <c r="Q3115" s="43" t="s">
        <v>469</v>
      </c>
      <c r="R3115" s="4">
        <v>12.0373626694003</v>
      </c>
      <c r="S3115" s="4">
        <v>12.2856740957131</v>
      </c>
      <c r="T3115" s="4">
        <v>12.0217543204632</v>
      </c>
      <c r="U3115" s="4">
        <f t="shared" si="194"/>
        <v>12.114930361858868</v>
      </c>
      <c r="X3115" s="43" t="s">
        <v>2940</v>
      </c>
      <c r="Y3115" s="4">
        <v>12.8005125918293</v>
      </c>
      <c r="Z3115" s="4">
        <v>12.504147260656801</v>
      </c>
      <c r="AA3115" s="4">
        <v>12.013614822077001</v>
      </c>
      <c r="AB3115" s="4">
        <f t="shared" si="195"/>
        <v>12.439424891521034</v>
      </c>
    </row>
    <row r="3116" spans="2:28" x14ac:dyDescent="0.2">
      <c r="B3116" s="4" t="s">
        <v>230</v>
      </c>
      <c r="C3116" s="4">
        <v>11.7752</v>
      </c>
      <c r="D3116" s="4">
        <v>11.8476</v>
      </c>
      <c r="E3116" s="4">
        <v>11.724500000000001</v>
      </c>
      <c r="F3116" s="4">
        <f t="shared" si="192"/>
        <v>11.782433333333332</v>
      </c>
      <c r="I3116" s="4" t="s">
        <v>3563</v>
      </c>
      <c r="J3116" s="4">
        <v>10.625</v>
      </c>
      <c r="K3116" s="4">
        <v>11.7225</v>
      </c>
      <c r="L3116" s="4">
        <v>10.634499999999999</v>
      </c>
      <c r="M3116" s="4">
        <f t="shared" si="193"/>
        <v>10.994</v>
      </c>
      <c r="Q3116" s="43" t="s">
        <v>566</v>
      </c>
      <c r="R3116" s="4">
        <v>11.746687912003701</v>
      </c>
      <c r="S3116" s="4">
        <v>12.495007655866299</v>
      </c>
      <c r="T3116" s="4">
        <v>12.0741412343029</v>
      </c>
      <c r="U3116" s="4">
        <f t="shared" si="194"/>
        <v>12.105278934057631</v>
      </c>
      <c r="X3116" s="43" t="s">
        <v>3311</v>
      </c>
      <c r="Y3116" s="4">
        <v>12.6419176782374</v>
      </c>
      <c r="Z3116" s="4">
        <v>12.3626047812155</v>
      </c>
      <c r="AA3116" s="4">
        <v>12.307937753603699</v>
      </c>
      <c r="AB3116" s="4">
        <f t="shared" si="195"/>
        <v>12.437486737685532</v>
      </c>
    </row>
    <row r="3117" spans="2:28" x14ac:dyDescent="0.2">
      <c r="B3117" s="4" t="s">
        <v>2204</v>
      </c>
      <c r="C3117" s="4">
        <v>12.604200000000001</v>
      </c>
      <c r="D3117" s="4">
        <v>11.1165</v>
      </c>
      <c r="E3117" s="4">
        <v>11.6259</v>
      </c>
      <c r="F3117" s="4">
        <f t="shared" si="192"/>
        <v>11.782200000000001</v>
      </c>
      <c r="I3117" s="4" t="s">
        <v>616</v>
      </c>
      <c r="J3117" s="4">
        <v>9.6992999999999991</v>
      </c>
      <c r="K3117" s="4">
        <v>11.8421</v>
      </c>
      <c r="L3117" s="4">
        <v>11.383699999999999</v>
      </c>
      <c r="M3117" s="4">
        <f t="shared" si="193"/>
        <v>10.975033333333334</v>
      </c>
      <c r="Q3117" s="43" t="s">
        <v>3047</v>
      </c>
      <c r="R3117" s="4">
        <v>12.092270063549901</v>
      </c>
      <c r="S3117" s="4">
        <v>12.322927835389899</v>
      </c>
      <c r="T3117" s="4">
        <v>11.8945326271662</v>
      </c>
      <c r="U3117" s="4">
        <f t="shared" si="194"/>
        <v>12.103243508702</v>
      </c>
      <c r="X3117" s="43" t="s">
        <v>3183</v>
      </c>
      <c r="Y3117" s="4">
        <v>12.287137447430799</v>
      </c>
      <c r="Z3117" s="4">
        <v>12.4048642174062</v>
      </c>
      <c r="AA3117" s="4">
        <v>12.6197024836822</v>
      </c>
      <c r="AB3117" s="4">
        <f t="shared" si="195"/>
        <v>12.437234716173066</v>
      </c>
    </row>
    <row r="3118" spans="2:28" x14ac:dyDescent="0.2">
      <c r="B3118" s="4" t="s">
        <v>1754</v>
      </c>
      <c r="C3118" s="4">
        <v>11.8809</v>
      </c>
      <c r="D3118" s="4">
        <v>11.6943</v>
      </c>
      <c r="E3118" s="4">
        <v>11.741400000000001</v>
      </c>
      <c r="F3118" s="4">
        <f t="shared" si="192"/>
        <v>11.7722</v>
      </c>
      <c r="I3118" s="4" t="s">
        <v>3529</v>
      </c>
      <c r="J3118" s="4">
        <v>10.2582</v>
      </c>
      <c r="K3118" s="4">
        <v>13.177899999999999</v>
      </c>
      <c r="L3118" s="4">
        <v>9.4687000000000001</v>
      </c>
      <c r="M3118" s="4">
        <f t="shared" si="193"/>
        <v>10.968266666666667</v>
      </c>
      <c r="Q3118" s="43" t="s">
        <v>2551</v>
      </c>
      <c r="R3118" s="4">
        <v>12.1495404076997</v>
      </c>
      <c r="S3118" s="4">
        <v>12.2765965313462</v>
      </c>
      <c r="T3118" s="4">
        <v>11.880420414859801</v>
      </c>
      <c r="U3118" s="4">
        <f t="shared" si="194"/>
        <v>12.102185784635234</v>
      </c>
      <c r="X3118" s="43" t="s">
        <v>3918</v>
      </c>
      <c r="Y3118" s="4">
        <v>12.4470871991102</v>
      </c>
      <c r="Z3118" s="4">
        <v>12.4514805539284</v>
      </c>
      <c r="AA3118" s="4">
        <v>12.412623411775201</v>
      </c>
      <c r="AB3118" s="4">
        <f t="shared" si="195"/>
        <v>12.4370637216046</v>
      </c>
    </row>
    <row r="3119" spans="2:28" x14ac:dyDescent="0.2">
      <c r="B3119" s="4" t="s">
        <v>359</v>
      </c>
      <c r="C3119" s="4">
        <v>11.2333</v>
      </c>
      <c r="D3119" s="4">
        <v>11.5525</v>
      </c>
      <c r="E3119" s="4">
        <v>12.5154</v>
      </c>
      <c r="F3119" s="4">
        <f t="shared" si="192"/>
        <v>11.767066666666667</v>
      </c>
      <c r="I3119" s="4" t="s">
        <v>1086</v>
      </c>
      <c r="J3119" s="4">
        <v>9.6440000000000001</v>
      </c>
      <c r="K3119" s="4">
        <v>12.345700000000001</v>
      </c>
      <c r="L3119" s="4">
        <v>10.886699999999999</v>
      </c>
      <c r="M3119" s="4">
        <f t="shared" si="193"/>
        <v>10.958799999999998</v>
      </c>
      <c r="Q3119" s="43" t="s">
        <v>3590</v>
      </c>
      <c r="R3119" s="4">
        <v>11.939883452778799</v>
      </c>
      <c r="S3119" s="4">
        <v>12.091973446737001</v>
      </c>
      <c r="T3119" s="4">
        <v>12.2724026320418</v>
      </c>
      <c r="U3119" s="4">
        <f t="shared" si="194"/>
        <v>12.101419843852534</v>
      </c>
      <c r="X3119" s="43" t="s">
        <v>4286</v>
      </c>
      <c r="Y3119" s="4">
        <v>11.962570962105699</v>
      </c>
      <c r="Z3119" s="4">
        <v>12.6823430622117</v>
      </c>
      <c r="AA3119" s="4">
        <v>12.6592472077255</v>
      </c>
      <c r="AB3119" s="4">
        <f t="shared" si="195"/>
        <v>12.434720410680967</v>
      </c>
    </row>
    <row r="3120" spans="2:28" x14ac:dyDescent="0.2">
      <c r="B3120" s="4" t="s">
        <v>520</v>
      </c>
      <c r="C3120" s="4">
        <v>11.7921</v>
      </c>
      <c r="D3120" s="4">
        <v>11.935600000000001</v>
      </c>
      <c r="E3120" s="4">
        <v>11.5731</v>
      </c>
      <c r="F3120" s="4">
        <f t="shared" si="192"/>
        <v>11.766933333333332</v>
      </c>
      <c r="I3120" s="4" t="s">
        <v>2523</v>
      </c>
      <c r="J3120" s="4">
        <v>11.578200000000001</v>
      </c>
      <c r="K3120" s="4">
        <v>10.1602</v>
      </c>
      <c r="L3120" s="4">
        <v>11.1206</v>
      </c>
      <c r="M3120" s="4">
        <f t="shared" si="193"/>
        <v>10.952999999999998</v>
      </c>
      <c r="Q3120" s="43" t="s">
        <v>792</v>
      </c>
      <c r="R3120" s="4">
        <v>12.0869219535713</v>
      </c>
      <c r="S3120" s="4">
        <v>12.223844350283001</v>
      </c>
      <c r="T3120" s="4">
        <v>11.9918920854522</v>
      </c>
      <c r="U3120" s="4">
        <f t="shared" si="194"/>
        <v>12.100886129768833</v>
      </c>
      <c r="X3120" s="43" t="s">
        <v>1390</v>
      </c>
      <c r="Y3120" s="4">
        <v>12.4905344701684</v>
      </c>
      <c r="Z3120" s="4">
        <v>12.9635499089521</v>
      </c>
      <c r="AA3120" s="4">
        <v>11.845604384912701</v>
      </c>
      <c r="AB3120" s="4">
        <f t="shared" si="195"/>
        <v>12.433229588011068</v>
      </c>
    </row>
    <row r="3121" spans="2:28" x14ac:dyDescent="0.2">
      <c r="B3121" s="4" t="s">
        <v>3846</v>
      </c>
      <c r="C3121" s="4">
        <v>12.0631</v>
      </c>
      <c r="D3121" s="4">
        <v>12.030799999999999</v>
      </c>
      <c r="E3121" s="4">
        <v>11.198399999999999</v>
      </c>
      <c r="F3121" s="4">
        <f t="shared" si="192"/>
        <v>11.764099999999999</v>
      </c>
      <c r="I3121" s="4" t="s">
        <v>308</v>
      </c>
      <c r="J3121" s="4">
        <v>11.4953</v>
      </c>
      <c r="K3121" s="4">
        <v>9.5068999999999999</v>
      </c>
      <c r="L3121" s="4">
        <v>11.751099999999999</v>
      </c>
      <c r="M3121" s="4">
        <f t="shared" si="193"/>
        <v>10.917766666666667</v>
      </c>
      <c r="Q3121" s="43" t="s">
        <v>96</v>
      </c>
      <c r="R3121" s="4">
        <v>11.675004096204701</v>
      </c>
      <c r="S3121" s="4">
        <v>12.404764612714301</v>
      </c>
      <c r="T3121" s="4">
        <v>12.222139812715101</v>
      </c>
      <c r="U3121" s="4">
        <f t="shared" si="194"/>
        <v>12.100636173878035</v>
      </c>
      <c r="X3121" s="43" t="s">
        <v>4559</v>
      </c>
      <c r="Y3121" s="4">
        <v>12.2056566277112</v>
      </c>
      <c r="Z3121" s="4">
        <v>12.4374891494111</v>
      </c>
      <c r="AA3121" s="4">
        <v>12.6554984189906</v>
      </c>
      <c r="AB3121" s="4">
        <f t="shared" si="195"/>
        <v>12.432881398704302</v>
      </c>
    </row>
    <row r="3122" spans="2:28" x14ac:dyDescent="0.2">
      <c r="B3122" s="4" t="s">
        <v>2059</v>
      </c>
      <c r="C3122" s="4">
        <v>11.786899999999999</v>
      </c>
      <c r="D3122" s="4">
        <v>11.804600000000001</v>
      </c>
      <c r="E3122" s="4">
        <v>11.7004</v>
      </c>
      <c r="F3122" s="4">
        <f t="shared" si="192"/>
        <v>11.763966666666667</v>
      </c>
      <c r="I3122" s="4" t="s">
        <v>2223</v>
      </c>
      <c r="J3122" s="4">
        <v>11.391299999999999</v>
      </c>
      <c r="K3122" s="4">
        <v>10.3567</v>
      </c>
      <c r="L3122" s="4">
        <v>10.951599999999999</v>
      </c>
      <c r="M3122" s="4">
        <f t="shared" si="193"/>
        <v>10.899866666666666</v>
      </c>
      <c r="Q3122" s="43" t="s">
        <v>872</v>
      </c>
      <c r="R3122" s="4">
        <v>11.001509181591</v>
      </c>
      <c r="S3122" s="4">
        <v>12.7654819035288</v>
      </c>
      <c r="T3122" s="4">
        <v>12.5312884448029</v>
      </c>
      <c r="U3122" s="4">
        <f t="shared" si="194"/>
        <v>12.099426509974231</v>
      </c>
      <c r="X3122" s="43" t="s">
        <v>2459</v>
      </c>
      <c r="Y3122" s="4">
        <v>12.590183953352801</v>
      </c>
      <c r="Z3122" s="4">
        <v>12.397502257269499</v>
      </c>
      <c r="AA3122" s="4">
        <v>12.3100440598501</v>
      </c>
      <c r="AB3122" s="4">
        <f t="shared" si="195"/>
        <v>12.432576756824133</v>
      </c>
    </row>
    <row r="3123" spans="2:28" x14ac:dyDescent="0.2">
      <c r="B3123" s="4" t="s">
        <v>3970</v>
      </c>
      <c r="C3123" s="4">
        <v>11.8287</v>
      </c>
      <c r="D3123" s="4">
        <v>11.050800000000001</v>
      </c>
      <c r="E3123" s="4">
        <v>12.4033</v>
      </c>
      <c r="F3123" s="4">
        <f t="shared" si="192"/>
        <v>11.760933333333334</v>
      </c>
      <c r="I3123" s="4" t="s">
        <v>3225</v>
      </c>
      <c r="J3123" s="4">
        <v>10.5456</v>
      </c>
      <c r="K3123" s="4">
        <v>11.309900000000001</v>
      </c>
      <c r="L3123" s="4">
        <v>10.607699999999999</v>
      </c>
      <c r="M3123" s="4">
        <f t="shared" si="193"/>
        <v>10.821066666666667</v>
      </c>
      <c r="Q3123" s="43" t="s">
        <v>3248</v>
      </c>
      <c r="R3123" s="4">
        <v>11.7944109537465</v>
      </c>
      <c r="S3123" s="4">
        <v>12.4800174737614</v>
      </c>
      <c r="T3123" s="4">
        <v>12.023038974042599</v>
      </c>
      <c r="U3123" s="4">
        <f t="shared" si="194"/>
        <v>12.099155800516833</v>
      </c>
      <c r="X3123" s="43" t="s">
        <v>1236</v>
      </c>
      <c r="Y3123" s="4">
        <v>11.968293720415099</v>
      </c>
      <c r="Z3123" s="4">
        <v>12.8717351345209</v>
      </c>
      <c r="AA3123" s="4">
        <v>12.454199760759399</v>
      </c>
      <c r="AB3123" s="4">
        <f t="shared" si="195"/>
        <v>12.431409538565134</v>
      </c>
    </row>
    <row r="3124" spans="2:28" x14ac:dyDescent="0.2">
      <c r="B3124" s="4" t="s">
        <v>3731</v>
      </c>
      <c r="C3124" s="4">
        <v>11.5321</v>
      </c>
      <c r="D3124" s="4">
        <v>12.816700000000001</v>
      </c>
      <c r="E3124" s="4">
        <v>10.926</v>
      </c>
      <c r="F3124" s="4">
        <f t="shared" si="192"/>
        <v>11.758266666666666</v>
      </c>
      <c r="I3124" s="4" t="s">
        <v>3546</v>
      </c>
      <c r="J3124" s="4">
        <v>10.5891</v>
      </c>
      <c r="K3124" s="4">
        <v>11.773400000000001</v>
      </c>
      <c r="L3124" s="4">
        <v>10.031499999999999</v>
      </c>
      <c r="M3124" s="4">
        <f t="shared" si="193"/>
        <v>10.798</v>
      </c>
      <c r="Q3124" s="43" t="s">
        <v>536</v>
      </c>
      <c r="R3124" s="4">
        <v>12.190943198253301</v>
      </c>
      <c r="S3124" s="4">
        <v>12.0161767081002</v>
      </c>
      <c r="T3124" s="4">
        <v>12.089534692279701</v>
      </c>
      <c r="U3124" s="4">
        <f t="shared" si="194"/>
        <v>12.098884866211067</v>
      </c>
      <c r="X3124" s="43" t="s">
        <v>4562</v>
      </c>
      <c r="Y3124" s="4">
        <v>12.594299307510999</v>
      </c>
      <c r="Z3124" s="4">
        <v>12.1392827188174</v>
      </c>
      <c r="AA3124" s="4">
        <v>12.5565518267511</v>
      </c>
      <c r="AB3124" s="4">
        <f t="shared" si="195"/>
        <v>12.430044617693165</v>
      </c>
    </row>
    <row r="3125" spans="2:28" x14ac:dyDescent="0.2">
      <c r="B3125" s="4" t="s">
        <v>1448</v>
      </c>
      <c r="C3125" s="4">
        <v>12.2723</v>
      </c>
      <c r="D3125" s="4">
        <v>9.7048000000000005</v>
      </c>
      <c r="E3125" s="4">
        <v>13.2776</v>
      </c>
      <c r="F3125" s="4">
        <f t="shared" si="192"/>
        <v>11.751566666666667</v>
      </c>
      <c r="I3125" s="4" t="s">
        <v>3945</v>
      </c>
      <c r="J3125" s="4">
        <v>9.6821999999999999</v>
      </c>
      <c r="K3125" s="4">
        <v>11.546900000000001</v>
      </c>
      <c r="L3125" s="4">
        <v>11.0943</v>
      </c>
      <c r="M3125" s="4">
        <f t="shared" si="193"/>
        <v>10.774466666666669</v>
      </c>
      <c r="Q3125" s="43" t="s">
        <v>4216</v>
      </c>
      <c r="R3125" s="4">
        <v>12.118040198851</v>
      </c>
      <c r="S3125" s="4">
        <v>12.1975878386696</v>
      </c>
      <c r="T3125" s="4">
        <v>11.976731715449599</v>
      </c>
      <c r="U3125" s="4">
        <f t="shared" si="194"/>
        <v>12.097453250990066</v>
      </c>
      <c r="X3125" s="43" t="s">
        <v>2265</v>
      </c>
      <c r="Y3125" s="4">
        <v>12.507546747685</v>
      </c>
      <c r="Z3125" s="4">
        <v>12.275425607857001</v>
      </c>
      <c r="AA3125" s="4">
        <v>12.501995126402599</v>
      </c>
      <c r="AB3125" s="4">
        <f t="shared" si="195"/>
        <v>12.428322493981533</v>
      </c>
    </row>
    <row r="3126" spans="2:28" x14ac:dyDescent="0.2">
      <c r="B3126" s="4" t="s">
        <v>3533</v>
      </c>
      <c r="C3126" s="4">
        <v>11.984400000000001</v>
      </c>
      <c r="D3126" s="4">
        <v>11.5131</v>
      </c>
      <c r="E3126" s="4">
        <v>11.7525</v>
      </c>
      <c r="F3126" s="4">
        <f t="shared" si="192"/>
        <v>11.75</v>
      </c>
      <c r="I3126" s="4" t="s">
        <v>3600</v>
      </c>
      <c r="J3126" s="4">
        <v>11.8596</v>
      </c>
      <c r="K3126" s="4">
        <v>8.9194999999999993</v>
      </c>
      <c r="L3126" s="4">
        <v>11.521800000000001</v>
      </c>
      <c r="M3126" s="4">
        <f t="shared" si="193"/>
        <v>10.766966666666667</v>
      </c>
      <c r="Q3126" s="43" t="s">
        <v>2748</v>
      </c>
      <c r="R3126" s="4">
        <v>11.4043989091158</v>
      </c>
      <c r="S3126" s="4">
        <v>12.4935794006187</v>
      </c>
      <c r="T3126" s="4">
        <v>12.3936129587177</v>
      </c>
      <c r="U3126" s="4">
        <f t="shared" si="194"/>
        <v>12.097197089484064</v>
      </c>
      <c r="X3126" s="43" t="s">
        <v>3663</v>
      </c>
      <c r="Y3126" s="4">
        <v>12.3441860980553</v>
      </c>
      <c r="Z3126" s="4">
        <v>12.6278098528855</v>
      </c>
      <c r="AA3126" s="4">
        <v>12.312111751205601</v>
      </c>
      <c r="AB3126" s="4">
        <f t="shared" si="195"/>
        <v>12.428035900715466</v>
      </c>
    </row>
    <row r="3127" spans="2:28" x14ac:dyDescent="0.2">
      <c r="B3127" s="4" t="s">
        <v>1504</v>
      </c>
      <c r="C3127" s="4">
        <v>11.7035</v>
      </c>
      <c r="D3127" s="4">
        <v>10.813599999999999</v>
      </c>
      <c r="E3127" s="4">
        <v>12.7233</v>
      </c>
      <c r="F3127" s="4">
        <f t="shared" si="192"/>
        <v>11.7468</v>
      </c>
      <c r="I3127" s="4" t="s">
        <v>641</v>
      </c>
      <c r="J3127" s="4">
        <v>11.430099999999999</v>
      </c>
      <c r="K3127" s="4">
        <v>9.5504999999999995</v>
      </c>
      <c r="L3127" s="4">
        <v>11.129</v>
      </c>
      <c r="M3127" s="4">
        <f t="shared" si="193"/>
        <v>10.703200000000001</v>
      </c>
      <c r="Q3127" s="43" t="s">
        <v>15</v>
      </c>
      <c r="R3127" s="4">
        <v>11.9804593391259</v>
      </c>
      <c r="S3127" s="4">
        <v>12.388602974034301</v>
      </c>
      <c r="T3127" s="4">
        <v>11.9130803842519</v>
      </c>
      <c r="U3127" s="4">
        <f t="shared" si="194"/>
        <v>12.094047565804033</v>
      </c>
      <c r="X3127" s="43" t="s">
        <v>4452</v>
      </c>
      <c r="Y3127" s="4">
        <v>12.4155363279874</v>
      </c>
      <c r="Z3127" s="4">
        <v>12.955154080338501</v>
      </c>
      <c r="AA3127" s="4">
        <v>11.8996671556325</v>
      </c>
      <c r="AB3127" s="4">
        <f t="shared" si="195"/>
        <v>12.423452521319467</v>
      </c>
    </row>
    <row r="3128" spans="2:28" x14ac:dyDescent="0.2">
      <c r="B3128" s="4" t="s">
        <v>248</v>
      </c>
      <c r="C3128" s="4">
        <v>11.4673</v>
      </c>
      <c r="D3128" s="4">
        <v>11.6914</v>
      </c>
      <c r="E3128" s="4">
        <v>12.0793</v>
      </c>
      <c r="F3128" s="4">
        <f t="shared" si="192"/>
        <v>11.746</v>
      </c>
      <c r="I3128" s="4" t="s">
        <v>1788</v>
      </c>
      <c r="J3128" s="4">
        <v>11.214499999999999</v>
      </c>
      <c r="K3128" s="4">
        <v>10.7493</v>
      </c>
      <c r="L3128" s="4">
        <v>10.068199999999999</v>
      </c>
      <c r="M3128" s="4">
        <f t="shared" si="193"/>
        <v>10.677333333333332</v>
      </c>
      <c r="Q3128" s="43" t="s">
        <v>2390</v>
      </c>
      <c r="R3128" s="4">
        <v>11.8192143517077</v>
      </c>
      <c r="S3128" s="4">
        <v>12.363247773390301</v>
      </c>
      <c r="T3128" s="4">
        <v>12.083391364420001</v>
      </c>
      <c r="U3128" s="4">
        <f t="shared" si="194"/>
        <v>12.088617829839334</v>
      </c>
      <c r="X3128" s="43" t="s">
        <v>814</v>
      </c>
      <c r="Y3128" s="4">
        <v>12.3451445949204</v>
      </c>
      <c r="Z3128" s="4">
        <v>12.030209150280401</v>
      </c>
      <c r="AA3128" s="4">
        <v>12.8781527970932</v>
      </c>
      <c r="AB3128" s="4">
        <f t="shared" si="195"/>
        <v>12.417835514098002</v>
      </c>
    </row>
    <row r="3129" spans="2:28" x14ac:dyDescent="0.2">
      <c r="B3129" s="4" t="s">
        <v>1086</v>
      </c>
      <c r="C3129" s="4">
        <v>11.643599999999999</v>
      </c>
      <c r="D3129" s="4">
        <v>11.709099999999999</v>
      </c>
      <c r="E3129" s="4">
        <v>11.8805</v>
      </c>
      <c r="F3129" s="4">
        <f t="shared" si="192"/>
        <v>11.744399999999999</v>
      </c>
      <c r="I3129" s="4" t="s">
        <v>1</v>
      </c>
      <c r="J3129" s="4">
        <v>11.185</v>
      </c>
      <c r="K3129" s="4">
        <v>10.8887</v>
      </c>
      <c r="L3129" s="4">
        <v>9.8511000000000006</v>
      </c>
      <c r="M3129" s="4">
        <f t="shared" si="193"/>
        <v>10.641600000000002</v>
      </c>
      <c r="Q3129" s="43" t="s">
        <v>4320</v>
      </c>
      <c r="R3129" s="4">
        <v>12.0519007423833</v>
      </c>
      <c r="S3129" s="4">
        <v>12.223668986147599</v>
      </c>
      <c r="T3129" s="4">
        <v>11.976330312838099</v>
      </c>
      <c r="U3129" s="4">
        <f t="shared" si="194"/>
        <v>12.083966680456333</v>
      </c>
      <c r="X3129" s="43" t="s">
        <v>3780</v>
      </c>
      <c r="Y3129" s="4">
        <v>12.626424307647101</v>
      </c>
      <c r="Z3129" s="4">
        <v>12.2141763836116</v>
      </c>
      <c r="AA3129" s="4">
        <v>12.4123892251186</v>
      </c>
      <c r="AB3129" s="4">
        <f t="shared" si="195"/>
        <v>12.417663305459101</v>
      </c>
    </row>
    <row r="3130" spans="2:28" x14ac:dyDescent="0.2">
      <c r="B3130" s="4" t="s">
        <v>2089</v>
      </c>
      <c r="C3130" s="4">
        <v>11.5419</v>
      </c>
      <c r="D3130" s="4">
        <v>11.3735</v>
      </c>
      <c r="E3130" s="4">
        <v>12.296099999999999</v>
      </c>
      <c r="F3130" s="4">
        <f t="shared" si="192"/>
        <v>11.737166666666667</v>
      </c>
      <c r="I3130" s="4" t="s">
        <v>3940</v>
      </c>
      <c r="J3130" s="4">
        <v>11.2135</v>
      </c>
      <c r="K3130" s="4">
        <v>9.1218000000000004</v>
      </c>
      <c r="L3130" s="4">
        <v>11.5733</v>
      </c>
      <c r="M3130" s="4">
        <f t="shared" si="193"/>
        <v>10.636200000000001</v>
      </c>
      <c r="Q3130" s="43" t="s">
        <v>940</v>
      </c>
      <c r="R3130" s="4">
        <v>11.4478546176263</v>
      </c>
      <c r="S3130" s="4">
        <v>12.4345805189792</v>
      </c>
      <c r="T3130" s="4">
        <v>12.367794049996901</v>
      </c>
      <c r="U3130" s="4">
        <f t="shared" si="194"/>
        <v>12.083409728867467</v>
      </c>
      <c r="X3130" s="43" t="s">
        <v>1494</v>
      </c>
      <c r="Y3130" s="4">
        <v>12.216981033441799</v>
      </c>
      <c r="Z3130" s="4">
        <v>12.7223166583333</v>
      </c>
      <c r="AA3130" s="4">
        <v>12.3108760456601</v>
      </c>
      <c r="AB3130" s="4">
        <f t="shared" si="195"/>
        <v>12.416724579145066</v>
      </c>
    </row>
    <row r="3131" spans="2:28" x14ac:dyDescent="0.2">
      <c r="B3131" s="4" t="s">
        <v>940</v>
      </c>
      <c r="C3131" s="4">
        <v>11.9323</v>
      </c>
      <c r="D3131" s="4">
        <v>10.8477</v>
      </c>
      <c r="E3131" s="4">
        <v>12.4102</v>
      </c>
      <c r="F3131" s="4">
        <f t="shared" si="192"/>
        <v>11.730066666666668</v>
      </c>
      <c r="I3131" s="4" t="s">
        <v>3747</v>
      </c>
      <c r="J3131" s="4">
        <v>11.0586</v>
      </c>
      <c r="K3131" s="4">
        <v>9.6060999999999996</v>
      </c>
      <c r="L3131" s="4">
        <v>11.050700000000001</v>
      </c>
      <c r="M3131" s="4">
        <f t="shared" si="193"/>
        <v>10.571800000000001</v>
      </c>
      <c r="Q3131" s="43" t="s">
        <v>4452</v>
      </c>
      <c r="R3131" s="4">
        <v>11.430292065218101</v>
      </c>
      <c r="S3131" s="4">
        <v>12.4915097363803</v>
      </c>
      <c r="T3131" s="4">
        <v>12.328227390632099</v>
      </c>
      <c r="U3131" s="4">
        <f t="shared" si="194"/>
        <v>12.083343064076834</v>
      </c>
      <c r="X3131" s="43" t="s">
        <v>4506</v>
      </c>
      <c r="Y3131" s="4">
        <v>12.167276528795099</v>
      </c>
      <c r="Z3131" s="4">
        <v>12.4227842779434</v>
      </c>
      <c r="AA3131" s="4">
        <v>12.6413435592606</v>
      </c>
      <c r="AB3131" s="4">
        <f t="shared" si="195"/>
        <v>12.410468121999699</v>
      </c>
    </row>
    <row r="3132" spans="2:28" x14ac:dyDescent="0.2">
      <c r="B3132" s="4" t="s">
        <v>2589</v>
      </c>
      <c r="C3132" s="4">
        <v>11.117699999999999</v>
      </c>
      <c r="D3132" s="4">
        <v>11.4527</v>
      </c>
      <c r="E3132" s="4">
        <v>12.6198</v>
      </c>
      <c r="F3132" s="4">
        <f t="shared" si="192"/>
        <v>11.730066666666666</v>
      </c>
      <c r="I3132" s="4" t="s">
        <v>3573</v>
      </c>
      <c r="J3132" s="4">
        <v>9.5680999999999994</v>
      </c>
      <c r="K3132" s="4">
        <v>11.2235</v>
      </c>
      <c r="L3132" s="4">
        <v>10.728199999999999</v>
      </c>
      <c r="M3132" s="4">
        <f t="shared" si="193"/>
        <v>10.506599999999999</v>
      </c>
      <c r="Q3132" s="43" t="s">
        <v>2803</v>
      </c>
      <c r="R3132" s="4">
        <v>12.3168851469065</v>
      </c>
      <c r="S3132" s="4">
        <v>11.8531661216232</v>
      </c>
      <c r="T3132" s="4">
        <v>12.0795340553274</v>
      </c>
      <c r="U3132" s="4">
        <f t="shared" si="194"/>
        <v>12.083195107952369</v>
      </c>
      <c r="X3132" s="43" t="s">
        <v>1781</v>
      </c>
      <c r="Y3132" s="4">
        <v>12.286186048005</v>
      </c>
      <c r="Z3132" s="4">
        <v>12.5426251341101</v>
      </c>
      <c r="AA3132" s="4">
        <v>12.399918380056</v>
      </c>
      <c r="AB3132" s="4">
        <f t="shared" si="195"/>
        <v>12.409576520723698</v>
      </c>
    </row>
    <row r="3133" spans="2:28" x14ac:dyDescent="0.2">
      <c r="B3133" s="4" t="s">
        <v>2915</v>
      </c>
      <c r="C3133" s="4">
        <v>11.6218</v>
      </c>
      <c r="D3133" s="4">
        <v>11.5655</v>
      </c>
      <c r="E3133" s="4">
        <v>11.985200000000001</v>
      </c>
      <c r="F3133" s="4">
        <f t="shared" si="192"/>
        <v>11.724166666666667</v>
      </c>
      <c r="I3133" s="4" t="s">
        <v>125</v>
      </c>
      <c r="J3133" s="4">
        <v>10.312900000000001</v>
      </c>
      <c r="K3133" s="4">
        <v>11.490399999999999</v>
      </c>
      <c r="L3133" s="4">
        <v>9.7049000000000003</v>
      </c>
      <c r="M3133" s="4">
        <f t="shared" si="193"/>
        <v>10.502733333333333</v>
      </c>
      <c r="Q3133" s="43" t="s">
        <v>4356</v>
      </c>
      <c r="R3133" s="4">
        <v>12.0995568228407</v>
      </c>
      <c r="S3133" s="4">
        <v>12.0799255879231</v>
      </c>
      <c r="T3133" s="4">
        <v>12.043716440094</v>
      </c>
      <c r="U3133" s="4">
        <f t="shared" si="194"/>
        <v>12.074399616952599</v>
      </c>
      <c r="X3133" s="43" t="s">
        <v>45</v>
      </c>
      <c r="Y3133" s="4">
        <v>11.6726768571333</v>
      </c>
      <c r="Z3133" s="4">
        <v>12.517947878448799</v>
      </c>
      <c r="AA3133" s="4">
        <v>13.0379305051071</v>
      </c>
      <c r="AB3133" s="4">
        <f t="shared" si="195"/>
        <v>12.409518413563065</v>
      </c>
    </row>
    <row r="3134" spans="2:28" x14ac:dyDescent="0.2">
      <c r="B3134" s="4" t="s">
        <v>176</v>
      </c>
      <c r="C3134" s="4">
        <v>11.736599999999999</v>
      </c>
      <c r="D3134" s="4">
        <v>11.403700000000001</v>
      </c>
      <c r="E3134" s="4">
        <v>12.027699999999999</v>
      </c>
      <c r="F3134" s="4">
        <f t="shared" si="192"/>
        <v>11.722666666666667</v>
      </c>
      <c r="I3134" s="4" t="s">
        <v>3866</v>
      </c>
      <c r="J3134" s="4">
        <v>10.559200000000001</v>
      </c>
      <c r="K3134" s="4">
        <v>11.227499999999999</v>
      </c>
      <c r="L3134" s="4">
        <v>9.6790000000000003</v>
      </c>
      <c r="M3134" s="4">
        <f t="shared" si="193"/>
        <v>10.488566666666665</v>
      </c>
      <c r="Q3134" s="43" t="s">
        <v>2246</v>
      </c>
      <c r="R3134" s="4">
        <v>12.008896990822899</v>
      </c>
      <c r="S3134" s="4">
        <v>12.313205646272401</v>
      </c>
      <c r="T3134" s="4">
        <v>11.898297023306499</v>
      </c>
      <c r="U3134" s="4">
        <f t="shared" si="194"/>
        <v>12.073466553467265</v>
      </c>
      <c r="X3134" s="43" t="s">
        <v>4193</v>
      </c>
      <c r="Y3134" s="4">
        <v>13.224356605931501</v>
      </c>
      <c r="Z3134" s="4">
        <v>12.042186003006501</v>
      </c>
      <c r="AA3134" s="4">
        <v>11.952722562298799</v>
      </c>
      <c r="AB3134" s="4">
        <f t="shared" si="195"/>
        <v>12.4064217237456</v>
      </c>
    </row>
    <row r="3135" spans="2:28" x14ac:dyDescent="0.2">
      <c r="B3135" s="4" t="s">
        <v>3979</v>
      </c>
      <c r="C3135" s="4">
        <v>11.876799999999999</v>
      </c>
      <c r="D3135" s="4">
        <v>11.2104</v>
      </c>
      <c r="E3135" s="4">
        <v>12.070499999999999</v>
      </c>
      <c r="F3135" s="4">
        <f t="shared" si="192"/>
        <v>11.719233333333333</v>
      </c>
      <c r="I3135" s="4" t="s">
        <v>283</v>
      </c>
      <c r="J3135" s="4">
        <v>10.785</v>
      </c>
      <c r="K3135" s="4">
        <v>10.3651</v>
      </c>
      <c r="L3135" s="4">
        <v>10.183199999999999</v>
      </c>
      <c r="M3135" s="4">
        <f t="shared" si="193"/>
        <v>10.444433333333334</v>
      </c>
      <c r="Q3135" s="43" t="s">
        <v>145</v>
      </c>
      <c r="R3135" s="4">
        <v>11.633081363862599</v>
      </c>
      <c r="S3135" s="4">
        <v>12.3956844688222</v>
      </c>
      <c r="T3135" s="4">
        <v>12.1650193360537</v>
      </c>
      <c r="U3135" s="4">
        <f t="shared" si="194"/>
        <v>12.064595056246167</v>
      </c>
      <c r="X3135" s="43" t="s">
        <v>4367</v>
      </c>
      <c r="Y3135" s="4">
        <v>12.645393298375501</v>
      </c>
      <c r="Z3135" s="4">
        <v>12.514967735432901</v>
      </c>
      <c r="AA3135" s="4">
        <v>12.049308099004501</v>
      </c>
      <c r="AB3135" s="4">
        <f t="shared" si="195"/>
        <v>12.403223044270966</v>
      </c>
    </row>
    <row r="3136" spans="2:28" x14ac:dyDescent="0.2">
      <c r="B3136" s="4" t="s">
        <v>1579</v>
      </c>
      <c r="C3136" s="4">
        <v>12.3011</v>
      </c>
      <c r="D3136" s="4">
        <v>11.495900000000001</v>
      </c>
      <c r="E3136" s="4">
        <v>11.3408</v>
      </c>
      <c r="F3136" s="4">
        <f t="shared" si="192"/>
        <v>11.7126</v>
      </c>
      <c r="I3136" s="4" t="s">
        <v>4013</v>
      </c>
      <c r="J3136" s="4">
        <v>10.1439</v>
      </c>
      <c r="K3136" s="4">
        <v>9.8800000000000008</v>
      </c>
      <c r="L3136" s="4">
        <v>10.880100000000001</v>
      </c>
      <c r="M3136" s="4">
        <f t="shared" si="193"/>
        <v>10.301333333333334</v>
      </c>
      <c r="Q3136" s="43" t="s">
        <v>3318</v>
      </c>
      <c r="R3136" s="4">
        <v>12.2443458233691</v>
      </c>
      <c r="S3136" s="4">
        <v>11.778173897054399</v>
      </c>
      <c r="T3136" s="4">
        <v>12.160974489415899</v>
      </c>
      <c r="U3136" s="4">
        <f t="shared" si="194"/>
        <v>12.061164736613131</v>
      </c>
      <c r="X3136" s="43" t="s">
        <v>4602</v>
      </c>
      <c r="Y3136" s="4">
        <v>12.587115879374799</v>
      </c>
      <c r="Z3136" s="4">
        <v>12.1815382417723</v>
      </c>
      <c r="AA3136" s="4">
        <v>12.4370579545786</v>
      </c>
      <c r="AB3136" s="4">
        <f t="shared" si="195"/>
        <v>12.401904025241899</v>
      </c>
    </row>
    <row r="3137" spans="2:28" x14ac:dyDescent="0.2">
      <c r="B3137" s="4" t="s">
        <v>641</v>
      </c>
      <c r="C3137" s="4">
        <v>11.802199999999999</v>
      </c>
      <c r="D3137" s="4">
        <v>11.688700000000001</v>
      </c>
      <c r="E3137" s="4">
        <v>11.646000000000001</v>
      </c>
      <c r="F3137" s="4">
        <f t="shared" si="192"/>
        <v>11.712299999999999</v>
      </c>
      <c r="I3137" s="4" t="s">
        <v>1311</v>
      </c>
      <c r="J3137" s="4">
        <v>9.8629999999999995</v>
      </c>
      <c r="K3137" s="4">
        <v>10.2096</v>
      </c>
      <c r="L3137" s="4">
        <v>10.8163</v>
      </c>
      <c r="M3137" s="4">
        <f t="shared" si="193"/>
        <v>10.2963</v>
      </c>
      <c r="Q3137" s="43" t="s">
        <v>2215</v>
      </c>
      <c r="R3137" s="4">
        <v>11.744557786463</v>
      </c>
      <c r="S3137" s="4">
        <v>12.472117842284799</v>
      </c>
      <c r="T3137" s="4">
        <v>11.954409814729701</v>
      </c>
      <c r="U3137" s="4">
        <f t="shared" si="194"/>
        <v>12.057028481159167</v>
      </c>
      <c r="X3137" s="43" t="s">
        <v>405</v>
      </c>
      <c r="Y3137" s="4">
        <v>12.5386048486408</v>
      </c>
      <c r="Z3137" s="4">
        <v>12.3636945777208</v>
      </c>
      <c r="AA3137" s="4">
        <v>12.301951998143901</v>
      </c>
      <c r="AB3137" s="4">
        <f t="shared" si="195"/>
        <v>12.401417141501833</v>
      </c>
    </row>
    <row r="3138" spans="2:28" x14ac:dyDescent="0.2">
      <c r="B3138" s="4" t="s">
        <v>328</v>
      </c>
      <c r="C3138" s="4">
        <v>11.6652</v>
      </c>
      <c r="D3138" s="4">
        <v>12.1683</v>
      </c>
      <c r="E3138" s="4">
        <v>11.264799999999999</v>
      </c>
      <c r="F3138" s="4">
        <f t="shared" ref="F3138:F3201" si="196">(C3138+D3138+E3138)/3</f>
        <v>11.699433333333333</v>
      </c>
      <c r="I3138" s="4" t="s">
        <v>1125</v>
      </c>
      <c r="J3138" s="4">
        <v>9.1180000000000003</v>
      </c>
      <c r="K3138" s="4">
        <v>10.0642</v>
      </c>
      <c r="L3138" s="4">
        <v>11.613799999999999</v>
      </c>
      <c r="M3138" s="4">
        <f t="shared" ref="M3138:M3146" si="197">(J3138+K3138+L3138)/3</f>
        <v>10.265333333333333</v>
      </c>
      <c r="Q3138" s="43" t="s">
        <v>840</v>
      </c>
      <c r="R3138" s="4">
        <v>11.824398659530299</v>
      </c>
      <c r="S3138" s="4">
        <v>12.2112943819543</v>
      </c>
      <c r="T3138" s="4">
        <v>12.1078996032014</v>
      </c>
      <c r="U3138" s="4">
        <f t="shared" ref="U3138:U3201" si="198">(R3138+S3138+T3138)/3</f>
        <v>12.047864214895332</v>
      </c>
      <c r="X3138" s="43" t="s">
        <v>4056</v>
      </c>
      <c r="Y3138" s="4">
        <v>12.421951993170699</v>
      </c>
      <c r="Z3138" s="4">
        <v>12.416462303388499</v>
      </c>
      <c r="AA3138" s="4">
        <v>12.3544093139413</v>
      </c>
      <c r="AB3138" s="4">
        <f t="shared" ref="AB3138:AB3201" si="199">(Y3138+Z3138+AA3138)/3</f>
        <v>12.397607870166832</v>
      </c>
    </row>
    <row r="3139" spans="2:28" x14ac:dyDescent="0.2">
      <c r="B3139" s="4" t="s">
        <v>2495</v>
      </c>
      <c r="C3139" s="4">
        <v>13.0648</v>
      </c>
      <c r="D3139" s="4">
        <v>9.5984999999999996</v>
      </c>
      <c r="E3139" s="4">
        <v>12.432499999999999</v>
      </c>
      <c r="F3139" s="4">
        <f t="shared" si="196"/>
        <v>11.698599999999999</v>
      </c>
      <c r="I3139" s="4" t="s">
        <v>930</v>
      </c>
      <c r="J3139" s="4">
        <v>10.8454</v>
      </c>
      <c r="K3139" s="4">
        <v>9.3264999999999993</v>
      </c>
      <c r="L3139" s="4">
        <v>10.566700000000001</v>
      </c>
      <c r="M3139" s="4">
        <f t="shared" si="197"/>
        <v>10.2462</v>
      </c>
      <c r="Q3139" s="43" t="s">
        <v>417</v>
      </c>
      <c r="R3139" s="4">
        <v>11.826377271154101</v>
      </c>
      <c r="S3139" s="4">
        <v>12.4078605021177</v>
      </c>
      <c r="T3139" s="4">
        <v>11.905968586574801</v>
      </c>
      <c r="U3139" s="4">
        <f t="shared" si="198"/>
        <v>12.046735453282201</v>
      </c>
      <c r="X3139" s="43" t="s">
        <v>461</v>
      </c>
      <c r="Y3139" s="4">
        <v>12.463882156257901</v>
      </c>
      <c r="Z3139" s="4">
        <v>12.4524378085897</v>
      </c>
      <c r="AA3139" s="4">
        <v>12.276476935722</v>
      </c>
      <c r="AB3139" s="4">
        <f t="shared" si="199"/>
        <v>12.397598966856535</v>
      </c>
    </row>
    <row r="3140" spans="2:28" x14ac:dyDescent="0.2">
      <c r="B3140" s="4" t="s">
        <v>94</v>
      </c>
      <c r="C3140" s="4">
        <v>11.719799999999999</v>
      </c>
      <c r="D3140" s="4">
        <v>11.286899999999999</v>
      </c>
      <c r="E3140" s="4">
        <v>12.0535</v>
      </c>
      <c r="F3140" s="4">
        <f t="shared" si="196"/>
        <v>11.686733333333331</v>
      </c>
      <c r="I3140" s="4" t="s">
        <v>556</v>
      </c>
      <c r="J3140" s="4">
        <v>10.807700000000001</v>
      </c>
      <c r="K3140" s="4">
        <v>10.4537</v>
      </c>
      <c r="L3140" s="4">
        <v>9.4679000000000002</v>
      </c>
      <c r="M3140" s="4">
        <f t="shared" si="197"/>
        <v>10.2431</v>
      </c>
      <c r="Q3140" s="43" t="s">
        <v>837</v>
      </c>
      <c r="R3140" s="4">
        <v>11.6392234420683</v>
      </c>
      <c r="S3140" s="4">
        <v>12.113589471300701</v>
      </c>
      <c r="T3140" s="4">
        <v>12.386301030157901</v>
      </c>
      <c r="U3140" s="4">
        <f t="shared" si="198"/>
        <v>12.046371314508967</v>
      </c>
      <c r="X3140" s="43" t="s">
        <v>4117</v>
      </c>
      <c r="Y3140" s="4">
        <v>12.1978414581097</v>
      </c>
      <c r="Z3140" s="4">
        <v>12.453952986570201</v>
      </c>
      <c r="AA3140" s="4">
        <v>12.534482596452399</v>
      </c>
      <c r="AB3140" s="4">
        <f t="shared" si="199"/>
        <v>12.395425680377434</v>
      </c>
    </row>
    <row r="3141" spans="2:28" x14ac:dyDescent="0.2">
      <c r="B3141" s="4" t="s">
        <v>1788</v>
      </c>
      <c r="C3141" s="4">
        <v>12.6904</v>
      </c>
      <c r="D3141" s="4">
        <v>11.6968</v>
      </c>
      <c r="E3141" s="4">
        <v>10.6607</v>
      </c>
      <c r="F3141" s="4">
        <f t="shared" si="196"/>
        <v>11.682633333333333</v>
      </c>
      <c r="I3141" s="4" t="s">
        <v>3143</v>
      </c>
      <c r="J3141" s="4">
        <v>10.2599</v>
      </c>
      <c r="K3141" s="4">
        <v>10.7582</v>
      </c>
      <c r="L3141" s="4">
        <v>9.7093000000000007</v>
      </c>
      <c r="M3141" s="4">
        <f t="shared" si="197"/>
        <v>10.242466666666667</v>
      </c>
      <c r="Q3141" s="43" t="s">
        <v>4578</v>
      </c>
      <c r="R3141" s="4">
        <v>11.454174905232801</v>
      </c>
      <c r="S3141" s="4">
        <v>12.5075026499918</v>
      </c>
      <c r="T3141" s="4">
        <v>12.146047740041899</v>
      </c>
      <c r="U3141" s="4">
        <f t="shared" si="198"/>
        <v>12.0359084317555</v>
      </c>
      <c r="X3141" s="43" t="s">
        <v>4206</v>
      </c>
      <c r="Y3141" s="4">
        <v>12.501042755194399</v>
      </c>
      <c r="Z3141" s="4">
        <v>12.052751042492</v>
      </c>
      <c r="AA3141" s="4">
        <v>12.62403494724</v>
      </c>
      <c r="AB3141" s="4">
        <f t="shared" si="199"/>
        <v>12.392609581642134</v>
      </c>
    </row>
    <row r="3142" spans="2:28" x14ac:dyDescent="0.2">
      <c r="B3142" s="4" t="s">
        <v>271</v>
      </c>
      <c r="C3142" s="4">
        <v>11.7401</v>
      </c>
      <c r="D3142" s="4">
        <v>10.9733</v>
      </c>
      <c r="E3142" s="4">
        <v>12.3208</v>
      </c>
      <c r="F3142" s="4">
        <f t="shared" si="196"/>
        <v>11.678066666666666</v>
      </c>
      <c r="I3142" s="4" t="s">
        <v>74</v>
      </c>
      <c r="J3142" s="4">
        <v>9.9581999999999997</v>
      </c>
      <c r="K3142" s="4">
        <v>10.776899999999999</v>
      </c>
      <c r="L3142" s="4">
        <v>9.9003999999999994</v>
      </c>
      <c r="M3142" s="4">
        <f t="shared" si="197"/>
        <v>10.211833333333333</v>
      </c>
      <c r="Q3142" s="43" t="s">
        <v>3654</v>
      </c>
      <c r="R3142" s="4">
        <v>11.8929988571078</v>
      </c>
      <c r="S3142" s="4">
        <v>12.082828116973999</v>
      </c>
      <c r="T3142" s="4">
        <v>12.1095406070412</v>
      </c>
      <c r="U3142" s="4">
        <f t="shared" si="198"/>
        <v>12.028455860374331</v>
      </c>
      <c r="X3142" s="43" t="s">
        <v>2493</v>
      </c>
      <c r="Y3142" s="4">
        <v>12.666368070184401</v>
      </c>
      <c r="Z3142" s="4">
        <v>12.996232033534699</v>
      </c>
      <c r="AA3142" s="4">
        <v>11.51162607278</v>
      </c>
      <c r="AB3142" s="4">
        <f t="shared" si="199"/>
        <v>12.391408725499701</v>
      </c>
    </row>
    <row r="3143" spans="2:28" x14ac:dyDescent="0.2">
      <c r="B3143" s="4" t="s">
        <v>1551</v>
      </c>
      <c r="C3143" s="4">
        <v>10.964499999999999</v>
      </c>
      <c r="D3143" s="4">
        <v>12.1906</v>
      </c>
      <c r="E3143" s="4">
        <v>11.878500000000001</v>
      </c>
      <c r="F3143" s="4">
        <f t="shared" si="196"/>
        <v>11.677866666666667</v>
      </c>
      <c r="I3143" s="4" t="s">
        <v>2036</v>
      </c>
      <c r="J3143" s="4">
        <v>10.6829</v>
      </c>
      <c r="K3143" s="4">
        <v>9.8472000000000008</v>
      </c>
      <c r="L3143" s="4">
        <v>9.6966000000000001</v>
      </c>
      <c r="M3143" s="4">
        <f t="shared" si="197"/>
        <v>10.075566666666667</v>
      </c>
      <c r="Q3143" s="43" t="s">
        <v>290</v>
      </c>
      <c r="R3143" s="4">
        <v>11.830207166579401</v>
      </c>
      <c r="S3143" s="4">
        <v>12.0985107334961</v>
      </c>
      <c r="T3143" s="4">
        <v>12.1385730806896</v>
      </c>
      <c r="U3143" s="4">
        <f t="shared" si="198"/>
        <v>12.0224303269217</v>
      </c>
      <c r="X3143" s="43" t="s">
        <v>638</v>
      </c>
      <c r="Y3143" s="4">
        <v>12.327666591936</v>
      </c>
      <c r="Z3143" s="4">
        <v>12.282077005215699</v>
      </c>
      <c r="AA3143" s="4">
        <v>12.563345490667</v>
      </c>
      <c r="AB3143" s="4">
        <f t="shared" si="199"/>
        <v>12.391029695939565</v>
      </c>
    </row>
    <row r="3144" spans="2:28" x14ac:dyDescent="0.2">
      <c r="B3144" s="4" t="s">
        <v>371</v>
      </c>
      <c r="C3144" s="4">
        <v>11.421900000000001</v>
      </c>
      <c r="D3144" s="4">
        <v>11.811400000000001</v>
      </c>
      <c r="E3144" s="4">
        <v>11.7661</v>
      </c>
      <c r="F3144" s="4">
        <f t="shared" si="196"/>
        <v>11.666466666666667</v>
      </c>
      <c r="I3144" s="4" t="s">
        <v>1051</v>
      </c>
      <c r="J3144" s="4">
        <v>10.9725</v>
      </c>
      <c r="K3144" s="4">
        <v>8.7858000000000001</v>
      </c>
      <c r="L3144" s="4">
        <v>10.2378</v>
      </c>
      <c r="M3144" s="4">
        <f t="shared" si="197"/>
        <v>9.9986999999999995</v>
      </c>
      <c r="Q3144" s="43" t="s">
        <v>3928</v>
      </c>
      <c r="R3144" s="4">
        <v>11.5033389380031</v>
      </c>
      <c r="S3144" s="4">
        <v>12.4903031237984</v>
      </c>
      <c r="T3144" s="4">
        <v>12.073287836962599</v>
      </c>
      <c r="U3144" s="4">
        <f t="shared" si="198"/>
        <v>12.022309966254701</v>
      </c>
      <c r="X3144" s="43" t="s">
        <v>4293</v>
      </c>
      <c r="Y3144" s="4">
        <v>12.501378161704899</v>
      </c>
      <c r="Z3144" s="4">
        <v>12.6376917186765</v>
      </c>
      <c r="AA3144" s="4">
        <v>12.0236252138937</v>
      </c>
      <c r="AB3144" s="4">
        <f t="shared" si="199"/>
        <v>12.387565031425034</v>
      </c>
    </row>
    <row r="3145" spans="2:28" x14ac:dyDescent="0.2">
      <c r="B3145" s="4" t="s">
        <v>3676</v>
      </c>
      <c r="C3145" s="4">
        <v>11.728199999999999</v>
      </c>
      <c r="D3145" s="4">
        <v>11.9038</v>
      </c>
      <c r="E3145" s="4">
        <v>11.353199999999999</v>
      </c>
      <c r="F3145" s="4">
        <f t="shared" si="196"/>
        <v>11.661733333333332</v>
      </c>
      <c r="I3145" s="4" t="s">
        <v>266</v>
      </c>
      <c r="J3145" s="4">
        <v>8.5167999999999999</v>
      </c>
      <c r="K3145" s="4">
        <v>12.043699999999999</v>
      </c>
      <c r="L3145" s="4">
        <v>8.6286000000000005</v>
      </c>
      <c r="M3145" s="4">
        <f t="shared" si="197"/>
        <v>9.7296999999999993</v>
      </c>
      <c r="Q3145" s="43" t="s">
        <v>4215</v>
      </c>
      <c r="R3145" s="4">
        <v>12.0484656573718</v>
      </c>
      <c r="S3145" s="4">
        <v>12.1217124162013</v>
      </c>
      <c r="T3145" s="4">
        <v>11.896480915280099</v>
      </c>
      <c r="U3145" s="4">
        <f t="shared" si="198"/>
        <v>12.022219662951066</v>
      </c>
      <c r="X3145" s="43" t="s">
        <v>3333</v>
      </c>
      <c r="Y3145" s="4">
        <v>12.307841755550699</v>
      </c>
      <c r="Z3145" s="4">
        <v>12.377070551091901</v>
      </c>
      <c r="AA3145" s="4">
        <v>12.4773395004315</v>
      </c>
      <c r="AB3145" s="4">
        <f t="shared" si="199"/>
        <v>12.3874172690247</v>
      </c>
    </row>
    <row r="3146" spans="2:28" x14ac:dyDescent="0.2">
      <c r="B3146" s="4" t="s">
        <v>2623</v>
      </c>
      <c r="C3146" s="4">
        <v>11.795199999999999</v>
      </c>
      <c r="D3146" s="4">
        <v>12.111700000000001</v>
      </c>
      <c r="E3146" s="4">
        <v>11.077199999999999</v>
      </c>
      <c r="F3146" s="4">
        <f t="shared" si="196"/>
        <v>11.661366666666666</v>
      </c>
      <c r="I3146" s="4" t="s">
        <v>2013</v>
      </c>
      <c r="J3146" s="4">
        <v>7.9747000000000003</v>
      </c>
      <c r="K3146" s="4">
        <v>8.048</v>
      </c>
      <c r="L3146" s="4">
        <v>9.4981000000000009</v>
      </c>
      <c r="M3146" s="4">
        <f t="shared" si="197"/>
        <v>8.5069333333333343</v>
      </c>
      <c r="Q3146" s="43" t="s">
        <v>345</v>
      </c>
      <c r="R3146" s="4">
        <v>11.4295192150294</v>
      </c>
      <c r="S3146" s="4">
        <v>12.55580005565</v>
      </c>
      <c r="T3146" s="4">
        <v>12.061965073013701</v>
      </c>
      <c r="U3146" s="4">
        <f t="shared" si="198"/>
        <v>12.015761447897701</v>
      </c>
      <c r="X3146" s="43" t="s">
        <v>576</v>
      </c>
      <c r="Y3146" s="4">
        <v>13.176972717811401</v>
      </c>
      <c r="Z3146" s="4">
        <v>12.0891079440095</v>
      </c>
      <c r="AA3146" s="4">
        <v>11.892987155923599</v>
      </c>
      <c r="AB3146" s="4">
        <f t="shared" si="199"/>
        <v>12.386355939248167</v>
      </c>
    </row>
    <row r="3147" spans="2:28" x14ac:dyDescent="0.2">
      <c r="B3147" s="24" t="s">
        <v>403</v>
      </c>
      <c r="C3147" s="24">
        <v>12.138299999999999</v>
      </c>
      <c r="D3147" s="24">
        <v>11.3094</v>
      </c>
      <c r="E3147" s="24">
        <v>11.508699999999999</v>
      </c>
      <c r="F3147" s="4">
        <f t="shared" si="196"/>
        <v>11.652133333333332</v>
      </c>
      <c r="Q3147" s="43" t="s">
        <v>4447</v>
      </c>
      <c r="R3147" s="4">
        <v>12.0708208793293</v>
      </c>
      <c r="S3147" s="4">
        <v>12.302258082710701</v>
      </c>
      <c r="T3147" s="4">
        <v>11.671416028361399</v>
      </c>
      <c r="U3147" s="4">
        <f t="shared" si="198"/>
        <v>12.014831663467135</v>
      </c>
      <c r="X3147" s="43" t="s">
        <v>378</v>
      </c>
      <c r="Y3147" s="4">
        <v>12.2217011446801</v>
      </c>
      <c r="Z3147" s="4">
        <v>12.4143412307207</v>
      </c>
      <c r="AA3147" s="4">
        <v>12.516890386089401</v>
      </c>
      <c r="AB3147" s="4">
        <f t="shared" si="199"/>
        <v>12.384310920496732</v>
      </c>
    </row>
    <row r="3148" spans="2:28" x14ac:dyDescent="0.2">
      <c r="B3148" s="4" t="s">
        <v>3285</v>
      </c>
      <c r="C3148" s="4">
        <v>11.4816</v>
      </c>
      <c r="D3148" s="4">
        <v>11.855399999999999</v>
      </c>
      <c r="E3148" s="4">
        <v>11.6167</v>
      </c>
      <c r="F3148" s="4">
        <f t="shared" si="196"/>
        <v>11.651233333333332</v>
      </c>
      <c r="Q3148" s="43" t="s">
        <v>1467</v>
      </c>
      <c r="R3148" s="4">
        <v>11.896147825704</v>
      </c>
      <c r="S3148" s="4">
        <v>12.3459601224805</v>
      </c>
      <c r="T3148" s="4">
        <v>11.802352159629001</v>
      </c>
      <c r="U3148" s="4">
        <f t="shared" si="198"/>
        <v>12.014820035937833</v>
      </c>
      <c r="X3148" s="43" t="s">
        <v>499</v>
      </c>
      <c r="Y3148" s="4">
        <v>12.288860813872301</v>
      </c>
      <c r="Z3148" s="4">
        <v>12.3288032990473</v>
      </c>
      <c r="AA3148" s="4">
        <v>12.5181619177534</v>
      </c>
      <c r="AB3148" s="4">
        <f t="shared" si="199"/>
        <v>12.378608676891</v>
      </c>
    </row>
    <row r="3149" spans="2:28" x14ac:dyDescent="0.2">
      <c r="B3149" s="4" t="s">
        <v>3671</v>
      </c>
      <c r="C3149" s="4">
        <v>11.707599999999999</v>
      </c>
      <c r="D3149" s="4">
        <v>11.884</v>
      </c>
      <c r="E3149" s="4">
        <v>11.3431</v>
      </c>
      <c r="F3149" s="4">
        <f t="shared" si="196"/>
        <v>11.6449</v>
      </c>
      <c r="Q3149" s="43" t="s">
        <v>4258</v>
      </c>
      <c r="R3149" s="4">
        <v>11.699580167109</v>
      </c>
      <c r="S3149" s="4">
        <v>12.2023458071912</v>
      </c>
      <c r="T3149" s="4">
        <v>12.135683052760999</v>
      </c>
      <c r="U3149" s="4">
        <f t="shared" si="198"/>
        <v>12.012536342353732</v>
      </c>
      <c r="X3149" s="43" t="s">
        <v>4445</v>
      </c>
      <c r="Y3149" s="4">
        <v>12.4483007913754</v>
      </c>
      <c r="Z3149" s="4">
        <v>12.308391769158201</v>
      </c>
      <c r="AA3149" s="4">
        <v>12.3785912062653</v>
      </c>
      <c r="AB3149" s="4">
        <f t="shared" si="199"/>
        <v>12.378427922266299</v>
      </c>
    </row>
    <row r="3150" spans="2:28" x14ac:dyDescent="0.2">
      <c r="B3150" s="4" t="s">
        <v>625</v>
      </c>
      <c r="C3150" s="4">
        <v>12.3323</v>
      </c>
      <c r="D3150" s="4">
        <v>11.643800000000001</v>
      </c>
      <c r="E3150" s="4">
        <v>10.9559</v>
      </c>
      <c r="F3150" s="4">
        <f t="shared" si="196"/>
        <v>11.644</v>
      </c>
      <c r="Q3150" s="43" t="s">
        <v>81</v>
      </c>
      <c r="R3150" s="4">
        <v>12.3946433824715</v>
      </c>
      <c r="S3150" s="4">
        <v>11.9632015874893</v>
      </c>
      <c r="T3150" s="4">
        <v>11.678057900337601</v>
      </c>
      <c r="U3150" s="4">
        <f t="shared" si="198"/>
        <v>12.011967623432801</v>
      </c>
      <c r="X3150" s="43" t="s">
        <v>3279</v>
      </c>
      <c r="Y3150" s="4">
        <v>12.5154328439386</v>
      </c>
      <c r="Z3150" s="4">
        <v>12.0278254193944</v>
      </c>
      <c r="AA3150" s="4">
        <v>12.5554241065381</v>
      </c>
      <c r="AB3150" s="4">
        <f t="shared" si="199"/>
        <v>12.366227456623699</v>
      </c>
    </row>
    <row r="3151" spans="2:28" x14ac:dyDescent="0.2">
      <c r="B3151" s="4" t="s">
        <v>3188</v>
      </c>
      <c r="C3151" s="4">
        <v>10.8218</v>
      </c>
      <c r="D3151" s="4">
        <v>11.8276</v>
      </c>
      <c r="E3151" s="4">
        <v>12.269399999999999</v>
      </c>
      <c r="F3151" s="4">
        <f t="shared" si="196"/>
        <v>11.6396</v>
      </c>
      <c r="Q3151" s="43" t="s">
        <v>1249</v>
      </c>
      <c r="R3151" s="4">
        <v>11.4539874808472</v>
      </c>
      <c r="S3151" s="4">
        <v>12.4593339656599</v>
      </c>
      <c r="T3151" s="4">
        <v>12.110072089013601</v>
      </c>
      <c r="U3151" s="4">
        <f t="shared" si="198"/>
        <v>12.007797845173565</v>
      </c>
      <c r="X3151" s="43" t="s">
        <v>4423</v>
      </c>
      <c r="Y3151" s="4">
        <v>12.2269258916788</v>
      </c>
      <c r="Z3151" s="4">
        <v>12.121567004092</v>
      </c>
      <c r="AA3151" s="4">
        <v>12.7501351372697</v>
      </c>
      <c r="AB3151" s="4">
        <f t="shared" si="199"/>
        <v>12.366209344346833</v>
      </c>
    </row>
    <row r="3152" spans="2:28" x14ac:dyDescent="0.2">
      <c r="B3152" s="4" t="s">
        <v>4104</v>
      </c>
      <c r="C3152" s="4">
        <v>12.634</v>
      </c>
      <c r="D3152" s="4">
        <v>12.125400000000001</v>
      </c>
      <c r="E3152" s="4">
        <v>10.142200000000001</v>
      </c>
      <c r="F3152" s="4">
        <f t="shared" si="196"/>
        <v>11.633866666666668</v>
      </c>
      <c r="Q3152" s="43" t="s">
        <v>4339</v>
      </c>
      <c r="R3152" s="4">
        <v>11.706704024078901</v>
      </c>
      <c r="S3152" s="4">
        <v>12.217948296528601</v>
      </c>
      <c r="T3152" s="4">
        <v>12.0871406267905</v>
      </c>
      <c r="U3152" s="4">
        <f t="shared" si="198"/>
        <v>12.003930982466001</v>
      </c>
      <c r="X3152" s="43" t="s">
        <v>4410</v>
      </c>
      <c r="Y3152" s="4">
        <v>12.022674999293301</v>
      </c>
      <c r="Z3152" s="4">
        <v>12.3007857026225</v>
      </c>
      <c r="AA3152" s="4">
        <v>12.771689256467299</v>
      </c>
      <c r="AB3152" s="4">
        <f t="shared" si="199"/>
        <v>12.365049986127699</v>
      </c>
    </row>
    <row r="3153" spans="2:28" x14ac:dyDescent="0.2">
      <c r="B3153" s="4" t="s">
        <v>93</v>
      </c>
      <c r="C3153" s="4">
        <v>12.3085</v>
      </c>
      <c r="D3153" s="4">
        <v>10.7776</v>
      </c>
      <c r="E3153" s="4">
        <v>11.797700000000001</v>
      </c>
      <c r="F3153" s="4">
        <f t="shared" si="196"/>
        <v>11.627933333333333</v>
      </c>
      <c r="Q3153" s="43" t="s">
        <v>2052</v>
      </c>
      <c r="R3153" s="4">
        <v>11.9251364316817</v>
      </c>
      <c r="S3153" s="4">
        <v>12.268924284790801</v>
      </c>
      <c r="T3153" s="4">
        <v>11.8070562326351</v>
      </c>
      <c r="U3153" s="4">
        <f t="shared" si="198"/>
        <v>12.0003723163692</v>
      </c>
      <c r="X3153" s="43" t="s">
        <v>1412</v>
      </c>
      <c r="Y3153" s="4">
        <v>12.3423489718898</v>
      </c>
      <c r="Z3153" s="4">
        <v>12.220738521296401</v>
      </c>
      <c r="AA3153" s="4">
        <v>12.5299993823921</v>
      </c>
      <c r="AB3153" s="4">
        <f t="shared" si="199"/>
        <v>12.364362291859434</v>
      </c>
    </row>
    <row r="3154" spans="2:28" x14ac:dyDescent="0.2">
      <c r="B3154" s="4" t="s">
        <v>2355</v>
      </c>
      <c r="C3154" s="4">
        <v>11.226800000000001</v>
      </c>
      <c r="D3154" s="4">
        <v>11.6037</v>
      </c>
      <c r="E3154" s="4">
        <v>12.050800000000001</v>
      </c>
      <c r="F3154" s="4">
        <f t="shared" si="196"/>
        <v>11.6271</v>
      </c>
      <c r="Q3154" s="43" t="s">
        <v>2550</v>
      </c>
      <c r="R3154" s="4">
        <v>11.483628013902999</v>
      </c>
      <c r="S3154" s="4">
        <v>12.568565139675099</v>
      </c>
      <c r="T3154" s="4">
        <v>11.944989624158399</v>
      </c>
      <c r="U3154" s="4">
        <f t="shared" si="198"/>
        <v>11.999060925912167</v>
      </c>
      <c r="X3154" s="43" t="s">
        <v>966</v>
      </c>
      <c r="Y3154" s="4">
        <v>12.4212236501495</v>
      </c>
      <c r="Z3154" s="4">
        <v>12.2051143112863</v>
      </c>
      <c r="AA3154" s="4">
        <v>12.4619212478693</v>
      </c>
      <c r="AB3154" s="4">
        <f t="shared" si="199"/>
        <v>12.362753069768367</v>
      </c>
    </row>
    <row r="3155" spans="2:28" x14ac:dyDescent="0.2">
      <c r="B3155" s="4" t="s">
        <v>3835</v>
      </c>
      <c r="C3155" s="4">
        <v>11.648899999999999</v>
      </c>
      <c r="D3155" s="4">
        <v>11.914099999999999</v>
      </c>
      <c r="E3155" s="4">
        <v>11.309900000000001</v>
      </c>
      <c r="F3155" s="4">
        <f t="shared" si="196"/>
        <v>11.6243</v>
      </c>
      <c r="Q3155" s="43" t="s">
        <v>4388</v>
      </c>
      <c r="R3155" s="4">
        <v>11.918102398096201</v>
      </c>
      <c r="S3155" s="4">
        <v>12.209370329557499</v>
      </c>
      <c r="T3155" s="4">
        <v>11.868527452872399</v>
      </c>
      <c r="U3155" s="4">
        <f t="shared" si="198"/>
        <v>11.998666726842032</v>
      </c>
      <c r="X3155" s="43" t="s">
        <v>832</v>
      </c>
      <c r="Y3155" s="4">
        <v>12.3857985422709</v>
      </c>
      <c r="Z3155" s="4">
        <v>12.5433654690954</v>
      </c>
      <c r="AA3155" s="4">
        <v>12.1561510046335</v>
      </c>
      <c r="AB3155" s="4">
        <f t="shared" si="199"/>
        <v>12.361771671999932</v>
      </c>
    </row>
    <row r="3156" spans="2:28" x14ac:dyDescent="0.2">
      <c r="B3156" s="4" t="s">
        <v>3290</v>
      </c>
      <c r="C3156" s="4">
        <v>11.894</v>
      </c>
      <c r="D3156" s="4">
        <v>11.2973</v>
      </c>
      <c r="E3156" s="4">
        <v>11.6738</v>
      </c>
      <c r="F3156" s="4">
        <f t="shared" si="196"/>
        <v>11.621699999999999</v>
      </c>
      <c r="Q3156" s="43" t="s">
        <v>474</v>
      </c>
      <c r="R3156" s="4">
        <v>11.5179624740036</v>
      </c>
      <c r="S3156" s="4">
        <v>12.2004222653737</v>
      </c>
      <c r="T3156" s="4">
        <v>12.2747180662706</v>
      </c>
      <c r="U3156" s="4">
        <f t="shared" si="198"/>
        <v>11.997700935215967</v>
      </c>
      <c r="X3156" s="43" t="s">
        <v>4435</v>
      </c>
      <c r="Y3156" s="4">
        <v>12.4796809087324</v>
      </c>
      <c r="Z3156" s="4">
        <v>12.3129470355485</v>
      </c>
      <c r="AA3156" s="4">
        <v>12.292401746448499</v>
      </c>
      <c r="AB3156" s="4">
        <f t="shared" si="199"/>
        <v>12.361676563576466</v>
      </c>
    </row>
    <row r="3157" spans="2:28" x14ac:dyDescent="0.2">
      <c r="B3157" s="4" t="s">
        <v>3713</v>
      </c>
      <c r="C3157" s="4">
        <v>12.091699999999999</v>
      </c>
      <c r="D3157" s="4">
        <v>11.1614</v>
      </c>
      <c r="E3157" s="4">
        <v>11.586399999999999</v>
      </c>
      <c r="F3157" s="4">
        <f t="shared" si="196"/>
        <v>11.613166666666666</v>
      </c>
      <c r="Q3157" s="43" t="s">
        <v>4248</v>
      </c>
      <c r="R3157" s="4">
        <v>11.7302540048937</v>
      </c>
      <c r="S3157" s="4">
        <v>12.1249803308009</v>
      </c>
      <c r="T3157" s="4">
        <v>12.116229922807401</v>
      </c>
      <c r="U3157" s="4">
        <f t="shared" si="198"/>
        <v>11.990488086167334</v>
      </c>
      <c r="X3157" s="43" t="s">
        <v>4196</v>
      </c>
      <c r="Y3157" s="4">
        <v>12.616747460293499</v>
      </c>
      <c r="Z3157" s="4">
        <v>12.114627318190299</v>
      </c>
      <c r="AA3157" s="4">
        <v>12.348069698448199</v>
      </c>
      <c r="AB3157" s="4">
        <f t="shared" si="199"/>
        <v>12.359814825643999</v>
      </c>
    </row>
    <row r="3158" spans="2:28" x14ac:dyDescent="0.2">
      <c r="B3158" s="4" t="s">
        <v>3729</v>
      </c>
      <c r="C3158" s="4">
        <v>12.4245</v>
      </c>
      <c r="D3158" s="4">
        <v>9.7880000000000003</v>
      </c>
      <c r="E3158" s="4">
        <v>12.622299999999999</v>
      </c>
      <c r="F3158" s="4">
        <f t="shared" si="196"/>
        <v>11.611600000000001</v>
      </c>
      <c r="Q3158" s="43" t="s">
        <v>1773</v>
      </c>
      <c r="R3158" s="4">
        <v>12.2614323555715</v>
      </c>
      <c r="S3158" s="4">
        <v>12.5938851180036</v>
      </c>
      <c r="T3158" s="4">
        <v>11.111795072576999</v>
      </c>
      <c r="U3158" s="4">
        <f t="shared" si="198"/>
        <v>11.989037515384032</v>
      </c>
      <c r="X3158" s="43" t="s">
        <v>3356</v>
      </c>
      <c r="Y3158" s="4">
        <v>12.1746940208296</v>
      </c>
      <c r="Z3158" s="4">
        <v>12.583985324389101</v>
      </c>
      <c r="AA3158" s="4">
        <v>12.315562324196</v>
      </c>
      <c r="AB3158" s="4">
        <f t="shared" si="199"/>
        <v>12.358080556471569</v>
      </c>
    </row>
    <row r="3159" spans="2:28" x14ac:dyDescent="0.2">
      <c r="B3159" s="4" t="s">
        <v>2867</v>
      </c>
      <c r="C3159" s="4">
        <v>11.1144</v>
      </c>
      <c r="D3159" s="4">
        <v>12.193899999999999</v>
      </c>
      <c r="E3159" s="4">
        <v>11.5161</v>
      </c>
      <c r="F3159" s="4">
        <f t="shared" si="196"/>
        <v>11.608133333333333</v>
      </c>
      <c r="Q3159" s="43" t="s">
        <v>4441</v>
      </c>
      <c r="R3159" s="4">
        <v>11.465037163585301</v>
      </c>
      <c r="S3159" s="4">
        <v>12.213161753962799</v>
      </c>
      <c r="T3159" s="4">
        <v>12.279782914694399</v>
      </c>
      <c r="U3159" s="4">
        <f t="shared" si="198"/>
        <v>11.985993944080834</v>
      </c>
      <c r="X3159" s="43" t="s">
        <v>3471</v>
      </c>
      <c r="Y3159" s="4">
        <v>12.4305854800005</v>
      </c>
      <c r="Z3159" s="4">
        <v>12.237090623668101</v>
      </c>
      <c r="AA3159" s="4">
        <v>12.4053656599707</v>
      </c>
      <c r="AB3159" s="4">
        <f t="shared" si="199"/>
        <v>12.357680587879768</v>
      </c>
    </row>
    <row r="3160" spans="2:28" x14ac:dyDescent="0.2">
      <c r="B3160" s="4" t="s">
        <v>2803</v>
      </c>
      <c r="C3160" s="4">
        <v>10.9786</v>
      </c>
      <c r="D3160" s="4">
        <v>11.540800000000001</v>
      </c>
      <c r="E3160" s="4">
        <v>12.2804</v>
      </c>
      <c r="F3160" s="4">
        <f t="shared" si="196"/>
        <v>11.599933333333334</v>
      </c>
      <c r="Q3160" s="43" t="s">
        <v>671</v>
      </c>
      <c r="R3160" s="4">
        <v>11.451360338489801</v>
      </c>
      <c r="S3160" s="4">
        <v>11.947576916080999</v>
      </c>
      <c r="T3160" s="4">
        <v>12.5430084908245</v>
      </c>
      <c r="U3160" s="4">
        <f t="shared" si="198"/>
        <v>11.980648581798434</v>
      </c>
      <c r="X3160" s="43" t="s">
        <v>5</v>
      </c>
      <c r="Y3160" s="4">
        <v>12.3456029028721</v>
      </c>
      <c r="Z3160" s="4">
        <v>11.9486590381492</v>
      </c>
      <c r="AA3160" s="4">
        <v>12.773468485815901</v>
      </c>
      <c r="AB3160" s="4">
        <f t="shared" si="199"/>
        <v>12.355910142279066</v>
      </c>
    </row>
    <row r="3161" spans="2:28" x14ac:dyDescent="0.2">
      <c r="B3161" s="4" t="s">
        <v>3974</v>
      </c>
      <c r="C3161" s="4">
        <v>11.1287</v>
      </c>
      <c r="D3161" s="4">
        <v>11.6693</v>
      </c>
      <c r="E3161" s="4">
        <v>11.9887</v>
      </c>
      <c r="F3161" s="4">
        <f t="shared" si="196"/>
        <v>11.595566666666668</v>
      </c>
      <c r="Q3161" s="43" t="s">
        <v>941</v>
      </c>
      <c r="R3161" s="4">
        <v>11.850189838936901</v>
      </c>
      <c r="S3161" s="4">
        <v>12.3746126450558</v>
      </c>
      <c r="T3161" s="4">
        <v>11.7168746275955</v>
      </c>
      <c r="U3161" s="4">
        <f t="shared" si="198"/>
        <v>11.980559037196066</v>
      </c>
      <c r="X3161" s="43" t="s">
        <v>4610</v>
      </c>
      <c r="Y3161" s="4">
        <v>12.2727292779617</v>
      </c>
      <c r="Z3161" s="4">
        <v>12.062581383562801</v>
      </c>
      <c r="AA3161" s="4">
        <v>12.7322869740916</v>
      </c>
      <c r="AB3161" s="4">
        <f t="shared" si="199"/>
        <v>12.355865878538701</v>
      </c>
    </row>
    <row r="3162" spans="2:28" x14ac:dyDescent="0.2">
      <c r="B3162" s="4" t="s">
        <v>3573</v>
      </c>
      <c r="C3162" s="4">
        <v>11.8367</v>
      </c>
      <c r="D3162" s="4">
        <v>11.9061</v>
      </c>
      <c r="E3162" s="4">
        <v>11.042299999999999</v>
      </c>
      <c r="F3162" s="4">
        <f t="shared" si="196"/>
        <v>11.595033333333333</v>
      </c>
      <c r="Q3162" s="43" t="s">
        <v>2948</v>
      </c>
      <c r="R3162" s="4">
        <v>11.8634463313621</v>
      </c>
      <c r="S3162" s="4">
        <v>12.1470737133893</v>
      </c>
      <c r="T3162" s="4">
        <v>11.9287219196303</v>
      </c>
      <c r="U3162" s="4">
        <f t="shared" si="198"/>
        <v>11.979747321460566</v>
      </c>
      <c r="X3162" s="43" t="s">
        <v>4087</v>
      </c>
      <c r="Y3162" s="4">
        <v>12.2567934619595</v>
      </c>
      <c r="Z3162" s="4">
        <v>12.514078408118401</v>
      </c>
      <c r="AA3162" s="4">
        <v>12.291542690223601</v>
      </c>
      <c r="AB3162" s="4">
        <f t="shared" si="199"/>
        <v>12.354138186767168</v>
      </c>
    </row>
    <row r="3163" spans="2:28" x14ac:dyDescent="0.2">
      <c r="B3163" s="4" t="s">
        <v>930</v>
      </c>
      <c r="C3163" s="4">
        <v>11.5578</v>
      </c>
      <c r="D3163" s="4">
        <v>11.0433</v>
      </c>
      <c r="E3163" s="4">
        <v>12.1821</v>
      </c>
      <c r="F3163" s="4">
        <f t="shared" si="196"/>
        <v>11.5944</v>
      </c>
      <c r="Q3163" s="43" t="s">
        <v>4193</v>
      </c>
      <c r="R3163" s="4">
        <v>11.738186663089101</v>
      </c>
      <c r="S3163" s="4">
        <v>12.5149276642346</v>
      </c>
      <c r="T3163" s="4">
        <v>11.6842474712906</v>
      </c>
      <c r="U3163" s="4">
        <f t="shared" si="198"/>
        <v>11.979120599538101</v>
      </c>
      <c r="X3163" s="43" t="s">
        <v>959</v>
      </c>
      <c r="Y3163" s="4">
        <v>12.3646593497868</v>
      </c>
      <c r="Z3163" s="4">
        <v>12.7261887316408</v>
      </c>
      <c r="AA3163" s="4">
        <v>11.9628866216046</v>
      </c>
      <c r="AB3163" s="4">
        <f t="shared" si="199"/>
        <v>12.351244901010736</v>
      </c>
    </row>
    <row r="3164" spans="2:28" x14ac:dyDescent="0.2">
      <c r="B3164" s="4" t="s">
        <v>1457</v>
      </c>
      <c r="C3164" s="4">
        <v>11.7249</v>
      </c>
      <c r="D3164" s="4">
        <v>11.631600000000001</v>
      </c>
      <c r="E3164" s="4">
        <v>11.4209</v>
      </c>
      <c r="F3164" s="4">
        <f t="shared" si="196"/>
        <v>11.592466666666667</v>
      </c>
      <c r="Q3164" s="43" t="s">
        <v>2840</v>
      </c>
      <c r="R3164" s="4">
        <v>11.5452144814344</v>
      </c>
      <c r="S3164" s="4">
        <v>12.3743301449003</v>
      </c>
      <c r="T3164" s="4">
        <v>11.996664600359599</v>
      </c>
      <c r="U3164" s="4">
        <f t="shared" si="198"/>
        <v>11.972069742231433</v>
      </c>
      <c r="X3164" s="43" t="s">
        <v>2009</v>
      </c>
      <c r="Y3164" s="4">
        <v>12.438680031432799</v>
      </c>
      <c r="Z3164" s="4">
        <v>11.7382030530958</v>
      </c>
      <c r="AA3164" s="4">
        <v>12.863937613251</v>
      </c>
      <c r="AB3164" s="4">
        <f t="shared" si="199"/>
        <v>12.346940232593198</v>
      </c>
    </row>
    <row r="3165" spans="2:28" x14ac:dyDescent="0.2">
      <c r="B3165" s="4" t="s">
        <v>1311</v>
      </c>
      <c r="C3165" s="4">
        <v>11.428000000000001</v>
      </c>
      <c r="D3165" s="4">
        <v>11.5915</v>
      </c>
      <c r="E3165" s="4">
        <v>11.7342</v>
      </c>
      <c r="F3165" s="4">
        <f t="shared" si="196"/>
        <v>11.584566666666667</v>
      </c>
      <c r="Q3165" s="43" t="s">
        <v>4389</v>
      </c>
      <c r="R3165" s="4">
        <v>12.1273206951938</v>
      </c>
      <c r="S3165" s="4">
        <v>11.985628304886299</v>
      </c>
      <c r="T3165" s="4">
        <v>11.791795977086</v>
      </c>
      <c r="U3165" s="4">
        <f t="shared" si="198"/>
        <v>11.968248325722035</v>
      </c>
      <c r="X3165" s="43" t="s">
        <v>3884</v>
      </c>
      <c r="Y3165" s="4">
        <v>12.486334124911</v>
      </c>
      <c r="Z3165" s="4">
        <v>12.052202079695199</v>
      </c>
      <c r="AA3165" s="4">
        <v>12.482738801771699</v>
      </c>
      <c r="AB3165" s="4">
        <f t="shared" si="199"/>
        <v>12.340425002125967</v>
      </c>
    </row>
    <row r="3166" spans="2:28" x14ac:dyDescent="0.2">
      <c r="B3166" s="4" t="s">
        <v>1880</v>
      </c>
      <c r="C3166" s="4">
        <v>10.133599999999999</v>
      </c>
      <c r="D3166" s="4">
        <v>12.557</v>
      </c>
      <c r="E3166" s="4">
        <v>12.0608</v>
      </c>
      <c r="F3166" s="4">
        <f t="shared" si="196"/>
        <v>11.583800000000002</v>
      </c>
      <c r="Q3166" s="43" t="s">
        <v>778</v>
      </c>
      <c r="R3166" s="4">
        <v>11.3681156411077</v>
      </c>
      <c r="S3166" s="4">
        <v>12.1627943914295</v>
      </c>
      <c r="T3166" s="4">
        <v>12.3707442650242</v>
      </c>
      <c r="U3166" s="4">
        <f t="shared" si="198"/>
        <v>11.967218099187134</v>
      </c>
      <c r="X3166" s="43" t="s">
        <v>1238</v>
      </c>
      <c r="Y3166" s="4">
        <v>12.364069806754101</v>
      </c>
      <c r="Z3166" s="4">
        <v>12.613814605159799</v>
      </c>
      <c r="AA3166" s="4">
        <v>12.038787474056999</v>
      </c>
      <c r="AB3166" s="4">
        <f t="shared" si="199"/>
        <v>12.338890628656964</v>
      </c>
    </row>
    <row r="3167" spans="2:28" x14ac:dyDescent="0.2">
      <c r="B3167" s="4" t="s">
        <v>3416</v>
      </c>
      <c r="C3167" s="4">
        <v>10.9276</v>
      </c>
      <c r="D3167" s="4">
        <v>11.7287</v>
      </c>
      <c r="E3167" s="4">
        <v>12.0633</v>
      </c>
      <c r="F3167" s="4">
        <f t="shared" si="196"/>
        <v>11.5732</v>
      </c>
      <c r="Q3167" s="43" t="s">
        <v>4314</v>
      </c>
      <c r="R3167" s="4">
        <v>11.8806480685064</v>
      </c>
      <c r="S3167" s="4">
        <v>12.1773005028341</v>
      </c>
      <c r="T3167" s="4">
        <v>11.832697034625401</v>
      </c>
      <c r="U3167" s="4">
        <f t="shared" si="198"/>
        <v>11.963548535321967</v>
      </c>
      <c r="X3167" s="43" t="s">
        <v>4597</v>
      </c>
      <c r="Y3167" s="4">
        <v>12.325004867777601</v>
      </c>
      <c r="Z3167" s="4">
        <v>12.377687365940799</v>
      </c>
      <c r="AA3167" s="4">
        <v>12.298957075107699</v>
      </c>
      <c r="AB3167" s="4">
        <f t="shared" si="199"/>
        <v>12.333883102942034</v>
      </c>
    </row>
    <row r="3168" spans="2:28" x14ac:dyDescent="0.2">
      <c r="B3168" s="4" t="s">
        <v>1171</v>
      </c>
      <c r="C3168" s="4">
        <v>9.0216999999999992</v>
      </c>
      <c r="D3168" s="4">
        <v>13.5374</v>
      </c>
      <c r="E3168" s="4">
        <v>12.152900000000001</v>
      </c>
      <c r="F3168" s="4">
        <f t="shared" si="196"/>
        <v>11.570666666666668</v>
      </c>
      <c r="Q3168" s="43" t="s">
        <v>3283</v>
      </c>
      <c r="R3168" s="4">
        <v>11.8658564558227</v>
      </c>
      <c r="S3168" s="4">
        <v>12.1834437645535</v>
      </c>
      <c r="T3168" s="4">
        <v>11.8378220611787</v>
      </c>
      <c r="U3168" s="4">
        <f t="shared" si="198"/>
        <v>11.962374093851635</v>
      </c>
      <c r="X3168" s="43" t="s">
        <v>620</v>
      </c>
      <c r="Y3168" s="4">
        <v>12.301765542694801</v>
      </c>
      <c r="Z3168" s="4">
        <v>12.2642813012903</v>
      </c>
      <c r="AA3168" s="4">
        <v>12.4317185640099</v>
      </c>
      <c r="AB3168" s="4">
        <f t="shared" si="199"/>
        <v>12.332588469331666</v>
      </c>
    </row>
    <row r="3169" spans="2:28" x14ac:dyDescent="0.2">
      <c r="B3169" s="4" t="s">
        <v>1398</v>
      </c>
      <c r="C3169" s="4">
        <v>12.146599999999999</v>
      </c>
      <c r="D3169" s="4">
        <v>10.606299999999999</v>
      </c>
      <c r="E3169" s="4">
        <v>11.949299999999999</v>
      </c>
      <c r="F3169" s="4">
        <f t="shared" si="196"/>
        <v>11.567399999999999</v>
      </c>
      <c r="Q3169" s="43" t="s">
        <v>863</v>
      </c>
      <c r="R3169" s="4">
        <v>11.215020484481901</v>
      </c>
      <c r="S3169" s="4">
        <v>12.419521515851301</v>
      </c>
      <c r="T3169" s="4">
        <v>12.2437436079321</v>
      </c>
      <c r="U3169" s="4">
        <f t="shared" si="198"/>
        <v>11.959428536088433</v>
      </c>
      <c r="X3169" s="43" t="s">
        <v>1448</v>
      </c>
      <c r="Y3169" s="4">
        <v>12.1863700938293</v>
      </c>
      <c r="Z3169" s="4">
        <v>12.246764371703501</v>
      </c>
      <c r="AA3169" s="4">
        <v>12.5613223918232</v>
      </c>
      <c r="AB3169" s="4">
        <f t="shared" si="199"/>
        <v>12.331485619118666</v>
      </c>
    </row>
    <row r="3170" spans="2:28" x14ac:dyDescent="0.2">
      <c r="B3170" s="4" t="s">
        <v>205</v>
      </c>
      <c r="C3170" s="4">
        <v>11.8887</v>
      </c>
      <c r="D3170" s="4">
        <v>11.0367</v>
      </c>
      <c r="E3170" s="4">
        <v>11.7514</v>
      </c>
      <c r="F3170" s="4">
        <f t="shared" si="196"/>
        <v>11.558933333333334</v>
      </c>
      <c r="Q3170" s="43" t="s">
        <v>721</v>
      </c>
      <c r="R3170" s="4">
        <v>12.027531284193801</v>
      </c>
      <c r="S3170" s="4">
        <v>12.203424470034101</v>
      </c>
      <c r="T3170" s="4">
        <v>11.631408775943701</v>
      </c>
      <c r="U3170" s="4">
        <f t="shared" si="198"/>
        <v>11.954121510057201</v>
      </c>
      <c r="X3170" s="43" t="s">
        <v>1860</v>
      </c>
      <c r="Y3170" s="4">
        <v>12.4458578603648</v>
      </c>
      <c r="Z3170" s="4">
        <v>12.4268865305581</v>
      </c>
      <c r="AA3170" s="4">
        <v>12.1124704532415</v>
      </c>
      <c r="AB3170" s="4">
        <f t="shared" si="199"/>
        <v>12.328404948054802</v>
      </c>
    </row>
    <row r="3171" spans="2:28" x14ac:dyDescent="0.2">
      <c r="B3171" s="4" t="s">
        <v>2023</v>
      </c>
      <c r="C3171" s="4">
        <v>13.049899999999999</v>
      </c>
      <c r="D3171" s="4">
        <v>11.6069</v>
      </c>
      <c r="E3171" s="4">
        <v>10.016</v>
      </c>
      <c r="F3171" s="4">
        <f t="shared" si="196"/>
        <v>11.557599999999999</v>
      </c>
      <c r="Q3171" s="43" t="s">
        <v>3463</v>
      </c>
      <c r="R3171" s="4">
        <v>12.048953643274499</v>
      </c>
      <c r="S3171" s="4">
        <v>12.147237534459601</v>
      </c>
      <c r="T3171" s="4">
        <v>11.6552430854119</v>
      </c>
      <c r="U3171" s="4">
        <f t="shared" si="198"/>
        <v>11.950478087715334</v>
      </c>
      <c r="X3171" s="43" t="s">
        <v>4200</v>
      </c>
      <c r="Y3171" s="4">
        <v>12.319553647133899</v>
      </c>
      <c r="Z3171" s="4">
        <v>12.2085004026828</v>
      </c>
      <c r="AA3171" s="4">
        <v>12.4431737447067</v>
      </c>
      <c r="AB3171" s="4">
        <f t="shared" si="199"/>
        <v>12.323742598174467</v>
      </c>
    </row>
    <row r="3172" spans="2:28" x14ac:dyDescent="0.2">
      <c r="B3172" s="4" t="s">
        <v>986</v>
      </c>
      <c r="C3172" s="4">
        <v>11.224500000000001</v>
      </c>
      <c r="D3172" s="4">
        <v>11.475199999999999</v>
      </c>
      <c r="E3172" s="4">
        <v>11.954599999999999</v>
      </c>
      <c r="F3172" s="4">
        <f t="shared" si="196"/>
        <v>11.551433333333334</v>
      </c>
      <c r="Q3172" s="43" t="s">
        <v>346</v>
      </c>
      <c r="R3172" s="4">
        <v>11.883984329209801</v>
      </c>
      <c r="S3172" s="4">
        <v>12.1519556510664</v>
      </c>
      <c r="T3172" s="4">
        <v>11.814723094350301</v>
      </c>
      <c r="U3172" s="4">
        <f t="shared" si="198"/>
        <v>11.950221024875502</v>
      </c>
      <c r="X3172" s="43" t="s">
        <v>198</v>
      </c>
      <c r="Y3172" s="4">
        <v>11.937753645611799</v>
      </c>
      <c r="Z3172" s="4">
        <v>12.153635821397501</v>
      </c>
      <c r="AA3172" s="4">
        <v>12.8775703747531</v>
      </c>
      <c r="AB3172" s="4">
        <f t="shared" si="199"/>
        <v>12.322986613920799</v>
      </c>
    </row>
    <row r="3173" spans="2:28" x14ac:dyDescent="0.2">
      <c r="B3173" s="4" t="s">
        <v>3156</v>
      </c>
      <c r="C3173" s="4">
        <v>12.328200000000001</v>
      </c>
      <c r="D3173" s="4">
        <v>11.6257</v>
      </c>
      <c r="E3173" s="4">
        <v>10.695499999999999</v>
      </c>
      <c r="F3173" s="4">
        <f t="shared" si="196"/>
        <v>11.549799999999999</v>
      </c>
      <c r="Q3173" s="43" t="s">
        <v>90</v>
      </c>
      <c r="R3173" s="4">
        <v>11.783662545054399</v>
      </c>
      <c r="S3173" s="4">
        <v>12.1029690498861</v>
      </c>
      <c r="T3173" s="4">
        <v>11.9616857334739</v>
      </c>
      <c r="U3173" s="4">
        <f t="shared" si="198"/>
        <v>11.949439109471465</v>
      </c>
      <c r="X3173" s="43" t="s">
        <v>1036</v>
      </c>
      <c r="Y3173" s="4">
        <v>11.8660536975576</v>
      </c>
      <c r="Z3173" s="4">
        <v>12.482935816469301</v>
      </c>
      <c r="AA3173" s="4">
        <v>12.6105456887174</v>
      </c>
      <c r="AB3173" s="4">
        <f t="shared" si="199"/>
        <v>12.319845067581433</v>
      </c>
    </row>
    <row r="3174" spans="2:28" x14ac:dyDescent="0.2">
      <c r="B3174" s="4" t="s">
        <v>3003</v>
      </c>
      <c r="C3174" s="4">
        <v>11.3642</v>
      </c>
      <c r="D3174" s="4">
        <v>11.9131</v>
      </c>
      <c r="E3174" s="4">
        <v>11.349600000000001</v>
      </c>
      <c r="F3174" s="4">
        <f t="shared" si="196"/>
        <v>11.542299999999999</v>
      </c>
      <c r="Q3174" s="43" t="s">
        <v>727</v>
      </c>
      <c r="R3174" s="4">
        <v>11.4731927777579</v>
      </c>
      <c r="S3174" s="4">
        <v>12.237444971654099</v>
      </c>
      <c r="T3174" s="4">
        <v>12.128987171003301</v>
      </c>
      <c r="U3174" s="4">
        <f t="shared" si="198"/>
        <v>11.946541640138435</v>
      </c>
      <c r="X3174" s="43" t="s">
        <v>1037</v>
      </c>
      <c r="Y3174" s="4">
        <v>12.403527332564</v>
      </c>
      <c r="Z3174" s="4">
        <v>12.242539735939101</v>
      </c>
      <c r="AA3174" s="4">
        <v>12.3096071166963</v>
      </c>
      <c r="AB3174" s="4">
        <f t="shared" si="199"/>
        <v>12.318558061733134</v>
      </c>
    </row>
    <row r="3175" spans="2:28" x14ac:dyDescent="0.2">
      <c r="B3175" s="4" t="s">
        <v>510</v>
      </c>
      <c r="C3175" s="4">
        <v>11.828099999999999</v>
      </c>
      <c r="D3175" s="4">
        <v>11.3352</v>
      </c>
      <c r="E3175" s="4">
        <v>11.457599999999999</v>
      </c>
      <c r="F3175" s="4">
        <f t="shared" si="196"/>
        <v>11.5403</v>
      </c>
      <c r="Q3175" s="43" t="s">
        <v>2186</v>
      </c>
      <c r="R3175" s="4">
        <v>12.036288898917901</v>
      </c>
      <c r="S3175" s="4">
        <v>11.972968992661899</v>
      </c>
      <c r="T3175" s="4">
        <v>11.820271766609901</v>
      </c>
      <c r="U3175" s="4">
        <f t="shared" si="198"/>
        <v>11.9431765527299</v>
      </c>
      <c r="X3175" s="43" t="s">
        <v>4388</v>
      </c>
      <c r="Y3175" s="4">
        <v>11.846113454317999</v>
      </c>
      <c r="Z3175" s="4">
        <v>12.847553917537001</v>
      </c>
      <c r="AA3175" s="4">
        <v>12.247527858785601</v>
      </c>
      <c r="AB3175" s="4">
        <f t="shared" si="199"/>
        <v>12.313731743546867</v>
      </c>
    </row>
    <row r="3176" spans="2:28" x14ac:dyDescent="0.2">
      <c r="B3176" s="4" t="s">
        <v>3666</v>
      </c>
      <c r="C3176" s="4">
        <v>11.664899999999999</v>
      </c>
      <c r="D3176" s="4">
        <v>11.3055</v>
      </c>
      <c r="E3176" s="4">
        <v>11.6282</v>
      </c>
      <c r="F3176" s="4">
        <f t="shared" si="196"/>
        <v>11.532866666666665</v>
      </c>
      <c r="Q3176" s="43" t="s">
        <v>4544</v>
      </c>
      <c r="R3176" s="4">
        <v>11.994700036636599</v>
      </c>
      <c r="S3176" s="4">
        <v>12.330683672977001</v>
      </c>
      <c r="T3176" s="4">
        <v>11.499704391604</v>
      </c>
      <c r="U3176" s="4">
        <f t="shared" si="198"/>
        <v>11.9416960337392</v>
      </c>
      <c r="X3176" s="43" t="s">
        <v>3854</v>
      </c>
      <c r="Y3176" s="4">
        <v>12.4096400922878</v>
      </c>
      <c r="Z3176" s="4">
        <v>12.3806025310944</v>
      </c>
      <c r="AA3176" s="4">
        <v>12.150512545639501</v>
      </c>
      <c r="AB3176" s="4">
        <f t="shared" si="199"/>
        <v>12.313585056340566</v>
      </c>
    </row>
    <row r="3177" spans="2:28" x14ac:dyDescent="0.2">
      <c r="B3177" s="4" t="s">
        <v>482</v>
      </c>
      <c r="C3177" s="4">
        <v>10.62</v>
      </c>
      <c r="D3177" s="4">
        <v>12.4497</v>
      </c>
      <c r="E3177" s="4">
        <v>11.51</v>
      </c>
      <c r="F3177" s="4">
        <f t="shared" si="196"/>
        <v>11.526566666666666</v>
      </c>
      <c r="Q3177" s="43" t="s">
        <v>508</v>
      </c>
      <c r="R3177" s="4">
        <v>11.807146377574799</v>
      </c>
      <c r="S3177" s="4">
        <v>12.153041611081299</v>
      </c>
      <c r="T3177" s="4">
        <v>11.8618001221129</v>
      </c>
      <c r="U3177" s="4">
        <f t="shared" si="198"/>
        <v>11.940662703589666</v>
      </c>
      <c r="X3177" s="43" t="s">
        <v>3533</v>
      </c>
      <c r="Y3177" s="4">
        <v>12.2779331163644</v>
      </c>
      <c r="Z3177" s="4">
        <v>12.0957426328008</v>
      </c>
      <c r="AA3177" s="4">
        <v>12.565633334671601</v>
      </c>
      <c r="AB3177" s="4">
        <f t="shared" si="199"/>
        <v>12.313103027945601</v>
      </c>
    </row>
    <row r="3178" spans="2:28" x14ac:dyDescent="0.2">
      <c r="B3178" s="4" t="s">
        <v>92</v>
      </c>
      <c r="C3178" s="4">
        <v>10.4239</v>
      </c>
      <c r="D3178" s="4">
        <v>11.748699999999999</v>
      </c>
      <c r="E3178" s="4">
        <v>12.3954</v>
      </c>
      <c r="F3178" s="4">
        <f t="shared" si="196"/>
        <v>11.522666666666666</v>
      </c>
      <c r="Q3178" s="43" t="s">
        <v>4148</v>
      </c>
      <c r="R3178" s="4">
        <v>11.851451011426301</v>
      </c>
      <c r="S3178" s="4">
        <v>12.0357828501224</v>
      </c>
      <c r="T3178" s="4">
        <v>11.9227569863288</v>
      </c>
      <c r="U3178" s="4">
        <f t="shared" si="198"/>
        <v>11.936663615959167</v>
      </c>
      <c r="X3178" s="43" t="s">
        <v>3686</v>
      </c>
      <c r="Y3178" s="4">
        <v>12.6571714891993</v>
      </c>
      <c r="Z3178" s="4">
        <v>12.039461519307499</v>
      </c>
      <c r="AA3178" s="4">
        <v>12.2339431589948</v>
      </c>
      <c r="AB3178" s="4">
        <f t="shared" si="199"/>
        <v>12.310192055833866</v>
      </c>
    </row>
    <row r="3179" spans="2:28" x14ac:dyDescent="0.2">
      <c r="B3179" s="4" t="s">
        <v>3517</v>
      </c>
      <c r="C3179" s="4">
        <v>11.9117</v>
      </c>
      <c r="D3179" s="4">
        <v>11.485099999999999</v>
      </c>
      <c r="E3179" s="4">
        <v>11.168100000000001</v>
      </c>
      <c r="F3179" s="4">
        <f t="shared" si="196"/>
        <v>11.521633333333334</v>
      </c>
      <c r="Q3179" s="43" t="s">
        <v>675</v>
      </c>
      <c r="R3179" s="4">
        <v>11.430884599685699</v>
      </c>
      <c r="S3179" s="4">
        <v>12.1200015658609</v>
      </c>
      <c r="T3179" s="4">
        <v>12.249906757328301</v>
      </c>
      <c r="U3179" s="4">
        <f t="shared" si="198"/>
        <v>11.933597640958302</v>
      </c>
      <c r="X3179" s="43" t="s">
        <v>3841</v>
      </c>
      <c r="Y3179" s="4">
        <v>12.238859286153399</v>
      </c>
      <c r="Z3179" s="4">
        <v>12.1568600279902</v>
      </c>
      <c r="AA3179" s="4">
        <v>12.533061308036</v>
      </c>
      <c r="AB3179" s="4">
        <f t="shared" si="199"/>
        <v>12.309593540726533</v>
      </c>
    </row>
    <row r="3180" spans="2:28" x14ac:dyDescent="0.2">
      <c r="B3180" s="4" t="s">
        <v>3155</v>
      </c>
      <c r="C3180" s="4">
        <v>11.0885</v>
      </c>
      <c r="D3180" s="4">
        <v>11.535399999999999</v>
      </c>
      <c r="E3180" s="4">
        <v>11.902200000000001</v>
      </c>
      <c r="F3180" s="4">
        <f t="shared" si="196"/>
        <v>11.508699999999999</v>
      </c>
      <c r="Q3180" s="43" t="s">
        <v>1940</v>
      </c>
      <c r="R3180" s="4">
        <v>11.7110161863325</v>
      </c>
      <c r="S3180" s="4">
        <v>11.896336270004801</v>
      </c>
      <c r="T3180" s="4">
        <v>12.1679919832425</v>
      </c>
      <c r="U3180" s="4">
        <f t="shared" si="198"/>
        <v>11.925114813193268</v>
      </c>
      <c r="X3180" s="43" t="s">
        <v>3923</v>
      </c>
      <c r="Y3180" s="4">
        <v>12.454321281933</v>
      </c>
      <c r="Z3180" s="4">
        <v>11.9056699246074</v>
      </c>
      <c r="AA3180" s="4">
        <v>12.5527676661854</v>
      </c>
      <c r="AB3180" s="4">
        <f t="shared" si="199"/>
        <v>12.304252957575267</v>
      </c>
    </row>
    <row r="3181" spans="2:28" x14ac:dyDescent="0.2">
      <c r="B3181" s="4" t="s">
        <v>2812</v>
      </c>
      <c r="C3181" s="4">
        <v>10.3064</v>
      </c>
      <c r="D3181" s="4">
        <v>11.676</v>
      </c>
      <c r="E3181" s="4">
        <v>12.541399999999999</v>
      </c>
      <c r="F3181" s="4">
        <f t="shared" si="196"/>
        <v>11.507933333333332</v>
      </c>
      <c r="Q3181" s="43" t="s">
        <v>281</v>
      </c>
      <c r="R3181" s="4">
        <v>11.685347556461</v>
      </c>
      <c r="S3181" s="4">
        <v>11.9308663761584</v>
      </c>
      <c r="T3181" s="4">
        <v>12.1192309788165</v>
      </c>
      <c r="U3181" s="4">
        <f t="shared" si="198"/>
        <v>11.911814970478636</v>
      </c>
      <c r="X3181" s="43" t="s">
        <v>2052</v>
      </c>
      <c r="Y3181" s="4">
        <v>12.025734466942501</v>
      </c>
      <c r="Z3181" s="4">
        <v>12.0374095175842</v>
      </c>
      <c r="AA3181" s="4">
        <v>12.847789348261299</v>
      </c>
      <c r="AB3181" s="4">
        <f t="shared" si="199"/>
        <v>12.303644444262666</v>
      </c>
    </row>
    <row r="3182" spans="2:28" x14ac:dyDescent="0.2">
      <c r="B3182" s="4" t="s">
        <v>2154</v>
      </c>
      <c r="C3182" s="4">
        <v>11.684200000000001</v>
      </c>
      <c r="D3182" s="4">
        <v>11.3813</v>
      </c>
      <c r="E3182" s="4">
        <v>11.4497</v>
      </c>
      <c r="F3182" s="4">
        <f t="shared" si="196"/>
        <v>11.505066666666666</v>
      </c>
      <c r="Q3182" s="43" t="s">
        <v>4228</v>
      </c>
      <c r="R3182" s="4">
        <v>12.1344296125959</v>
      </c>
      <c r="S3182" s="4">
        <v>11.735023065675399</v>
      </c>
      <c r="T3182" s="4">
        <v>11.864951514500699</v>
      </c>
      <c r="U3182" s="4">
        <f t="shared" si="198"/>
        <v>11.911468064257335</v>
      </c>
      <c r="X3182" s="43" t="s">
        <v>4336</v>
      </c>
      <c r="Y3182" s="4">
        <v>12.1095048277025</v>
      </c>
      <c r="Z3182" s="4">
        <v>12.192937199309499</v>
      </c>
      <c r="AA3182" s="4">
        <v>12.602042588305601</v>
      </c>
      <c r="AB3182" s="4">
        <f t="shared" si="199"/>
        <v>12.301494871772533</v>
      </c>
    </row>
    <row r="3183" spans="2:28" x14ac:dyDescent="0.2">
      <c r="B3183" s="4" t="s">
        <v>3948</v>
      </c>
      <c r="C3183" s="4">
        <v>11.725099999999999</v>
      </c>
      <c r="D3183" s="4">
        <v>10.8142</v>
      </c>
      <c r="E3183" s="4">
        <v>11.9564</v>
      </c>
      <c r="F3183" s="4">
        <f t="shared" si="196"/>
        <v>11.498566666666667</v>
      </c>
      <c r="Q3183" s="43" t="s">
        <v>4235</v>
      </c>
      <c r="R3183" s="4">
        <v>11.9718334079886</v>
      </c>
      <c r="S3183" s="4">
        <v>12.2241963184174</v>
      </c>
      <c r="T3183" s="4">
        <v>11.534394071509499</v>
      </c>
      <c r="U3183" s="4">
        <f t="shared" si="198"/>
        <v>11.910141265971832</v>
      </c>
      <c r="X3183" s="43" t="s">
        <v>4135</v>
      </c>
      <c r="Y3183" s="4">
        <v>12.332238776937199</v>
      </c>
      <c r="Z3183" s="4">
        <v>12.4013072441647</v>
      </c>
      <c r="AA3183" s="4">
        <v>12.1704019199207</v>
      </c>
      <c r="AB3183" s="4">
        <f t="shared" si="199"/>
        <v>12.301315980340867</v>
      </c>
    </row>
    <row r="3184" spans="2:28" x14ac:dyDescent="0.2">
      <c r="B3184" s="4" t="s">
        <v>3698</v>
      </c>
      <c r="C3184" s="4">
        <v>11.694000000000001</v>
      </c>
      <c r="D3184" s="4">
        <v>11.364699999999999</v>
      </c>
      <c r="E3184" s="4">
        <v>11.426500000000001</v>
      </c>
      <c r="F3184" s="4">
        <f t="shared" si="196"/>
        <v>11.495066666666668</v>
      </c>
      <c r="Q3184" s="43" t="s">
        <v>2508</v>
      </c>
      <c r="R3184" s="4">
        <v>11.303726273454499</v>
      </c>
      <c r="S3184" s="4">
        <v>12.3290867466369</v>
      </c>
      <c r="T3184" s="4">
        <v>12.090559474671901</v>
      </c>
      <c r="U3184" s="4">
        <f t="shared" si="198"/>
        <v>11.907790831587766</v>
      </c>
      <c r="X3184" s="43" t="s">
        <v>4037</v>
      </c>
      <c r="Y3184" s="4">
        <v>12.3642328270953</v>
      </c>
      <c r="Z3184" s="4">
        <v>12.1738057281955</v>
      </c>
      <c r="AA3184" s="4">
        <v>12.365803355011399</v>
      </c>
      <c r="AB3184" s="4">
        <f t="shared" si="199"/>
        <v>12.3012806367674</v>
      </c>
    </row>
    <row r="3185" spans="2:28" x14ac:dyDescent="0.2">
      <c r="B3185" s="4" t="s">
        <v>2480</v>
      </c>
      <c r="C3185" s="4">
        <v>11.666700000000001</v>
      </c>
      <c r="D3185" s="4">
        <v>11.909599999999999</v>
      </c>
      <c r="E3185" s="4">
        <v>10.885899999999999</v>
      </c>
      <c r="F3185" s="4">
        <f t="shared" si="196"/>
        <v>11.487399999999999</v>
      </c>
      <c r="Q3185" s="43" t="s">
        <v>1339</v>
      </c>
      <c r="R3185" s="4">
        <v>11.649552507944501</v>
      </c>
      <c r="S3185" s="4">
        <v>12.2169300360114</v>
      </c>
      <c r="T3185" s="4">
        <v>11.8376300800889</v>
      </c>
      <c r="U3185" s="4">
        <f t="shared" si="198"/>
        <v>11.901370874681598</v>
      </c>
      <c r="X3185" s="43" t="s">
        <v>2232</v>
      </c>
      <c r="Y3185" s="4">
        <v>12.1721117650611</v>
      </c>
      <c r="Z3185" s="4">
        <v>12.3411897897274</v>
      </c>
      <c r="AA3185" s="4">
        <v>12.386832400160101</v>
      </c>
      <c r="AB3185" s="4">
        <f t="shared" si="199"/>
        <v>12.300044651649534</v>
      </c>
    </row>
    <row r="3186" spans="2:28" x14ac:dyDescent="0.2">
      <c r="B3186" s="4" t="s">
        <v>3895</v>
      </c>
      <c r="C3186" s="4">
        <v>10.612399999999999</v>
      </c>
      <c r="D3186" s="4">
        <v>11.723599999999999</v>
      </c>
      <c r="E3186" s="4">
        <v>12.099399999999999</v>
      </c>
      <c r="F3186" s="4">
        <f t="shared" si="196"/>
        <v>11.478466666666668</v>
      </c>
      <c r="Q3186" s="43" t="s">
        <v>3505</v>
      </c>
      <c r="R3186" s="4">
        <v>11.674425150055299</v>
      </c>
      <c r="S3186" s="4">
        <v>12.0697133017391</v>
      </c>
      <c r="T3186" s="4">
        <v>11.9540783611106</v>
      </c>
      <c r="U3186" s="4">
        <f t="shared" si="198"/>
        <v>11.899405604301668</v>
      </c>
      <c r="X3186" s="43" t="s">
        <v>2439</v>
      </c>
      <c r="Y3186" s="4">
        <v>12.237146447395499</v>
      </c>
      <c r="Z3186" s="4">
        <v>12.098711700465101</v>
      </c>
      <c r="AA3186" s="4">
        <v>12.5587947399206</v>
      </c>
      <c r="AB3186" s="4">
        <f t="shared" si="199"/>
        <v>12.2982176292604</v>
      </c>
    </row>
    <row r="3187" spans="2:28" x14ac:dyDescent="0.2">
      <c r="B3187" s="4" t="s">
        <v>315</v>
      </c>
      <c r="C3187" s="4">
        <v>11.7926</v>
      </c>
      <c r="D3187" s="4">
        <v>11.2704</v>
      </c>
      <c r="E3187" s="4">
        <v>11.3369</v>
      </c>
      <c r="F3187" s="4">
        <f t="shared" si="196"/>
        <v>11.466633333333334</v>
      </c>
      <c r="Q3187" s="43" t="s">
        <v>1800</v>
      </c>
      <c r="R3187" s="4">
        <v>11.650944319225299</v>
      </c>
      <c r="S3187" s="4">
        <v>12.0551620286905</v>
      </c>
      <c r="T3187" s="4">
        <v>11.9890724620907</v>
      </c>
      <c r="U3187" s="4">
        <f t="shared" si="198"/>
        <v>11.898392936668833</v>
      </c>
      <c r="X3187" s="43" t="s">
        <v>1451</v>
      </c>
      <c r="Y3187" s="4">
        <v>12.488022265129</v>
      </c>
      <c r="Z3187" s="4">
        <v>12.095325647775301</v>
      </c>
      <c r="AA3187" s="4">
        <v>12.305609035298501</v>
      </c>
      <c r="AB3187" s="4">
        <f t="shared" si="199"/>
        <v>12.296318982734268</v>
      </c>
    </row>
    <row r="3188" spans="2:28" x14ac:dyDescent="0.2">
      <c r="B3188" s="4" t="s">
        <v>3384</v>
      </c>
      <c r="C3188" s="4">
        <v>11.4488</v>
      </c>
      <c r="D3188" s="4">
        <v>11.4956</v>
      </c>
      <c r="E3188" s="4">
        <v>11.444599999999999</v>
      </c>
      <c r="F3188" s="4">
        <f t="shared" si="196"/>
        <v>11.463000000000001</v>
      </c>
      <c r="Q3188" s="43" t="s">
        <v>2523</v>
      </c>
      <c r="R3188" s="4">
        <v>11.8740871953748</v>
      </c>
      <c r="S3188" s="4">
        <v>11.9835185938121</v>
      </c>
      <c r="T3188" s="4">
        <v>11.821317933858399</v>
      </c>
      <c r="U3188" s="4">
        <f t="shared" si="198"/>
        <v>11.892974574348434</v>
      </c>
      <c r="X3188" s="43" t="s">
        <v>490</v>
      </c>
      <c r="Y3188" s="4">
        <v>12.253967050652401</v>
      </c>
      <c r="Z3188" s="4">
        <v>12.3578786775577</v>
      </c>
      <c r="AA3188" s="4">
        <v>12.2742162860925</v>
      </c>
      <c r="AB3188" s="4">
        <f t="shared" si="199"/>
        <v>12.295354004767532</v>
      </c>
    </row>
    <row r="3189" spans="2:28" x14ac:dyDescent="0.2">
      <c r="B3189" s="4" t="s">
        <v>1406</v>
      </c>
      <c r="C3189" s="4">
        <v>11.2242</v>
      </c>
      <c r="D3189" s="4">
        <v>10.9305</v>
      </c>
      <c r="E3189" s="4">
        <v>12.229100000000001</v>
      </c>
      <c r="F3189" s="4">
        <f t="shared" si="196"/>
        <v>11.461266666666667</v>
      </c>
      <c r="Q3189" s="43" t="s">
        <v>2701</v>
      </c>
      <c r="R3189" s="4">
        <v>11.7866621527712</v>
      </c>
      <c r="S3189" s="4">
        <v>11.9531066985023</v>
      </c>
      <c r="T3189" s="4">
        <v>11.931498569276499</v>
      </c>
      <c r="U3189" s="4">
        <f t="shared" si="198"/>
        <v>11.890422473516665</v>
      </c>
      <c r="X3189" s="43" t="s">
        <v>4441</v>
      </c>
      <c r="Y3189" s="4">
        <v>12.430377123540399</v>
      </c>
      <c r="Z3189" s="4">
        <v>12.134695994123</v>
      </c>
      <c r="AA3189" s="4">
        <v>12.3171846401612</v>
      </c>
      <c r="AB3189" s="4">
        <f t="shared" si="199"/>
        <v>12.294085919274865</v>
      </c>
    </row>
    <row r="3190" spans="2:28" x14ac:dyDescent="0.2">
      <c r="B3190" s="4" t="s">
        <v>2347</v>
      </c>
      <c r="C3190" s="4">
        <v>11.3956</v>
      </c>
      <c r="D3190" s="4">
        <v>11.2234</v>
      </c>
      <c r="E3190" s="4">
        <v>11.7606</v>
      </c>
      <c r="F3190" s="4">
        <f t="shared" si="196"/>
        <v>11.459866666666665</v>
      </c>
      <c r="Q3190" s="43" t="s">
        <v>894</v>
      </c>
      <c r="R3190" s="4">
        <v>11.868697683218</v>
      </c>
      <c r="S3190" s="4">
        <v>11.7537094354303</v>
      </c>
      <c r="T3190" s="4">
        <v>12.0417129155619</v>
      </c>
      <c r="U3190" s="4">
        <f t="shared" si="198"/>
        <v>11.888040011403399</v>
      </c>
      <c r="X3190" s="43" t="s">
        <v>4347</v>
      </c>
      <c r="Y3190" s="4">
        <v>12.785307740235901</v>
      </c>
      <c r="Z3190" s="4">
        <v>12.5298627381424</v>
      </c>
      <c r="AA3190" s="4">
        <v>11.565600494323499</v>
      </c>
      <c r="AB3190" s="4">
        <f t="shared" si="199"/>
        <v>12.293590324233932</v>
      </c>
    </row>
    <row r="3191" spans="2:28" x14ac:dyDescent="0.2">
      <c r="B3191" s="4" t="s">
        <v>2392</v>
      </c>
      <c r="C3191" s="4">
        <v>10.819100000000001</v>
      </c>
      <c r="D3191" s="4">
        <v>11.882899999999999</v>
      </c>
      <c r="E3191" s="4">
        <v>11.671799999999999</v>
      </c>
      <c r="F3191" s="4">
        <f t="shared" si="196"/>
        <v>11.457933333333331</v>
      </c>
      <c r="Q3191" s="43" t="s">
        <v>1561</v>
      </c>
      <c r="R3191" s="4">
        <v>11.474184024929899</v>
      </c>
      <c r="S3191" s="4">
        <v>11.9733096930921</v>
      </c>
      <c r="T3191" s="4">
        <v>12.210800937590299</v>
      </c>
      <c r="U3191" s="4">
        <f t="shared" si="198"/>
        <v>11.886098218537432</v>
      </c>
      <c r="X3191" s="43" t="s">
        <v>1196</v>
      </c>
      <c r="Y3191" s="4">
        <v>12.2387358591733</v>
      </c>
      <c r="Z3191" s="4">
        <v>12.545307076224001</v>
      </c>
      <c r="AA3191" s="4">
        <v>12.0912686705074</v>
      </c>
      <c r="AB3191" s="4">
        <f t="shared" si="199"/>
        <v>12.291770535301566</v>
      </c>
    </row>
    <row r="3192" spans="2:28" x14ac:dyDescent="0.2">
      <c r="B3192" s="4" t="s">
        <v>2070</v>
      </c>
      <c r="C3192" s="4">
        <v>11.3453</v>
      </c>
      <c r="D3192" s="4">
        <v>11.557700000000001</v>
      </c>
      <c r="E3192" s="4">
        <v>11.447100000000001</v>
      </c>
      <c r="F3192" s="4">
        <f t="shared" si="196"/>
        <v>11.450033333333332</v>
      </c>
      <c r="Q3192" s="43" t="s">
        <v>1412</v>
      </c>
      <c r="R3192" s="4">
        <v>10.8956041895713</v>
      </c>
      <c r="S3192" s="4">
        <v>12.418907885572899</v>
      </c>
      <c r="T3192" s="4">
        <v>12.3225254987148</v>
      </c>
      <c r="U3192" s="4">
        <f t="shared" si="198"/>
        <v>11.879012524619668</v>
      </c>
      <c r="X3192" s="43" t="s">
        <v>4456</v>
      </c>
      <c r="Y3192" s="4">
        <v>12.2839183491655</v>
      </c>
      <c r="Z3192" s="4">
        <v>12.3834689636299</v>
      </c>
      <c r="AA3192" s="4">
        <v>12.2011742484928</v>
      </c>
      <c r="AB3192" s="4">
        <f t="shared" si="199"/>
        <v>12.289520520429399</v>
      </c>
    </row>
    <row r="3193" spans="2:28" x14ac:dyDescent="0.2">
      <c r="B3193" s="4" t="s">
        <v>3764</v>
      </c>
      <c r="C3193" s="4">
        <v>11.710599999999999</v>
      </c>
      <c r="D3193" s="4">
        <v>11.5731</v>
      </c>
      <c r="E3193" s="4">
        <v>11.0646</v>
      </c>
      <c r="F3193" s="4">
        <f t="shared" si="196"/>
        <v>11.449433333333333</v>
      </c>
      <c r="Q3193" s="43" t="s">
        <v>1396</v>
      </c>
      <c r="R3193" s="4">
        <v>11.9160572459622</v>
      </c>
      <c r="S3193" s="4">
        <v>12.188010837356</v>
      </c>
      <c r="T3193" s="4">
        <v>11.5203257418458</v>
      </c>
      <c r="U3193" s="4">
        <f t="shared" si="198"/>
        <v>11.874797941721333</v>
      </c>
      <c r="X3193" s="43" t="s">
        <v>636</v>
      </c>
      <c r="Y3193" s="4">
        <v>12.748209685161401</v>
      </c>
      <c r="Z3193" s="4">
        <v>11.603234772486701</v>
      </c>
      <c r="AA3193" s="4">
        <v>12.511716676990901</v>
      </c>
      <c r="AB3193" s="4">
        <f t="shared" si="199"/>
        <v>12.287720378213001</v>
      </c>
    </row>
    <row r="3194" spans="2:28" x14ac:dyDescent="0.2">
      <c r="B3194" s="4" t="s">
        <v>2534</v>
      </c>
      <c r="C3194" s="4">
        <v>12.1721</v>
      </c>
      <c r="D3194" s="4">
        <v>10.994400000000001</v>
      </c>
      <c r="E3194" s="4">
        <v>11.180300000000001</v>
      </c>
      <c r="F3194" s="4">
        <f t="shared" si="196"/>
        <v>11.448933333333335</v>
      </c>
      <c r="Q3194" s="43" t="s">
        <v>3097</v>
      </c>
      <c r="R3194" s="4">
        <v>11.8746811060625</v>
      </c>
      <c r="S3194" s="4">
        <v>11.978274635795</v>
      </c>
      <c r="T3194" s="4">
        <v>11.7594940635977</v>
      </c>
      <c r="U3194" s="4">
        <f t="shared" si="198"/>
        <v>11.870816601818399</v>
      </c>
      <c r="X3194" s="43" t="s">
        <v>4615</v>
      </c>
      <c r="Y3194" s="4">
        <v>12.1198925227168</v>
      </c>
      <c r="Z3194" s="4">
        <v>12.473518550187199</v>
      </c>
      <c r="AA3194" s="4">
        <v>12.2650418843784</v>
      </c>
      <c r="AB3194" s="4">
        <f t="shared" si="199"/>
        <v>12.286150985760798</v>
      </c>
    </row>
    <row r="3195" spans="2:28" x14ac:dyDescent="0.2">
      <c r="B3195" s="4" t="s">
        <v>2703</v>
      </c>
      <c r="C3195" s="4">
        <v>11.903700000000001</v>
      </c>
      <c r="D3195" s="4">
        <v>11.6188</v>
      </c>
      <c r="E3195" s="4">
        <v>10.815899999999999</v>
      </c>
      <c r="F3195" s="4">
        <f t="shared" si="196"/>
        <v>11.446133333333334</v>
      </c>
      <c r="Q3195" s="43" t="s">
        <v>1824</v>
      </c>
      <c r="R3195" s="4">
        <v>11.315959878491601</v>
      </c>
      <c r="S3195" s="4">
        <v>12.449249210071301</v>
      </c>
      <c r="T3195" s="4">
        <v>11.832902972507201</v>
      </c>
      <c r="U3195" s="4">
        <f t="shared" si="198"/>
        <v>11.866037353690034</v>
      </c>
      <c r="X3195" s="43" t="s">
        <v>4279</v>
      </c>
      <c r="Y3195" s="4">
        <v>12.2343242629439</v>
      </c>
      <c r="Z3195" s="4">
        <v>12.0205102911764</v>
      </c>
      <c r="AA3195" s="4">
        <v>12.5990965754198</v>
      </c>
      <c r="AB3195" s="4">
        <f t="shared" si="199"/>
        <v>12.2846437098467</v>
      </c>
    </row>
    <row r="3196" spans="2:28" x14ac:dyDescent="0.2">
      <c r="B3196" s="4" t="s">
        <v>3776</v>
      </c>
      <c r="C3196" s="4">
        <v>11.2653</v>
      </c>
      <c r="D3196" s="4">
        <v>11.9649</v>
      </c>
      <c r="E3196" s="4">
        <v>11.1008</v>
      </c>
      <c r="F3196" s="4">
        <f t="shared" si="196"/>
        <v>11.443666666666667</v>
      </c>
      <c r="Q3196" s="43" t="s">
        <v>4283</v>
      </c>
      <c r="R3196" s="4">
        <v>11.606369437389301</v>
      </c>
      <c r="S3196" s="4">
        <v>11.960665894283499</v>
      </c>
      <c r="T3196" s="4">
        <v>12.0023453592359</v>
      </c>
      <c r="U3196" s="4">
        <f t="shared" si="198"/>
        <v>11.856460230302901</v>
      </c>
      <c r="X3196" s="43" t="s">
        <v>2797</v>
      </c>
      <c r="Y3196" s="4">
        <v>12.7091330818107</v>
      </c>
      <c r="Z3196" s="4">
        <v>11.5917997963526</v>
      </c>
      <c r="AA3196" s="4">
        <v>12.549338879589801</v>
      </c>
      <c r="AB3196" s="4">
        <f t="shared" si="199"/>
        <v>12.283423919251035</v>
      </c>
    </row>
    <row r="3197" spans="2:28" x14ac:dyDescent="0.2">
      <c r="B3197" s="4" t="s">
        <v>3907</v>
      </c>
      <c r="C3197" s="4">
        <v>11.880699999999999</v>
      </c>
      <c r="D3197" s="4">
        <v>11.6478</v>
      </c>
      <c r="E3197" s="4">
        <v>10.7865</v>
      </c>
      <c r="F3197" s="4">
        <f t="shared" si="196"/>
        <v>11.438333333333333</v>
      </c>
      <c r="Q3197" s="43" t="s">
        <v>4533</v>
      </c>
      <c r="R3197" s="4">
        <v>11.9142440627661</v>
      </c>
      <c r="S3197" s="4">
        <v>11.776471901055301</v>
      </c>
      <c r="T3197" s="4">
        <v>11.865611700961001</v>
      </c>
      <c r="U3197" s="4">
        <f t="shared" si="198"/>
        <v>11.852109221594134</v>
      </c>
      <c r="X3197" s="43" t="s">
        <v>942</v>
      </c>
      <c r="Y3197" s="4">
        <v>12.477102276908999</v>
      </c>
      <c r="Z3197" s="4">
        <v>11.810726562809201</v>
      </c>
      <c r="AA3197" s="4">
        <v>12.5563957934593</v>
      </c>
      <c r="AB3197" s="4">
        <f t="shared" si="199"/>
        <v>12.281408211059167</v>
      </c>
    </row>
    <row r="3198" spans="2:28" x14ac:dyDescent="0.2">
      <c r="B3198" s="4" t="s">
        <v>2525</v>
      </c>
      <c r="C3198" s="4">
        <v>11.317600000000001</v>
      </c>
      <c r="D3198" s="4">
        <v>11.8072</v>
      </c>
      <c r="E3198" s="4">
        <v>11.173299999999999</v>
      </c>
      <c r="F3198" s="4">
        <f t="shared" si="196"/>
        <v>11.432699999999999</v>
      </c>
      <c r="Q3198" s="43" t="s">
        <v>403</v>
      </c>
      <c r="R3198" s="4">
        <v>11.495831822396999</v>
      </c>
      <c r="S3198" s="4">
        <v>11.9292067632318</v>
      </c>
      <c r="T3198" s="4">
        <v>12.1140109859851</v>
      </c>
      <c r="U3198" s="4">
        <f t="shared" si="198"/>
        <v>11.846349857204634</v>
      </c>
      <c r="X3198" s="43" t="s">
        <v>3565</v>
      </c>
      <c r="Y3198" s="4">
        <v>12.4195560503853</v>
      </c>
      <c r="Z3198" s="4">
        <v>12.440911012193199</v>
      </c>
      <c r="AA3198" s="4">
        <v>11.9720637451762</v>
      </c>
      <c r="AB3198" s="4">
        <f t="shared" si="199"/>
        <v>12.277510269251566</v>
      </c>
    </row>
    <row r="3199" spans="2:28" x14ac:dyDescent="0.2">
      <c r="B3199" s="4" t="s">
        <v>1735</v>
      </c>
      <c r="C3199" s="4">
        <v>10.9009</v>
      </c>
      <c r="D3199" s="4">
        <v>10.69</v>
      </c>
      <c r="E3199" s="4">
        <v>12.6904</v>
      </c>
      <c r="F3199" s="4">
        <f t="shared" si="196"/>
        <v>11.427100000000001</v>
      </c>
      <c r="Q3199" s="43" t="s">
        <v>1469</v>
      </c>
      <c r="R3199" s="4">
        <v>11.5683848752732</v>
      </c>
      <c r="S3199" s="4">
        <v>12.116441387120799</v>
      </c>
      <c r="T3199" s="4">
        <v>11.853467208507301</v>
      </c>
      <c r="U3199" s="4">
        <f t="shared" si="198"/>
        <v>11.846097823633764</v>
      </c>
      <c r="X3199" s="43" t="s">
        <v>4403</v>
      </c>
      <c r="Y3199" s="4">
        <v>12.4405712620265</v>
      </c>
      <c r="Z3199" s="4">
        <v>12.198102322524701</v>
      </c>
      <c r="AA3199" s="4">
        <v>12.1762663549629</v>
      </c>
      <c r="AB3199" s="4">
        <f t="shared" si="199"/>
        <v>12.271646646504699</v>
      </c>
    </row>
    <row r="3200" spans="2:28" x14ac:dyDescent="0.2">
      <c r="B3200" s="4" t="s">
        <v>231</v>
      </c>
      <c r="C3200" s="4">
        <v>11.607200000000001</v>
      </c>
      <c r="D3200" s="4">
        <v>11.1973</v>
      </c>
      <c r="E3200" s="4">
        <v>11.457800000000001</v>
      </c>
      <c r="F3200" s="4">
        <f t="shared" si="196"/>
        <v>11.420766666666667</v>
      </c>
      <c r="Q3200" s="43" t="s">
        <v>4397</v>
      </c>
      <c r="R3200" s="4">
        <v>11.413810347538</v>
      </c>
      <c r="S3200" s="4">
        <v>12.1419477355134</v>
      </c>
      <c r="T3200" s="4">
        <v>11.9602890026376</v>
      </c>
      <c r="U3200" s="4">
        <f t="shared" si="198"/>
        <v>11.838682361896334</v>
      </c>
      <c r="X3200" s="43" t="s">
        <v>18</v>
      </c>
      <c r="Y3200" s="4">
        <v>12.165531049152101</v>
      </c>
      <c r="Z3200" s="4">
        <v>12.0590172615589</v>
      </c>
      <c r="AA3200" s="4">
        <v>12.587911757856499</v>
      </c>
      <c r="AB3200" s="4">
        <f t="shared" si="199"/>
        <v>12.270820022855835</v>
      </c>
    </row>
    <row r="3201" spans="2:28" x14ac:dyDescent="0.2">
      <c r="B3201" s="4" t="s">
        <v>1104</v>
      </c>
      <c r="C3201" s="4">
        <v>10.9963</v>
      </c>
      <c r="D3201" s="4">
        <v>11.958600000000001</v>
      </c>
      <c r="E3201" s="4">
        <v>11.283799999999999</v>
      </c>
      <c r="F3201" s="4">
        <f t="shared" si="196"/>
        <v>11.4129</v>
      </c>
      <c r="Q3201" s="43" t="s">
        <v>479</v>
      </c>
      <c r="R3201" s="4">
        <v>11.87667718686</v>
      </c>
      <c r="S3201" s="4">
        <v>12.370362888730799</v>
      </c>
      <c r="T3201" s="4">
        <v>11.2621842721368</v>
      </c>
      <c r="U3201" s="4">
        <f t="shared" si="198"/>
        <v>11.836408115909199</v>
      </c>
      <c r="X3201" s="43" t="s">
        <v>1872</v>
      </c>
      <c r="Y3201" s="4">
        <v>12.4478447958933</v>
      </c>
      <c r="Z3201" s="4">
        <v>12.1852227107325</v>
      </c>
      <c r="AA3201" s="4">
        <v>12.175627677472701</v>
      </c>
      <c r="AB3201" s="4">
        <f t="shared" si="199"/>
        <v>12.269565061366166</v>
      </c>
    </row>
    <row r="3202" spans="2:28" x14ac:dyDescent="0.2">
      <c r="B3202" s="4" t="s">
        <v>957</v>
      </c>
      <c r="C3202" s="4">
        <v>11.4214</v>
      </c>
      <c r="D3202" s="4">
        <v>12.1081</v>
      </c>
      <c r="E3202" s="4">
        <v>10.7014</v>
      </c>
      <c r="F3202" s="4">
        <f t="shared" ref="F3202:F3265" si="200">(C3202+D3202+E3202)/3</f>
        <v>11.410299999999999</v>
      </c>
      <c r="Q3202" s="43" t="s">
        <v>4418</v>
      </c>
      <c r="R3202" s="4">
        <v>11.6236511684139</v>
      </c>
      <c r="S3202" s="4">
        <v>11.781469577029</v>
      </c>
      <c r="T3202" s="4">
        <v>12.092665766806901</v>
      </c>
      <c r="U3202" s="4">
        <f t="shared" ref="U3202:U3265" si="201">(R3202+S3202+T3202)/3</f>
        <v>11.832595504083267</v>
      </c>
      <c r="X3202" s="43" t="s">
        <v>540</v>
      </c>
      <c r="Y3202" s="4">
        <v>12.3768826062411</v>
      </c>
      <c r="Z3202" s="4">
        <v>11.880451066559701</v>
      </c>
      <c r="AA3202" s="4">
        <v>12.548447921384</v>
      </c>
      <c r="AB3202" s="4">
        <f t="shared" ref="AB3202:AB3265" si="202">(Y3202+Z3202+AA3202)/3</f>
        <v>12.268593864728267</v>
      </c>
    </row>
    <row r="3203" spans="2:28" x14ac:dyDescent="0.2">
      <c r="B3203" s="4" t="s">
        <v>455</v>
      </c>
      <c r="C3203" s="4">
        <v>10.5731</v>
      </c>
      <c r="D3203" s="4">
        <v>11.2324</v>
      </c>
      <c r="E3203" s="4">
        <v>12.4223</v>
      </c>
      <c r="F3203" s="4">
        <f t="shared" si="200"/>
        <v>11.409266666666667</v>
      </c>
      <c r="Q3203" s="43" t="s">
        <v>4618</v>
      </c>
      <c r="R3203" s="4">
        <v>10.806621666821499</v>
      </c>
      <c r="S3203" s="4">
        <v>12.206744352940101</v>
      </c>
      <c r="T3203" s="4">
        <v>12.4776244288401</v>
      </c>
      <c r="U3203" s="4">
        <f t="shared" si="201"/>
        <v>11.8303301495339</v>
      </c>
      <c r="X3203" s="43" t="s">
        <v>103</v>
      </c>
      <c r="Y3203" s="4">
        <v>12.334149152277799</v>
      </c>
      <c r="Z3203" s="4">
        <v>12.242635335996001</v>
      </c>
      <c r="AA3203" s="4">
        <v>12.226607802259201</v>
      </c>
      <c r="AB3203" s="4">
        <f t="shared" si="202"/>
        <v>12.267797430177668</v>
      </c>
    </row>
    <row r="3204" spans="2:28" x14ac:dyDescent="0.2">
      <c r="B3204" s="4" t="s">
        <v>2783</v>
      </c>
      <c r="C3204" s="4">
        <v>10.229799999999999</v>
      </c>
      <c r="D3204" s="4">
        <v>12.455299999999999</v>
      </c>
      <c r="E3204" s="4">
        <v>11.5318</v>
      </c>
      <c r="F3204" s="4">
        <f t="shared" si="200"/>
        <v>11.405633333333332</v>
      </c>
      <c r="Q3204" s="43" t="s">
        <v>4440</v>
      </c>
      <c r="R3204" s="4">
        <v>11.977967973443</v>
      </c>
      <c r="S3204" s="4">
        <v>11.9865303237859</v>
      </c>
      <c r="T3204" s="4">
        <v>11.520018340453101</v>
      </c>
      <c r="U3204" s="4">
        <f t="shared" si="201"/>
        <v>11.828172212560666</v>
      </c>
      <c r="X3204" s="43" t="s">
        <v>2724</v>
      </c>
      <c r="Y3204" s="4">
        <v>12.510142540120899</v>
      </c>
      <c r="Z3204" s="4">
        <v>12.2679893404562</v>
      </c>
      <c r="AA3204" s="4">
        <v>12.0149154132419</v>
      </c>
      <c r="AB3204" s="4">
        <f t="shared" si="202"/>
        <v>12.264349097939666</v>
      </c>
    </row>
    <row r="3205" spans="2:28" x14ac:dyDescent="0.2">
      <c r="B3205" s="4" t="s">
        <v>2037</v>
      </c>
      <c r="C3205" s="4">
        <v>11.424200000000001</v>
      </c>
      <c r="D3205" s="4">
        <v>11.5848</v>
      </c>
      <c r="E3205" s="4">
        <v>11.200699999999999</v>
      </c>
      <c r="F3205" s="4">
        <f t="shared" si="200"/>
        <v>11.403233333333333</v>
      </c>
      <c r="Q3205" s="43" t="s">
        <v>4385</v>
      </c>
      <c r="R3205" s="4">
        <v>11.5867151497048</v>
      </c>
      <c r="S3205" s="4">
        <v>12.134180370187901</v>
      </c>
      <c r="T3205" s="4">
        <v>11.7396560964805</v>
      </c>
      <c r="U3205" s="4">
        <f t="shared" si="201"/>
        <v>11.820183872124401</v>
      </c>
      <c r="X3205" s="43" t="s">
        <v>2182</v>
      </c>
      <c r="Y3205" s="4">
        <v>12.213177503603299</v>
      </c>
      <c r="Z3205" s="4">
        <v>12.2466961095686</v>
      </c>
      <c r="AA3205" s="4">
        <v>12.3290694553313</v>
      </c>
      <c r="AB3205" s="4">
        <f t="shared" si="202"/>
        <v>12.262981022834401</v>
      </c>
    </row>
    <row r="3206" spans="2:28" x14ac:dyDescent="0.2">
      <c r="B3206" s="4" t="s">
        <v>2801</v>
      </c>
      <c r="C3206" s="4">
        <v>11.3668</v>
      </c>
      <c r="D3206" s="4">
        <v>11.741899999999999</v>
      </c>
      <c r="E3206" s="4">
        <v>11.0753</v>
      </c>
      <c r="F3206" s="4">
        <f t="shared" si="200"/>
        <v>11.394666666666666</v>
      </c>
      <c r="Q3206" s="43" t="s">
        <v>1443</v>
      </c>
      <c r="R3206" s="4">
        <v>10.3096767770559</v>
      </c>
      <c r="S3206" s="4">
        <v>12.547668686220501</v>
      </c>
      <c r="T3206" s="4">
        <v>12.599149034832701</v>
      </c>
      <c r="U3206" s="4">
        <f t="shared" si="201"/>
        <v>11.818831499369701</v>
      </c>
      <c r="X3206" s="43" t="s">
        <v>2780</v>
      </c>
      <c r="Y3206" s="4">
        <v>12.114264483139699</v>
      </c>
      <c r="Z3206" s="4">
        <v>11.8983551722048</v>
      </c>
      <c r="AA3206" s="4">
        <v>12.775814301368399</v>
      </c>
      <c r="AB3206" s="4">
        <f t="shared" si="202"/>
        <v>12.2628113189043</v>
      </c>
    </row>
    <row r="3207" spans="2:28" x14ac:dyDescent="0.2">
      <c r="B3207" s="4" t="s">
        <v>138</v>
      </c>
      <c r="C3207" s="4">
        <v>11.1363</v>
      </c>
      <c r="D3207" s="4">
        <v>11.6412</v>
      </c>
      <c r="E3207" s="4">
        <v>11.3561</v>
      </c>
      <c r="F3207" s="4">
        <f t="shared" si="200"/>
        <v>11.377866666666668</v>
      </c>
      <c r="Q3207" s="43" t="s">
        <v>2958</v>
      </c>
      <c r="R3207" s="4">
        <v>11.4162481170333</v>
      </c>
      <c r="S3207" s="4">
        <v>12.243565517527999</v>
      </c>
      <c r="T3207" s="4">
        <v>11.791999097922499</v>
      </c>
      <c r="U3207" s="4">
        <f t="shared" si="201"/>
        <v>11.817270910827935</v>
      </c>
      <c r="X3207" s="43" t="s">
        <v>1483</v>
      </c>
      <c r="Y3207" s="4">
        <v>12.0533121451874</v>
      </c>
      <c r="Z3207" s="4">
        <v>12.4755199381219</v>
      </c>
      <c r="AA3207" s="4">
        <v>12.2478655887932</v>
      </c>
      <c r="AB3207" s="4">
        <f t="shared" si="202"/>
        <v>12.258899224034167</v>
      </c>
    </row>
    <row r="3208" spans="2:28" x14ac:dyDescent="0.2">
      <c r="B3208" s="4" t="s">
        <v>4023</v>
      </c>
      <c r="C3208" s="4">
        <v>11.5639</v>
      </c>
      <c r="D3208" s="4">
        <v>11.432499999999999</v>
      </c>
      <c r="E3208" s="4">
        <v>11.133900000000001</v>
      </c>
      <c r="F3208" s="4">
        <f t="shared" si="200"/>
        <v>11.376766666666668</v>
      </c>
      <c r="Q3208" s="43" t="s">
        <v>833</v>
      </c>
      <c r="R3208" s="4">
        <v>11.708444932862999</v>
      </c>
      <c r="S3208" s="4">
        <v>11.848599626760199</v>
      </c>
      <c r="T3208" s="4">
        <v>11.8860249961514</v>
      </c>
      <c r="U3208" s="4">
        <f t="shared" si="201"/>
        <v>11.814356518591532</v>
      </c>
      <c r="X3208" s="43" t="s">
        <v>3752</v>
      </c>
      <c r="Y3208" s="4">
        <v>12.527175644366199</v>
      </c>
      <c r="Z3208" s="4">
        <v>12.0503236968983</v>
      </c>
      <c r="AA3208" s="4">
        <v>12.1928736862939</v>
      </c>
      <c r="AB3208" s="4">
        <f t="shared" si="202"/>
        <v>12.256791009186133</v>
      </c>
    </row>
    <row r="3209" spans="2:28" x14ac:dyDescent="0.2">
      <c r="B3209" s="4" t="s">
        <v>2207</v>
      </c>
      <c r="C3209" s="4">
        <v>10.5061</v>
      </c>
      <c r="D3209" s="4">
        <v>11.771800000000001</v>
      </c>
      <c r="E3209" s="4">
        <v>11.849299999999999</v>
      </c>
      <c r="F3209" s="4">
        <f t="shared" si="200"/>
        <v>11.375733333333335</v>
      </c>
      <c r="Q3209" s="43" t="s">
        <v>1041</v>
      </c>
      <c r="R3209" s="4">
        <v>12.082978907272601</v>
      </c>
      <c r="S3209" s="4">
        <v>11.9653630972089</v>
      </c>
      <c r="T3209" s="4">
        <v>11.3729347980185</v>
      </c>
      <c r="U3209" s="4">
        <f t="shared" si="201"/>
        <v>11.807092267500002</v>
      </c>
      <c r="X3209" s="43" t="s">
        <v>1240</v>
      </c>
      <c r="Y3209" s="4">
        <v>12.086622433572501</v>
      </c>
      <c r="Z3209" s="4">
        <v>12.2243842181321</v>
      </c>
      <c r="AA3209" s="4">
        <v>12.4576071792254</v>
      </c>
      <c r="AB3209" s="4">
        <f t="shared" si="202"/>
        <v>12.25620461031</v>
      </c>
    </row>
    <row r="3210" spans="2:28" x14ac:dyDescent="0.2">
      <c r="B3210" s="4" t="s">
        <v>3802</v>
      </c>
      <c r="C3210" s="4">
        <v>11.8055</v>
      </c>
      <c r="D3210" s="4">
        <v>11.1433</v>
      </c>
      <c r="E3210" s="4">
        <v>11.1698</v>
      </c>
      <c r="F3210" s="4">
        <f t="shared" si="200"/>
        <v>11.372866666666667</v>
      </c>
      <c r="Q3210" s="43" t="s">
        <v>849</v>
      </c>
      <c r="R3210" s="4">
        <v>11.3235350885637</v>
      </c>
      <c r="S3210" s="4">
        <v>11.9505748254285</v>
      </c>
      <c r="T3210" s="4">
        <v>12.1224859098163</v>
      </c>
      <c r="U3210" s="4">
        <f t="shared" si="201"/>
        <v>11.798865274602832</v>
      </c>
      <c r="X3210" s="43" t="s">
        <v>1165</v>
      </c>
      <c r="Y3210" s="4">
        <v>12.4012615613444</v>
      </c>
      <c r="Z3210" s="4">
        <v>11.9525297635453</v>
      </c>
      <c r="AA3210" s="4">
        <v>12.410201463402201</v>
      </c>
      <c r="AB3210" s="4">
        <f t="shared" si="202"/>
        <v>12.254664262763967</v>
      </c>
    </row>
    <row r="3211" spans="2:28" x14ac:dyDescent="0.2">
      <c r="B3211" s="4" t="s">
        <v>2983</v>
      </c>
      <c r="C3211" s="4">
        <v>11.254300000000001</v>
      </c>
      <c r="D3211" s="4">
        <v>11.384</v>
      </c>
      <c r="E3211" s="4">
        <v>11.47</v>
      </c>
      <c r="F3211" s="4">
        <f t="shared" si="200"/>
        <v>11.369433333333333</v>
      </c>
      <c r="Q3211" s="43" t="s">
        <v>4120</v>
      </c>
      <c r="R3211" s="4">
        <v>11.428223985312799</v>
      </c>
      <c r="S3211" s="4">
        <v>12.214313908136599</v>
      </c>
      <c r="T3211" s="4">
        <v>11.7518148360606</v>
      </c>
      <c r="U3211" s="4">
        <f t="shared" si="201"/>
        <v>11.798117576503335</v>
      </c>
      <c r="X3211" s="43" t="s">
        <v>266</v>
      </c>
      <c r="Y3211" s="4">
        <v>12.086871082644</v>
      </c>
      <c r="Z3211" s="4">
        <v>12.1816849668818</v>
      </c>
      <c r="AA3211" s="4">
        <v>12.4801563109332</v>
      </c>
      <c r="AB3211" s="4">
        <f t="shared" si="202"/>
        <v>12.249570786819666</v>
      </c>
    </row>
    <row r="3212" spans="2:28" x14ac:dyDescent="0.2">
      <c r="B3212" s="4" t="s">
        <v>1848</v>
      </c>
      <c r="C3212" s="4">
        <v>10.7906</v>
      </c>
      <c r="D3212" s="4">
        <v>12.0512</v>
      </c>
      <c r="E3212" s="4">
        <v>11.2255</v>
      </c>
      <c r="F3212" s="4">
        <f t="shared" si="200"/>
        <v>11.355766666666668</v>
      </c>
      <c r="Q3212" s="43" t="s">
        <v>865</v>
      </c>
      <c r="R3212" s="4">
        <v>11.363887735426401</v>
      </c>
      <c r="S3212" s="4">
        <v>12.0715518616939</v>
      </c>
      <c r="T3212" s="4">
        <v>11.950146543512799</v>
      </c>
      <c r="U3212" s="4">
        <f t="shared" si="201"/>
        <v>11.795195380211034</v>
      </c>
      <c r="X3212" s="43" t="s">
        <v>637</v>
      </c>
      <c r="Y3212" s="4">
        <v>12.527763712755201</v>
      </c>
      <c r="Z3212" s="4">
        <v>12.163103347818</v>
      </c>
      <c r="AA3212" s="4">
        <v>12.0535063854896</v>
      </c>
      <c r="AB3212" s="4">
        <f t="shared" si="202"/>
        <v>12.248124482020934</v>
      </c>
    </row>
    <row r="3213" spans="2:28" x14ac:dyDescent="0.2">
      <c r="B3213" s="4" t="s">
        <v>4039</v>
      </c>
      <c r="C3213" s="4">
        <v>11.5259</v>
      </c>
      <c r="D3213" s="4">
        <v>11.3972</v>
      </c>
      <c r="E3213" s="4">
        <v>11.1043</v>
      </c>
      <c r="F3213" s="4">
        <f t="shared" si="200"/>
        <v>11.342466666666667</v>
      </c>
      <c r="Q3213" s="43" t="s">
        <v>4593</v>
      </c>
      <c r="R3213" s="4">
        <v>11.4170676466124</v>
      </c>
      <c r="S3213" s="4">
        <v>12.380412171055299</v>
      </c>
      <c r="T3213" s="4">
        <v>11.5711359647756</v>
      </c>
      <c r="U3213" s="4">
        <f t="shared" si="201"/>
        <v>11.789538594147766</v>
      </c>
      <c r="X3213" s="43" t="s">
        <v>2948</v>
      </c>
      <c r="Y3213" s="4">
        <v>12.226998395954</v>
      </c>
      <c r="Z3213" s="4">
        <v>12.206151258805299</v>
      </c>
      <c r="AA3213" s="4">
        <v>12.3044208715122</v>
      </c>
      <c r="AB3213" s="4">
        <f t="shared" si="202"/>
        <v>12.245856842090499</v>
      </c>
    </row>
    <row r="3214" spans="2:28" x14ac:dyDescent="0.2">
      <c r="B3214" s="4" t="s">
        <v>2800</v>
      </c>
      <c r="C3214" s="4">
        <v>12.9101</v>
      </c>
      <c r="D3214" s="4">
        <v>11.3934</v>
      </c>
      <c r="E3214" s="4">
        <v>9.6870999999999992</v>
      </c>
      <c r="F3214" s="4">
        <f t="shared" si="200"/>
        <v>11.3302</v>
      </c>
      <c r="Q3214" s="43" t="s">
        <v>4171</v>
      </c>
      <c r="R3214" s="4">
        <v>11.3293658721295</v>
      </c>
      <c r="S3214" s="4">
        <v>11.828588773993401</v>
      </c>
      <c r="T3214" s="4">
        <v>12.2076625302188</v>
      </c>
      <c r="U3214" s="4">
        <f t="shared" si="201"/>
        <v>11.788539058780566</v>
      </c>
      <c r="X3214" s="43" t="s">
        <v>3937</v>
      </c>
      <c r="Y3214" s="4">
        <v>12.1873340715378</v>
      </c>
      <c r="Z3214" s="4">
        <v>12.593227498696301</v>
      </c>
      <c r="AA3214" s="4">
        <v>11.9563104340055</v>
      </c>
      <c r="AB3214" s="4">
        <f t="shared" si="202"/>
        <v>12.2456240014132</v>
      </c>
    </row>
    <row r="3215" spans="2:28" x14ac:dyDescent="0.2">
      <c r="B3215" s="4" t="s">
        <v>794</v>
      </c>
      <c r="C3215" s="4">
        <v>9.7518999999999991</v>
      </c>
      <c r="D3215" s="4">
        <v>11.247</v>
      </c>
      <c r="E3215" s="4">
        <v>12.9884</v>
      </c>
      <c r="F3215" s="4">
        <f t="shared" si="200"/>
        <v>11.329099999999999</v>
      </c>
      <c r="Q3215" s="43" t="s">
        <v>3895</v>
      </c>
      <c r="R3215" s="4">
        <v>11.1841746507788</v>
      </c>
      <c r="S3215" s="4">
        <v>12.1624435526192</v>
      </c>
      <c r="T3215" s="4">
        <v>12.004284043890101</v>
      </c>
      <c r="U3215" s="4">
        <f t="shared" si="201"/>
        <v>11.783634082429367</v>
      </c>
      <c r="X3215" s="43" t="s">
        <v>3665</v>
      </c>
      <c r="Y3215" s="4">
        <v>10.129746577877199</v>
      </c>
      <c r="Z3215" s="4">
        <v>12.9240096097879</v>
      </c>
      <c r="AA3215" s="4">
        <v>13.679588208687001</v>
      </c>
      <c r="AB3215" s="4">
        <f t="shared" si="202"/>
        <v>12.244448132117368</v>
      </c>
    </row>
    <row r="3216" spans="2:28" x14ac:dyDescent="0.2">
      <c r="B3216" s="4" t="s">
        <v>914</v>
      </c>
      <c r="C3216" s="4">
        <v>12.093500000000001</v>
      </c>
      <c r="D3216" s="4">
        <v>11.5946</v>
      </c>
      <c r="E3216" s="4">
        <v>10.27</v>
      </c>
      <c r="F3216" s="4">
        <f t="shared" si="200"/>
        <v>11.319366666666667</v>
      </c>
      <c r="Q3216" s="43" t="s">
        <v>1308</v>
      </c>
      <c r="R3216" s="4">
        <v>11.948194396300201</v>
      </c>
      <c r="S3216" s="4">
        <v>11.6298925174529</v>
      </c>
      <c r="T3216" s="4">
        <v>11.7418492296836</v>
      </c>
      <c r="U3216" s="4">
        <f t="shared" si="201"/>
        <v>11.773312047812233</v>
      </c>
      <c r="X3216" s="43" t="s">
        <v>815</v>
      </c>
      <c r="Y3216" s="4">
        <v>12.3457309941906</v>
      </c>
      <c r="Z3216" s="4">
        <v>12.0641929710737</v>
      </c>
      <c r="AA3216" s="4">
        <v>12.3167602475532</v>
      </c>
      <c r="AB3216" s="4">
        <f t="shared" si="202"/>
        <v>12.242228070939165</v>
      </c>
    </row>
    <row r="3217" spans="2:28" x14ac:dyDescent="0.2">
      <c r="B3217" s="4" t="s">
        <v>2517</v>
      </c>
      <c r="C3217" s="4">
        <v>11.160500000000001</v>
      </c>
      <c r="D3217" s="4">
        <v>11.4316</v>
      </c>
      <c r="E3217" s="4">
        <v>11.3637</v>
      </c>
      <c r="F3217" s="4">
        <f t="shared" si="200"/>
        <v>11.318600000000002</v>
      </c>
      <c r="Q3217" s="43" t="s">
        <v>779</v>
      </c>
      <c r="R3217" s="4">
        <v>10.259593588741501</v>
      </c>
      <c r="S3217" s="4">
        <v>12.489198164243801</v>
      </c>
      <c r="T3217" s="4">
        <v>12.546857355064899</v>
      </c>
      <c r="U3217" s="4">
        <f t="shared" si="201"/>
        <v>11.765216369350066</v>
      </c>
      <c r="X3217" s="43" t="s">
        <v>3632</v>
      </c>
      <c r="Y3217" s="4">
        <v>12.318760705944801</v>
      </c>
      <c r="Z3217" s="4">
        <v>12.485509677612299</v>
      </c>
      <c r="AA3217" s="4">
        <v>11.9083078509196</v>
      </c>
      <c r="AB3217" s="4">
        <f t="shared" si="202"/>
        <v>12.237526078158901</v>
      </c>
    </row>
    <row r="3218" spans="2:28" x14ac:dyDescent="0.2">
      <c r="B3218" s="4" t="s">
        <v>1000</v>
      </c>
      <c r="C3218" s="4">
        <v>10.688000000000001</v>
      </c>
      <c r="D3218" s="4">
        <v>11.7463</v>
      </c>
      <c r="E3218" s="4">
        <v>11.5007</v>
      </c>
      <c r="F3218" s="4">
        <f t="shared" si="200"/>
        <v>11.311666666666667</v>
      </c>
      <c r="Q3218" s="43" t="s">
        <v>4496</v>
      </c>
      <c r="R3218" s="4">
        <v>11.6582105867009</v>
      </c>
      <c r="S3218" s="4">
        <v>11.842509824986401</v>
      </c>
      <c r="T3218" s="4">
        <v>11.777387747961001</v>
      </c>
      <c r="U3218" s="4">
        <f t="shared" si="201"/>
        <v>11.759369386549432</v>
      </c>
      <c r="X3218" s="43" t="s">
        <v>3921</v>
      </c>
      <c r="Y3218" s="4">
        <v>12.3440853393188</v>
      </c>
      <c r="Z3218" s="4">
        <v>12.2657396003189</v>
      </c>
      <c r="AA3218" s="4">
        <v>12.1000271457</v>
      </c>
      <c r="AB3218" s="4">
        <f t="shared" si="202"/>
        <v>12.236617361779233</v>
      </c>
    </row>
    <row r="3219" spans="2:28" x14ac:dyDescent="0.2">
      <c r="B3219" s="4" t="s">
        <v>280</v>
      </c>
      <c r="C3219" s="4">
        <v>10.910600000000001</v>
      </c>
      <c r="D3219" s="4">
        <v>11.686500000000001</v>
      </c>
      <c r="E3219" s="4">
        <v>11.305400000000001</v>
      </c>
      <c r="F3219" s="4">
        <f t="shared" si="200"/>
        <v>11.300833333333335</v>
      </c>
      <c r="Q3219" s="43" t="s">
        <v>4146</v>
      </c>
      <c r="R3219" s="4">
        <v>11.6507645379307</v>
      </c>
      <c r="S3219" s="4">
        <v>11.674282625475501</v>
      </c>
      <c r="T3219" s="4">
        <v>11.947208467134001</v>
      </c>
      <c r="U3219" s="4">
        <f t="shared" si="201"/>
        <v>11.757418543513401</v>
      </c>
      <c r="X3219" s="43" t="s">
        <v>2851</v>
      </c>
      <c r="Y3219" s="4">
        <v>12.2178928096251</v>
      </c>
      <c r="Z3219" s="4">
        <v>12.1426254533144</v>
      </c>
      <c r="AA3219" s="4">
        <v>12.335841919340099</v>
      </c>
      <c r="AB3219" s="4">
        <f t="shared" si="202"/>
        <v>12.232120060759867</v>
      </c>
    </row>
    <row r="3220" spans="2:28" x14ac:dyDescent="0.2">
      <c r="B3220" s="4" t="s">
        <v>136</v>
      </c>
      <c r="C3220" s="4">
        <v>10.465299999999999</v>
      </c>
      <c r="D3220" s="4">
        <v>11.977499999999999</v>
      </c>
      <c r="E3220" s="4">
        <v>11.4536</v>
      </c>
      <c r="F3220" s="4">
        <f t="shared" si="200"/>
        <v>11.2988</v>
      </c>
      <c r="Q3220" s="43" t="s">
        <v>4410</v>
      </c>
      <c r="R3220" s="4">
        <v>11.9004615473438</v>
      </c>
      <c r="S3220" s="4">
        <v>11.8179922005812</v>
      </c>
      <c r="T3220" s="4">
        <v>11.5488425717437</v>
      </c>
      <c r="U3220" s="4">
        <f t="shared" si="201"/>
        <v>11.755765439889567</v>
      </c>
      <c r="X3220" s="43" t="s">
        <v>3045</v>
      </c>
      <c r="Y3220" s="4">
        <v>12.0200066027353</v>
      </c>
      <c r="Z3220" s="4">
        <v>12.1909769371201</v>
      </c>
      <c r="AA3220" s="4">
        <v>12.484745884868399</v>
      </c>
      <c r="AB3220" s="4">
        <f t="shared" si="202"/>
        <v>12.231909808241264</v>
      </c>
    </row>
    <row r="3221" spans="2:28" x14ac:dyDescent="0.2">
      <c r="B3221" s="4" t="s">
        <v>2481</v>
      </c>
      <c r="C3221" s="4">
        <v>11.8642</v>
      </c>
      <c r="D3221" s="4">
        <v>10.2003</v>
      </c>
      <c r="E3221" s="4">
        <v>11.825200000000001</v>
      </c>
      <c r="F3221" s="4">
        <f t="shared" si="200"/>
        <v>11.296566666666669</v>
      </c>
      <c r="Q3221" s="43" t="s">
        <v>1452</v>
      </c>
      <c r="R3221" s="4">
        <v>12.2444363531023</v>
      </c>
      <c r="S3221" s="4">
        <v>11.6296512167903</v>
      </c>
      <c r="T3221" s="4">
        <v>11.391344488097699</v>
      </c>
      <c r="U3221" s="4">
        <f t="shared" si="201"/>
        <v>11.755144019330102</v>
      </c>
      <c r="X3221" s="43" t="s">
        <v>1956</v>
      </c>
      <c r="Y3221" s="4">
        <v>12.2173152369162</v>
      </c>
      <c r="Z3221" s="4">
        <v>12.211205025240499</v>
      </c>
      <c r="AA3221" s="4">
        <v>12.251530433804399</v>
      </c>
      <c r="AB3221" s="4">
        <f t="shared" si="202"/>
        <v>12.226683565320366</v>
      </c>
    </row>
    <row r="3222" spans="2:28" x14ac:dyDescent="0.2">
      <c r="B3222" s="4" t="s">
        <v>2364</v>
      </c>
      <c r="C3222" s="4">
        <v>11.535299999999999</v>
      </c>
      <c r="D3222" s="4">
        <v>13.2324</v>
      </c>
      <c r="E3222" s="4">
        <v>9.1153999999999993</v>
      </c>
      <c r="F3222" s="4">
        <f t="shared" si="200"/>
        <v>11.294366666666667</v>
      </c>
      <c r="Q3222" s="43" t="s">
        <v>850</v>
      </c>
      <c r="R3222" s="4">
        <v>11.068602701483799</v>
      </c>
      <c r="S3222" s="4">
        <v>12.151600004118601</v>
      </c>
      <c r="T3222" s="4">
        <v>12.000452576593201</v>
      </c>
      <c r="U3222" s="4">
        <f t="shared" si="201"/>
        <v>11.740218427398533</v>
      </c>
      <c r="X3222" s="43" t="s">
        <v>1175</v>
      </c>
      <c r="Y3222" s="4">
        <v>12.2100189801032</v>
      </c>
      <c r="Z3222" s="4">
        <v>12.0991125363102</v>
      </c>
      <c r="AA3222" s="4">
        <v>12.365594666866301</v>
      </c>
      <c r="AB3222" s="4">
        <f t="shared" si="202"/>
        <v>12.224908727759901</v>
      </c>
    </row>
    <row r="3223" spans="2:28" x14ac:dyDescent="0.2">
      <c r="B3223" s="4" t="s">
        <v>3523</v>
      </c>
      <c r="C3223" s="4">
        <v>10.613300000000001</v>
      </c>
      <c r="D3223" s="4">
        <v>11.579599999999999</v>
      </c>
      <c r="E3223" s="4">
        <v>11.688700000000001</v>
      </c>
      <c r="F3223" s="4">
        <f t="shared" si="200"/>
        <v>11.293866666666668</v>
      </c>
      <c r="Q3223" s="43" t="s">
        <v>761</v>
      </c>
      <c r="R3223" s="4">
        <v>11.923490960599</v>
      </c>
      <c r="S3223" s="4">
        <v>11.7337167948385</v>
      </c>
      <c r="T3223" s="4">
        <v>11.5144582110988</v>
      </c>
      <c r="U3223" s="4">
        <f t="shared" si="201"/>
        <v>11.7238886555121</v>
      </c>
      <c r="X3223" s="43" t="s">
        <v>2442</v>
      </c>
      <c r="Y3223" s="4">
        <v>11.9207355529411</v>
      </c>
      <c r="Z3223" s="4">
        <v>12.657088398354301</v>
      </c>
      <c r="AA3223" s="4">
        <v>12.0937310341547</v>
      </c>
      <c r="AB3223" s="4">
        <f t="shared" si="202"/>
        <v>12.223851661816701</v>
      </c>
    </row>
    <row r="3224" spans="2:28" x14ac:dyDescent="0.2">
      <c r="B3224" s="4" t="s">
        <v>3025</v>
      </c>
      <c r="C3224" s="4">
        <v>11.521699999999999</v>
      </c>
      <c r="D3224" s="4">
        <v>10.723000000000001</v>
      </c>
      <c r="E3224" s="4">
        <v>11.631399999999999</v>
      </c>
      <c r="F3224" s="4">
        <f t="shared" si="200"/>
        <v>11.292033333333334</v>
      </c>
      <c r="Q3224" s="43" t="s">
        <v>740</v>
      </c>
      <c r="R3224" s="4">
        <v>10.4320178659761</v>
      </c>
      <c r="S3224" s="4">
        <v>12.6219965619229</v>
      </c>
      <c r="T3224" s="4">
        <v>12.0952620889634</v>
      </c>
      <c r="U3224" s="4">
        <f t="shared" si="201"/>
        <v>11.7164255056208</v>
      </c>
      <c r="X3224" s="43" t="s">
        <v>3654</v>
      </c>
      <c r="Y3224" s="4">
        <v>12.210380936858501</v>
      </c>
      <c r="Z3224" s="4">
        <v>12.3291030349883</v>
      </c>
      <c r="AA3224" s="4">
        <v>12.130165307455099</v>
      </c>
      <c r="AB3224" s="4">
        <f t="shared" si="202"/>
        <v>12.223216426433966</v>
      </c>
    </row>
    <row r="3225" spans="2:28" x14ac:dyDescent="0.2">
      <c r="B3225" s="4" t="s">
        <v>3066</v>
      </c>
      <c r="C3225" s="4">
        <v>10.8919</v>
      </c>
      <c r="D3225" s="4">
        <v>13.5123</v>
      </c>
      <c r="E3225" s="4">
        <v>9.4687000000000001</v>
      </c>
      <c r="F3225" s="4">
        <f t="shared" si="200"/>
        <v>11.290966666666668</v>
      </c>
      <c r="Q3225" s="43" t="s">
        <v>1155</v>
      </c>
      <c r="R3225" s="4">
        <v>11.013768949294599</v>
      </c>
      <c r="S3225" s="4">
        <v>12.508163020185901</v>
      </c>
      <c r="T3225" s="4">
        <v>11.622632199495101</v>
      </c>
      <c r="U3225" s="4">
        <f t="shared" si="201"/>
        <v>11.714854722991866</v>
      </c>
      <c r="X3225" s="43" t="s">
        <v>4439</v>
      </c>
      <c r="Y3225" s="4">
        <v>12.188588365232</v>
      </c>
      <c r="Z3225" s="4">
        <v>12.4001501424341</v>
      </c>
      <c r="AA3225" s="4">
        <v>12.076126664598799</v>
      </c>
      <c r="AB3225" s="4">
        <f t="shared" si="202"/>
        <v>12.221621724088299</v>
      </c>
    </row>
    <row r="3226" spans="2:28" x14ac:dyDescent="0.2">
      <c r="B3226" s="4" t="s">
        <v>282</v>
      </c>
      <c r="C3226" s="4">
        <v>10.792</v>
      </c>
      <c r="D3226" s="4">
        <v>11.7995</v>
      </c>
      <c r="E3226" s="4">
        <v>11.2194</v>
      </c>
      <c r="F3226" s="4">
        <f t="shared" si="200"/>
        <v>11.270300000000001</v>
      </c>
      <c r="Q3226" s="43" t="s">
        <v>3406</v>
      </c>
      <c r="R3226" s="4">
        <v>11.48952406047</v>
      </c>
      <c r="S3226" s="4">
        <v>11.9972151269929</v>
      </c>
      <c r="T3226" s="4">
        <v>11.6554524941621</v>
      </c>
      <c r="U3226" s="4">
        <f t="shared" si="201"/>
        <v>11.714063893875</v>
      </c>
      <c r="X3226" s="43" t="s">
        <v>2013</v>
      </c>
      <c r="Y3226" s="4">
        <v>12.1605624868911</v>
      </c>
      <c r="Z3226" s="4">
        <v>11.9363898635795</v>
      </c>
      <c r="AA3226" s="4">
        <v>12.553074085093799</v>
      </c>
      <c r="AB3226" s="4">
        <f t="shared" si="202"/>
        <v>12.216675478521466</v>
      </c>
    </row>
    <row r="3227" spans="2:28" x14ac:dyDescent="0.2">
      <c r="B3227" s="4" t="s">
        <v>1799</v>
      </c>
      <c r="C3227" s="4">
        <v>10.8485</v>
      </c>
      <c r="D3227" s="4">
        <v>11.5787</v>
      </c>
      <c r="E3227" s="4">
        <v>11.3195</v>
      </c>
      <c r="F3227" s="4">
        <f t="shared" si="200"/>
        <v>11.248899999999999</v>
      </c>
      <c r="Q3227" s="43" t="s">
        <v>3445</v>
      </c>
      <c r="R3227" s="4">
        <v>11.4299937184801</v>
      </c>
      <c r="S3227" s="4">
        <v>12.1497111020622</v>
      </c>
      <c r="T3227" s="4">
        <v>11.561856939681901</v>
      </c>
      <c r="U3227" s="4">
        <f t="shared" si="201"/>
        <v>11.713853920074733</v>
      </c>
      <c r="X3227" s="43" t="s">
        <v>4569</v>
      </c>
      <c r="Y3227" s="4">
        <v>12.2856548026379</v>
      </c>
      <c r="Z3227" s="4">
        <v>12.0250070868848</v>
      </c>
      <c r="AA3227" s="4">
        <v>12.3392731248274</v>
      </c>
      <c r="AB3227" s="4">
        <f t="shared" si="202"/>
        <v>12.216645004783366</v>
      </c>
    </row>
    <row r="3228" spans="2:28" x14ac:dyDescent="0.2">
      <c r="B3228" s="4" t="s">
        <v>139</v>
      </c>
      <c r="C3228" s="4">
        <v>12.1844</v>
      </c>
      <c r="D3228" s="4">
        <v>11.1358</v>
      </c>
      <c r="E3228" s="4">
        <v>10.414199999999999</v>
      </c>
      <c r="F3228" s="4">
        <f t="shared" si="200"/>
        <v>11.2448</v>
      </c>
      <c r="Q3228" s="43" t="s">
        <v>138</v>
      </c>
      <c r="R3228" s="4">
        <v>11.2540661474515</v>
      </c>
      <c r="S3228" s="4">
        <v>12.124712316590101</v>
      </c>
      <c r="T3228" s="4">
        <v>11.748209626106499</v>
      </c>
      <c r="U3228" s="4">
        <f t="shared" si="201"/>
        <v>11.708996030049368</v>
      </c>
      <c r="X3228" s="43" t="s">
        <v>3555</v>
      </c>
      <c r="Y3228" s="4">
        <v>12.2388826890191</v>
      </c>
      <c r="Z3228" s="4">
        <v>11.9798128621064</v>
      </c>
      <c r="AA3228" s="4">
        <v>12.427341639563201</v>
      </c>
      <c r="AB3228" s="4">
        <f t="shared" si="202"/>
        <v>12.215345730229567</v>
      </c>
    </row>
    <row r="3229" spans="2:28" x14ac:dyDescent="0.2">
      <c r="B3229" s="4" t="s">
        <v>3520</v>
      </c>
      <c r="C3229" s="4">
        <v>11.2281</v>
      </c>
      <c r="D3229" s="4">
        <v>11.8368</v>
      </c>
      <c r="E3229" s="4">
        <v>10.6591</v>
      </c>
      <c r="F3229" s="4">
        <f t="shared" si="200"/>
        <v>11.241333333333335</v>
      </c>
      <c r="Q3229" s="43" t="s">
        <v>4535</v>
      </c>
      <c r="R3229" s="4">
        <v>11.3797446465619</v>
      </c>
      <c r="S3229" s="4">
        <v>12.098769874714201</v>
      </c>
      <c r="T3229" s="4">
        <v>11.641276763487999</v>
      </c>
      <c r="U3229" s="4">
        <f t="shared" si="201"/>
        <v>11.706597094921365</v>
      </c>
      <c r="X3229" s="43" t="s">
        <v>3698</v>
      </c>
      <c r="Y3229" s="4">
        <v>12.2574954898116</v>
      </c>
      <c r="Z3229" s="4">
        <v>12.2617119811571</v>
      </c>
      <c r="AA3229" s="4">
        <v>12.124061862989899</v>
      </c>
      <c r="AB3229" s="4">
        <f t="shared" si="202"/>
        <v>12.214423111319533</v>
      </c>
    </row>
    <row r="3230" spans="2:28" x14ac:dyDescent="0.2">
      <c r="B3230" s="4" t="s">
        <v>2226</v>
      </c>
      <c r="C3230" s="4">
        <v>10.9109</v>
      </c>
      <c r="D3230" s="4">
        <v>11.5136</v>
      </c>
      <c r="E3230" s="4">
        <v>11.2401</v>
      </c>
      <c r="F3230" s="4">
        <f t="shared" si="200"/>
        <v>11.221533333333333</v>
      </c>
      <c r="Q3230" s="43" t="s">
        <v>4195</v>
      </c>
      <c r="R3230" s="4">
        <v>11.5630749232363</v>
      </c>
      <c r="S3230" s="4">
        <v>11.7562911314406</v>
      </c>
      <c r="T3230" s="4">
        <v>11.784804847278901</v>
      </c>
      <c r="U3230" s="4">
        <f t="shared" si="201"/>
        <v>11.701390300651932</v>
      </c>
      <c r="X3230" s="43" t="s">
        <v>4248</v>
      </c>
      <c r="Y3230" s="4">
        <v>12.123052834825</v>
      </c>
      <c r="Z3230" s="4">
        <v>12.0760400063742</v>
      </c>
      <c r="AA3230" s="4">
        <v>12.442997379249601</v>
      </c>
      <c r="AB3230" s="4">
        <f t="shared" si="202"/>
        <v>12.214030073482933</v>
      </c>
    </row>
    <row r="3231" spans="2:28" x14ac:dyDescent="0.2">
      <c r="B3231" s="4" t="s">
        <v>2014</v>
      </c>
      <c r="C3231" s="4">
        <v>11.9702</v>
      </c>
      <c r="D3231" s="4">
        <v>10.792400000000001</v>
      </c>
      <c r="E3231" s="4">
        <v>10.8931</v>
      </c>
      <c r="F3231" s="4">
        <f t="shared" si="200"/>
        <v>11.218566666666666</v>
      </c>
      <c r="Q3231" s="43" t="s">
        <v>915</v>
      </c>
      <c r="R3231" s="4">
        <v>10.7372834939769</v>
      </c>
      <c r="S3231" s="4">
        <v>12.286975005992</v>
      </c>
      <c r="T3231" s="4">
        <v>12.0798686352262</v>
      </c>
      <c r="U3231" s="4">
        <f t="shared" si="201"/>
        <v>11.7013757117317</v>
      </c>
      <c r="X3231" s="43" t="s">
        <v>1006</v>
      </c>
      <c r="Y3231" s="4">
        <v>12.044907380136101</v>
      </c>
      <c r="Z3231" s="4">
        <v>12.4093801938055</v>
      </c>
      <c r="AA3231" s="4">
        <v>12.1778679245073</v>
      </c>
      <c r="AB3231" s="4">
        <f t="shared" si="202"/>
        <v>12.210718499482965</v>
      </c>
    </row>
    <row r="3232" spans="2:28" x14ac:dyDescent="0.2">
      <c r="B3232" s="4" t="s">
        <v>3840</v>
      </c>
      <c r="C3232" s="4">
        <v>10.9275</v>
      </c>
      <c r="D3232" s="4">
        <v>11.8299</v>
      </c>
      <c r="E3232" s="4">
        <v>10.8971</v>
      </c>
      <c r="F3232" s="4">
        <f t="shared" si="200"/>
        <v>11.218166666666667</v>
      </c>
      <c r="Q3232" s="43" t="s">
        <v>4131</v>
      </c>
      <c r="R3232" s="4">
        <v>11.841896438945501</v>
      </c>
      <c r="S3232" s="4">
        <v>12.0335240327429</v>
      </c>
      <c r="T3232" s="4">
        <v>11.1965046297833</v>
      </c>
      <c r="U3232" s="4">
        <f t="shared" si="201"/>
        <v>11.690641700490566</v>
      </c>
      <c r="X3232" s="43" t="s">
        <v>991</v>
      </c>
      <c r="Y3232" s="4">
        <v>11.8629121356506</v>
      </c>
      <c r="Z3232" s="4">
        <v>11.9945164992527</v>
      </c>
      <c r="AA3232" s="4">
        <v>12.7709329168732</v>
      </c>
      <c r="AB3232" s="4">
        <f t="shared" si="202"/>
        <v>12.209453850592167</v>
      </c>
    </row>
    <row r="3233" spans="2:28" x14ac:dyDescent="0.2">
      <c r="B3233" s="4" t="s">
        <v>2221</v>
      </c>
      <c r="C3233" s="4">
        <v>10.544499999999999</v>
      </c>
      <c r="D3233" s="4">
        <v>11.2218</v>
      </c>
      <c r="E3233" s="4">
        <v>11.877800000000001</v>
      </c>
      <c r="F3233" s="4">
        <f t="shared" si="200"/>
        <v>11.214700000000001</v>
      </c>
      <c r="Q3233" s="43" t="s">
        <v>493</v>
      </c>
      <c r="R3233" s="4">
        <v>11.188216532477201</v>
      </c>
      <c r="S3233" s="4">
        <v>12.2982714820082</v>
      </c>
      <c r="T3233" s="4">
        <v>11.5725874665233</v>
      </c>
      <c r="U3233" s="4">
        <f t="shared" si="201"/>
        <v>11.686358493669568</v>
      </c>
      <c r="X3233" s="43" t="s">
        <v>292</v>
      </c>
      <c r="Y3233" s="4">
        <v>12.1102891540905</v>
      </c>
      <c r="Z3233" s="4">
        <v>12.026204839250299</v>
      </c>
      <c r="AA3233" s="4">
        <v>12.4894314506397</v>
      </c>
      <c r="AB3233" s="4">
        <f t="shared" si="202"/>
        <v>12.208641814660167</v>
      </c>
    </row>
    <row r="3234" spans="2:28" x14ac:dyDescent="0.2">
      <c r="B3234" s="4" t="s">
        <v>1456</v>
      </c>
      <c r="C3234" s="4">
        <v>11.442500000000001</v>
      </c>
      <c r="D3234" s="4">
        <v>10.608000000000001</v>
      </c>
      <c r="E3234" s="4">
        <v>11.593</v>
      </c>
      <c r="F3234" s="4">
        <f t="shared" si="200"/>
        <v>11.214500000000001</v>
      </c>
      <c r="Q3234" s="43" t="s">
        <v>683</v>
      </c>
      <c r="R3234" s="4">
        <v>11.426798837477399</v>
      </c>
      <c r="S3234" s="4">
        <v>11.5665925573033</v>
      </c>
      <c r="T3234" s="4">
        <v>12.0567599846995</v>
      </c>
      <c r="U3234" s="4">
        <f t="shared" si="201"/>
        <v>11.683383793160067</v>
      </c>
      <c r="X3234" s="43" t="s">
        <v>4047</v>
      </c>
      <c r="Y3234" s="4">
        <v>12.2946019927075</v>
      </c>
      <c r="Z3234" s="4">
        <v>11.9041975731426</v>
      </c>
      <c r="AA3234" s="4">
        <v>12.4234122570392</v>
      </c>
      <c r="AB3234" s="4">
        <f t="shared" si="202"/>
        <v>12.207403940963099</v>
      </c>
    </row>
    <row r="3235" spans="2:28" x14ac:dyDescent="0.2">
      <c r="B3235" s="4" t="s">
        <v>339</v>
      </c>
      <c r="C3235" s="4">
        <v>11.302099999999999</v>
      </c>
      <c r="D3235" s="4">
        <v>10.7371</v>
      </c>
      <c r="E3235" s="4">
        <v>11.597799999999999</v>
      </c>
      <c r="F3235" s="4">
        <f t="shared" si="200"/>
        <v>11.212333333333333</v>
      </c>
      <c r="Q3235" s="43" t="s">
        <v>4180</v>
      </c>
      <c r="R3235" s="4">
        <v>11.6749130715835</v>
      </c>
      <c r="S3235" s="4">
        <v>11.467890823251899</v>
      </c>
      <c r="T3235" s="4">
        <v>11.892839274694699</v>
      </c>
      <c r="U3235" s="4">
        <f t="shared" si="201"/>
        <v>11.678547723176699</v>
      </c>
      <c r="X3235" s="43" t="s">
        <v>4340</v>
      </c>
      <c r="Y3235" s="4">
        <v>12.2810000104037</v>
      </c>
      <c r="Z3235" s="4">
        <v>11.948961713916001</v>
      </c>
      <c r="AA3235" s="4">
        <v>12.3870858446481</v>
      </c>
      <c r="AB3235" s="4">
        <f t="shared" si="202"/>
        <v>12.205682522989266</v>
      </c>
    </row>
    <row r="3236" spans="2:28" x14ac:dyDescent="0.2">
      <c r="B3236" s="4" t="s">
        <v>3859</v>
      </c>
      <c r="C3236" s="4">
        <v>10.7323</v>
      </c>
      <c r="D3236" s="4">
        <v>10.8399</v>
      </c>
      <c r="E3236" s="4">
        <v>12.061299999999999</v>
      </c>
      <c r="F3236" s="4">
        <f t="shared" si="200"/>
        <v>11.211166666666665</v>
      </c>
      <c r="Q3236" s="43" t="s">
        <v>4448</v>
      </c>
      <c r="R3236" s="4">
        <v>12.053190724659601</v>
      </c>
      <c r="S3236" s="4">
        <v>11.859036885203601</v>
      </c>
      <c r="T3236" s="4">
        <v>11.105683087943699</v>
      </c>
      <c r="U3236" s="4">
        <f t="shared" si="201"/>
        <v>11.672636899268966</v>
      </c>
      <c r="X3236" s="43" t="s">
        <v>3700</v>
      </c>
      <c r="Y3236" s="4">
        <v>11.859383469264101</v>
      </c>
      <c r="Z3236" s="4">
        <v>12.285915920972901</v>
      </c>
      <c r="AA3236" s="4">
        <v>12.4599527193774</v>
      </c>
      <c r="AB3236" s="4">
        <f t="shared" si="202"/>
        <v>12.2017507032048</v>
      </c>
    </row>
    <row r="3237" spans="2:28" x14ac:dyDescent="0.2">
      <c r="B3237" s="4" t="s">
        <v>3760</v>
      </c>
      <c r="C3237" s="4">
        <v>10.251300000000001</v>
      </c>
      <c r="D3237" s="4">
        <v>12.222300000000001</v>
      </c>
      <c r="E3237" s="4">
        <v>11.1524</v>
      </c>
      <c r="F3237" s="4">
        <f t="shared" si="200"/>
        <v>11.208666666666668</v>
      </c>
      <c r="Q3237" s="43" t="s">
        <v>4147</v>
      </c>
      <c r="R3237" s="4">
        <v>11.6556246368958</v>
      </c>
      <c r="S3237" s="4">
        <v>11.890631565010001</v>
      </c>
      <c r="T3237" s="4">
        <v>11.416510722154101</v>
      </c>
      <c r="U3237" s="4">
        <f t="shared" si="201"/>
        <v>11.6542556413533</v>
      </c>
      <c r="X3237" s="43" t="s">
        <v>3089</v>
      </c>
      <c r="Y3237" s="4">
        <v>11.894394906151501</v>
      </c>
      <c r="Z3237" s="4">
        <v>12.4833085085232</v>
      </c>
      <c r="AA3237" s="4">
        <v>12.225776199581199</v>
      </c>
      <c r="AB3237" s="4">
        <f t="shared" si="202"/>
        <v>12.201159871418632</v>
      </c>
    </row>
    <row r="3238" spans="2:28" x14ac:dyDescent="0.2">
      <c r="B3238" s="4" t="s">
        <v>2414</v>
      </c>
      <c r="C3238" s="4">
        <v>10.8527</v>
      </c>
      <c r="D3238" s="4">
        <v>11.4962</v>
      </c>
      <c r="E3238" s="4">
        <v>11.2552</v>
      </c>
      <c r="F3238" s="4">
        <f t="shared" si="200"/>
        <v>11.201366666666667</v>
      </c>
      <c r="Q3238" s="43" t="s">
        <v>4221</v>
      </c>
      <c r="R3238" s="4">
        <v>11.471005234602201</v>
      </c>
      <c r="S3238" s="4">
        <v>11.886859932802899</v>
      </c>
      <c r="T3238" s="4">
        <v>11.5975478692678</v>
      </c>
      <c r="U3238" s="4">
        <f t="shared" si="201"/>
        <v>11.651804345557634</v>
      </c>
      <c r="X3238" s="43" t="s">
        <v>1141</v>
      </c>
      <c r="Y3238" s="4">
        <v>12.0067362847957</v>
      </c>
      <c r="Z3238" s="4">
        <v>12.4590293184445</v>
      </c>
      <c r="AA3238" s="4">
        <v>12.135860399442199</v>
      </c>
      <c r="AB3238" s="4">
        <f t="shared" si="202"/>
        <v>12.200542000894133</v>
      </c>
    </row>
    <row r="3239" spans="2:28" x14ac:dyDescent="0.2">
      <c r="B3239" s="4" t="s">
        <v>4</v>
      </c>
      <c r="C3239" s="4">
        <v>10.9556</v>
      </c>
      <c r="D3239" s="4">
        <v>10.8032</v>
      </c>
      <c r="E3239" s="4">
        <v>11.8165</v>
      </c>
      <c r="F3239" s="4">
        <f t="shared" si="200"/>
        <v>11.191766666666666</v>
      </c>
      <c r="Q3239" s="43" t="s">
        <v>2154</v>
      </c>
      <c r="R3239" s="4">
        <v>11.438772312193199</v>
      </c>
      <c r="S3239" s="4">
        <v>11.9378623826075</v>
      </c>
      <c r="T3239" s="4">
        <v>11.5643235685131</v>
      </c>
      <c r="U3239" s="4">
        <f t="shared" si="201"/>
        <v>11.646986087771268</v>
      </c>
      <c r="X3239" s="43" t="s">
        <v>908</v>
      </c>
      <c r="Y3239" s="4">
        <v>12.1113454477782</v>
      </c>
      <c r="Z3239" s="4">
        <v>12.016434588258299</v>
      </c>
      <c r="AA3239" s="4">
        <v>12.458932345583101</v>
      </c>
      <c r="AB3239" s="4">
        <f t="shared" si="202"/>
        <v>12.1955707938732</v>
      </c>
    </row>
    <row r="3240" spans="2:28" x14ac:dyDescent="0.2">
      <c r="B3240" s="4" t="s">
        <v>2357</v>
      </c>
      <c r="C3240" s="4">
        <v>11.3413</v>
      </c>
      <c r="D3240" s="4">
        <v>10.8392</v>
      </c>
      <c r="E3240" s="4">
        <v>11.3818</v>
      </c>
      <c r="F3240" s="4">
        <f t="shared" si="200"/>
        <v>11.187433333333333</v>
      </c>
      <c r="Q3240" s="43" t="s">
        <v>1028</v>
      </c>
      <c r="R3240" s="4">
        <v>11.3498025448484</v>
      </c>
      <c r="S3240" s="4">
        <v>11.9193313882077</v>
      </c>
      <c r="T3240" s="4">
        <v>11.6692733949989</v>
      </c>
      <c r="U3240" s="4">
        <f t="shared" si="201"/>
        <v>11.646135776018333</v>
      </c>
      <c r="X3240" s="43" t="s">
        <v>3432</v>
      </c>
      <c r="Y3240" s="4">
        <v>12.119528222922501</v>
      </c>
      <c r="Z3240" s="4">
        <v>12.0797972194453</v>
      </c>
      <c r="AA3240" s="4">
        <v>12.384467247870701</v>
      </c>
      <c r="AB3240" s="4">
        <f t="shared" si="202"/>
        <v>12.194597563412835</v>
      </c>
    </row>
    <row r="3241" spans="2:28" x14ac:dyDescent="0.2">
      <c r="B3241" s="4" t="s">
        <v>2251</v>
      </c>
      <c r="C3241" s="4">
        <v>11.5184</v>
      </c>
      <c r="D3241" s="4">
        <v>11.2813</v>
      </c>
      <c r="E3241" s="4">
        <v>10.749700000000001</v>
      </c>
      <c r="F3241" s="4">
        <f t="shared" si="200"/>
        <v>11.183133333333336</v>
      </c>
      <c r="Q3241" s="43" t="s">
        <v>848</v>
      </c>
      <c r="R3241" s="4">
        <v>11.4795224517528</v>
      </c>
      <c r="S3241" s="4">
        <v>11.5220995459355</v>
      </c>
      <c r="T3241" s="4">
        <v>11.9355079188201</v>
      </c>
      <c r="U3241" s="4">
        <f t="shared" si="201"/>
        <v>11.645709972169465</v>
      </c>
      <c r="X3241" s="43" t="s">
        <v>2906</v>
      </c>
      <c r="Y3241" s="4">
        <v>12.1756730688997</v>
      </c>
      <c r="Z3241" s="4">
        <v>12.1369934847531</v>
      </c>
      <c r="AA3241" s="4">
        <v>12.264914815596301</v>
      </c>
      <c r="AB3241" s="4">
        <f t="shared" si="202"/>
        <v>12.192527123083034</v>
      </c>
    </row>
    <row r="3242" spans="2:28" x14ac:dyDescent="0.2">
      <c r="B3242" s="4" t="s">
        <v>362</v>
      </c>
      <c r="C3242" s="4">
        <v>10.4664</v>
      </c>
      <c r="D3242" s="4">
        <v>11.2692</v>
      </c>
      <c r="E3242" s="4">
        <v>11.8093</v>
      </c>
      <c r="F3242" s="4">
        <f t="shared" si="200"/>
        <v>11.181633333333332</v>
      </c>
      <c r="Q3242" s="43" t="s">
        <v>4117</v>
      </c>
      <c r="R3242" s="4">
        <v>10.7045614184185</v>
      </c>
      <c r="S3242" s="4">
        <v>12.4790801129777</v>
      </c>
      <c r="T3242" s="4">
        <v>11.7512340240411</v>
      </c>
      <c r="U3242" s="4">
        <f t="shared" si="201"/>
        <v>11.6449585184791</v>
      </c>
      <c r="X3242" s="43" t="s">
        <v>4259</v>
      </c>
      <c r="Y3242" s="4">
        <v>12.0844530911431</v>
      </c>
      <c r="Z3242" s="4">
        <v>12.0524212385584</v>
      </c>
      <c r="AA3242" s="4">
        <v>12.4405795409084</v>
      </c>
      <c r="AB3242" s="4">
        <f t="shared" si="202"/>
        <v>12.192484623536634</v>
      </c>
    </row>
    <row r="3243" spans="2:28" x14ac:dyDescent="0.2">
      <c r="B3243" s="4" t="s">
        <v>3248</v>
      </c>
      <c r="C3243" s="4">
        <v>10.9085</v>
      </c>
      <c r="D3243" s="4">
        <v>11.608599999999999</v>
      </c>
      <c r="E3243" s="4">
        <v>11.0023</v>
      </c>
      <c r="F3243" s="4">
        <f t="shared" si="200"/>
        <v>11.173133333333332</v>
      </c>
      <c r="Q3243" s="43" t="s">
        <v>4598</v>
      </c>
      <c r="R3243" s="4">
        <v>11.3277893035149</v>
      </c>
      <c r="S3243" s="4">
        <v>11.8199802425939</v>
      </c>
      <c r="T3243" s="4">
        <v>11.7748149396063</v>
      </c>
      <c r="U3243" s="4">
        <f t="shared" si="201"/>
        <v>11.640861495238367</v>
      </c>
      <c r="X3243" s="43" t="s">
        <v>816</v>
      </c>
      <c r="Y3243" s="4">
        <v>12.227656963363099</v>
      </c>
      <c r="Z3243" s="4">
        <v>12.381367057603001</v>
      </c>
      <c r="AA3243" s="4">
        <v>11.958908168967</v>
      </c>
      <c r="AB3243" s="4">
        <f t="shared" si="202"/>
        <v>12.1893107299777</v>
      </c>
    </row>
    <row r="3244" spans="2:28" x14ac:dyDescent="0.2">
      <c r="B3244" s="4" t="s">
        <v>2420</v>
      </c>
      <c r="C3244" s="4">
        <v>11.7011</v>
      </c>
      <c r="D3244" s="4">
        <v>10.809799999999999</v>
      </c>
      <c r="E3244" s="4">
        <v>10.9796</v>
      </c>
      <c r="F3244" s="4">
        <f t="shared" si="200"/>
        <v>11.163499999999999</v>
      </c>
      <c r="Q3244" s="43" t="s">
        <v>4517</v>
      </c>
      <c r="R3244" s="4">
        <v>11.929380526373601</v>
      </c>
      <c r="S3244" s="4">
        <v>10.9941849460055</v>
      </c>
      <c r="T3244" s="4">
        <v>11.980122168461801</v>
      </c>
      <c r="U3244" s="4">
        <f t="shared" si="201"/>
        <v>11.634562546946967</v>
      </c>
      <c r="X3244" s="43" t="s">
        <v>900</v>
      </c>
      <c r="Y3244" s="4">
        <v>12.039661587865</v>
      </c>
      <c r="Z3244" s="4">
        <v>11.8051606984216</v>
      </c>
      <c r="AA3244" s="4">
        <v>12.710757589017501</v>
      </c>
      <c r="AB3244" s="4">
        <f t="shared" si="202"/>
        <v>12.185193291768035</v>
      </c>
    </row>
    <row r="3245" spans="2:28" x14ac:dyDescent="0.2">
      <c r="B3245" s="4" t="s">
        <v>984</v>
      </c>
      <c r="C3245" s="4">
        <v>10.858000000000001</v>
      </c>
      <c r="D3245" s="4">
        <v>10.4496</v>
      </c>
      <c r="E3245" s="4">
        <v>12.049300000000001</v>
      </c>
      <c r="F3245" s="4">
        <f t="shared" si="200"/>
        <v>11.118966666666667</v>
      </c>
      <c r="Q3245" s="43" t="s">
        <v>4298</v>
      </c>
      <c r="R3245" s="4">
        <v>11.5158675030998</v>
      </c>
      <c r="S3245" s="4">
        <v>11.533127180666201</v>
      </c>
      <c r="T3245" s="4">
        <v>11.854255174831501</v>
      </c>
      <c r="U3245" s="4">
        <f t="shared" si="201"/>
        <v>11.634416619532502</v>
      </c>
      <c r="X3245" s="43" t="s">
        <v>502</v>
      </c>
      <c r="Y3245" s="4">
        <v>12.3494482118689</v>
      </c>
      <c r="Z3245" s="4">
        <v>11.762380972844401</v>
      </c>
      <c r="AA3245" s="4">
        <v>12.4272141981959</v>
      </c>
      <c r="AB3245" s="4">
        <f t="shared" si="202"/>
        <v>12.1796811276364</v>
      </c>
    </row>
    <row r="3246" spans="2:28" x14ac:dyDescent="0.2">
      <c r="B3246" s="4" t="s">
        <v>380</v>
      </c>
      <c r="C3246" s="4">
        <v>11.371499999999999</v>
      </c>
      <c r="D3246" s="4">
        <v>10.413399999999999</v>
      </c>
      <c r="E3246" s="4">
        <v>11.5602</v>
      </c>
      <c r="F3246" s="4">
        <f t="shared" si="200"/>
        <v>11.115033333333335</v>
      </c>
      <c r="Q3246" s="43" t="s">
        <v>2553</v>
      </c>
      <c r="R3246" s="4">
        <v>11.2770146751827</v>
      </c>
      <c r="S3246" s="4">
        <v>11.8327074752144</v>
      </c>
      <c r="T3246" s="4">
        <v>11.775271950819</v>
      </c>
      <c r="U3246" s="4">
        <f t="shared" si="201"/>
        <v>11.628331367072034</v>
      </c>
      <c r="X3246" s="43" t="s">
        <v>4437</v>
      </c>
      <c r="Y3246" s="4">
        <v>12.231812164705399</v>
      </c>
      <c r="Z3246" s="4">
        <v>12.350430222532101</v>
      </c>
      <c r="AA3246" s="4">
        <v>11.9509636257607</v>
      </c>
      <c r="AB3246" s="4">
        <f t="shared" si="202"/>
        <v>12.177735337666066</v>
      </c>
    </row>
    <row r="3247" spans="2:28" x14ac:dyDescent="0.2">
      <c r="B3247" s="4" t="s">
        <v>1759</v>
      </c>
      <c r="C3247" s="4">
        <v>11.6875</v>
      </c>
      <c r="D3247" s="4">
        <v>11.7171</v>
      </c>
      <c r="E3247" s="4">
        <v>9.9313000000000002</v>
      </c>
      <c r="F3247" s="4">
        <f t="shared" si="200"/>
        <v>11.111966666666667</v>
      </c>
      <c r="Q3247" s="43" t="s">
        <v>2921</v>
      </c>
      <c r="R3247" s="4">
        <v>11.2464719478189</v>
      </c>
      <c r="S3247" s="4">
        <v>11.728243105341299</v>
      </c>
      <c r="T3247" s="4">
        <v>11.899036956317399</v>
      </c>
      <c r="U3247" s="4">
        <f t="shared" si="201"/>
        <v>11.6245840031592</v>
      </c>
      <c r="X3247" s="43" t="s">
        <v>714</v>
      </c>
      <c r="Y3247" s="4">
        <v>12.363064427285201</v>
      </c>
      <c r="Z3247" s="4">
        <v>11.8041743796843</v>
      </c>
      <c r="AA3247" s="4">
        <v>12.3470121168991</v>
      </c>
      <c r="AB3247" s="4">
        <f t="shared" si="202"/>
        <v>12.171416974622867</v>
      </c>
    </row>
    <row r="3248" spans="2:28" x14ac:dyDescent="0.2">
      <c r="B3248" s="4" t="s">
        <v>3614</v>
      </c>
      <c r="C3248" s="4">
        <v>10.981299999999999</v>
      </c>
      <c r="D3248" s="4">
        <v>11.3918</v>
      </c>
      <c r="E3248" s="4">
        <v>10.9476</v>
      </c>
      <c r="F3248" s="4">
        <f t="shared" si="200"/>
        <v>11.106900000000001</v>
      </c>
      <c r="Q3248" s="43" t="s">
        <v>4436</v>
      </c>
      <c r="R3248" s="4">
        <v>11.7214313158709</v>
      </c>
      <c r="S3248" s="4">
        <v>11.802911288158899</v>
      </c>
      <c r="T3248" s="4">
        <v>11.3398229661587</v>
      </c>
      <c r="U3248" s="4">
        <f t="shared" si="201"/>
        <v>11.621388523396165</v>
      </c>
      <c r="X3248" s="43" t="s">
        <v>65</v>
      </c>
      <c r="Y3248" s="4">
        <v>11.9909509436972</v>
      </c>
      <c r="Z3248" s="4">
        <v>12.2355889276621</v>
      </c>
      <c r="AA3248" s="4">
        <v>12.2771259139412</v>
      </c>
      <c r="AB3248" s="4">
        <f t="shared" si="202"/>
        <v>12.167888595100166</v>
      </c>
    </row>
    <row r="3249" spans="2:28" x14ac:dyDescent="0.2">
      <c r="B3249" s="4" t="s">
        <v>3643</v>
      </c>
      <c r="C3249" s="4">
        <v>10.0984</v>
      </c>
      <c r="D3249" s="4">
        <v>11.412100000000001</v>
      </c>
      <c r="E3249" s="4">
        <v>11.788399999999999</v>
      </c>
      <c r="F3249" s="4">
        <f t="shared" si="200"/>
        <v>11.099633333333335</v>
      </c>
      <c r="Q3249" s="43" t="s">
        <v>4558</v>
      </c>
      <c r="R3249" s="4">
        <v>11.597105799174701</v>
      </c>
      <c r="S3249" s="4">
        <v>11.602552279767099</v>
      </c>
      <c r="T3249" s="4">
        <v>11.661537092268899</v>
      </c>
      <c r="U3249" s="4">
        <f t="shared" si="201"/>
        <v>11.620398390403567</v>
      </c>
      <c r="X3249" s="43" t="s">
        <v>4598</v>
      </c>
      <c r="Y3249" s="4">
        <v>12.536089070844501</v>
      </c>
      <c r="Z3249" s="4">
        <v>11.915163840480499</v>
      </c>
      <c r="AA3249" s="4">
        <v>12.0523937720154</v>
      </c>
      <c r="AB3249" s="4">
        <f t="shared" si="202"/>
        <v>12.167882227780133</v>
      </c>
    </row>
    <row r="3250" spans="2:28" x14ac:dyDescent="0.2">
      <c r="B3250" s="4" t="s">
        <v>3046</v>
      </c>
      <c r="C3250" s="4">
        <v>11.693199999999999</v>
      </c>
      <c r="D3250" s="4">
        <v>10.912100000000001</v>
      </c>
      <c r="E3250" s="4">
        <v>10.676500000000001</v>
      </c>
      <c r="F3250" s="4">
        <f t="shared" si="200"/>
        <v>11.093933333333334</v>
      </c>
      <c r="Q3250" s="43" t="s">
        <v>767</v>
      </c>
      <c r="R3250" s="4">
        <v>10.9340926569595</v>
      </c>
      <c r="S3250" s="4">
        <v>12.013675824472999</v>
      </c>
      <c r="T3250" s="4">
        <v>11.911057520476</v>
      </c>
      <c r="U3250" s="4">
        <f t="shared" si="201"/>
        <v>11.619608667302833</v>
      </c>
      <c r="X3250" s="43" t="s">
        <v>4264</v>
      </c>
      <c r="Y3250" s="4">
        <v>11.995024993107901</v>
      </c>
      <c r="Z3250" s="4">
        <v>12.1106091245972</v>
      </c>
      <c r="AA3250" s="4">
        <v>12.3905432234942</v>
      </c>
      <c r="AB3250" s="4">
        <f t="shared" si="202"/>
        <v>12.165392447066433</v>
      </c>
    </row>
    <row r="3251" spans="2:28" x14ac:dyDescent="0.2">
      <c r="B3251" s="4" t="s">
        <v>2730</v>
      </c>
      <c r="C3251" s="4">
        <v>11.417299999999999</v>
      </c>
      <c r="D3251" s="4">
        <v>10.401</v>
      </c>
      <c r="E3251" s="4">
        <v>11.4589</v>
      </c>
      <c r="F3251" s="4">
        <f t="shared" si="200"/>
        <v>11.0924</v>
      </c>
      <c r="Q3251" s="43" t="s">
        <v>3671</v>
      </c>
      <c r="R3251" s="4">
        <v>11.625428246288401</v>
      </c>
      <c r="S3251" s="4">
        <v>11.5573213360403</v>
      </c>
      <c r="T3251" s="4">
        <v>11.660626423625301</v>
      </c>
      <c r="U3251" s="4">
        <f t="shared" si="201"/>
        <v>11.614458668651332</v>
      </c>
      <c r="X3251" s="43" t="s">
        <v>3248</v>
      </c>
      <c r="Y3251" s="4">
        <v>12.182925174688901</v>
      </c>
      <c r="Z3251" s="4">
        <v>12.222248168433101</v>
      </c>
      <c r="AA3251" s="4">
        <v>12.0783667370165</v>
      </c>
      <c r="AB3251" s="4">
        <f t="shared" si="202"/>
        <v>12.161180026712834</v>
      </c>
    </row>
    <row r="3252" spans="2:28" x14ac:dyDescent="0.2">
      <c r="B3252" s="4" t="s">
        <v>2849</v>
      </c>
      <c r="C3252" s="4">
        <v>10.6736</v>
      </c>
      <c r="D3252" s="4">
        <v>11.3992</v>
      </c>
      <c r="E3252" s="4">
        <v>11.142300000000001</v>
      </c>
      <c r="F3252" s="4">
        <f t="shared" si="200"/>
        <v>11.0717</v>
      </c>
      <c r="Q3252" s="43" t="s">
        <v>4241</v>
      </c>
      <c r="R3252" s="4">
        <v>10.6836385749294</v>
      </c>
      <c r="S3252" s="4">
        <v>12.266915173749901</v>
      </c>
      <c r="T3252" s="4">
        <v>11.8872621457341</v>
      </c>
      <c r="U3252" s="4">
        <f t="shared" si="201"/>
        <v>11.612605298137801</v>
      </c>
      <c r="X3252" s="43" t="s">
        <v>2443</v>
      </c>
      <c r="Y3252" s="4">
        <v>11.712878185319299</v>
      </c>
      <c r="Z3252" s="4">
        <v>12.2318505850312</v>
      </c>
      <c r="AA3252" s="4">
        <v>12.534848766901201</v>
      </c>
      <c r="AB3252" s="4">
        <f t="shared" si="202"/>
        <v>12.159859179083901</v>
      </c>
    </row>
    <row r="3253" spans="2:28" x14ac:dyDescent="0.2">
      <c r="B3253" s="4" t="s">
        <v>1169</v>
      </c>
      <c r="C3253" s="4">
        <v>11.6236</v>
      </c>
      <c r="D3253" s="4">
        <v>10.0626</v>
      </c>
      <c r="E3253" s="4">
        <v>11.4947</v>
      </c>
      <c r="F3253" s="4">
        <f t="shared" si="200"/>
        <v>11.0603</v>
      </c>
      <c r="Q3253" s="43" t="s">
        <v>4256</v>
      </c>
      <c r="R3253" s="4">
        <v>11.371613232024201</v>
      </c>
      <c r="S3253" s="4">
        <v>11.670178912582999</v>
      </c>
      <c r="T3253" s="4">
        <v>11.790171924424399</v>
      </c>
      <c r="U3253" s="4">
        <f t="shared" si="201"/>
        <v>11.610654689677199</v>
      </c>
      <c r="X3253" s="43" t="s">
        <v>308</v>
      </c>
      <c r="Y3253" s="4">
        <v>11.8768774403054</v>
      </c>
      <c r="Z3253" s="4">
        <v>12.470588001123801</v>
      </c>
      <c r="AA3253" s="4">
        <v>12.123590241797601</v>
      </c>
      <c r="AB3253" s="4">
        <f t="shared" si="202"/>
        <v>12.157018561075601</v>
      </c>
    </row>
    <row r="3254" spans="2:28" x14ac:dyDescent="0.2">
      <c r="B3254" s="4" t="s">
        <v>2473</v>
      </c>
      <c r="C3254" s="4">
        <v>11.264699999999999</v>
      </c>
      <c r="D3254" s="4">
        <v>10.447100000000001</v>
      </c>
      <c r="E3254" s="4">
        <v>11.468</v>
      </c>
      <c r="F3254" s="4">
        <f t="shared" si="200"/>
        <v>11.059933333333333</v>
      </c>
      <c r="Q3254" s="43" t="s">
        <v>3172</v>
      </c>
      <c r="R3254" s="4">
        <v>11.340899922443899</v>
      </c>
      <c r="S3254" s="4">
        <v>11.9503035321061</v>
      </c>
      <c r="T3254" s="4">
        <v>11.535111830081499</v>
      </c>
      <c r="U3254" s="4">
        <f t="shared" si="201"/>
        <v>11.608771761543833</v>
      </c>
      <c r="X3254" s="43" t="s">
        <v>512</v>
      </c>
      <c r="Y3254" s="4">
        <v>12.149659625770999</v>
      </c>
      <c r="Z3254" s="4">
        <v>12.0689856046512</v>
      </c>
      <c r="AA3254" s="4">
        <v>12.249402958181699</v>
      </c>
      <c r="AB3254" s="4">
        <f t="shared" si="202"/>
        <v>12.156016062867964</v>
      </c>
    </row>
    <row r="3255" spans="2:28" x14ac:dyDescent="0.2">
      <c r="B3255" s="4" t="s">
        <v>3196</v>
      </c>
      <c r="C3255" s="4">
        <v>11.5097</v>
      </c>
      <c r="D3255" s="4">
        <v>11.286300000000001</v>
      </c>
      <c r="E3255" s="4">
        <v>10.3492</v>
      </c>
      <c r="F3255" s="4">
        <f t="shared" si="200"/>
        <v>11.048400000000001</v>
      </c>
      <c r="Q3255" s="43" t="s">
        <v>4310</v>
      </c>
      <c r="R3255" s="4">
        <v>11.598087558583</v>
      </c>
      <c r="S3255" s="4">
        <v>11.6033178124923</v>
      </c>
      <c r="T3255" s="4">
        <v>11.6227888295754</v>
      </c>
      <c r="U3255" s="4">
        <f t="shared" si="201"/>
        <v>11.608064733550234</v>
      </c>
      <c r="X3255" s="43" t="s">
        <v>4132</v>
      </c>
      <c r="Y3255" s="4">
        <v>11.7729098308139</v>
      </c>
      <c r="Z3255" s="4">
        <v>12.284627420119399</v>
      </c>
      <c r="AA3255" s="4">
        <v>12.3755960565408</v>
      </c>
      <c r="AB3255" s="4">
        <f t="shared" si="202"/>
        <v>12.144377769158034</v>
      </c>
    </row>
    <row r="3256" spans="2:28" x14ac:dyDescent="0.2">
      <c r="B3256" s="4" t="s">
        <v>2246</v>
      </c>
      <c r="C3256" s="4">
        <v>10.1974</v>
      </c>
      <c r="D3256" s="4">
        <v>11.539199999999999</v>
      </c>
      <c r="E3256" s="4">
        <v>11.4069</v>
      </c>
      <c r="F3256" s="4">
        <f t="shared" si="200"/>
        <v>11.047833333333335</v>
      </c>
      <c r="Q3256" s="43" t="s">
        <v>4491</v>
      </c>
      <c r="R3256" s="4">
        <v>11.400559240685601</v>
      </c>
      <c r="S3256" s="4">
        <v>12.003691229429499</v>
      </c>
      <c r="T3256" s="4">
        <v>11.4022297948896</v>
      </c>
      <c r="U3256" s="4">
        <f t="shared" si="201"/>
        <v>11.6021600883349</v>
      </c>
      <c r="X3256" s="43" t="s">
        <v>2681</v>
      </c>
      <c r="Y3256" s="4">
        <v>11.990396186344499</v>
      </c>
      <c r="Z3256" s="4">
        <v>12.4828589780362</v>
      </c>
      <c r="AA3256" s="4">
        <v>11.9576143170938</v>
      </c>
      <c r="AB3256" s="4">
        <f t="shared" si="202"/>
        <v>12.143623160491501</v>
      </c>
    </row>
    <row r="3257" spans="2:28" x14ac:dyDescent="0.2">
      <c r="B3257" s="4" t="s">
        <v>3036</v>
      </c>
      <c r="C3257" s="4">
        <v>10.669499999999999</v>
      </c>
      <c r="D3257" s="4">
        <v>10.8804</v>
      </c>
      <c r="E3257" s="4">
        <v>11.5533</v>
      </c>
      <c r="F3257" s="4">
        <f t="shared" si="200"/>
        <v>11.0344</v>
      </c>
      <c r="Q3257" s="43" t="s">
        <v>3740</v>
      </c>
      <c r="R3257" s="4">
        <v>10.5999965362289</v>
      </c>
      <c r="S3257" s="4">
        <v>12.570073715422801</v>
      </c>
      <c r="T3257" s="4">
        <v>11.633036273258799</v>
      </c>
      <c r="U3257" s="4">
        <f t="shared" si="201"/>
        <v>11.601035508303502</v>
      </c>
      <c r="X3257" s="43" t="s">
        <v>1339</v>
      </c>
      <c r="Y3257" s="4">
        <v>12.195603968625001</v>
      </c>
      <c r="Z3257" s="4">
        <v>11.905757776602</v>
      </c>
      <c r="AA3257" s="4">
        <v>12.3127152915363</v>
      </c>
      <c r="AB3257" s="4">
        <f t="shared" si="202"/>
        <v>12.138025678921101</v>
      </c>
    </row>
    <row r="3258" spans="2:28" x14ac:dyDescent="0.2">
      <c r="B3258" s="4" t="s">
        <v>2007</v>
      </c>
      <c r="C3258" s="4">
        <v>11.7866</v>
      </c>
      <c r="D3258" s="4">
        <v>10.497299999999999</v>
      </c>
      <c r="E3258" s="4">
        <v>10.776300000000001</v>
      </c>
      <c r="F3258" s="4">
        <f t="shared" si="200"/>
        <v>11.020066666666667</v>
      </c>
      <c r="Q3258" s="43" t="s">
        <v>2392</v>
      </c>
      <c r="R3258" s="4">
        <v>11.5102836618154</v>
      </c>
      <c r="S3258" s="4">
        <v>11.835006983324</v>
      </c>
      <c r="T3258" s="4">
        <v>11.413730739138201</v>
      </c>
      <c r="U3258" s="4">
        <f t="shared" si="201"/>
        <v>11.586340461425868</v>
      </c>
      <c r="X3258" s="43" t="s">
        <v>221</v>
      </c>
      <c r="Y3258" s="4">
        <v>12.205146808459601</v>
      </c>
      <c r="Z3258" s="4">
        <v>12.3584054893316</v>
      </c>
      <c r="AA3258" s="4">
        <v>11.8287718155406</v>
      </c>
      <c r="AB3258" s="4">
        <f t="shared" si="202"/>
        <v>12.130774704443935</v>
      </c>
    </row>
    <row r="3259" spans="2:28" x14ac:dyDescent="0.2">
      <c r="B3259" s="4" t="s">
        <v>3438</v>
      </c>
      <c r="C3259" s="4">
        <v>12.2552</v>
      </c>
      <c r="D3259" s="4">
        <v>9.3725000000000005</v>
      </c>
      <c r="E3259" s="4">
        <v>11.409800000000001</v>
      </c>
      <c r="F3259" s="4">
        <f t="shared" si="200"/>
        <v>11.012500000000001</v>
      </c>
      <c r="Q3259" s="43" t="s">
        <v>703</v>
      </c>
      <c r="R3259" s="4">
        <v>11.7063827869161</v>
      </c>
      <c r="S3259" s="4">
        <v>11.902206135565701</v>
      </c>
      <c r="T3259" s="4">
        <v>11.1049469232867</v>
      </c>
      <c r="U3259" s="4">
        <f t="shared" si="201"/>
        <v>11.571178615256168</v>
      </c>
      <c r="X3259" s="43" t="s">
        <v>4187</v>
      </c>
      <c r="Y3259" s="4">
        <v>12.2721451435758</v>
      </c>
      <c r="Z3259" s="4">
        <v>12.3230052066356</v>
      </c>
      <c r="AA3259" s="4">
        <v>11.7681116469636</v>
      </c>
      <c r="AB3259" s="4">
        <f t="shared" si="202"/>
        <v>12.121087332391667</v>
      </c>
    </row>
    <row r="3260" spans="2:28" x14ac:dyDescent="0.2">
      <c r="B3260" s="4" t="s">
        <v>3909</v>
      </c>
      <c r="C3260" s="4">
        <v>10.968</v>
      </c>
      <c r="D3260" s="4">
        <v>10.686500000000001</v>
      </c>
      <c r="E3260" s="4">
        <v>11.368399999999999</v>
      </c>
      <c r="F3260" s="4">
        <f t="shared" si="200"/>
        <v>11.007633333333333</v>
      </c>
      <c r="Q3260" s="43" t="s">
        <v>27</v>
      </c>
      <c r="R3260" s="4">
        <v>11.5999386726685</v>
      </c>
      <c r="S3260" s="4">
        <v>11.400171921581901</v>
      </c>
      <c r="T3260" s="4">
        <v>11.6875144491472</v>
      </c>
      <c r="U3260" s="4">
        <f t="shared" si="201"/>
        <v>11.562541681132535</v>
      </c>
      <c r="X3260" s="43" t="s">
        <v>4109</v>
      </c>
      <c r="Y3260" s="4">
        <v>12.3537345618901</v>
      </c>
      <c r="Z3260" s="4">
        <v>11.788748105213299</v>
      </c>
      <c r="AA3260" s="4">
        <v>12.212787174756899</v>
      </c>
      <c r="AB3260" s="4">
        <f t="shared" si="202"/>
        <v>12.1184232806201</v>
      </c>
    </row>
    <row r="3261" spans="2:28" x14ac:dyDescent="0.2">
      <c r="B3261" s="4" t="s">
        <v>4093</v>
      </c>
      <c r="C3261" s="4">
        <v>11.574999999999999</v>
      </c>
      <c r="D3261" s="4">
        <v>10.4834</v>
      </c>
      <c r="E3261" s="4">
        <v>10.959300000000001</v>
      </c>
      <c r="F3261" s="4">
        <f t="shared" si="200"/>
        <v>11.005899999999999</v>
      </c>
      <c r="Q3261" s="43" t="s">
        <v>4582</v>
      </c>
      <c r="R3261" s="4">
        <v>11.1887935580154</v>
      </c>
      <c r="S3261" s="4">
        <v>12.074054930542999</v>
      </c>
      <c r="T3261" s="4">
        <v>11.4233740838303</v>
      </c>
      <c r="U3261" s="4">
        <f t="shared" si="201"/>
        <v>11.562074190796233</v>
      </c>
      <c r="X3261" s="43" t="s">
        <v>2924</v>
      </c>
      <c r="Y3261" s="4">
        <v>12.2181204315486</v>
      </c>
      <c r="Z3261" s="4">
        <v>12.0574779613874</v>
      </c>
      <c r="AA3261" s="4">
        <v>12.059999233961401</v>
      </c>
      <c r="AB3261" s="4">
        <f t="shared" si="202"/>
        <v>12.111865875632468</v>
      </c>
    </row>
    <row r="3262" spans="2:28" x14ac:dyDescent="0.2">
      <c r="B3262" s="4" t="s">
        <v>3361</v>
      </c>
      <c r="C3262" s="4">
        <v>10.037599999999999</v>
      </c>
      <c r="D3262" s="4">
        <v>11.773199999999999</v>
      </c>
      <c r="E3262" s="4">
        <v>11.1814</v>
      </c>
      <c r="F3262" s="4">
        <f t="shared" si="200"/>
        <v>10.997399999999999</v>
      </c>
      <c r="Q3262" s="43" t="s">
        <v>4534</v>
      </c>
      <c r="R3262" s="4">
        <v>11.897712469396399</v>
      </c>
      <c r="S3262" s="4">
        <v>11.466104312209101</v>
      </c>
      <c r="T3262" s="4">
        <v>11.312225653502299</v>
      </c>
      <c r="U3262" s="4">
        <f t="shared" si="201"/>
        <v>11.558680811702601</v>
      </c>
      <c r="X3262" s="43" t="s">
        <v>1296</v>
      </c>
      <c r="Y3262" s="4">
        <v>12.695084980910501</v>
      </c>
      <c r="Z3262" s="4">
        <v>11.9739098670711</v>
      </c>
      <c r="AA3262" s="4">
        <v>11.6495699673007</v>
      </c>
      <c r="AB3262" s="4">
        <f t="shared" si="202"/>
        <v>12.106188271760766</v>
      </c>
    </row>
    <row r="3263" spans="2:28" x14ac:dyDescent="0.2">
      <c r="B3263" s="4" t="s">
        <v>2223</v>
      </c>
      <c r="C3263" s="4">
        <v>11.524800000000001</v>
      </c>
      <c r="D3263" s="4">
        <v>10.863300000000001</v>
      </c>
      <c r="E3263" s="4">
        <v>10.5984</v>
      </c>
      <c r="F3263" s="4">
        <f t="shared" si="200"/>
        <v>10.9955</v>
      </c>
      <c r="Q3263" s="43" t="s">
        <v>2358</v>
      </c>
      <c r="R3263" s="4">
        <v>11.076070008231</v>
      </c>
      <c r="S3263" s="4">
        <v>11.8319234404717</v>
      </c>
      <c r="T3263" s="4">
        <v>11.757101100661799</v>
      </c>
      <c r="U3263" s="4">
        <f t="shared" si="201"/>
        <v>11.555031516454832</v>
      </c>
      <c r="X3263" s="43" t="s">
        <v>2897</v>
      </c>
      <c r="Y3263" s="4">
        <v>12.1277005054061</v>
      </c>
      <c r="Z3263" s="4">
        <v>12.1439003266039</v>
      </c>
      <c r="AA3263" s="4">
        <v>12.042644031935801</v>
      </c>
      <c r="AB3263" s="4">
        <f t="shared" si="202"/>
        <v>12.104748287981934</v>
      </c>
    </row>
    <row r="3264" spans="2:28" x14ac:dyDescent="0.2">
      <c r="B3264" s="4" t="s">
        <v>4051</v>
      </c>
      <c r="C3264" s="4">
        <v>10.9466</v>
      </c>
      <c r="D3264" s="4">
        <v>11.0372</v>
      </c>
      <c r="E3264" s="4">
        <v>10.9559</v>
      </c>
      <c r="F3264" s="4">
        <f t="shared" si="200"/>
        <v>10.979900000000001</v>
      </c>
      <c r="Q3264" s="43" t="s">
        <v>866</v>
      </c>
      <c r="R3264" s="4">
        <v>11.3748312929202</v>
      </c>
      <c r="S3264" s="4">
        <v>11.2666120673222</v>
      </c>
      <c r="T3264" s="4">
        <v>11.972549416100501</v>
      </c>
      <c r="U3264" s="4">
        <f t="shared" si="201"/>
        <v>11.5379975921143</v>
      </c>
      <c r="X3264" s="43" t="s">
        <v>4422</v>
      </c>
      <c r="Y3264" s="4">
        <v>11.6759243515511</v>
      </c>
      <c r="Z3264" s="4">
        <v>12.3549913901607</v>
      </c>
      <c r="AA3264" s="4">
        <v>12.271462627980799</v>
      </c>
      <c r="AB3264" s="4">
        <f t="shared" si="202"/>
        <v>12.100792789897534</v>
      </c>
    </row>
    <row r="3265" spans="2:28" x14ac:dyDescent="0.2">
      <c r="B3265" s="4" t="s">
        <v>2793</v>
      </c>
      <c r="C3265" s="4">
        <v>10.7338</v>
      </c>
      <c r="D3265" s="4">
        <v>10.388</v>
      </c>
      <c r="E3265" s="4">
        <v>11.8127</v>
      </c>
      <c r="F3265" s="4">
        <f t="shared" si="200"/>
        <v>10.978166666666667</v>
      </c>
      <c r="Q3265" s="45" t="s">
        <v>406</v>
      </c>
      <c r="R3265" s="24">
        <v>11.426914187898999</v>
      </c>
      <c r="S3265" s="24">
        <v>11.957405489765099</v>
      </c>
      <c r="T3265" s="24">
        <v>11.224661836058299</v>
      </c>
      <c r="U3265" s="4">
        <f t="shared" si="201"/>
        <v>11.536327171240799</v>
      </c>
      <c r="X3265" s="43" t="s">
        <v>2238</v>
      </c>
      <c r="Y3265" s="4">
        <v>12.070790821875599</v>
      </c>
      <c r="Z3265" s="4">
        <v>11.6506651789853</v>
      </c>
      <c r="AA3265" s="4">
        <v>12.5721221953855</v>
      </c>
      <c r="AB3265" s="4">
        <f t="shared" si="202"/>
        <v>12.097859398748801</v>
      </c>
    </row>
    <row r="3266" spans="2:28" x14ac:dyDescent="0.2">
      <c r="B3266" s="4" t="s">
        <v>3917</v>
      </c>
      <c r="C3266" s="4">
        <v>12.022399999999999</v>
      </c>
      <c r="D3266" s="4">
        <v>11.656000000000001</v>
      </c>
      <c r="E3266" s="4">
        <v>9.2103000000000002</v>
      </c>
      <c r="F3266" s="4">
        <f t="shared" ref="F3266:F3329" si="203">(C3266+D3266+E3266)/3</f>
        <v>10.962899999999999</v>
      </c>
      <c r="Q3266" s="43" t="s">
        <v>431</v>
      </c>
      <c r="R3266" s="4">
        <v>11.2999529101072</v>
      </c>
      <c r="S3266" s="4">
        <v>12.2767963303041</v>
      </c>
      <c r="T3266" s="4">
        <v>10.977682535518399</v>
      </c>
      <c r="U3266" s="4">
        <f t="shared" ref="U3266:U3305" si="204">(R3266+S3266+T3266)/3</f>
        <v>11.5181439253099</v>
      </c>
      <c r="X3266" s="43" t="s">
        <v>4162</v>
      </c>
      <c r="Y3266" s="4">
        <v>12.041161743948701</v>
      </c>
      <c r="Z3266" s="4">
        <v>12.1033670041009</v>
      </c>
      <c r="AA3266" s="4">
        <v>12.148726920236101</v>
      </c>
      <c r="AB3266" s="4">
        <f t="shared" ref="AB3266:AB3329" si="205">(Y3266+Z3266+AA3266)/3</f>
        <v>12.097751889428567</v>
      </c>
    </row>
    <row r="3267" spans="2:28" x14ac:dyDescent="0.2">
      <c r="B3267" s="4" t="s">
        <v>1838</v>
      </c>
      <c r="C3267" s="4">
        <v>10.9061</v>
      </c>
      <c r="D3267" s="4">
        <v>11.1424</v>
      </c>
      <c r="E3267" s="4">
        <v>10.823499999999999</v>
      </c>
      <c r="F3267" s="4">
        <f t="shared" si="203"/>
        <v>10.957333333333333</v>
      </c>
      <c r="Q3267" s="43" t="s">
        <v>332</v>
      </c>
      <c r="R3267" s="4">
        <v>10.781350593817701</v>
      </c>
      <c r="S3267" s="4">
        <v>11.9960308022908</v>
      </c>
      <c r="T3267" s="4">
        <v>11.7678767309809</v>
      </c>
      <c r="U3267" s="4">
        <f t="shared" si="204"/>
        <v>11.515086042363135</v>
      </c>
      <c r="X3267" s="43" t="s">
        <v>668</v>
      </c>
      <c r="Y3267" s="4">
        <v>12.3359711967845</v>
      </c>
      <c r="Z3267" s="4">
        <v>12.167897758257499</v>
      </c>
      <c r="AA3267" s="4">
        <v>11.7876258829957</v>
      </c>
      <c r="AB3267" s="4">
        <f t="shared" si="205"/>
        <v>12.097164946012567</v>
      </c>
    </row>
    <row r="3268" spans="2:28" x14ac:dyDescent="0.2">
      <c r="B3268" s="4" t="s">
        <v>645</v>
      </c>
      <c r="C3268" s="4">
        <v>11.0078</v>
      </c>
      <c r="D3268" s="4">
        <v>11.1936</v>
      </c>
      <c r="E3268" s="4">
        <v>10.636900000000001</v>
      </c>
      <c r="F3268" s="4">
        <f t="shared" si="203"/>
        <v>10.946100000000001</v>
      </c>
      <c r="Q3268" s="43" t="s">
        <v>309</v>
      </c>
      <c r="R3268" s="4">
        <v>11.3194929488991</v>
      </c>
      <c r="S3268" s="4">
        <v>11.704263164651801</v>
      </c>
      <c r="T3268" s="4">
        <v>11.498625005867</v>
      </c>
      <c r="U3268" s="4">
        <f t="shared" si="204"/>
        <v>11.507460373139301</v>
      </c>
      <c r="X3268" s="43" t="s">
        <v>2067</v>
      </c>
      <c r="Y3268" s="4">
        <v>12.4161400181542</v>
      </c>
      <c r="Z3268" s="4">
        <v>11.452126684119699</v>
      </c>
      <c r="AA3268" s="4">
        <v>12.4198791408887</v>
      </c>
      <c r="AB3268" s="4">
        <f t="shared" si="205"/>
        <v>12.096048614387533</v>
      </c>
    </row>
    <row r="3269" spans="2:28" x14ac:dyDescent="0.2">
      <c r="B3269" s="4" t="s">
        <v>3368</v>
      </c>
      <c r="C3269" s="4">
        <v>9.5803999999999991</v>
      </c>
      <c r="D3269" s="4">
        <v>11.2926</v>
      </c>
      <c r="E3269" s="4">
        <v>11.947100000000001</v>
      </c>
      <c r="F3269" s="4">
        <f t="shared" si="203"/>
        <v>10.940033333333332</v>
      </c>
      <c r="Q3269" s="43" t="s">
        <v>4617</v>
      </c>
      <c r="R3269" s="4">
        <v>11.262179221193801</v>
      </c>
      <c r="S3269" s="4">
        <v>11.706094328769799</v>
      </c>
      <c r="T3269" s="4">
        <v>11.547863901237401</v>
      </c>
      <c r="U3269" s="4">
        <f t="shared" si="204"/>
        <v>11.505379150400332</v>
      </c>
      <c r="X3269" s="43" t="s">
        <v>914</v>
      </c>
      <c r="Y3269" s="4">
        <v>11.9923574947682</v>
      </c>
      <c r="Z3269" s="4">
        <v>11.743339299597</v>
      </c>
      <c r="AA3269" s="4">
        <v>12.542948840726799</v>
      </c>
      <c r="AB3269" s="4">
        <f t="shared" si="205"/>
        <v>12.092881878363999</v>
      </c>
    </row>
    <row r="3270" spans="2:28" x14ac:dyDescent="0.2">
      <c r="B3270" s="4" t="s">
        <v>88</v>
      </c>
      <c r="C3270" s="4">
        <v>11.1906</v>
      </c>
      <c r="D3270" s="4">
        <v>10.9442</v>
      </c>
      <c r="E3270" s="4">
        <v>10.676600000000001</v>
      </c>
      <c r="F3270" s="4">
        <f t="shared" si="203"/>
        <v>10.937133333333334</v>
      </c>
      <c r="Q3270" s="43" t="s">
        <v>512</v>
      </c>
      <c r="R3270" s="4">
        <v>11.343516683453499</v>
      </c>
      <c r="S3270" s="4">
        <v>11.879888822067199</v>
      </c>
      <c r="T3270" s="4">
        <v>11.2925567115362</v>
      </c>
      <c r="U3270" s="4">
        <f t="shared" si="204"/>
        <v>11.505320739018964</v>
      </c>
      <c r="X3270" s="43" t="s">
        <v>4284</v>
      </c>
      <c r="Y3270" s="4">
        <v>12.080957431842601</v>
      </c>
      <c r="Z3270" s="4">
        <v>11.9407786100601</v>
      </c>
      <c r="AA3270" s="4">
        <v>12.255763429770701</v>
      </c>
      <c r="AB3270" s="4">
        <f t="shared" si="205"/>
        <v>12.092499823891133</v>
      </c>
    </row>
    <row r="3271" spans="2:28" x14ac:dyDescent="0.2">
      <c r="B3271" s="4" t="s">
        <v>3237</v>
      </c>
      <c r="C3271" s="4">
        <v>12.222300000000001</v>
      </c>
      <c r="D3271" s="4">
        <v>10.7418</v>
      </c>
      <c r="E3271" s="4">
        <v>9.8353999999999999</v>
      </c>
      <c r="F3271" s="4">
        <f t="shared" si="203"/>
        <v>10.933166666666667</v>
      </c>
      <c r="Q3271" s="43" t="s">
        <v>482</v>
      </c>
      <c r="R3271" s="4">
        <v>11.0014026328534</v>
      </c>
      <c r="S3271" s="4">
        <v>11.846885167658399</v>
      </c>
      <c r="T3271" s="4">
        <v>11.652708849663</v>
      </c>
      <c r="U3271" s="4">
        <f t="shared" si="204"/>
        <v>11.500332216724933</v>
      </c>
      <c r="X3271" s="43" t="s">
        <v>144</v>
      </c>
      <c r="Y3271" s="4">
        <v>12.2285213297788</v>
      </c>
      <c r="Z3271" s="4">
        <v>12.3468757405064</v>
      </c>
      <c r="AA3271" s="4">
        <v>11.7000101535483</v>
      </c>
      <c r="AB3271" s="4">
        <f t="shared" si="205"/>
        <v>12.091802407944499</v>
      </c>
    </row>
    <row r="3272" spans="2:28" x14ac:dyDescent="0.2">
      <c r="B3272" s="4" t="s">
        <v>2019</v>
      </c>
      <c r="C3272" s="4">
        <v>8.8210999999999995</v>
      </c>
      <c r="D3272" s="4">
        <v>11.9901</v>
      </c>
      <c r="E3272" s="4">
        <v>11.981999999999999</v>
      </c>
      <c r="F3272" s="4">
        <f t="shared" si="203"/>
        <v>10.931066666666666</v>
      </c>
      <c r="Q3272" s="43" t="s">
        <v>4531</v>
      </c>
      <c r="R3272" s="4">
        <v>11.4197737982392</v>
      </c>
      <c r="S3272" s="4">
        <v>11.4947741452168</v>
      </c>
      <c r="T3272" s="4">
        <v>11.5685600357954</v>
      </c>
      <c r="U3272" s="4">
        <f t="shared" si="204"/>
        <v>11.494369326417134</v>
      </c>
      <c r="X3272" s="43" t="s">
        <v>2390</v>
      </c>
      <c r="Y3272" s="4">
        <v>11.890594599274699</v>
      </c>
      <c r="Z3272" s="4">
        <v>12.250459727689</v>
      </c>
      <c r="AA3272" s="4">
        <v>12.1290811033921</v>
      </c>
      <c r="AB3272" s="4">
        <f t="shared" si="205"/>
        <v>12.090045143451931</v>
      </c>
    </row>
    <row r="3273" spans="2:28" x14ac:dyDescent="0.2">
      <c r="B3273" s="4" t="s">
        <v>3231</v>
      </c>
      <c r="C3273" s="4">
        <v>11.032400000000001</v>
      </c>
      <c r="D3273" s="4">
        <v>10.606999999999999</v>
      </c>
      <c r="E3273" s="4">
        <v>11.129899999999999</v>
      </c>
      <c r="F3273" s="4">
        <f t="shared" si="203"/>
        <v>10.9231</v>
      </c>
      <c r="Q3273" s="43" t="s">
        <v>1492</v>
      </c>
      <c r="R3273" s="4">
        <v>11.2062149575888</v>
      </c>
      <c r="S3273" s="4">
        <v>11.708651931034201</v>
      </c>
      <c r="T3273" s="4">
        <v>11.5612973801792</v>
      </c>
      <c r="U3273" s="4">
        <f t="shared" si="204"/>
        <v>11.4920547562674</v>
      </c>
      <c r="X3273" s="43" t="s">
        <v>936</v>
      </c>
      <c r="Y3273" s="4">
        <v>12.4861860969479</v>
      </c>
      <c r="Z3273" s="4">
        <v>11.589147934878801</v>
      </c>
      <c r="AA3273" s="4">
        <v>12.162855885229201</v>
      </c>
      <c r="AB3273" s="4">
        <f t="shared" si="205"/>
        <v>12.079396639018633</v>
      </c>
    </row>
    <row r="3274" spans="2:28" x14ac:dyDescent="0.2">
      <c r="B3274" s="4" t="s">
        <v>3140</v>
      </c>
      <c r="C3274" s="4">
        <v>10.5214</v>
      </c>
      <c r="D3274" s="4">
        <v>11.047800000000001</v>
      </c>
      <c r="E3274" s="4">
        <v>11.006399999999999</v>
      </c>
      <c r="F3274" s="4">
        <f t="shared" si="203"/>
        <v>10.858533333333334</v>
      </c>
      <c r="Q3274" s="43" t="s">
        <v>4474</v>
      </c>
      <c r="R3274" s="4">
        <v>11.1350091912281</v>
      </c>
      <c r="S3274" s="4">
        <v>11.744083633302299</v>
      </c>
      <c r="T3274" s="4">
        <v>11.561447400905401</v>
      </c>
      <c r="U3274" s="4">
        <f t="shared" si="204"/>
        <v>11.480180075145265</v>
      </c>
      <c r="X3274" s="43" t="s">
        <v>3431</v>
      </c>
      <c r="Y3274" s="4">
        <v>12.352086412513099</v>
      </c>
      <c r="Z3274" s="4">
        <v>11.5532167229583</v>
      </c>
      <c r="AA3274" s="4">
        <v>12.3100695698237</v>
      </c>
      <c r="AB3274" s="4">
        <f t="shared" si="205"/>
        <v>12.071790901765032</v>
      </c>
    </row>
    <row r="3275" spans="2:28" x14ac:dyDescent="0.2">
      <c r="B3275" s="4" t="s">
        <v>4095</v>
      </c>
      <c r="C3275" s="4">
        <v>10.517200000000001</v>
      </c>
      <c r="D3275" s="4">
        <v>11.4321</v>
      </c>
      <c r="E3275" s="4">
        <v>10.596500000000001</v>
      </c>
      <c r="F3275" s="4">
        <f t="shared" si="203"/>
        <v>10.848599999999999</v>
      </c>
      <c r="Q3275" s="43" t="s">
        <v>2710</v>
      </c>
      <c r="R3275" s="4">
        <v>11.0972131326981</v>
      </c>
      <c r="S3275" s="4">
        <v>11.641746414042</v>
      </c>
      <c r="T3275" s="4">
        <v>11.644672115832099</v>
      </c>
      <c r="U3275" s="4">
        <f t="shared" si="204"/>
        <v>11.461210554190734</v>
      </c>
      <c r="X3275" s="43" t="s">
        <v>4399</v>
      </c>
      <c r="Y3275" s="4">
        <v>11.932357208831901</v>
      </c>
      <c r="Z3275" s="4">
        <v>12.489760968781599</v>
      </c>
      <c r="AA3275" s="4">
        <v>11.7892388410588</v>
      </c>
      <c r="AB3275" s="4">
        <f t="shared" si="205"/>
        <v>12.070452339557434</v>
      </c>
    </row>
    <row r="3276" spans="2:28" x14ac:dyDescent="0.2">
      <c r="B3276" s="4" t="s">
        <v>222</v>
      </c>
      <c r="C3276" s="4">
        <v>9.9057999999999993</v>
      </c>
      <c r="D3276" s="4">
        <v>10.4696</v>
      </c>
      <c r="E3276" s="4">
        <v>12.1633</v>
      </c>
      <c r="F3276" s="4">
        <f t="shared" si="203"/>
        <v>10.846233333333332</v>
      </c>
      <c r="Q3276" s="43" t="s">
        <v>4237</v>
      </c>
      <c r="R3276" s="4">
        <v>11.5234018041113</v>
      </c>
      <c r="S3276" s="4">
        <v>11.646095943228501</v>
      </c>
      <c r="T3276" s="4">
        <v>11.177759132132101</v>
      </c>
      <c r="U3276" s="4">
        <f t="shared" si="204"/>
        <v>11.449085626490634</v>
      </c>
      <c r="X3276" s="43" t="s">
        <v>3528</v>
      </c>
      <c r="Y3276" s="4">
        <v>12.04584711041</v>
      </c>
      <c r="Z3276" s="4">
        <v>12.031143067227401</v>
      </c>
      <c r="AA3276" s="4">
        <v>12.130654871758701</v>
      </c>
      <c r="AB3276" s="4">
        <f t="shared" si="205"/>
        <v>12.069215016465366</v>
      </c>
    </row>
    <row r="3277" spans="2:28" x14ac:dyDescent="0.2">
      <c r="B3277" s="4" t="s">
        <v>1188</v>
      </c>
      <c r="C3277" s="4">
        <v>11.0268</v>
      </c>
      <c r="D3277" s="4">
        <v>10.5335</v>
      </c>
      <c r="E3277" s="4">
        <v>10.8627</v>
      </c>
      <c r="F3277" s="4">
        <f t="shared" si="203"/>
        <v>10.807666666666668</v>
      </c>
      <c r="Q3277" s="43" t="s">
        <v>272</v>
      </c>
      <c r="R3277" s="4">
        <v>11.057652710488</v>
      </c>
      <c r="S3277" s="4">
        <v>11.8708723214146</v>
      </c>
      <c r="T3277" s="4">
        <v>11.3893652490266</v>
      </c>
      <c r="U3277" s="4">
        <f t="shared" si="204"/>
        <v>11.439296760309736</v>
      </c>
      <c r="X3277" s="43" t="s">
        <v>281</v>
      </c>
      <c r="Y3277" s="4">
        <v>11.6390218314605</v>
      </c>
      <c r="Z3277" s="4">
        <v>12.2298904225869</v>
      </c>
      <c r="AA3277" s="4">
        <v>12.328663420648001</v>
      </c>
      <c r="AB3277" s="4">
        <f t="shared" si="205"/>
        <v>12.065858558231801</v>
      </c>
    </row>
    <row r="3278" spans="2:28" x14ac:dyDescent="0.2">
      <c r="B3278" s="4" t="s">
        <v>60</v>
      </c>
      <c r="C3278" s="4">
        <v>11.052199999999999</v>
      </c>
      <c r="D3278" s="4">
        <v>9.6943000000000001</v>
      </c>
      <c r="E3278" s="4">
        <v>11.644500000000001</v>
      </c>
      <c r="F3278" s="4">
        <f t="shared" si="203"/>
        <v>10.796999999999999</v>
      </c>
      <c r="Q3278" s="43" t="s">
        <v>4369</v>
      </c>
      <c r="R3278" s="4">
        <v>11.345900878951101</v>
      </c>
      <c r="S3278" s="4">
        <v>11.8551269721534</v>
      </c>
      <c r="T3278" s="4">
        <v>11.0774510414417</v>
      </c>
      <c r="U3278" s="4">
        <f t="shared" si="204"/>
        <v>11.426159630848732</v>
      </c>
      <c r="X3278" s="43" t="s">
        <v>2896</v>
      </c>
      <c r="Y3278" s="4">
        <v>12.091746411446699</v>
      </c>
      <c r="Z3278" s="4">
        <v>11.6420828670721</v>
      </c>
      <c r="AA3278" s="4">
        <v>12.462976222146001</v>
      </c>
      <c r="AB3278" s="4">
        <f t="shared" si="205"/>
        <v>12.065601833554931</v>
      </c>
    </row>
    <row r="3279" spans="2:28" x14ac:dyDescent="0.2">
      <c r="B3279" s="4" t="s">
        <v>2526</v>
      </c>
      <c r="C3279" s="4">
        <v>11.1631</v>
      </c>
      <c r="D3279" s="4">
        <v>11.296900000000001</v>
      </c>
      <c r="E3279" s="4">
        <v>9.9222000000000001</v>
      </c>
      <c r="F3279" s="4">
        <f t="shared" si="203"/>
        <v>10.794066666666666</v>
      </c>
      <c r="Q3279" s="43" t="s">
        <v>1132</v>
      </c>
      <c r="R3279" s="4">
        <v>10.826809137619</v>
      </c>
      <c r="S3279" s="4">
        <v>12.040116494675701</v>
      </c>
      <c r="T3279" s="4">
        <v>11.364035617171799</v>
      </c>
      <c r="U3279" s="4">
        <f t="shared" si="204"/>
        <v>11.410320416488835</v>
      </c>
      <c r="X3279" s="43" t="s">
        <v>4281</v>
      </c>
      <c r="Y3279" s="4">
        <v>12.207904907864499</v>
      </c>
      <c r="Z3279" s="4">
        <v>11.984023562455199</v>
      </c>
      <c r="AA3279" s="4">
        <v>11.993763173212599</v>
      </c>
      <c r="AB3279" s="4">
        <f t="shared" si="205"/>
        <v>12.061897214510765</v>
      </c>
    </row>
    <row r="3280" spans="2:28" x14ac:dyDescent="0.2">
      <c r="B3280" s="4" t="s">
        <v>2961</v>
      </c>
      <c r="C3280" s="4">
        <v>10.246</v>
      </c>
      <c r="D3280" s="4">
        <v>10.9053</v>
      </c>
      <c r="E3280" s="4">
        <v>11.2254</v>
      </c>
      <c r="F3280" s="4">
        <f t="shared" si="203"/>
        <v>10.792233333333334</v>
      </c>
      <c r="Q3280" s="43" t="s">
        <v>196</v>
      </c>
      <c r="R3280" s="4">
        <v>11.049330735512299</v>
      </c>
      <c r="S3280" s="4">
        <v>11.7101899115326</v>
      </c>
      <c r="T3280" s="4">
        <v>11.4214465477265</v>
      </c>
      <c r="U3280" s="4">
        <f t="shared" si="204"/>
        <v>11.393655731590465</v>
      </c>
      <c r="X3280" s="43" t="s">
        <v>3983</v>
      </c>
      <c r="Y3280" s="4">
        <v>12.1679436289748</v>
      </c>
      <c r="Z3280" s="4">
        <v>12.030985293233201</v>
      </c>
      <c r="AA3280" s="4">
        <v>11.9728002321053</v>
      </c>
      <c r="AB3280" s="4">
        <f t="shared" si="205"/>
        <v>12.057243051437766</v>
      </c>
    </row>
    <row r="3281" spans="2:28" x14ac:dyDescent="0.2">
      <c r="B3281" s="4" t="s">
        <v>1051</v>
      </c>
      <c r="C3281" s="4">
        <v>10.543200000000001</v>
      </c>
      <c r="D3281" s="4">
        <v>10.853199999999999</v>
      </c>
      <c r="E3281" s="4">
        <v>10.921200000000001</v>
      </c>
      <c r="F3281" s="4">
        <f t="shared" si="203"/>
        <v>10.772533333333334</v>
      </c>
      <c r="Q3281" s="43" t="s">
        <v>4154</v>
      </c>
      <c r="R3281" s="4">
        <v>10.723149124856601</v>
      </c>
      <c r="S3281" s="4">
        <v>11.7720692606876</v>
      </c>
      <c r="T3281" s="4">
        <v>11.6819060571619</v>
      </c>
      <c r="U3281" s="4">
        <f t="shared" si="204"/>
        <v>11.392374814235367</v>
      </c>
      <c r="X3281" s="43" t="s">
        <v>3165</v>
      </c>
      <c r="Y3281" s="4">
        <v>12.1806290202395</v>
      </c>
      <c r="Z3281" s="4">
        <v>12.0181986653142</v>
      </c>
      <c r="AA3281" s="4">
        <v>11.970327645540101</v>
      </c>
      <c r="AB3281" s="4">
        <f t="shared" si="205"/>
        <v>12.056385110364602</v>
      </c>
    </row>
    <row r="3282" spans="2:28" x14ac:dyDescent="0.2">
      <c r="B3282" s="4" t="s">
        <v>3211</v>
      </c>
      <c r="C3282" s="4">
        <v>10.5778</v>
      </c>
      <c r="D3282" s="4">
        <v>10.7927</v>
      </c>
      <c r="E3282" s="4">
        <v>10.9381</v>
      </c>
      <c r="F3282" s="4">
        <f t="shared" si="203"/>
        <v>10.769533333333333</v>
      </c>
      <c r="Q3282" s="43" t="s">
        <v>4211</v>
      </c>
      <c r="R3282" s="4">
        <v>10.9030223968561</v>
      </c>
      <c r="S3282" s="4">
        <v>11.902398566575</v>
      </c>
      <c r="T3282" s="4">
        <v>11.3345296841705</v>
      </c>
      <c r="U3282" s="4">
        <f t="shared" si="204"/>
        <v>11.379983549200533</v>
      </c>
      <c r="X3282" s="43" t="s">
        <v>3326</v>
      </c>
      <c r="Y3282" s="4">
        <v>11.837465961394599</v>
      </c>
      <c r="Z3282" s="4">
        <v>11.889627597271501</v>
      </c>
      <c r="AA3282" s="4">
        <v>12.4363382771066</v>
      </c>
      <c r="AB3282" s="4">
        <f t="shared" si="205"/>
        <v>12.0544772785909</v>
      </c>
    </row>
    <row r="3283" spans="2:28" x14ac:dyDescent="0.2">
      <c r="B3283" s="4" t="s">
        <v>953</v>
      </c>
      <c r="C3283" s="4">
        <v>10.5169</v>
      </c>
      <c r="D3283" s="4">
        <v>10.470499999999999</v>
      </c>
      <c r="E3283" s="4">
        <v>11.2254</v>
      </c>
      <c r="F3283" s="4">
        <f t="shared" si="203"/>
        <v>10.7376</v>
      </c>
      <c r="Q3283" s="43" t="s">
        <v>1037</v>
      </c>
      <c r="R3283" s="4">
        <v>11.064616838760401</v>
      </c>
      <c r="S3283" s="4">
        <v>12.0773166043437</v>
      </c>
      <c r="T3283" s="4">
        <v>10.986606232072401</v>
      </c>
      <c r="U3283" s="4">
        <f t="shared" si="204"/>
        <v>11.376179891725499</v>
      </c>
      <c r="X3283" s="43" t="s">
        <v>1540</v>
      </c>
      <c r="Y3283" s="4">
        <v>11.6443052576046</v>
      </c>
      <c r="Z3283" s="4">
        <v>11.9648342068045</v>
      </c>
      <c r="AA3283" s="4">
        <v>12.5388014662231</v>
      </c>
      <c r="AB3283" s="4">
        <f t="shared" si="205"/>
        <v>12.049313643544068</v>
      </c>
    </row>
    <row r="3284" spans="2:28" x14ac:dyDescent="0.2">
      <c r="B3284" s="4" t="s">
        <v>3515</v>
      </c>
      <c r="C3284" s="4">
        <v>11.4458</v>
      </c>
      <c r="D3284" s="4">
        <v>10.1372</v>
      </c>
      <c r="E3284" s="4">
        <v>10.617900000000001</v>
      </c>
      <c r="F3284" s="4">
        <f t="shared" si="203"/>
        <v>10.733633333333332</v>
      </c>
      <c r="Q3284" s="43" t="s">
        <v>3983</v>
      </c>
      <c r="R3284" s="4">
        <v>11.2762010955717</v>
      </c>
      <c r="S3284" s="4">
        <v>11.6200437366183</v>
      </c>
      <c r="T3284" s="4">
        <v>11.0996046527523</v>
      </c>
      <c r="U3284" s="4">
        <f t="shared" si="204"/>
        <v>11.3319498283141</v>
      </c>
      <c r="X3284" s="43" t="s">
        <v>4226</v>
      </c>
      <c r="Y3284" s="4">
        <v>12.3878775434017</v>
      </c>
      <c r="Z3284" s="4">
        <v>11.863036631817399</v>
      </c>
      <c r="AA3284" s="4">
        <v>11.8951288094094</v>
      </c>
      <c r="AB3284" s="4">
        <f t="shared" si="205"/>
        <v>12.048680994876166</v>
      </c>
    </row>
    <row r="3285" spans="2:28" x14ac:dyDescent="0.2">
      <c r="B3285" s="4" t="s">
        <v>2841</v>
      </c>
      <c r="C3285" s="4">
        <v>11.6402</v>
      </c>
      <c r="D3285" s="4">
        <v>9.1145999999999994</v>
      </c>
      <c r="E3285" s="4">
        <v>11.427899999999999</v>
      </c>
      <c r="F3285" s="4">
        <f t="shared" si="203"/>
        <v>10.727566666666666</v>
      </c>
      <c r="Q3285" s="43" t="s">
        <v>4150</v>
      </c>
      <c r="R3285" s="4">
        <v>10.973205845805399</v>
      </c>
      <c r="S3285" s="4">
        <v>11.785206692287501</v>
      </c>
      <c r="T3285" s="4">
        <v>11.2365008614626</v>
      </c>
      <c r="U3285" s="4">
        <f t="shared" si="204"/>
        <v>11.331637799851833</v>
      </c>
      <c r="X3285" s="43" t="s">
        <v>3523</v>
      </c>
      <c r="Y3285" s="4">
        <v>12.3197588603469</v>
      </c>
      <c r="Z3285" s="4">
        <v>11.6125432707332</v>
      </c>
      <c r="AA3285" s="4">
        <v>12.2041104532411</v>
      </c>
      <c r="AB3285" s="4">
        <f t="shared" si="205"/>
        <v>12.0454708614404</v>
      </c>
    </row>
    <row r="3286" spans="2:28" x14ac:dyDescent="0.2">
      <c r="B3286" s="4" t="s">
        <v>3664</v>
      </c>
      <c r="C3286" s="4">
        <v>11.668900000000001</v>
      </c>
      <c r="D3286" s="4">
        <v>10.0036</v>
      </c>
      <c r="E3286" s="4">
        <v>10.4428</v>
      </c>
      <c r="F3286" s="4">
        <f t="shared" si="203"/>
        <v>10.7051</v>
      </c>
      <c r="Q3286" s="43" t="s">
        <v>4242</v>
      </c>
      <c r="R3286" s="4">
        <v>10.725903227509599</v>
      </c>
      <c r="S3286" s="4">
        <v>11.708588703053101</v>
      </c>
      <c r="T3286" s="4">
        <v>11.544129830827799</v>
      </c>
      <c r="U3286" s="4">
        <f t="shared" si="204"/>
        <v>11.326207253796833</v>
      </c>
      <c r="X3286" s="43" t="s">
        <v>940</v>
      </c>
      <c r="Y3286" s="4">
        <v>11.8371539748939</v>
      </c>
      <c r="Z3286" s="4">
        <v>12.143394279069501</v>
      </c>
      <c r="AA3286" s="4">
        <v>12.152995259501401</v>
      </c>
      <c r="AB3286" s="4">
        <f t="shared" si="205"/>
        <v>12.044514504488268</v>
      </c>
    </row>
    <row r="3287" spans="2:28" x14ac:dyDescent="0.2">
      <c r="B3287" s="4" t="s">
        <v>87</v>
      </c>
      <c r="C3287" s="4">
        <v>10.462300000000001</v>
      </c>
      <c r="D3287" s="4">
        <v>10.755599999999999</v>
      </c>
      <c r="E3287" s="4">
        <v>10.869400000000001</v>
      </c>
      <c r="F3287" s="4">
        <f t="shared" si="203"/>
        <v>10.695766666666666</v>
      </c>
      <c r="Q3287" s="43" t="s">
        <v>4268</v>
      </c>
      <c r="R3287" s="4">
        <v>10.8324962718672</v>
      </c>
      <c r="S3287" s="4">
        <v>11.7722427462871</v>
      </c>
      <c r="T3287" s="4">
        <v>11.274115769589599</v>
      </c>
      <c r="U3287" s="4">
        <f t="shared" si="204"/>
        <v>11.292951595914632</v>
      </c>
      <c r="X3287" s="43" t="s">
        <v>2070</v>
      </c>
      <c r="Y3287" s="4">
        <v>11.9537538303566</v>
      </c>
      <c r="Z3287" s="4">
        <v>11.920994594759099</v>
      </c>
      <c r="AA3287" s="4">
        <v>12.2522143184932</v>
      </c>
      <c r="AB3287" s="4">
        <f t="shared" si="205"/>
        <v>12.042320914536299</v>
      </c>
    </row>
    <row r="3288" spans="2:28" x14ac:dyDescent="0.2">
      <c r="B3288" s="4" t="s">
        <v>3005</v>
      </c>
      <c r="C3288" s="4">
        <v>11.0472</v>
      </c>
      <c r="D3288" s="4">
        <v>11.170999999999999</v>
      </c>
      <c r="E3288" s="4">
        <v>9.8462999999999994</v>
      </c>
      <c r="F3288" s="4">
        <f t="shared" si="203"/>
        <v>10.688166666666666</v>
      </c>
      <c r="Q3288" s="43" t="s">
        <v>3368</v>
      </c>
      <c r="R3288" s="4">
        <v>10.972640725646899</v>
      </c>
      <c r="S3288" s="4">
        <v>11.782439194446701</v>
      </c>
      <c r="T3288" s="4">
        <v>11.123162800413301</v>
      </c>
      <c r="U3288" s="4">
        <f t="shared" si="204"/>
        <v>11.292747573502302</v>
      </c>
      <c r="X3288" s="43" t="s">
        <v>4472</v>
      </c>
      <c r="Y3288" s="4">
        <v>12.132575694575401</v>
      </c>
      <c r="Z3288" s="4">
        <v>12.118234951031599</v>
      </c>
      <c r="AA3288" s="4">
        <v>11.8757746572921</v>
      </c>
      <c r="AB3288" s="4">
        <f t="shared" si="205"/>
        <v>12.042195100966367</v>
      </c>
    </row>
    <row r="3289" spans="2:28" x14ac:dyDescent="0.2">
      <c r="B3289" s="4" t="s">
        <v>2307</v>
      </c>
      <c r="C3289" s="4">
        <v>9.6453000000000007</v>
      </c>
      <c r="D3289" s="4">
        <v>11.002800000000001</v>
      </c>
      <c r="E3289" s="4">
        <v>11.4099</v>
      </c>
      <c r="F3289" s="4">
        <f t="shared" si="203"/>
        <v>10.686</v>
      </c>
      <c r="Q3289" s="43" t="s">
        <v>229</v>
      </c>
      <c r="R3289" s="4">
        <v>11.2248619967768</v>
      </c>
      <c r="S3289" s="4">
        <v>11.5511676486467</v>
      </c>
      <c r="T3289" s="4">
        <v>11.066215312230399</v>
      </c>
      <c r="U3289" s="4">
        <f t="shared" si="204"/>
        <v>11.280748319217965</v>
      </c>
      <c r="X3289" s="43" t="s">
        <v>1452</v>
      </c>
      <c r="Y3289" s="4">
        <v>11.6532041430353</v>
      </c>
      <c r="Z3289" s="4">
        <v>11.8816760718626</v>
      </c>
      <c r="AA3289" s="4">
        <v>12.5907867195777</v>
      </c>
      <c r="AB3289" s="4">
        <f t="shared" si="205"/>
        <v>12.041888978158534</v>
      </c>
    </row>
    <row r="3290" spans="2:28" x14ac:dyDescent="0.2">
      <c r="B3290" s="4" t="s">
        <v>3552</v>
      </c>
      <c r="C3290" s="4">
        <v>11.088900000000001</v>
      </c>
      <c r="D3290" s="4">
        <v>10.3895</v>
      </c>
      <c r="E3290" s="4">
        <v>10.5474</v>
      </c>
      <c r="F3290" s="4">
        <f t="shared" si="203"/>
        <v>10.675266666666667</v>
      </c>
      <c r="Q3290" s="43" t="s">
        <v>4390</v>
      </c>
      <c r="R3290" s="4">
        <v>10.5548459428672</v>
      </c>
      <c r="S3290" s="4">
        <v>11.861726460462</v>
      </c>
      <c r="T3290" s="4">
        <v>11.425166278170099</v>
      </c>
      <c r="U3290" s="4">
        <f t="shared" si="204"/>
        <v>11.280579560499765</v>
      </c>
      <c r="X3290" s="43" t="s">
        <v>3850</v>
      </c>
      <c r="Y3290" s="4">
        <v>11.812320449439801</v>
      </c>
      <c r="Z3290" s="4">
        <v>11.7882206305897</v>
      </c>
      <c r="AA3290" s="4">
        <v>12.5211333233747</v>
      </c>
      <c r="AB3290" s="4">
        <f t="shared" si="205"/>
        <v>12.040558134468066</v>
      </c>
    </row>
    <row r="3291" spans="2:28" x14ac:dyDescent="0.2">
      <c r="B3291" s="4" t="s">
        <v>1440</v>
      </c>
      <c r="C3291" s="4">
        <v>12.068</v>
      </c>
      <c r="D3291" s="4">
        <v>9.5551999999999992</v>
      </c>
      <c r="E3291" s="4">
        <v>10.3315</v>
      </c>
      <c r="F3291" s="4">
        <f t="shared" si="203"/>
        <v>10.651566666666666</v>
      </c>
      <c r="Q3291" s="43" t="s">
        <v>121</v>
      </c>
      <c r="R3291" s="4">
        <v>10.8276936852091</v>
      </c>
      <c r="S3291" s="4">
        <v>11.602931606514</v>
      </c>
      <c r="T3291" s="4">
        <v>11.3623906326761</v>
      </c>
      <c r="U3291" s="4">
        <f t="shared" si="204"/>
        <v>11.2643386414664</v>
      </c>
      <c r="X3291" s="43" t="s">
        <v>1155</v>
      </c>
      <c r="Y3291" s="4">
        <v>11.631504878909899</v>
      </c>
      <c r="Z3291" s="4">
        <v>11.7281022914138</v>
      </c>
      <c r="AA3291" s="4">
        <v>12.753350495704501</v>
      </c>
      <c r="AB3291" s="4">
        <f t="shared" si="205"/>
        <v>12.037652555342733</v>
      </c>
    </row>
    <row r="3292" spans="2:28" x14ac:dyDescent="0.2">
      <c r="B3292" s="24" t="s">
        <v>401</v>
      </c>
      <c r="C3292" s="24">
        <v>9.0487000000000002</v>
      </c>
      <c r="D3292" s="24">
        <v>11.8352</v>
      </c>
      <c r="E3292" s="24">
        <v>11.004899999999999</v>
      </c>
      <c r="F3292" s="4">
        <f t="shared" si="203"/>
        <v>10.6296</v>
      </c>
      <c r="Q3292" s="43" t="s">
        <v>540</v>
      </c>
      <c r="R3292" s="4">
        <v>10.8126601997192</v>
      </c>
      <c r="S3292" s="4">
        <v>11.706778684883</v>
      </c>
      <c r="T3292" s="4">
        <v>11.1333236454486</v>
      </c>
      <c r="U3292" s="4">
        <f t="shared" si="204"/>
        <v>11.217587510016934</v>
      </c>
      <c r="X3292" s="43" t="s">
        <v>3145</v>
      </c>
      <c r="Y3292" s="4">
        <v>11.9832882496513</v>
      </c>
      <c r="Z3292" s="4">
        <v>12.4053122110055</v>
      </c>
      <c r="AA3292" s="4">
        <v>11.697130811370499</v>
      </c>
      <c r="AB3292" s="4">
        <f t="shared" si="205"/>
        <v>12.028577090675768</v>
      </c>
    </row>
    <row r="3293" spans="2:28" x14ac:dyDescent="0.2">
      <c r="B3293" s="4" t="s">
        <v>2424</v>
      </c>
      <c r="C3293" s="4">
        <v>11.1823</v>
      </c>
      <c r="D3293" s="4">
        <v>9.6167999999999996</v>
      </c>
      <c r="E3293" s="4">
        <v>10.937900000000001</v>
      </c>
      <c r="F3293" s="4">
        <f t="shared" si="203"/>
        <v>10.579000000000001</v>
      </c>
      <c r="Q3293" s="43" t="s">
        <v>122</v>
      </c>
      <c r="R3293" s="4">
        <v>11.4636836070319</v>
      </c>
      <c r="S3293" s="4">
        <v>11.360321929143399</v>
      </c>
      <c r="T3293" s="4">
        <v>10.786899528340699</v>
      </c>
      <c r="U3293" s="4">
        <f t="shared" si="204"/>
        <v>11.203635021505333</v>
      </c>
      <c r="X3293" s="43">
        <v>45748</v>
      </c>
      <c r="Y3293" s="4">
        <v>12.452681266606</v>
      </c>
      <c r="Z3293" s="4">
        <v>11.8353689599386</v>
      </c>
      <c r="AA3293" s="4">
        <v>11.7784281554415</v>
      </c>
      <c r="AB3293" s="4">
        <f t="shared" si="205"/>
        <v>12.022159460662033</v>
      </c>
    </row>
    <row r="3294" spans="2:28" x14ac:dyDescent="0.2">
      <c r="B3294" s="4" t="s">
        <v>624</v>
      </c>
      <c r="C3294" s="4">
        <v>11.1609</v>
      </c>
      <c r="D3294" s="4">
        <v>10.1846</v>
      </c>
      <c r="E3294" s="4">
        <v>10.3911</v>
      </c>
      <c r="F3294" s="4">
        <f t="shared" si="203"/>
        <v>10.578866666666668</v>
      </c>
      <c r="Q3294" s="43" t="s">
        <v>4209</v>
      </c>
      <c r="R3294" s="4">
        <v>10.987860997644701</v>
      </c>
      <c r="S3294" s="4">
        <v>11.6371339260892</v>
      </c>
      <c r="T3294" s="4">
        <v>10.9739466241407</v>
      </c>
      <c r="U3294" s="4">
        <f t="shared" si="204"/>
        <v>11.199647182624867</v>
      </c>
      <c r="X3294" s="43" t="s">
        <v>4253</v>
      </c>
      <c r="Y3294" s="4">
        <v>11.716454245489199</v>
      </c>
      <c r="Z3294" s="4">
        <v>12.336899815666699</v>
      </c>
      <c r="AA3294" s="4">
        <v>11.9993893385871</v>
      </c>
      <c r="AB3294" s="4">
        <f t="shared" si="205"/>
        <v>12.017581133247667</v>
      </c>
    </row>
    <row r="3295" spans="2:28" x14ac:dyDescent="0.2">
      <c r="B3295" s="4" t="s">
        <v>2946</v>
      </c>
      <c r="C3295" s="4">
        <v>11.2362</v>
      </c>
      <c r="D3295" s="4">
        <v>10.1999</v>
      </c>
      <c r="E3295" s="4">
        <v>10.26</v>
      </c>
      <c r="F3295" s="4">
        <f t="shared" si="203"/>
        <v>10.565366666666668</v>
      </c>
      <c r="Q3295" s="43" t="s">
        <v>914</v>
      </c>
      <c r="R3295" s="4">
        <v>10.252503244430599</v>
      </c>
      <c r="S3295" s="4">
        <v>11.5628163240993</v>
      </c>
      <c r="T3295" s="4">
        <v>11.766153982028801</v>
      </c>
      <c r="U3295" s="4">
        <f t="shared" si="204"/>
        <v>11.193824516852899</v>
      </c>
      <c r="X3295" s="43" t="s">
        <v>612</v>
      </c>
      <c r="Y3295" s="4">
        <v>12.1985533989328</v>
      </c>
      <c r="Z3295" s="4">
        <v>11.6539629700339</v>
      </c>
      <c r="AA3295" s="4">
        <v>12.1877809750965</v>
      </c>
      <c r="AB3295" s="4">
        <f t="shared" si="205"/>
        <v>12.013432448021065</v>
      </c>
    </row>
    <row r="3296" spans="2:28" x14ac:dyDescent="0.2">
      <c r="B3296" s="4" t="s">
        <v>555</v>
      </c>
      <c r="C3296" s="4">
        <v>10.246700000000001</v>
      </c>
      <c r="D3296" s="4">
        <v>10.5589</v>
      </c>
      <c r="E3296" s="4">
        <v>10.878500000000001</v>
      </c>
      <c r="F3296" s="4">
        <f t="shared" si="203"/>
        <v>10.561366666666666</v>
      </c>
      <c r="Q3296" s="43" t="s">
        <v>1646</v>
      </c>
      <c r="R3296" s="4">
        <v>11.2486929406359</v>
      </c>
      <c r="S3296" s="4">
        <v>11.6111242693406</v>
      </c>
      <c r="T3296" s="4">
        <v>10.7143367841356</v>
      </c>
      <c r="U3296" s="4">
        <f t="shared" si="204"/>
        <v>11.191384664704032</v>
      </c>
      <c r="X3296" s="43" t="s">
        <v>619</v>
      </c>
      <c r="Y3296" s="4">
        <v>11.826646414188</v>
      </c>
      <c r="Z3296" s="4">
        <v>12.2002055958844</v>
      </c>
      <c r="AA3296" s="4">
        <v>11.9784401235381</v>
      </c>
      <c r="AB3296" s="4">
        <f t="shared" si="205"/>
        <v>12.001764044536833</v>
      </c>
    </row>
    <row r="3297" spans="2:28" x14ac:dyDescent="0.2">
      <c r="B3297" s="4" t="s">
        <v>2225</v>
      </c>
      <c r="C3297" s="4">
        <v>8.4324999999999992</v>
      </c>
      <c r="D3297" s="4">
        <v>11.2758</v>
      </c>
      <c r="E3297" s="4">
        <v>11.938000000000001</v>
      </c>
      <c r="F3297" s="4">
        <f t="shared" si="203"/>
        <v>10.548766666666667</v>
      </c>
      <c r="Q3297" s="43" t="s">
        <v>1953</v>
      </c>
      <c r="R3297" s="4">
        <v>10.939588509519099</v>
      </c>
      <c r="S3297" s="4">
        <v>11.462065116543799</v>
      </c>
      <c r="T3297" s="4">
        <v>11.1398987018511</v>
      </c>
      <c r="U3297" s="4">
        <f t="shared" si="204"/>
        <v>11.180517442637999</v>
      </c>
      <c r="X3297" s="43" t="s">
        <v>482</v>
      </c>
      <c r="Y3297" s="4">
        <v>11.981455146023899</v>
      </c>
      <c r="Z3297" s="4">
        <v>12.1138535766469</v>
      </c>
      <c r="AA3297" s="4">
        <v>11.9078052200783</v>
      </c>
      <c r="AB3297" s="4">
        <f t="shared" si="205"/>
        <v>12.001037980916367</v>
      </c>
    </row>
    <row r="3298" spans="2:28" x14ac:dyDescent="0.2">
      <c r="B3298" s="4" t="s">
        <v>3820</v>
      </c>
      <c r="C3298" s="4">
        <v>10.9678</v>
      </c>
      <c r="D3298" s="4">
        <v>10.386699999999999</v>
      </c>
      <c r="E3298" s="4">
        <v>10.2134</v>
      </c>
      <c r="F3298" s="4">
        <f t="shared" si="203"/>
        <v>10.522633333333333</v>
      </c>
      <c r="Q3298" s="43" t="s">
        <v>4181</v>
      </c>
      <c r="R3298" s="4">
        <v>10.7900489043842</v>
      </c>
      <c r="S3298" s="4">
        <v>11.544483769948499</v>
      </c>
      <c r="T3298" s="4">
        <v>11.1495100336198</v>
      </c>
      <c r="U3298" s="4">
        <f t="shared" si="204"/>
        <v>11.161347569317499</v>
      </c>
      <c r="X3298" s="43" t="s">
        <v>4406</v>
      </c>
      <c r="Y3298" s="4">
        <v>12.2642898540779</v>
      </c>
      <c r="Z3298" s="4">
        <v>12.0377682270659</v>
      </c>
      <c r="AA3298" s="4">
        <v>11.691481444591901</v>
      </c>
      <c r="AB3298" s="4">
        <f t="shared" si="205"/>
        <v>11.997846508578567</v>
      </c>
    </row>
    <row r="3299" spans="2:28" x14ac:dyDescent="0.2">
      <c r="B3299" s="4" t="s">
        <v>3427</v>
      </c>
      <c r="C3299" s="4">
        <v>11.450100000000001</v>
      </c>
      <c r="D3299" s="4">
        <v>10.774800000000001</v>
      </c>
      <c r="E3299" s="4">
        <v>9.3397000000000006</v>
      </c>
      <c r="F3299" s="4">
        <f t="shared" si="203"/>
        <v>10.521533333333334</v>
      </c>
      <c r="Q3299" s="43" t="s">
        <v>4561</v>
      </c>
      <c r="R3299" s="4">
        <v>10.7706553923702</v>
      </c>
      <c r="S3299" s="4">
        <v>11.713648599539001</v>
      </c>
      <c r="T3299" s="4">
        <v>10.9630869632088</v>
      </c>
      <c r="U3299" s="4">
        <f t="shared" si="204"/>
        <v>11.149130318372668</v>
      </c>
      <c r="X3299" s="43" t="s">
        <v>1840</v>
      </c>
      <c r="Y3299" s="4">
        <v>12.0143125825398</v>
      </c>
      <c r="Z3299" s="4">
        <v>11.975806668785999</v>
      </c>
      <c r="AA3299" s="4">
        <v>11.9955799900517</v>
      </c>
      <c r="AB3299" s="4">
        <f t="shared" si="205"/>
        <v>11.995233080459167</v>
      </c>
    </row>
    <row r="3300" spans="2:28" x14ac:dyDescent="0.2">
      <c r="B3300" s="4" t="s">
        <v>1175</v>
      </c>
      <c r="C3300" s="4">
        <v>9.0343</v>
      </c>
      <c r="D3300" s="4">
        <v>10.954700000000001</v>
      </c>
      <c r="E3300" s="4">
        <v>11.5672</v>
      </c>
      <c r="F3300" s="4">
        <f t="shared" si="203"/>
        <v>10.518733333333333</v>
      </c>
      <c r="Q3300" s="43" t="s">
        <v>1192</v>
      </c>
      <c r="R3300" s="4">
        <v>10.663117962246099</v>
      </c>
      <c r="S3300" s="4">
        <v>11.6453215482828</v>
      </c>
      <c r="T3300" s="4">
        <v>10.968229545987199</v>
      </c>
      <c r="U3300" s="4">
        <f t="shared" si="204"/>
        <v>11.0922230188387</v>
      </c>
      <c r="X3300" s="43" t="s">
        <v>3511</v>
      </c>
      <c r="Y3300" s="4">
        <v>12.0077137859796</v>
      </c>
      <c r="Z3300" s="4">
        <v>12.0259968557273</v>
      </c>
      <c r="AA3300" s="4">
        <v>11.944628618146201</v>
      </c>
      <c r="AB3300" s="4">
        <f t="shared" si="205"/>
        <v>11.992779753284367</v>
      </c>
    </row>
    <row r="3301" spans="2:28" x14ac:dyDescent="0.2">
      <c r="B3301" s="4" t="s">
        <v>4060</v>
      </c>
      <c r="C3301" s="4">
        <v>10.5587</v>
      </c>
      <c r="D3301" s="4">
        <v>10.6402</v>
      </c>
      <c r="E3301" s="4">
        <v>10.350199999999999</v>
      </c>
      <c r="F3301" s="4">
        <f t="shared" si="203"/>
        <v>10.516366666666668</v>
      </c>
      <c r="Q3301" s="43" t="s">
        <v>656</v>
      </c>
      <c r="R3301" s="4">
        <v>10.044348526193501</v>
      </c>
      <c r="S3301" s="4">
        <v>11.6937924370307</v>
      </c>
      <c r="T3301" s="4">
        <v>11.303779076922799</v>
      </c>
      <c r="U3301" s="4">
        <f t="shared" si="204"/>
        <v>11.013973346715666</v>
      </c>
      <c r="X3301" s="43" t="s">
        <v>2832</v>
      </c>
      <c r="Y3301" s="4">
        <v>12.0081207101516</v>
      </c>
      <c r="Z3301" s="4">
        <v>11.964975273878</v>
      </c>
      <c r="AA3301" s="4">
        <v>11.9947566489257</v>
      </c>
      <c r="AB3301" s="4">
        <f t="shared" si="205"/>
        <v>11.989284210985099</v>
      </c>
    </row>
    <row r="3302" spans="2:28" x14ac:dyDescent="0.2">
      <c r="B3302" s="4" t="s">
        <v>3759</v>
      </c>
      <c r="C3302" s="4">
        <v>10.9511</v>
      </c>
      <c r="D3302" s="4">
        <v>9.4647000000000006</v>
      </c>
      <c r="E3302" s="4">
        <v>11.125999999999999</v>
      </c>
      <c r="F3302" s="4">
        <f t="shared" si="203"/>
        <v>10.513933333333334</v>
      </c>
      <c r="Q3302" s="43" t="s">
        <v>4182</v>
      </c>
      <c r="R3302" s="4">
        <v>10.940595207652899</v>
      </c>
      <c r="S3302" s="4">
        <v>11.249122106487301</v>
      </c>
      <c r="T3302" s="4">
        <v>10.6028261672082</v>
      </c>
      <c r="U3302" s="4">
        <f t="shared" si="204"/>
        <v>10.930847827116134</v>
      </c>
      <c r="X3302" s="43" t="s">
        <v>3361</v>
      </c>
      <c r="Y3302" s="4">
        <v>12.1218569909229</v>
      </c>
      <c r="Z3302" s="4">
        <v>11.8859751859382</v>
      </c>
      <c r="AA3302" s="4">
        <v>11.9568376759772</v>
      </c>
      <c r="AB3302" s="4">
        <f t="shared" si="205"/>
        <v>11.988223284279433</v>
      </c>
    </row>
    <row r="3303" spans="2:28" x14ac:dyDescent="0.2">
      <c r="B3303" s="4" t="s">
        <v>3189</v>
      </c>
      <c r="C3303" s="4">
        <v>10.0245</v>
      </c>
      <c r="D3303" s="4">
        <v>9.7123000000000008</v>
      </c>
      <c r="E3303" s="4">
        <v>11.758800000000001</v>
      </c>
      <c r="F3303" s="4">
        <f t="shared" si="203"/>
        <v>10.498533333333334</v>
      </c>
      <c r="Q3303" s="43" t="s">
        <v>103</v>
      </c>
      <c r="R3303" s="4">
        <v>10.327049533732</v>
      </c>
      <c r="S3303" s="4">
        <v>11.448743375807901</v>
      </c>
      <c r="T3303" s="4">
        <v>10.9362492235199</v>
      </c>
      <c r="U3303" s="4">
        <f t="shared" si="204"/>
        <v>10.904014044353268</v>
      </c>
      <c r="X3303" s="43" t="s">
        <v>4384</v>
      </c>
      <c r="Y3303" s="4">
        <v>11.5482921078373</v>
      </c>
      <c r="Z3303" s="4">
        <v>11.470232521056801</v>
      </c>
      <c r="AA3303" s="4">
        <v>12.9254802846801</v>
      </c>
      <c r="AB3303" s="4">
        <f t="shared" si="205"/>
        <v>11.9813349711914</v>
      </c>
    </row>
    <row r="3304" spans="2:28" x14ac:dyDescent="0.2">
      <c r="B3304" s="4" t="s">
        <v>1057</v>
      </c>
      <c r="C3304" s="4">
        <v>12.587899999999999</v>
      </c>
      <c r="D3304" s="4">
        <v>6.6525999999999996</v>
      </c>
      <c r="E3304" s="4">
        <v>12.232799999999999</v>
      </c>
      <c r="F3304" s="4">
        <f t="shared" si="203"/>
        <v>10.491099999999998</v>
      </c>
      <c r="Q3304" s="43" t="s">
        <v>4482</v>
      </c>
      <c r="R3304" s="4">
        <v>9.8755319131496098</v>
      </c>
      <c r="S3304" s="4">
        <v>11.5125904409859</v>
      </c>
      <c r="T3304" s="4">
        <v>11.1261435299803</v>
      </c>
      <c r="U3304" s="4">
        <f t="shared" si="204"/>
        <v>10.838088628038605</v>
      </c>
      <c r="X3304" s="43" t="s">
        <v>2142</v>
      </c>
      <c r="Y3304" s="4">
        <v>12.173895533155701</v>
      </c>
      <c r="Z3304" s="4">
        <v>12.106679805209099</v>
      </c>
      <c r="AA3304" s="4">
        <v>11.6435753263564</v>
      </c>
      <c r="AB3304" s="4">
        <f t="shared" si="205"/>
        <v>11.974716888240399</v>
      </c>
    </row>
    <row r="3305" spans="2:28" x14ac:dyDescent="0.2">
      <c r="B3305" s="4" t="s">
        <v>500</v>
      </c>
      <c r="C3305" s="4">
        <v>10.2563</v>
      </c>
      <c r="D3305" s="4">
        <v>10.373200000000001</v>
      </c>
      <c r="E3305" s="4">
        <v>10.7424</v>
      </c>
      <c r="F3305" s="4">
        <f t="shared" si="203"/>
        <v>10.4573</v>
      </c>
      <c r="Q3305" s="43" t="s">
        <v>1309</v>
      </c>
      <c r="R3305" s="4">
        <v>10.183024425537701</v>
      </c>
      <c r="S3305" s="4">
        <v>11.0304945921261</v>
      </c>
      <c r="T3305" s="4">
        <v>10.982957066174199</v>
      </c>
      <c r="U3305" s="4">
        <f t="shared" si="204"/>
        <v>10.732158694612666</v>
      </c>
      <c r="X3305" s="43" t="s">
        <v>3047</v>
      </c>
      <c r="Y3305" s="4">
        <v>12.0599032562377</v>
      </c>
      <c r="Z3305" s="4">
        <v>11.711678721415399</v>
      </c>
      <c r="AA3305" s="4">
        <v>12.1434885251005</v>
      </c>
      <c r="AB3305" s="4">
        <f t="shared" si="205"/>
        <v>11.971690167584534</v>
      </c>
    </row>
    <row r="3306" spans="2:28" x14ac:dyDescent="0.2">
      <c r="B3306" s="4" t="s">
        <v>307</v>
      </c>
      <c r="C3306" s="4">
        <v>11.0185</v>
      </c>
      <c r="D3306" s="4">
        <v>11.1852</v>
      </c>
      <c r="E3306" s="4">
        <v>9.1073000000000004</v>
      </c>
      <c r="F3306" s="4">
        <f t="shared" si="203"/>
        <v>10.436999999999999</v>
      </c>
      <c r="X3306" s="43" t="s">
        <v>1799</v>
      </c>
      <c r="Y3306" s="4">
        <v>12.1652038245673</v>
      </c>
      <c r="Z3306" s="4">
        <v>11.836884542167599</v>
      </c>
      <c r="AA3306" s="4">
        <v>11.9117140203976</v>
      </c>
      <c r="AB3306" s="4">
        <f t="shared" si="205"/>
        <v>11.971267462377499</v>
      </c>
    </row>
    <row r="3307" spans="2:28" x14ac:dyDescent="0.2">
      <c r="B3307" s="4" t="s">
        <v>3067</v>
      </c>
      <c r="C3307" s="4">
        <v>9.0393000000000008</v>
      </c>
      <c r="D3307" s="4">
        <v>10.993</v>
      </c>
      <c r="E3307" s="4">
        <v>11.074299999999999</v>
      </c>
      <c r="F3307" s="4">
        <f t="shared" si="203"/>
        <v>10.368866666666667</v>
      </c>
      <c r="X3307" s="43" t="s">
        <v>2392</v>
      </c>
      <c r="Y3307" s="4">
        <v>11.8471440253462</v>
      </c>
      <c r="Z3307" s="4">
        <v>12.1517518767856</v>
      </c>
      <c r="AA3307" s="4">
        <v>11.9117175389708</v>
      </c>
      <c r="AB3307" s="4">
        <f t="shared" si="205"/>
        <v>11.970204480367533</v>
      </c>
    </row>
    <row r="3308" spans="2:28" x14ac:dyDescent="0.2">
      <c r="B3308" s="4" t="s">
        <v>617</v>
      </c>
      <c r="C3308" s="4">
        <v>11.587899999999999</v>
      </c>
      <c r="D3308" s="4">
        <v>10.083399999999999</v>
      </c>
      <c r="E3308" s="4">
        <v>9.3658999999999999</v>
      </c>
      <c r="F3308" s="4">
        <f t="shared" si="203"/>
        <v>10.345733333333333</v>
      </c>
      <c r="X3308" s="43" t="s">
        <v>2551</v>
      </c>
      <c r="Y3308" s="4">
        <v>11.769497236223099</v>
      </c>
      <c r="Z3308" s="4">
        <v>12.1764746582621</v>
      </c>
      <c r="AA3308" s="4">
        <v>11.945892624016899</v>
      </c>
      <c r="AB3308" s="4">
        <f t="shared" si="205"/>
        <v>11.963954839500699</v>
      </c>
    </row>
    <row r="3309" spans="2:28" x14ac:dyDescent="0.2">
      <c r="B3309" s="4" t="s">
        <v>246</v>
      </c>
      <c r="C3309" s="4">
        <v>10.513299999999999</v>
      </c>
      <c r="D3309" s="4">
        <v>10.0215</v>
      </c>
      <c r="E3309" s="4">
        <v>10.498699999999999</v>
      </c>
      <c r="F3309" s="4">
        <f t="shared" si="203"/>
        <v>10.344499999999998</v>
      </c>
      <c r="X3309" s="43" t="s">
        <v>4258</v>
      </c>
      <c r="Y3309" s="4">
        <v>11.9867740383901</v>
      </c>
      <c r="Z3309" s="4">
        <v>11.7881960886905</v>
      </c>
      <c r="AA3309" s="4">
        <v>12.084907506870501</v>
      </c>
      <c r="AB3309" s="4">
        <f t="shared" si="205"/>
        <v>11.953292544650367</v>
      </c>
    </row>
    <row r="3310" spans="2:28" x14ac:dyDescent="0.2">
      <c r="B3310" s="4" t="s">
        <v>2500</v>
      </c>
      <c r="C3310" s="4">
        <v>9.1867999999999999</v>
      </c>
      <c r="D3310" s="4">
        <v>10.929399999999999</v>
      </c>
      <c r="E3310" s="4">
        <v>10.842000000000001</v>
      </c>
      <c r="F3310" s="4">
        <f t="shared" si="203"/>
        <v>10.3194</v>
      </c>
      <c r="X3310" s="43" t="s">
        <v>463</v>
      </c>
      <c r="Y3310" s="4">
        <v>12.058031938604399</v>
      </c>
      <c r="Z3310" s="4">
        <v>10.9610653459901</v>
      </c>
      <c r="AA3310" s="4">
        <v>12.828514031262101</v>
      </c>
      <c r="AB3310" s="4">
        <f t="shared" si="205"/>
        <v>11.949203771952201</v>
      </c>
    </row>
    <row r="3311" spans="2:28" x14ac:dyDescent="0.2">
      <c r="B3311" s="4" t="s">
        <v>2510</v>
      </c>
      <c r="C3311" s="4">
        <v>10.2318</v>
      </c>
      <c r="D3311" s="4">
        <v>10.550800000000001</v>
      </c>
      <c r="E3311" s="4">
        <v>10.001099999999999</v>
      </c>
      <c r="F3311" s="4">
        <f t="shared" si="203"/>
        <v>10.261233333333335</v>
      </c>
      <c r="X3311" s="43" t="s">
        <v>4152</v>
      </c>
      <c r="Y3311" s="4">
        <v>11.920726506482501</v>
      </c>
      <c r="Z3311" s="4">
        <v>11.235044689088101</v>
      </c>
      <c r="AA3311" s="4">
        <v>12.691415133770001</v>
      </c>
      <c r="AB3311" s="4">
        <f t="shared" si="205"/>
        <v>11.949062109780201</v>
      </c>
    </row>
    <row r="3312" spans="2:28" x14ac:dyDescent="0.2">
      <c r="B3312" s="4" t="s">
        <v>1394</v>
      </c>
      <c r="C3312" s="4">
        <v>9.7015999999999991</v>
      </c>
      <c r="D3312" s="4">
        <v>9.9276</v>
      </c>
      <c r="E3312" s="4">
        <v>11.0266</v>
      </c>
      <c r="F3312" s="4">
        <f t="shared" si="203"/>
        <v>10.2186</v>
      </c>
      <c r="X3312" s="43" t="s">
        <v>817</v>
      </c>
      <c r="Y3312" s="4">
        <v>12.175533665148899</v>
      </c>
      <c r="Z3312" s="4">
        <v>11.9983199081279</v>
      </c>
      <c r="AA3312" s="4">
        <v>11.643580693539</v>
      </c>
      <c r="AB3312" s="4">
        <f t="shared" si="205"/>
        <v>11.939144755605268</v>
      </c>
    </row>
    <row r="3313" spans="2:28" x14ac:dyDescent="0.2">
      <c r="B3313" s="4" t="s">
        <v>2036</v>
      </c>
      <c r="C3313" s="4">
        <v>10.541499999999999</v>
      </c>
      <c r="D3313" s="4">
        <v>9.7738999999999994</v>
      </c>
      <c r="E3313" s="4">
        <v>9.9634999999999998</v>
      </c>
      <c r="F3313" s="4">
        <f t="shared" si="203"/>
        <v>10.092966666666666</v>
      </c>
      <c r="X3313" s="43" t="s">
        <v>3188</v>
      </c>
      <c r="Y3313" s="4">
        <v>12.292608385088499</v>
      </c>
      <c r="Z3313" s="4">
        <v>12.2991892570356</v>
      </c>
      <c r="AA3313" s="4">
        <v>11.198024801333</v>
      </c>
      <c r="AB3313" s="4">
        <f t="shared" si="205"/>
        <v>11.929940814485699</v>
      </c>
    </row>
    <row r="3314" spans="2:28" x14ac:dyDescent="0.2">
      <c r="B3314" s="4" t="s">
        <v>350</v>
      </c>
      <c r="C3314" s="4">
        <v>9.6385000000000005</v>
      </c>
      <c r="D3314" s="4">
        <v>10.743499999999999</v>
      </c>
      <c r="E3314" s="4">
        <v>9.6059000000000001</v>
      </c>
      <c r="F3314" s="4">
        <f t="shared" si="203"/>
        <v>9.995966666666666</v>
      </c>
      <c r="X3314" s="43" t="s">
        <v>3003</v>
      </c>
      <c r="Y3314" s="4">
        <v>11.5607738911011</v>
      </c>
      <c r="Z3314" s="4">
        <v>11.8617634974844</v>
      </c>
      <c r="AA3314" s="4">
        <v>12.366805619159299</v>
      </c>
      <c r="AB3314" s="4">
        <f t="shared" si="205"/>
        <v>11.929781002581599</v>
      </c>
    </row>
    <row r="3315" spans="2:28" x14ac:dyDescent="0.2">
      <c r="B3315" s="4" t="s">
        <v>3079</v>
      </c>
      <c r="C3315" s="4">
        <v>10.091799999999999</v>
      </c>
      <c r="D3315" s="4">
        <v>11.109</v>
      </c>
      <c r="E3315" s="4">
        <v>8.7688000000000006</v>
      </c>
      <c r="F3315" s="4">
        <f t="shared" si="203"/>
        <v>9.989866666666666</v>
      </c>
      <c r="X3315" s="43" t="s">
        <v>2819</v>
      </c>
      <c r="Y3315" s="4">
        <v>11.638721507767</v>
      </c>
      <c r="Z3315" s="4">
        <v>11.9065763610511</v>
      </c>
      <c r="AA3315" s="4">
        <v>12.2432513316234</v>
      </c>
      <c r="AB3315" s="4">
        <f t="shared" si="205"/>
        <v>11.929516400147167</v>
      </c>
    </row>
    <row r="3316" spans="2:28" x14ac:dyDescent="0.2">
      <c r="B3316" s="4" t="s">
        <v>3727</v>
      </c>
      <c r="C3316" s="4">
        <v>11.3491</v>
      </c>
      <c r="D3316" s="4">
        <v>10.248799999999999</v>
      </c>
      <c r="E3316" s="4">
        <v>8.2842000000000002</v>
      </c>
      <c r="F3316" s="4">
        <f t="shared" si="203"/>
        <v>9.960700000000001</v>
      </c>
      <c r="X3316" s="43" t="s">
        <v>2184</v>
      </c>
      <c r="Y3316" s="4">
        <v>11.984202602910001</v>
      </c>
      <c r="Z3316" s="4">
        <v>12.1664868581466</v>
      </c>
      <c r="AA3316" s="4">
        <v>11.6303997155751</v>
      </c>
      <c r="AB3316" s="4">
        <f t="shared" si="205"/>
        <v>11.927029725543902</v>
      </c>
    </row>
    <row r="3317" spans="2:28" x14ac:dyDescent="0.2">
      <c r="B3317" s="4" t="s">
        <v>528</v>
      </c>
      <c r="C3317" s="4">
        <v>9.6159999999999997</v>
      </c>
      <c r="D3317" s="4">
        <v>10.53</v>
      </c>
      <c r="E3317" s="4">
        <v>9.7286999999999999</v>
      </c>
      <c r="F3317" s="4">
        <f t="shared" si="203"/>
        <v>9.9582333333333342</v>
      </c>
      <c r="X3317" s="43" t="s">
        <v>3477</v>
      </c>
      <c r="Y3317" s="4">
        <v>11.812909868575</v>
      </c>
      <c r="Z3317" s="4">
        <v>11.8537426530813</v>
      </c>
      <c r="AA3317" s="4">
        <v>12.111966375190701</v>
      </c>
      <c r="AB3317" s="4">
        <f t="shared" si="205"/>
        <v>11.926206298948999</v>
      </c>
    </row>
    <row r="3318" spans="2:28" x14ac:dyDescent="0.2">
      <c r="B3318" s="4" t="s">
        <v>351</v>
      </c>
      <c r="C3318" s="4">
        <v>10.063599999999999</v>
      </c>
      <c r="D3318" s="4">
        <v>10.3263</v>
      </c>
      <c r="E3318" s="4">
        <v>9.3743999999999996</v>
      </c>
      <c r="F3318" s="4">
        <f t="shared" si="203"/>
        <v>9.9214333333333329</v>
      </c>
      <c r="X3318" s="43" t="s">
        <v>3068</v>
      </c>
      <c r="Y3318" s="4">
        <v>12.0579916271074</v>
      </c>
      <c r="Z3318" s="4">
        <v>11.7025053161373</v>
      </c>
      <c r="AA3318" s="4">
        <v>12.0037840663565</v>
      </c>
      <c r="AB3318" s="4">
        <f t="shared" si="205"/>
        <v>11.921427003200399</v>
      </c>
    </row>
    <row r="3319" spans="2:28" x14ac:dyDescent="0.2">
      <c r="B3319" s="4" t="s">
        <v>3418</v>
      </c>
      <c r="C3319" s="4">
        <v>9.8754000000000008</v>
      </c>
      <c r="D3319" s="4">
        <v>9.8194999999999997</v>
      </c>
      <c r="E3319" s="4">
        <v>9.9246999999999996</v>
      </c>
      <c r="F3319" s="4">
        <f t="shared" si="203"/>
        <v>9.8731999999999989</v>
      </c>
      <c r="X3319" s="43" t="s">
        <v>4198</v>
      </c>
      <c r="Y3319" s="4">
        <v>12.0003169340997</v>
      </c>
      <c r="Z3319" s="4">
        <v>11.6006165549109</v>
      </c>
      <c r="AA3319" s="4">
        <v>12.1569780645927</v>
      </c>
      <c r="AB3319" s="4">
        <f t="shared" si="205"/>
        <v>11.9193038512011</v>
      </c>
    </row>
    <row r="3320" spans="2:28" x14ac:dyDescent="0.2">
      <c r="B3320" s="4" t="s">
        <v>3387</v>
      </c>
      <c r="C3320" s="4">
        <v>9.9649000000000001</v>
      </c>
      <c r="D3320" s="4">
        <v>9.9450000000000003</v>
      </c>
      <c r="E3320" s="4">
        <v>9.5669000000000004</v>
      </c>
      <c r="F3320" s="4">
        <f t="shared" si="203"/>
        <v>9.8255999999999997</v>
      </c>
      <c r="X3320" s="43" t="s">
        <v>1926</v>
      </c>
      <c r="Y3320" s="4">
        <v>12.319043083535099</v>
      </c>
      <c r="Z3320" s="4">
        <v>11.559992979463599</v>
      </c>
      <c r="AA3320" s="4">
        <v>11.8706252728617</v>
      </c>
      <c r="AB3320" s="4">
        <f t="shared" si="205"/>
        <v>11.916553778620134</v>
      </c>
    </row>
    <row r="3321" spans="2:28" x14ac:dyDescent="0.2">
      <c r="B3321" s="4" t="s">
        <v>821</v>
      </c>
      <c r="C3321" s="4">
        <v>9.6410999999999998</v>
      </c>
      <c r="D3321" s="4">
        <v>10.9552</v>
      </c>
      <c r="E3321" s="4">
        <v>8.4865999999999993</v>
      </c>
      <c r="F3321" s="4">
        <f t="shared" si="203"/>
        <v>9.6943000000000001</v>
      </c>
      <c r="X3321" s="43" t="s">
        <v>2840</v>
      </c>
      <c r="Y3321" s="4">
        <v>11.617799265061199</v>
      </c>
      <c r="Z3321" s="4">
        <v>12.1620797158439</v>
      </c>
      <c r="AA3321" s="4">
        <v>11.964930296382899</v>
      </c>
      <c r="AB3321" s="4">
        <f t="shared" si="205"/>
        <v>11.914936425762667</v>
      </c>
    </row>
    <row r="3322" spans="2:28" x14ac:dyDescent="0.2">
      <c r="B3322" s="4" t="s">
        <v>508</v>
      </c>
      <c r="C3322" s="4">
        <v>9.5313999999999997</v>
      </c>
      <c r="D3322" s="4">
        <v>9.3817000000000004</v>
      </c>
      <c r="E3322" s="4">
        <v>9.9806000000000008</v>
      </c>
      <c r="F3322" s="4">
        <f t="shared" si="203"/>
        <v>9.6312333333333342</v>
      </c>
      <c r="X3322" s="43" t="s">
        <v>4438</v>
      </c>
      <c r="Y3322" s="4">
        <v>12.1739653500935</v>
      </c>
      <c r="Z3322" s="4">
        <v>11.8645175852763</v>
      </c>
      <c r="AA3322" s="4">
        <v>11.705647302329</v>
      </c>
      <c r="AB3322" s="4">
        <f t="shared" si="205"/>
        <v>11.914710079232933</v>
      </c>
    </row>
    <row r="3323" spans="2:28" x14ac:dyDescent="0.2">
      <c r="B3323" s="4" t="s">
        <v>1414</v>
      </c>
      <c r="C3323" s="4">
        <v>10.7338</v>
      </c>
      <c r="D3323" s="4">
        <v>7.61</v>
      </c>
      <c r="E3323" s="4">
        <v>10.354100000000001</v>
      </c>
      <c r="F3323" s="4">
        <f t="shared" si="203"/>
        <v>9.5659666666666681</v>
      </c>
      <c r="X3323" s="43" t="s">
        <v>4148</v>
      </c>
      <c r="Y3323" s="4">
        <v>11.9071607591528</v>
      </c>
      <c r="Z3323" s="4">
        <v>11.862176795778501</v>
      </c>
      <c r="AA3323" s="4">
        <v>11.9723848799126</v>
      </c>
      <c r="AB3323" s="4">
        <f t="shared" si="205"/>
        <v>11.913907478281301</v>
      </c>
    </row>
    <row r="3324" spans="2:28" x14ac:dyDescent="0.2">
      <c r="B3324" s="4" t="s">
        <v>3143</v>
      </c>
      <c r="C3324" s="4">
        <v>9.9164999999999992</v>
      </c>
      <c r="D3324" s="4">
        <v>10.0905</v>
      </c>
      <c r="E3324" s="4">
        <v>8.6696000000000009</v>
      </c>
      <c r="F3324" s="4">
        <f t="shared" si="203"/>
        <v>9.5588666666666668</v>
      </c>
      <c r="X3324" s="43" t="s">
        <v>3930</v>
      </c>
      <c r="Y3324" s="4">
        <v>12.0756177816705</v>
      </c>
      <c r="Z3324" s="4">
        <v>11.3920017577035</v>
      </c>
      <c r="AA3324" s="4">
        <v>12.268433957085</v>
      </c>
      <c r="AB3324" s="4">
        <f t="shared" si="205"/>
        <v>11.912017832152999</v>
      </c>
    </row>
    <row r="3325" spans="2:28" x14ac:dyDescent="0.2">
      <c r="B3325" s="4" t="s">
        <v>844</v>
      </c>
      <c r="C3325" s="4">
        <v>9.8569999999999993</v>
      </c>
      <c r="D3325" s="4">
        <v>9.1822999999999997</v>
      </c>
      <c r="E3325" s="4">
        <v>9.2025000000000006</v>
      </c>
      <c r="F3325" s="4">
        <f t="shared" si="203"/>
        <v>9.4139333333333326</v>
      </c>
      <c r="X3325" s="43" t="s">
        <v>2508</v>
      </c>
      <c r="Y3325" s="4">
        <v>11.7386797461994</v>
      </c>
      <c r="Z3325" s="4">
        <v>11.583921310591</v>
      </c>
      <c r="AA3325" s="4">
        <v>12.395212579969201</v>
      </c>
      <c r="AB3325" s="4">
        <f t="shared" si="205"/>
        <v>11.905937878919866</v>
      </c>
    </row>
    <row r="3326" spans="2:28" x14ac:dyDescent="0.2">
      <c r="B3326" s="4" t="s">
        <v>74</v>
      </c>
      <c r="C3326" s="4">
        <v>9.3188999999999993</v>
      </c>
      <c r="D3326" s="4">
        <v>8.9677000000000007</v>
      </c>
      <c r="E3326" s="4">
        <v>9.5176999999999996</v>
      </c>
      <c r="F3326" s="4">
        <f t="shared" si="203"/>
        <v>9.2680999999999987</v>
      </c>
      <c r="X3326" s="43" t="s">
        <v>4385</v>
      </c>
      <c r="Y3326" s="4">
        <v>12.0179176069806</v>
      </c>
      <c r="Z3326" s="4">
        <v>11.9331882797406</v>
      </c>
      <c r="AA3326" s="4">
        <v>11.765934156284599</v>
      </c>
      <c r="AB3326" s="4">
        <f t="shared" si="205"/>
        <v>11.905680014335267</v>
      </c>
    </row>
    <row r="3327" spans="2:28" x14ac:dyDescent="0.2">
      <c r="B3327" s="4" t="s">
        <v>2727</v>
      </c>
      <c r="C3327" s="4">
        <v>7.7904</v>
      </c>
      <c r="D3327" s="4">
        <v>9.8008000000000006</v>
      </c>
      <c r="E3327" s="4">
        <v>9.4794</v>
      </c>
      <c r="F3327" s="4">
        <f t="shared" si="203"/>
        <v>9.023533333333333</v>
      </c>
      <c r="X3327" s="43" t="s">
        <v>2517</v>
      </c>
      <c r="Y3327" s="4">
        <v>12.1995486394809</v>
      </c>
      <c r="Z3327" s="4">
        <v>11.6978509634719</v>
      </c>
      <c r="AA3327" s="4">
        <v>11.814263753932099</v>
      </c>
      <c r="AB3327" s="4">
        <f t="shared" si="205"/>
        <v>11.903887785628299</v>
      </c>
    </row>
    <row r="3328" spans="2:28" x14ac:dyDescent="0.2">
      <c r="B3328" s="4" t="s">
        <v>4116</v>
      </c>
      <c r="C3328" s="4">
        <v>10.094099999999999</v>
      </c>
      <c r="D3328" s="4">
        <v>8.5109999999999992</v>
      </c>
      <c r="E3328" s="4">
        <v>8.0251000000000001</v>
      </c>
      <c r="F3328" s="4">
        <f t="shared" si="203"/>
        <v>8.876733333333334</v>
      </c>
      <c r="X3328" s="43" t="s">
        <v>297</v>
      </c>
      <c r="Y3328" s="4">
        <v>12.529450803912701</v>
      </c>
      <c r="Z3328" s="4">
        <v>11.8058068136553</v>
      </c>
      <c r="AA3328" s="4">
        <v>11.3701810219971</v>
      </c>
      <c r="AB3328" s="4">
        <f t="shared" si="205"/>
        <v>11.901812879855035</v>
      </c>
    </row>
    <row r="3329" spans="2:28" x14ac:dyDescent="0.2">
      <c r="B3329" s="4" t="s">
        <v>2592</v>
      </c>
      <c r="C3329" s="4">
        <v>7.5448000000000004</v>
      </c>
      <c r="D3329" s="4">
        <v>7.6905999999999999</v>
      </c>
      <c r="E3329" s="4">
        <v>10.1233</v>
      </c>
      <c r="F3329" s="4">
        <f t="shared" si="203"/>
        <v>8.4528999999999996</v>
      </c>
      <c r="X3329" s="43" t="s">
        <v>4447</v>
      </c>
      <c r="Y3329" s="4">
        <v>11.849734016532601</v>
      </c>
      <c r="Z3329" s="4">
        <v>11.725144395722801</v>
      </c>
      <c r="AA3329" s="4">
        <v>12.128111036267301</v>
      </c>
      <c r="AB3329" s="4">
        <f t="shared" si="205"/>
        <v>11.900996482840901</v>
      </c>
    </row>
    <row r="3330" spans="2:28" x14ac:dyDescent="0.2">
      <c r="B3330" s="4" t="s">
        <v>2718</v>
      </c>
      <c r="C3330" s="4">
        <v>8.1948000000000008</v>
      </c>
      <c r="D3330" s="4">
        <v>8.4227000000000007</v>
      </c>
      <c r="E3330" s="4">
        <v>6.9874000000000001</v>
      </c>
      <c r="F3330" s="4">
        <f t="shared" ref="F3330" si="206">(C3330+D3330+E3330)/3</f>
        <v>7.8683000000000005</v>
      </c>
      <c r="X3330" s="43" t="s">
        <v>4306</v>
      </c>
      <c r="Y3330" s="4">
        <v>12.182116408359599</v>
      </c>
      <c r="Z3330" s="4">
        <v>11.818064622401799</v>
      </c>
      <c r="AA3330" s="4">
        <v>11.6922188697213</v>
      </c>
      <c r="AB3330" s="4">
        <f t="shared" ref="AB3330:AB3393" si="207">(Y3330+Z3330+AA3330)/3</f>
        <v>11.897466633494233</v>
      </c>
    </row>
    <row r="3331" spans="2:28" x14ac:dyDescent="0.2">
      <c r="X3331" s="43" t="s">
        <v>2354</v>
      </c>
      <c r="Y3331" s="4">
        <v>12.156711974117</v>
      </c>
      <c r="Z3331" s="4">
        <v>11.519535345374299</v>
      </c>
      <c r="AA3331" s="4">
        <v>12.005878195144</v>
      </c>
      <c r="AB3331" s="4">
        <f t="shared" si="207"/>
        <v>11.894041838211768</v>
      </c>
    </row>
    <row r="3332" spans="2:28" x14ac:dyDescent="0.2">
      <c r="X3332" s="43" t="s">
        <v>2313</v>
      </c>
      <c r="Y3332" s="4">
        <v>11.8845144028832</v>
      </c>
      <c r="Z3332" s="4">
        <v>11.8036717319294</v>
      </c>
      <c r="AA3332" s="4">
        <v>11.973530874758</v>
      </c>
      <c r="AB3332" s="4">
        <f t="shared" si="207"/>
        <v>11.887239003190201</v>
      </c>
    </row>
    <row r="3333" spans="2:28" x14ac:dyDescent="0.2">
      <c r="X3333" s="43" t="s">
        <v>1457</v>
      </c>
      <c r="Y3333" s="4">
        <v>11.826562116754101</v>
      </c>
      <c r="Z3333" s="4">
        <v>12.1247998111188</v>
      </c>
      <c r="AA3333" s="4">
        <v>11.7095080186371</v>
      </c>
      <c r="AB3333" s="4">
        <f t="shared" si="207"/>
        <v>11.886956648836668</v>
      </c>
    </row>
    <row r="3334" spans="2:28" x14ac:dyDescent="0.2">
      <c r="X3334" s="43" t="s">
        <v>27</v>
      </c>
      <c r="Y3334" s="4">
        <v>11.566943639254401</v>
      </c>
      <c r="Z3334" s="4">
        <v>12.0572418267231</v>
      </c>
      <c r="AA3334" s="4">
        <v>12.0245490307097</v>
      </c>
      <c r="AB3334" s="4">
        <f t="shared" si="207"/>
        <v>11.882911498895732</v>
      </c>
    </row>
    <row r="3335" spans="2:28" x14ac:dyDescent="0.2">
      <c r="X3335" s="43" t="s">
        <v>508</v>
      </c>
      <c r="Y3335" s="4">
        <v>12.0419999935859</v>
      </c>
      <c r="Z3335" s="4">
        <v>11.3900405398297</v>
      </c>
      <c r="AA3335" s="4">
        <v>12.2105868753323</v>
      </c>
      <c r="AB3335" s="4">
        <f t="shared" si="207"/>
        <v>11.880875802915966</v>
      </c>
    </row>
    <row r="3336" spans="2:28" x14ac:dyDescent="0.2">
      <c r="X3336" s="43" t="s">
        <v>4192</v>
      </c>
      <c r="Y3336" s="4">
        <v>11.869042894621099</v>
      </c>
      <c r="Z3336" s="4">
        <v>11.704248330561599</v>
      </c>
      <c r="AA3336" s="4">
        <v>12.0592877417926</v>
      </c>
      <c r="AB3336" s="4">
        <f t="shared" si="207"/>
        <v>11.877526322325101</v>
      </c>
    </row>
    <row r="3337" spans="2:28" x14ac:dyDescent="0.2">
      <c r="X3337" s="43" t="s">
        <v>4619</v>
      </c>
      <c r="Y3337" s="4">
        <v>12.003034203697799</v>
      </c>
      <c r="Z3337" s="4">
        <v>11.453803845113599</v>
      </c>
      <c r="AA3337" s="4">
        <v>12.160109979962201</v>
      </c>
      <c r="AB3337" s="4">
        <f t="shared" si="207"/>
        <v>11.8723160095912</v>
      </c>
    </row>
    <row r="3338" spans="2:28" x14ac:dyDescent="0.2">
      <c r="X3338" s="43" t="s">
        <v>289</v>
      </c>
      <c r="Y3338" s="4">
        <v>11.959280153205899</v>
      </c>
      <c r="Z3338" s="4">
        <v>11.555318271836301</v>
      </c>
      <c r="AA3338" s="4">
        <v>12.101210536177801</v>
      </c>
      <c r="AB3338" s="4">
        <f t="shared" si="207"/>
        <v>11.871936320406668</v>
      </c>
    </row>
    <row r="3339" spans="2:28" x14ac:dyDescent="0.2">
      <c r="X3339" s="43" t="s">
        <v>4173</v>
      </c>
      <c r="Y3339" s="4">
        <v>11.7898939878893</v>
      </c>
      <c r="Z3339" s="4">
        <v>11.8047986105214</v>
      </c>
      <c r="AA3339" s="4">
        <v>11.992399223895299</v>
      </c>
      <c r="AB3339" s="4">
        <f t="shared" si="207"/>
        <v>11.862363940768667</v>
      </c>
    </row>
    <row r="3340" spans="2:28" x14ac:dyDescent="0.2">
      <c r="X3340" s="43" t="s">
        <v>616</v>
      </c>
      <c r="Y3340" s="4">
        <v>11.5315704998372</v>
      </c>
      <c r="Z3340" s="4">
        <v>11.901330768771899</v>
      </c>
      <c r="AA3340" s="4">
        <v>12.1515731540694</v>
      </c>
      <c r="AB3340" s="4">
        <f t="shared" si="207"/>
        <v>11.861491474226165</v>
      </c>
    </row>
    <row r="3341" spans="2:28" x14ac:dyDescent="0.2">
      <c r="X3341" s="43" t="s">
        <v>4578</v>
      </c>
      <c r="Y3341" s="4">
        <v>12.3876598601342</v>
      </c>
      <c r="Z3341" s="4">
        <v>11.840687743895799</v>
      </c>
      <c r="AA3341" s="4">
        <v>11.3526240733515</v>
      </c>
      <c r="AB3341" s="4">
        <f t="shared" si="207"/>
        <v>11.860323892460499</v>
      </c>
    </row>
    <row r="3342" spans="2:28" x14ac:dyDescent="0.2">
      <c r="X3342" s="43" t="s">
        <v>4239</v>
      </c>
      <c r="Y3342" s="4">
        <v>11.854520435877999</v>
      </c>
      <c r="Z3342" s="4">
        <v>12.002597189904201</v>
      </c>
      <c r="AA3342" s="4">
        <v>11.719365789526799</v>
      </c>
      <c r="AB3342" s="4">
        <f t="shared" si="207"/>
        <v>11.858827805102999</v>
      </c>
    </row>
    <row r="3343" spans="2:28" x14ac:dyDescent="0.2">
      <c r="X3343" s="43" t="s">
        <v>1953</v>
      </c>
      <c r="Y3343" s="4">
        <v>11.7987109309211</v>
      </c>
      <c r="Z3343" s="4">
        <v>11.8740469663804</v>
      </c>
      <c r="AA3343" s="4">
        <v>11.9009313743497</v>
      </c>
      <c r="AB3343" s="4">
        <f t="shared" si="207"/>
        <v>11.857896423883735</v>
      </c>
    </row>
    <row r="3344" spans="2:28" x14ac:dyDescent="0.2">
      <c r="X3344" s="43" t="s">
        <v>4618</v>
      </c>
      <c r="Y3344" s="4">
        <v>11.6685029816681</v>
      </c>
      <c r="Z3344" s="4">
        <v>11.610373806561</v>
      </c>
      <c r="AA3344" s="4">
        <v>12.2934013321472</v>
      </c>
      <c r="AB3344" s="4">
        <f t="shared" si="207"/>
        <v>11.857426040125432</v>
      </c>
    </row>
    <row r="3345" spans="24:28" x14ac:dyDescent="0.2">
      <c r="X3345" s="43" t="s">
        <v>818</v>
      </c>
      <c r="Y3345" s="4">
        <v>11.6744283571482</v>
      </c>
      <c r="Z3345" s="4">
        <v>11.8770102127709</v>
      </c>
      <c r="AA3345" s="4">
        <v>12.0099727748271</v>
      </c>
      <c r="AB3345" s="4">
        <f t="shared" si="207"/>
        <v>11.853803781582066</v>
      </c>
    </row>
    <row r="3346" spans="24:28" x14ac:dyDescent="0.2">
      <c r="X3346" s="43" t="s">
        <v>898</v>
      </c>
      <c r="Y3346" s="4">
        <v>11.8550722260181</v>
      </c>
      <c r="Z3346" s="4">
        <v>11.820173812698499</v>
      </c>
      <c r="AA3346" s="4">
        <v>11.8854794107214</v>
      </c>
      <c r="AB3346" s="4">
        <f t="shared" si="207"/>
        <v>11.853575149812668</v>
      </c>
    </row>
    <row r="3347" spans="24:28" x14ac:dyDescent="0.2">
      <c r="X3347" s="43" t="s">
        <v>3280</v>
      </c>
      <c r="Y3347" s="4">
        <v>11.885762086292701</v>
      </c>
      <c r="Z3347" s="4">
        <v>11.899575946820599</v>
      </c>
      <c r="AA3347" s="4">
        <v>11.7670437551698</v>
      </c>
      <c r="AB3347" s="4">
        <f t="shared" si="207"/>
        <v>11.8507939294277</v>
      </c>
    </row>
    <row r="3348" spans="24:28" x14ac:dyDescent="0.2">
      <c r="X3348" s="43" t="s">
        <v>4348</v>
      </c>
      <c r="Y3348" s="4">
        <v>11.712642183494999</v>
      </c>
      <c r="Z3348" s="4">
        <v>11.800242505182799</v>
      </c>
      <c r="AA3348" s="4">
        <v>12.0360595852425</v>
      </c>
      <c r="AB3348" s="4">
        <f t="shared" si="207"/>
        <v>11.849648091306767</v>
      </c>
    </row>
    <row r="3349" spans="24:28" x14ac:dyDescent="0.2">
      <c r="X3349" s="43" t="s">
        <v>1961</v>
      </c>
      <c r="Y3349" s="4">
        <v>11.4485357845892</v>
      </c>
      <c r="Z3349" s="4">
        <v>12.1687555952716</v>
      </c>
      <c r="AA3349" s="4">
        <v>11.925467274292</v>
      </c>
      <c r="AB3349" s="4">
        <f t="shared" si="207"/>
        <v>11.847586218050935</v>
      </c>
    </row>
    <row r="3350" spans="24:28" x14ac:dyDescent="0.2">
      <c r="X3350" s="43" t="s">
        <v>4221</v>
      </c>
      <c r="Y3350" s="4">
        <v>11.703349597215899</v>
      </c>
      <c r="Z3350" s="4">
        <v>11.7567600146494</v>
      </c>
      <c r="AA3350" s="4">
        <v>12.0365274996474</v>
      </c>
      <c r="AB3350" s="4">
        <f t="shared" si="207"/>
        <v>11.832212370504232</v>
      </c>
    </row>
    <row r="3351" spans="24:28" x14ac:dyDescent="0.2">
      <c r="X3351" s="43" t="s">
        <v>3597</v>
      </c>
      <c r="Y3351" s="4">
        <v>12.3720337159086</v>
      </c>
      <c r="Z3351" s="4">
        <v>12.121581105081001</v>
      </c>
      <c r="AA3351" s="4">
        <v>10.9953457387752</v>
      </c>
      <c r="AB3351" s="4">
        <f t="shared" si="207"/>
        <v>11.8296535199216</v>
      </c>
    </row>
    <row r="3352" spans="24:28" x14ac:dyDescent="0.2">
      <c r="X3352" s="43" t="s">
        <v>614</v>
      </c>
      <c r="Y3352" s="4">
        <v>11.665862697622099</v>
      </c>
      <c r="Z3352" s="4">
        <v>11.8220038852981</v>
      </c>
      <c r="AA3352" s="4">
        <v>11.9979271453522</v>
      </c>
      <c r="AB3352" s="4">
        <f t="shared" si="207"/>
        <v>11.828597909424133</v>
      </c>
    </row>
    <row r="3353" spans="24:28" x14ac:dyDescent="0.2">
      <c r="X3353" s="43" t="s">
        <v>1027</v>
      </c>
      <c r="Y3353" s="4">
        <v>11.878798340227201</v>
      </c>
      <c r="Z3353" s="4">
        <v>11.67698803879</v>
      </c>
      <c r="AA3353" s="4">
        <v>11.894587937734199</v>
      </c>
      <c r="AB3353" s="4">
        <f t="shared" si="207"/>
        <v>11.816791438917134</v>
      </c>
    </row>
    <row r="3354" spans="24:28" x14ac:dyDescent="0.2">
      <c r="X3354" s="43" t="s">
        <v>3318</v>
      </c>
      <c r="Y3354" s="4">
        <v>11.961204078369899</v>
      </c>
      <c r="Z3354" s="4">
        <v>12.0910682360794</v>
      </c>
      <c r="AA3354" s="4">
        <v>11.387269573965799</v>
      </c>
      <c r="AB3354" s="4">
        <f t="shared" si="207"/>
        <v>11.813180629471697</v>
      </c>
    </row>
    <row r="3355" spans="24:28" x14ac:dyDescent="0.2">
      <c r="X3355" s="43" t="s">
        <v>3575</v>
      </c>
      <c r="Y3355" s="4">
        <v>12.1885282555271</v>
      </c>
      <c r="Z3355" s="4">
        <v>11.431321939065599</v>
      </c>
      <c r="AA3355" s="4">
        <v>11.793078608442199</v>
      </c>
      <c r="AB3355" s="4">
        <f t="shared" si="207"/>
        <v>11.804309601011633</v>
      </c>
    </row>
    <row r="3356" spans="24:28" x14ac:dyDescent="0.2">
      <c r="X3356" s="43" t="s">
        <v>4223</v>
      </c>
      <c r="Y3356" s="4">
        <v>12.169745722199</v>
      </c>
      <c r="Z3356" s="4">
        <v>11.2785407197818</v>
      </c>
      <c r="AA3356" s="4">
        <v>11.953374185453701</v>
      </c>
      <c r="AB3356" s="4">
        <f t="shared" si="207"/>
        <v>11.800553542478164</v>
      </c>
    </row>
    <row r="3357" spans="24:28" x14ac:dyDescent="0.2">
      <c r="X3357" s="43" t="s">
        <v>1469</v>
      </c>
      <c r="Y3357" s="4">
        <v>12.016677992052299</v>
      </c>
      <c r="Z3357" s="4">
        <v>11.089774885354499</v>
      </c>
      <c r="AA3357" s="4">
        <v>12.2913809141599</v>
      </c>
      <c r="AB3357" s="4">
        <f t="shared" si="207"/>
        <v>11.799277930522232</v>
      </c>
    </row>
    <row r="3358" spans="24:28" x14ac:dyDescent="0.2">
      <c r="X3358" s="43" t="s">
        <v>2981</v>
      </c>
      <c r="Y3358" s="4">
        <v>11.725400319077901</v>
      </c>
      <c r="Z3358" s="4">
        <v>11.7743232358012</v>
      </c>
      <c r="AA3358" s="4">
        <v>11.8972038680211</v>
      </c>
      <c r="AB3358" s="4">
        <f t="shared" si="207"/>
        <v>11.798975807633399</v>
      </c>
    </row>
    <row r="3359" spans="24:28" x14ac:dyDescent="0.2">
      <c r="X3359" s="43" t="s">
        <v>1111</v>
      </c>
      <c r="Y3359" s="4">
        <v>11.9460815369351</v>
      </c>
      <c r="Z3359" s="4">
        <v>11.824408220479601</v>
      </c>
      <c r="AA3359" s="4">
        <v>11.619531238767401</v>
      </c>
      <c r="AB3359" s="4">
        <f t="shared" si="207"/>
        <v>11.796673665394033</v>
      </c>
    </row>
    <row r="3360" spans="24:28" x14ac:dyDescent="0.2">
      <c r="X3360" s="43" t="s">
        <v>4333</v>
      </c>
      <c r="Y3360" s="4">
        <v>11.7549957227082</v>
      </c>
      <c r="Z3360" s="4">
        <v>11.369695642339799</v>
      </c>
      <c r="AA3360" s="4">
        <v>12.2588367381873</v>
      </c>
      <c r="AB3360" s="4">
        <f t="shared" si="207"/>
        <v>11.7945093677451</v>
      </c>
    </row>
    <row r="3361" spans="24:28" x14ac:dyDescent="0.2">
      <c r="X3361" s="43" t="s">
        <v>1124</v>
      </c>
      <c r="Y3361" s="4">
        <v>11.839230139534701</v>
      </c>
      <c r="Z3361" s="4">
        <v>11.815675387376199</v>
      </c>
      <c r="AA3361" s="4">
        <v>11.723181730100301</v>
      </c>
      <c r="AB3361" s="4">
        <f t="shared" si="207"/>
        <v>11.792695752337067</v>
      </c>
    </row>
    <row r="3362" spans="24:28" x14ac:dyDescent="0.2">
      <c r="X3362" s="43" t="s">
        <v>4453</v>
      </c>
      <c r="Y3362" s="4">
        <v>11.763247343129301</v>
      </c>
      <c r="Z3362" s="4">
        <v>11.707660073860101</v>
      </c>
      <c r="AA3362" s="4">
        <v>11.906606336102101</v>
      </c>
      <c r="AB3362" s="4">
        <f t="shared" si="207"/>
        <v>11.792504584363835</v>
      </c>
    </row>
    <row r="3363" spans="24:28" x14ac:dyDescent="0.2">
      <c r="X3363" s="43" t="s">
        <v>3463</v>
      </c>
      <c r="Y3363" s="4">
        <v>12.030515666018699</v>
      </c>
      <c r="Z3363" s="4">
        <v>11.9717396037864</v>
      </c>
      <c r="AA3363" s="4">
        <v>11.3522723786252</v>
      </c>
      <c r="AB3363" s="4">
        <f t="shared" si="207"/>
        <v>11.784842549476766</v>
      </c>
    </row>
    <row r="3364" spans="24:28" x14ac:dyDescent="0.2">
      <c r="X3364" s="43" t="s">
        <v>4320</v>
      </c>
      <c r="Y3364" s="4">
        <v>11.9478318255848</v>
      </c>
      <c r="Z3364" s="4">
        <v>11.822740850935499</v>
      </c>
      <c r="AA3364" s="4">
        <v>11.583309008820001</v>
      </c>
      <c r="AB3364" s="4">
        <f t="shared" si="207"/>
        <v>11.784627228446766</v>
      </c>
    </row>
    <row r="3365" spans="24:28" x14ac:dyDescent="0.2">
      <c r="X3365" s="43" t="s">
        <v>1132</v>
      </c>
      <c r="Y3365" s="4">
        <v>11.838831069262101</v>
      </c>
      <c r="Z3365" s="4">
        <v>11.3295602257128</v>
      </c>
      <c r="AA3365" s="4">
        <v>12.183531832822201</v>
      </c>
      <c r="AB3365" s="4">
        <f t="shared" si="207"/>
        <v>11.783974375932369</v>
      </c>
    </row>
    <row r="3366" spans="24:28" x14ac:dyDescent="0.2">
      <c r="X3366" s="43" t="s">
        <v>2195</v>
      </c>
      <c r="Y3366" s="4">
        <v>11.9505692032663</v>
      </c>
      <c r="Z3366" s="4">
        <v>11.891411234534299</v>
      </c>
      <c r="AA3366" s="4">
        <v>11.506078038807299</v>
      </c>
      <c r="AB3366" s="4">
        <f t="shared" si="207"/>
        <v>11.782686158869302</v>
      </c>
    </row>
    <row r="3367" spans="24:28" x14ac:dyDescent="0.2">
      <c r="X3367" s="43" t="s">
        <v>4149</v>
      </c>
      <c r="Y3367" s="4">
        <v>11.736057760672001</v>
      </c>
      <c r="Z3367" s="4">
        <v>11.9444679947645</v>
      </c>
      <c r="AA3367" s="4">
        <v>11.6601868296008</v>
      </c>
      <c r="AB3367" s="4">
        <f t="shared" si="207"/>
        <v>11.780237528345765</v>
      </c>
    </row>
    <row r="3368" spans="24:28" x14ac:dyDescent="0.2">
      <c r="X3368" s="43" t="s">
        <v>4377</v>
      </c>
      <c r="Y3368" s="4">
        <v>11.920763914443601</v>
      </c>
      <c r="Z3368" s="4">
        <v>11.3630798610954</v>
      </c>
      <c r="AA3368" s="4">
        <v>12.051927570652101</v>
      </c>
      <c r="AB3368" s="4">
        <f t="shared" si="207"/>
        <v>11.778590448730368</v>
      </c>
    </row>
    <row r="3369" spans="24:28" x14ac:dyDescent="0.2">
      <c r="X3369" s="43" t="s">
        <v>3406</v>
      </c>
      <c r="Y3369" s="4">
        <v>11.678193159547</v>
      </c>
      <c r="Z3369" s="4">
        <v>11.816251249782299</v>
      </c>
      <c r="AA3369" s="4">
        <v>11.833204354331601</v>
      </c>
      <c r="AB3369" s="4">
        <f t="shared" si="207"/>
        <v>11.775882921220299</v>
      </c>
    </row>
    <row r="3370" spans="24:28" x14ac:dyDescent="0.2">
      <c r="X3370" s="43" t="s">
        <v>4088</v>
      </c>
      <c r="Y3370" s="4">
        <v>12.1630334046713</v>
      </c>
      <c r="Z3370" s="4">
        <v>12.292042135605101</v>
      </c>
      <c r="AA3370" s="4">
        <v>10.868207306465701</v>
      </c>
      <c r="AB3370" s="4">
        <f t="shared" si="207"/>
        <v>11.7744276155807</v>
      </c>
    </row>
    <row r="3371" spans="24:28" x14ac:dyDescent="0.2">
      <c r="X3371" s="43" t="s">
        <v>2941</v>
      </c>
      <c r="Y3371" s="4">
        <v>12.004172371068201</v>
      </c>
      <c r="Z3371" s="4">
        <v>11.632805920613601</v>
      </c>
      <c r="AA3371" s="4">
        <v>11.6831828330827</v>
      </c>
      <c r="AB3371" s="4">
        <f t="shared" si="207"/>
        <v>11.773387041588165</v>
      </c>
    </row>
    <row r="3372" spans="24:28" x14ac:dyDescent="0.2">
      <c r="X3372" s="43" t="s">
        <v>2348</v>
      </c>
      <c r="Y3372" s="4">
        <v>11.774496670331899</v>
      </c>
      <c r="Z3372" s="4">
        <v>11.7318288661489</v>
      </c>
      <c r="AA3372" s="4">
        <v>11.7935536714315</v>
      </c>
      <c r="AB3372" s="4">
        <f t="shared" si="207"/>
        <v>11.766626402637433</v>
      </c>
    </row>
    <row r="3373" spans="24:28" x14ac:dyDescent="0.2">
      <c r="X3373" s="43" t="s">
        <v>4533</v>
      </c>
      <c r="Y3373" s="4">
        <v>11.7264345424382</v>
      </c>
      <c r="Z3373" s="4">
        <v>12.1538127570131</v>
      </c>
      <c r="AA3373" s="4">
        <v>11.411031086451301</v>
      </c>
      <c r="AB3373" s="4">
        <f t="shared" si="207"/>
        <v>11.763759461967533</v>
      </c>
    </row>
    <row r="3374" spans="24:28" x14ac:dyDescent="0.2">
      <c r="X3374" s="43" t="s">
        <v>121</v>
      </c>
      <c r="Y3374" s="4">
        <v>11.7062014064416</v>
      </c>
      <c r="Z3374" s="4">
        <v>11.692417714544399</v>
      </c>
      <c r="AA3374" s="4">
        <v>11.8911155845375</v>
      </c>
      <c r="AB3374" s="4">
        <f t="shared" si="207"/>
        <v>11.763244901841167</v>
      </c>
    </row>
    <row r="3375" spans="24:28" x14ac:dyDescent="0.2">
      <c r="X3375" s="43" t="s">
        <v>4191</v>
      </c>
      <c r="Y3375" s="4">
        <v>11.161856669842001</v>
      </c>
      <c r="Z3375" s="4">
        <v>11.573981397153499</v>
      </c>
      <c r="AA3375" s="4">
        <v>12.5409909424913</v>
      </c>
      <c r="AB3375" s="4">
        <f t="shared" si="207"/>
        <v>11.758943003162265</v>
      </c>
    </row>
    <row r="3376" spans="24:28" x14ac:dyDescent="0.2">
      <c r="X3376" s="43" t="s">
        <v>96</v>
      </c>
      <c r="Y3376" s="4">
        <v>11.565078057916701</v>
      </c>
      <c r="Z3376" s="4">
        <v>11.7246198912125</v>
      </c>
      <c r="AA3376" s="4">
        <v>11.983031728759499</v>
      </c>
      <c r="AB3376" s="4">
        <f t="shared" si="207"/>
        <v>11.757576559296233</v>
      </c>
    </row>
    <row r="3377" spans="24:28" x14ac:dyDescent="0.2">
      <c r="X3377" s="43" t="s">
        <v>339</v>
      </c>
      <c r="Y3377" s="4">
        <v>11.695403639827701</v>
      </c>
      <c r="Z3377" s="4">
        <v>11.504083587543899</v>
      </c>
      <c r="AA3377" s="4">
        <v>12.062808744709701</v>
      </c>
      <c r="AB3377" s="4">
        <f t="shared" si="207"/>
        <v>11.754098657360432</v>
      </c>
    </row>
    <row r="3378" spans="24:28" x14ac:dyDescent="0.2">
      <c r="X3378" s="43" t="s">
        <v>3473</v>
      </c>
      <c r="Y3378" s="4">
        <v>11.8947678646515</v>
      </c>
      <c r="Z3378" s="4">
        <v>11.554254909664101</v>
      </c>
      <c r="AA3378" s="4">
        <v>11.810288451078501</v>
      </c>
      <c r="AB3378" s="4">
        <f t="shared" si="207"/>
        <v>11.753103741798034</v>
      </c>
    </row>
    <row r="3379" spans="24:28" x14ac:dyDescent="0.2">
      <c r="X3379" s="43" t="s">
        <v>2737</v>
      </c>
      <c r="Y3379" s="4">
        <v>12.195417365663401</v>
      </c>
      <c r="Z3379" s="4">
        <v>11.3554157410536</v>
      </c>
      <c r="AA3379" s="4">
        <v>11.677239229777401</v>
      </c>
      <c r="AB3379" s="4">
        <f t="shared" si="207"/>
        <v>11.742690778831467</v>
      </c>
    </row>
    <row r="3380" spans="24:28" x14ac:dyDescent="0.2">
      <c r="X3380" s="43" t="s">
        <v>371</v>
      </c>
      <c r="Y3380" s="4">
        <v>11.4134167910399</v>
      </c>
      <c r="Z3380" s="4">
        <v>11.6817811550823</v>
      </c>
      <c r="AA3380" s="4">
        <v>12.1304231456523</v>
      </c>
      <c r="AB3380" s="4">
        <f t="shared" si="207"/>
        <v>11.741873697258166</v>
      </c>
    </row>
    <row r="3381" spans="24:28" x14ac:dyDescent="0.2">
      <c r="X3381" s="43" t="s">
        <v>1508</v>
      </c>
      <c r="Y3381" s="4">
        <v>11.9343903331579</v>
      </c>
      <c r="Z3381" s="4">
        <v>11.7442730920265</v>
      </c>
      <c r="AA3381" s="4">
        <v>11.529236427551799</v>
      </c>
      <c r="AB3381" s="4">
        <f t="shared" si="207"/>
        <v>11.735966617578732</v>
      </c>
    </row>
    <row r="3382" spans="24:28" x14ac:dyDescent="0.2">
      <c r="X3382" s="43" t="s">
        <v>4464</v>
      </c>
      <c r="Y3382" s="4">
        <v>11.6474224559148</v>
      </c>
      <c r="Z3382" s="4">
        <v>11.7725508118015</v>
      </c>
      <c r="AA3382" s="4">
        <v>11.7235482668709</v>
      </c>
      <c r="AB3382" s="4">
        <f t="shared" si="207"/>
        <v>11.714507178195733</v>
      </c>
    </row>
    <row r="3383" spans="24:28" x14ac:dyDescent="0.2">
      <c r="X3383" s="43" t="s">
        <v>2643</v>
      </c>
      <c r="Y3383" s="4">
        <v>11.949274236839001</v>
      </c>
      <c r="Z3383" s="4">
        <v>11.719910798580001</v>
      </c>
      <c r="AA3383" s="4">
        <v>11.460771942211201</v>
      </c>
      <c r="AB3383" s="4">
        <f t="shared" si="207"/>
        <v>11.709985659210068</v>
      </c>
    </row>
    <row r="3384" spans="24:28" x14ac:dyDescent="0.2">
      <c r="X3384" s="43" t="s">
        <v>1131</v>
      </c>
      <c r="Y3384" s="4">
        <v>11.6898812422549</v>
      </c>
      <c r="Z3384" s="4">
        <v>11.8607726159268</v>
      </c>
      <c r="AA3384" s="4">
        <v>11.571169813861401</v>
      </c>
      <c r="AB3384" s="4">
        <f t="shared" si="207"/>
        <v>11.7072745573477</v>
      </c>
    </row>
    <row r="3385" spans="24:28" x14ac:dyDescent="0.2">
      <c r="X3385" s="43" t="s">
        <v>4310</v>
      </c>
      <c r="Y3385" s="4">
        <v>11.574043698960599</v>
      </c>
      <c r="Z3385" s="4">
        <v>11.7513827603113</v>
      </c>
      <c r="AA3385" s="4">
        <v>11.7925610981435</v>
      </c>
      <c r="AB3385" s="4">
        <f t="shared" si="207"/>
        <v>11.7059958524718</v>
      </c>
    </row>
    <row r="3386" spans="24:28" x14ac:dyDescent="0.2">
      <c r="X3386" s="43" t="s">
        <v>1427</v>
      </c>
      <c r="Y3386" s="4">
        <v>10.3068293976034</v>
      </c>
      <c r="Z3386" s="4">
        <v>12.2715213739188</v>
      </c>
      <c r="AA3386" s="4">
        <v>12.5330010237249</v>
      </c>
      <c r="AB3386" s="4">
        <f t="shared" si="207"/>
        <v>11.703783931749035</v>
      </c>
    </row>
    <row r="3387" spans="24:28" x14ac:dyDescent="0.2">
      <c r="X3387" s="43" t="s">
        <v>472</v>
      </c>
      <c r="Y3387" s="4">
        <v>11.601004390466199</v>
      </c>
      <c r="Z3387" s="4">
        <v>11.6405750655753</v>
      </c>
      <c r="AA3387" s="4">
        <v>11.8660969094934</v>
      </c>
      <c r="AB3387" s="4">
        <f t="shared" si="207"/>
        <v>11.702558788511633</v>
      </c>
    </row>
    <row r="3388" spans="24:28" x14ac:dyDescent="0.2">
      <c r="X3388" s="43" t="s">
        <v>3994</v>
      </c>
      <c r="Y3388" s="4">
        <v>11.6603820299435</v>
      </c>
      <c r="Z3388" s="4">
        <v>11.9381004996528</v>
      </c>
      <c r="AA3388" s="4">
        <v>11.501333153287399</v>
      </c>
      <c r="AB3388" s="4">
        <f t="shared" si="207"/>
        <v>11.699938560961234</v>
      </c>
    </row>
    <row r="3389" spans="24:28" x14ac:dyDescent="0.2">
      <c r="X3389" s="43" t="s">
        <v>4462</v>
      </c>
      <c r="Y3389" s="4">
        <v>11.8237309878063</v>
      </c>
      <c r="Z3389" s="4">
        <v>11.729893060740901</v>
      </c>
      <c r="AA3389" s="4">
        <v>11.538616940427</v>
      </c>
      <c r="AB3389" s="4">
        <f t="shared" si="207"/>
        <v>11.6974136629914</v>
      </c>
    </row>
    <row r="3390" spans="24:28" x14ac:dyDescent="0.2">
      <c r="X3390" s="43" t="s">
        <v>4131</v>
      </c>
      <c r="Y3390" s="4">
        <v>11.780684293668701</v>
      </c>
      <c r="Z3390" s="4">
        <v>11.671369950278701</v>
      </c>
      <c r="AA3390" s="4">
        <v>11.6337250863719</v>
      </c>
      <c r="AB3390" s="4">
        <f t="shared" si="207"/>
        <v>11.695259776773099</v>
      </c>
    </row>
    <row r="3391" spans="24:28" x14ac:dyDescent="0.2">
      <c r="X3391" s="43" t="s">
        <v>639</v>
      </c>
      <c r="Y3391" s="4">
        <v>11.5325660950955</v>
      </c>
      <c r="Z3391" s="4">
        <v>11.7515606832161</v>
      </c>
      <c r="AA3391" s="4">
        <v>11.766089077519499</v>
      </c>
      <c r="AB3391" s="4">
        <f t="shared" si="207"/>
        <v>11.683405285277033</v>
      </c>
    </row>
    <row r="3392" spans="24:28" x14ac:dyDescent="0.2">
      <c r="X3392" s="43" t="s">
        <v>4607</v>
      </c>
      <c r="Y3392" s="4">
        <v>11.8306614052354</v>
      </c>
      <c r="Z3392" s="4">
        <v>11.5890834642077</v>
      </c>
      <c r="AA3392" s="4">
        <v>11.629206181233</v>
      </c>
      <c r="AB3392" s="4">
        <f t="shared" si="207"/>
        <v>11.682983683558701</v>
      </c>
    </row>
    <row r="3393" spans="24:28" x14ac:dyDescent="0.2">
      <c r="X3393" s="43" t="s">
        <v>3895</v>
      </c>
      <c r="Y3393" s="4">
        <v>11.6863381442075</v>
      </c>
      <c r="Z3393" s="4">
        <v>11.0733947449322</v>
      </c>
      <c r="AA3393" s="4">
        <v>12.2857029487283</v>
      </c>
      <c r="AB3393" s="4">
        <f t="shared" si="207"/>
        <v>11.681811945955999</v>
      </c>
    </row>
    <row r="3394" spans="24:28" x14ac:dyDescent="0.2">
      <c r="X3394" s="43" t="s">
        <v>3120</v>
      </c>
      <c r="Y3394" s="4">
        <v>12.3339322666375</v>
      </c>
      <c r="Z3394" s="4">
        <v>12.374352044386301</v>
      </c>
      <c r="AA3394" s="4">
        <v>10.327324720843899</v>
      </c>
      <c r="AB3394" s="4">
        <f t="shared" ref="AB3394:AB3457" si="208">(Y3394+Z3394+AA3394)/3</f>
        <v>11.6785363439559</v>
      </c>
    </row>
    <row r="3395" spans="24:28" x14ac:dyDescent="0.2">
      <c r="X3395" s="43" t="s">
        <v>4227</v>
      </c>
      <c r="Y3395" s="4">
        <v>11.9558103387192</v>
      </c>
      <c r="Z3395" s="4">
        <v>11.623146619737399</v>
      </c>
      <c r="AA3395" s="4">
        <v>11.4541390044692</v>
      </c>
      <c r="AB3395" s="4">
        <f t="shared" si="208"/>
        <v>11.6776986543086</v>
      </c>
    </row>
    <row r="3396" spans="24:28" x14ac:dyDescent="0.2">
      <c r="X3396" s="43" t="s">
        <v>4262</v>
      </c>
      <c r="Y3396" s="4">
        <v>11.805739079420899</v>
      </c>
      <c r="Z3396" s="4">
        <v>11.555534034708201</v>
      </c>
      <c r="AA3396" s="4">
        <v>11.669091842576</v>
      </c>
      <c r="AB3396" s="4">
        <f t="shared" si="208"/>
        <v>11.6767883189017</v>
      </c>
    </row>
    <row r="3397" spans="24:28" x14ac:dyDescent="0.2">
      <c r="X3397" s="43" t="s">
        <v>819</v>
      </c>
      <c r="Y3397" s="4">
        <v>11.364076615073699</v>
      </c>
      <c r="Z3397" s="4">
        <v>11.848156311723701</v>
      </c>
      <c r="AA3397" s="4">
        <v>11.814405290641099</v>
      </c>
      <c r="AB3397" s="4">
        <f t="shared" si="208"/>
        <v>11.675546072479499</v>
      </c>
    </row>
    <row r="3398" spans="24:28" x14ac:dyDescent="0.2">
      <c r="X3398" s="43" t="s">
        <v>2221</v>
      </c>
      <c r="Y3398" s="4">
        <v>11.4724968226065</v>
      </c>
      <c r="Z3398" s="4">
        <v>11.2462922804781</v>
      </c>
      <c r="AA3398" s="4">
        <v>12.3074993399285</v>
      </c>
      <c r="AB3398" s="4">
        <f t="shared" si="208"/>
        <v>11.675429481004366</v>
      </c>
    </row>
    <row r="3399" spans="24:28" x14ac:dyDescent="0.2">
      <c r="X3399" s="43" t="s">
        <v>3286</v>
      </c>
      <c r="Y3399" s="4">
        <v>11.9121275508303</v>
      </c>
      <c r="Z3399" s="4">
        <v>11.624066870154399</v>
      </c>
      <c r="AA3399" s="4">
        <v>11.486972862203601</v>
      </c>
      <c r="AB3399" s="4">
        <f t="shared" si="208"/>
        <v>11.6743890943961</v>
      </c>
    </row>
    <row r="3400" spans="24:28" x14ac:dyDescent="0.2">
      <c r="X3400" s="43" t="s">
        <v>2343</v>
      </c>
      <c r="Y3400" s="4">
        <v>12.0139227581304</v>
      </c>
      <c r="Z3400" s="4">
        <v>11.051324041398599</v>
      </c>
      <c r="AA3400" s="4">
        <v>11.954006987204799</v>
      </c>
      <c r="AB3400" s="4">
        <f t="shared" si="208"/>
        <v>11.673084595577933</v>
      </c>
    </row>
    <row r="3401" spans="24:28" x14ac:dyDescent="0.2">
      <c r="X3401" s="43" t="s">
        <v>4458</v>
      </c>
      <c r="Y3401" s="4">
        <v>11.6818120770885</v>
      </c>
      <c r="Z3401" s="4">
        <v>10.894492481786701</v>
      </c>
      <c r="AA3401" s="4">
        <v>12.4331006170029</v>
      </c>
      <c r="AB3401" s="4">
        <f t="shared" si="208"/>
        <v>11.6698017252927</v>
      </c>
    </row>
    <row r="3402" spans="24:28" x14ac:dyDescent="0.2">
      <c r="X3402" s="43" t="s">
        <v>4183</v>
      </c>
      <c r="Y3402" s="4">
        <v>11.582538405764801</v>
      </c>
      <c r="Z3402" s="4">
        <v>11.516168650474301</v>
      </c>
      <c r="AA3402" s="4">
        <v>11.861289777013999</v>
      </c>
      <c r="AB3402" s="4">
        <f t="shared" si="208"/>
        <v>11.653332277751034</v>
      </c>
    </row>
    <row r="3403" spans="24:28" x14ac:dyDescent="0.2">
      <c r="X3403" s="43" t="s">
        <v>2701</v>
      </c>
      <c r="Y3403" s="4">
        <v>11.6612301756929</v>
      </c>
      <c r="Z3403" s="4">
        <v>11.5619599946517</v>
      </c>
      <c r="AA3403" s="4">
        <v>11.714438824224001</v>
      </c>
      <c r="AB3403" s="4">
        <f t="shared" si="208"/>
        <v>11.645876331522865</v>
      </c>
    </row>
    <row r="3404" spans="24:28" x14ac:dyDescent="0.2">
      <c r="X3404" s="43" t="s">
        <v>2246</v>
      </c>
      <c r="Y3404" s="4">
        <v>11.338742769845799</v>
      </c>
      <c r="Z3404" s="4">
        <v>11.642455032325399</v>
      </c>
      <c r="AA3404" s="4">
        <v>11.9346621355567</v>
      </c>
      <c r="AB3404" s="4">
        <f t="shared" si="208"/>
        <v>11.638619979242634</v>
      </c>
    </row>
    <row r="3405" spans="24:28" x14ac:dyDescent="0.2">
      <c r="X3405" s="43" t="s">
        <v>196</v>
      </c>
      <c r="Y3405" s="4">
        <v>11.992326706230401</v>
      </c>
      <c r="Z3405" s="4">
        <v>11.6270801105057</v>
      </c>
      <c r="AA3405" s="4">
        <v>11.2908209361792</v>
      </c>
      <c r="AB3405" s="4">
        <f t="shared" si="208"/>
        <v>11.636742584305102</v>
      </c>
    </row>
    <row r="3406" spans="24:28" x14ac:dyDescent="0.2">
      <c r="X3406" s="43" t="s">
        <v>3745</v>
      </c>
      <c r="Y3406" s="4">
        <v>11.959685102738099</v>
      </c>
      <c r="Z3406" s="4">
        <v>11.2730312125754</v>
      </c>
      <c r="AA3406" s="4">
        <v>11.6523456313781</v>
      </c>
      <c r="AB3406" s="4">
        <f t="shared" si="208"/>
        <v>11.628353982230534</v>
      </c>
    </row>
    <row r="3407" spans="24:28" x14ac:dyDescent="0.2">
      <c r="X3407" s="43" t="s">
        <v>992</v>
      </c>
      <c r="Y3407" s="4">
        <v>11.7866916727489</v>
      </c>
      <c r="Z3407" s="4">
        <v>11.244239925823299</v>
      </c>
      <c r="AA3407" s="4">
        <v>11.849759185428599</v>
      </c>
      <c r="AB3407" s="4">
        <f t="shared" si="208"/>
        <v>11.626896928000265</v>
      </c>
    </row>
    <row r="3408" spans="24:28" x14ac:dyDescent="0.2">
      <c r="X3408" s="43" t="s">
        <v>1225</v>
      </c>
      <c r="Y3408" s="4">
        <v>11.5195526666277</v>
      </c>
      <c r="Z3408" s="4">
        <v>11.049619502889399</v>
      </c>
      <c r="AA3408" s="4">
        <v>12.311043594675599</v>
      </c>
      <c r="AB3408" s="4">
        <f t="shared" si="208"/>
        <v>11.626738588064233</v>
      </c>
    </row>
    <row r="3409" spans="24:28" x14ac:dyDescent="0.2">
      <c r="X3409" s="43" t="s">
        <v>4171</v>
      </c>
      <c r="Y3409" s="4">
        <v>11.4558568873939</v>
      </c>
      <c r="Z3409" s="4">
        <v>11.786004606573</v>
      </c>
      <c r="AA3409" s="4">
        <v>11.6297548258103</v>
      </c>
      <c r="AB3409" s="4">
        <f t="shared" si="208"/>
        <v>11.623872106592401</v>
      </c>
    </row>
    <row r="3410" spans="24:28" x14ac:dyDescent="0.2">
      <c r="X3410" s="43" t="s">
        <v>3172</v>
      </c>
      <c r="Y3410" s="4">
        <v>11.745817706292</v>
      </c>
      <c r="Z3410" s="4">
        <v>11.7169481444851</v>
      </c>
      <c r="AA3410" s="4">
        <v>11.4074951535683</v>
      </c>
      <c r="AB3410" s="4">
        <f t="shared" si="208"/>
        <v>11.6234203347818</v>
      </c>
    </row>
    <row r="3411" spans="24:28" x14ac:dyDescent="0.2">
      <c r="X3411" s="43" t="s">
        <v>820</v>
      </c>
      <c r="Y3411" s="4">
        <v>11.4131954547611</v>
      </c>
      <c r="Z3411" s="4">
        <v>11.974869162973</v>
      </c>
      <c r="AA3411" s="4">
        <v>11.4680959023789</v>
      </c>
      <c r="AB3411" s="4">
        <f t="shared" si="208"/>
        <v>11.618720173371001</v>
      </c>
    </row>
    <row r="3412" spans="24:28" x14ac:dyDescent="0.2">
      <c r="X3412" s="43" t="s">
        <v>4256</v>
      </c>
      <c r="Y3412" s="4">
        <v>11.835247431859599</v>
      </c>
      <c r="Z3412" s="4">
        <v>11.199009933546501</v>
      </c>
      <c r="AA3412" s="4">
        <v>11.8160318820004</v>
      </c>
      <c r="AB3412" s="4">
        <f t="shared" si="208"/>
        <v>11.616763082468834</v>
      </c>
    </row>
    <row r="3413" spans="24:28" x14ac:dyDescent="0.2">
      <c r="X3413" s="43" t="s">
        <v>1192</v>
      </c>
      <c r="Y3413" s="4">
        <v>11.526671513651999</v>
      </c>
      <c r="Z3413" s="4">
        <v>11.690861131776099</v>
      </c>
      <c r="AA3413" s="4">
        <v>11.632219249593</v>
      </c>
      <c r="AB3413" s="4">
        <f t="shared" si="208"/>
        <v>11.616583965007033</v>
      </c>
    </row>
    <row r="3414" spans="24:28" x14ac:dyDescent="0.2">
      <c r="X3414" s="43" t="s">
        <v>1492</v>
      </c>
      <c r="Y3414" s="4">
        <v>11.6121383217809</v>
      </c>
      <c r="Z3414" s="4">
        <v>11.308083141741101</v>
      </c>
      <c r="AA3414" s="4">
        <v>11.888335772602099</v>
      </c>
      <c r="AB3414" s="4">
        <f t="shared" si="208"/>
        <v>11.602852412041367</v>
      </c>
    </row>
    <row r="3415" spans="24:28" x14ac:dyDescent="0.2">
      <c r="X3415" s="43" t="s">
        <v>4350</v>
      </c>
      <c r="Y3415" s="4">
        <v>11.888084999927299</v>
      </c>
      <c r="Z3415" s="4">
        <v>11.598651357065</v>
      </c>
      <c r="AA3415" s="4">
        <v>11.239538814485099</v>
      </c>
      <c r="AB3415" s="4">
        <f t="shared" si="208"/>
        <v>11.575425057159132</v>
      </c>
    </row>
    <row r="3416" spans="24:28" x14ac:dyDescent="0.2">
      <c r="X3416" s="43" t="s">
        <v>536</v>
      </c>
      <c r="Y3416" s="4">
        <v>11.7050797950484</v>
      </c>
      <c r="Z3416" s="4">
        <v>11.158108950908201</v>
      </c>
      <c r="AA3416" s="4">
        <v>11.818588651216601</v>
      </c>
      <c r="AB3416" s="4">
        <f t="shared" si="208"/>
        <v>11.560592465724399</v>
      </c>
    </row>
    <row r="3417" spans="24:28" x14ac:dyDescent="0.2">
      <c r="X3417" s="43" t="s">
        <v>3298</v>
      </c>
      <c r="Y3417" s="4">
        <v>11.7341910020093</v>
      </c>
      <c r="Z3417" s="4">
        <v>10.8698711832357</v>
      </c>
      <c r="AA3417" s="4">
        <v>12.0695745379493</v>
      </c>
      <c r="AB3417" s="4">
        <f t="shared" si="208"/>
        <v>11.557878907731434</v>
      </c>
    </row>
    <row r="3418" spans="24:28" x14ac:dyDescent="0.2">
      <c r="X3418" s="43" t="s">
        <v>4590</v>
      </c>
      <c r="Y3418" s="4">
        <v>11.456149769893299</v>
      </c>
      <c r="Z3418" s="4">
        <v>11.2736501558076</v>
      </c>
      <c r="AA3418" s="4">
        <v>11.919879148167199</v>
      </c>
      <c r="AB3418" s="4">
        <f t="shared" si="208"/>
        <v>11.549893024622699</v>
      </c>
    </row>
    <row r="3419" spans="24:28" x14ac:dyDescent="0.2">
      <c r="X3419" s="43" t="s">
        <v>643</v>
      </c>
      <c r="Y3419" s="4">
        <v>11.227658882767599</v>
      </c>
      <c r="Z3419" s="4">
        <v>11.467066758327499</v>
      </c>
      <c r="AA3419" s="4">
        <v>11.9503498127819</v>
      </c>
      <c r="AB3419" s="4">
        <f t="shared" si="208"/>
        <v>11.548358484625666</v>
      </c>
    </row>
    <row r="3420" spans="24:28" x14ac:dyDescent="0.2">
      <c r="X3420" s="43" t="s">
        <v>890</v>
      </c>
      <c r="Y3420" s="4">
        <v>11.8199638291841</v>
      </c>
      <c r="Z3420" s="4">
        <v>10.8735287728393</v>
      </c>
      <c r="AA3420" s="4">
        <v>11.948534092488501</v>
      </c>
      <c r="AB3420" s="4">
        <f t="shared" si="208"/>
        <v>11.547342231503967</v>
      </c>
    </row>
    <row r="3421" spans="24:28" x14ac:dyDescent="0.2">
      <c r="X3421" s="43" t="s">
        <v>4241</v>
      </c>
      <c r="Y3421" s="4">
        <v>11.601722654179399</v>
      </c>
      <c r="Z3421" s="4">
        <v>11.0346525869461</v>
      </c>
      <c r="AA3421" s="4">
        <v>11.984878230146499</v>
      </c>
      <c r="AB3421" s="4">
        <f t="shared" si="208"/>
        <v>11.540417823757332</v>
      </c>
    </row>
    <row r="3422" spans="24:28" x14ac:dyDescent="0.2">
      <c r="X3422" s="43" t="s">
        <v>644</v>
      </c>
      <c r="Y3422" s="4">
        <v>11.413544908432501</v>
      </c>
      <c r="Z3422" s="4">
        <v>11.5353730700486</v>
      </c>
      <c r="AA3422" s="4">
        <v>11.6575802849227</v>
      </c>
      <c r="AB3422" s="4">
        <f t="shared" si="208"/>
        <v>11.535499421134601</v>
      </c>
    </row>
    <row r="3423" spans="24:28" x14ac:dyDescent="0.2">
      <c r="X3423" s="43" t="s">
        <v>4530</v>
      </c>
      <c r="Y3423" s="4">
        <v>11.243424603568201</v>
      </c>
      <c r="Z3423" s="4">
        <v>11.5634468920356</v>
      </c>
      <c r="AA3423" s="4">
        <v>11.7758581698846</v>
      </c>
      <c r="AB3423" s="4">
        <f t="shared" si="208"/>
        <v>11.527576555162801</v>
      </c>
    </row>
    <row r="3424" spans="24:28" x14ac:dyDescent="0.2">
      <c r="X3424" s="43" t="s">
        <v>642</v>
      </c>
      <c r="Y3424" s="4">
        <v>11.5431497402815</v>
      </c>
      <c r="Z3424" s="4">
        <v>10.6790475561465</v>
      </c>
      <c r="AA3424" s="4">
        <v>12.340538891906199</v>
      </c>
      <c r="AB3424" s="4">
        <f t="shared" si="208"/>
        <v>11.520912062778066</v>
      </c>
    </row>
    <row r="3425" spans="24:28" x14ac:dyDescent="0.2">
      <c r="X3425" s="43" t="s">
        <v>90</v>
      </c>
      <c r="Y3425" s="4">
        <v>11.475720890707301</v>
      </c>
      <c r="Z3425" s="4">
        <v>11.2290962658174</v>
      </c>
      <c r="AA3425" s="4">
        <v>11.831405907933201</v>
      </c>
      <c r="AB3425" s="4">
        <f t="shared" si="208"/>
        <v>11.512074354819299</v>
      </c>
    </row>
    <row r="3426" spans="24:28" x14ac:dyDescent="0.2">
      <c r="X3426" s="43" t="s">
        <v>4004</v>
      </c>
      <c r="Y3426" s="4">
        <v>11.905223814573301</v>
      </c>
      <c r="Z3426" s="4">
        <v>11.0032813008887</v>
      </c>
      <c r="AA3426" s="4">
        <v>11.590691629980901</v>
      </c>
      <c r="AB3426" s="4">
        <f t="shared" si="208"/>
        <v>11.499732248480967</v>
      </c>
    </row>
    <row r="3427" spans="24:28" x14ac:dyDescent="0.2">
      <c r="X3427" s="43" t="s">
        <v>4582</v>
      </c>
      <c r="Y3427" s="4">
        <v>11.214788295412699</v>
      </c>
      <c r="Z3427" s="4">
        <v>11.3427684783057</v>
      </c>
      <c r="AA3427" s="4">
        <v>11.9271948184471</v>
      </c>
      <c r="AB3427" s="4">
        <f t="shared" si="208"/>
        <v>11.494917197388501</v>
      </c>
    </row>
    <row r="3428" spans="24:28" x14ac:dyDescent="0.2">
      <c r="X3428" s="43" t="s">
        <v>4375</v>
      </c>
      <c r="Y3428" s="4">
        <v>11.596369850797499</v>
      </c>
      <c r="Z3428" s="4">
        <v>11.351826678123301</v>
      </c>
      <c r="AA3428" s="4">
        <v>11.5214971381038</v>
      </c>
      <c r="AB3428" s="4">
        <f t="shared" si="208"/>
        <v>11.4898978890082</v>
      </c>
    </row>
    <row r="3429" spans="24:28" x14ac:dyDescent="0.2">
      <c r="X3429" s="43" t="s">
        <v>2466</v>
      </c>
      <c r="Y3429" s="4">
        <v>11.566897187943001</v>
      </c>
      <c r="Z3429" s="4">
        <v>10.8565737030533</v>
      </c>
      <c r="AA3429" s="4">
        <v>12.0299722121876</v>
      </c>
      <c r="AB3429" s="4">
        <f t="shared" si="208"/>
        <v>11.484481034394634</v>
      </c>
    </row>
    <row r="3430" spans="24:28" x14ac:dyDescent="0.2">
      <c r="X3430" s="43" t="s">
        <v>4146</v>
      </c>
      <c r="Y3430" s="4">
        <v>11.7229125178449</v>
      </c>
      <c r="Z3430" s="4">
        <v>11.0073299907483</v>
      </c>
      <c r="AA3430" s="4">
        <v>11.7094871489589</v>
      </c>
      <c r="AB3430" s="4">
        <f t="shared" si="208"/>
        <v>11.4799098858507</v>
      </c>
    </row>
    <row r="3431" spans="24:28" x14ac:dyDescent="0.2">
      <c r="X3431" s="43" t="s">
        <v>2358</v>
      </c>
      <c r="Y3431" s="4">
        <v>11.4475313690224</v>
      </c>
      <c r="Z3431" s="4">
        <v>11.4291961630282</v>
      </c>
      <c r="AA3431" s="4">
        <v>11.553732889700299</v>
      </c>
      <c r="AB3431" s="4">
        <f t="shared" si="208"/>
        <v>11.476820140583634</v>
      </c>
    </row>
    <row r="3432" spans="24:28" x14ac:dyDescent="0.2">
      <c r="X3432" s="43" t="s">
        <v>1646</v>
      </c>
      <c r="Y3432" s="4">
        <v>11.537751465585901</v>
      </c>
      <c r="Z3432" s="4">
        <v>11.3857268412766</v>
      </c>
      <c r="AA3432" s="4">
        <v>11.4956850192661</v>
      </c>
      <c r="AB3432" s="4">
        <f t="shared" si="208"/>
        <v>11.473054442042866</v>
      </c>
    </row>
    <row r="3433" spans="24:28" x14ac:dyDescent="0.2">
      <c r="X3433" s="43" t="s">
        <v>4491</v>
      </c>
      <c r="Y3433" s="4">
        <v>11.668060275847299</v>
      </c>
      <c r="Z3433" s="4">
        <v>11.1403479838861</v>
      </c>
      <c r="AA3433" s="4">
        <v>11.6081586133164</v>
      </c>
      <c r="AB3433" s="4">
        <f t="shared" si="208"/>
        <v>11.472188957683265</v>
      </c>
    </row>
    <row r="3434" spans="24:28" x14ac:dyDescent="0.2">
      <c r="X3434" s="43" t="s">
        <v>3724</v>
      </c>
      <c r="Y3434" s="4">
        <v>11.439340725205099</v>
      </c>
      <c r="Z3434" s="4">
        <v>11.2063318203618</v>
      </c>
      <c r="AA3434" s="4">
        <v>11.7541056156251</v>
      </c>
      <c r="AB3434" s="4">
        <f t="shared" si="208"/>
        <v>11.466592720397335</v>
      </c>
    </row>
    <row r="3435" spans="24:28" x14ac:dyDescent="0.2">
      <c r="X3435" s="43" t="s">
        <v>4311</v>
      </c>
      <c r="Y3435" s="4">
        <v>11.526855602465499</v>
      </c>
      <c r="Z3435" s="4">
        <v>11.3427011253495</v>
      </c>
      <c r="AA3435" s="4">
        <v>11.513647178802801</v>
      </c>
      <c r="AB3435" s="4">
        <f t="shared" si="208"/>
        <v>11.4610679688726</v>
      </c>
    </row>
    <row r="3436" spans="24:28" x14ac:dyDescent="0.2">
      <c r="X3436" s="43" t="s">
        <v>3671</v>
      </c>
      <c r="Y3436" s="4">
        <v>11.6374689071202</v>
      </c>
      <c r="Z3436" s="4">
        <v>11.0529973697667</v>
      </c>
      <c r="AA3436" s="4">
        <v>11.6647156629775</v>
      </c>
      <c r="AB3436" s="4">
        <f t="shared" si="208"/>
        <v>11.451727313288133</v>
      </c>
    </row>
    <row r="3437" spans="24:28" x14ac:dyDescent="0.2">
      <c r="X3437" s="43" t="s">
        <v>50</v>
      </c>
      <c r="Y3437" s="4">
        <v>11.9043880708053</v>
      </c>
      <c r="Z3437" s="4">
        <v>10.8318045619716</v>
      </c>
      <c r="AA3437" s="4">
        <v>11.603112423193499</v>
      </c>
      <c r="AB3437" s="4">
        <f t="shared" si="208"/>
        <v>11.4464350186568</v>
      </c>
    </row>
    <row r="3438" spans="24:28" x14ac:dyDescent="0.2">
      <c r="X3438" s="43" t="s">
        <v>4188</v>
      </c>
      <c r="Y3438" s="4">
        <v>11.7083793208541</v>
      </c>
      <c r="Z3438" s="4">
        <v>10.9416168792186</v>
      </c>
      <c r="AA3438" s="4">
        <v>11.6651551496269</v>
      </c>
      <c r="AB3438" s="4">
        <f t="shared" si="208"/>
        <v>11.438383783233199</v>
      </c>
    </row>
    <row r="3439" spans="24:28" x14ac:dyDescent="0.2">
      <c r="X3439" s="43" t="s">
        <v>82</v>
      </c>
      <c r="Y3439" s="4">
        <v>11.6872251180862</v>
      </c>
      <c r="Z3439" s="4">
        <v>10.8080779074718</v>
      </c>
      <c r="AA3439" s="4">
        <v>11.7989809523883</v>
      </c>
      <c r="AB3439" s="4">
        <f t="shared" si="208"/>
        <v>11.431427992648766</v>
      </c>
    </row>
    <row r="3440" spans="24:28" x14ac:dyDescent="0.2">
      <c r="X3440" s="43" t="s">
        <v>4154</v>
      </c>
      <c r="Y3440" s="4">
        <v>11.854296008152801</v>
      </c>
      <c r="Z3440" s="4">
        <v>10.7743199523788</v>
      </c>
      <c r="AA3440" s="4">
        <v>11.659731021773</v>
      </c>
      <c r="AB3440" s="4">
        <f t="shared" si="208"/>
        <v>11.429448994101534</v>
      </c>
    </row>
    <row r="3441" spans="24:28" x14ac:dyDescent="0.2">
      <c r="X3441" s="43" t="s">
        <v>1777</v>
      </c>
      <c r="Y3441" s="4">
        <v>11.8232912469855</v>
      </c>
      <c r="Z3441" s="4">
        <v>10.7881735441893</v>
      </c>
      <c r="AA3441" s="4">
        <v>11.674722778024501</v>
      </c>
      <c r="AB3441" s="4">
        <f t="shared" si="208"/>
        <v>11.428729189733099</v>
      </c>
    </row>
    <row r="3442" spans="24:28" x14ac:dyDescent="0.2">
      <c r="X3442" s="43" t="s">
        <v>821</v>
      </c>
      <c r="Y3442" s="4">
        <v>11.1136122695506</v>
      </c>
      <c r="Z3442" s="4">
        <v>11.5246100605842</v>
      </c>
      <c r="AA3442" s="4">
        <v>11.6156343813145</v>
      </c>
      <c r="AB3442" s="4">
        <f t="shared" si="208"/>
        <v>11.417952237149768</v>
      </c>
    </row>
    <row r="3443" spans="24:28" x14ac:dyDescent="0.2">
      <c r="X3443" s="43" t="s">
        <v>17</v>
      </c>
      <c r="Y3443" s="4">
        <v>11.1376467578829</v>
      </c>
      <c r="Z3443" s="4">
        <v>11.005395725922799</v>
      </c>
      <c r="AA3443" s="4">
        <v>12.066603812068101</v>
      </c>
      <c r="AB3443" s="4">
        <f t="shared" si="208"/>
        <v>11.403215431957934</v>
      </c>
    </row>
    <row r="3444" spans="24:28" x14ac:dyDescent="0.2">
      <c r="X3444" s="43" t="s">
        <v>4537</v>
      </c>
      <c r="Y3444" s="4">
        <v>11.8653840635727</v>
      </c>
      <c r="Z3444" s="4">
        <v>11.428367503973901</v>
      </c>
      <c r="AA3444" s="4">
        <v>10.9021428878339</v>
      </c>
      <c r="AB3444" s="4">
        <f t="shared" si="208"/>
        <v>11.398631485126833</v>
      </c>
    </row>
    <row r="3445" spans="24:28" x14ac:dyDescent="0.2">
      <c r="X3445" s="43" t="s">
        <v>187</v>
      </c>
      <c r="Y3445" s="4">
        <v>11.393701230209601</v>
      </c>
      <c r="Z3445" s="4">
        <v>11.440871147515001</v>
      </c>
      <c r="AA3445" s="4">
        <v>11.3612694895911</v>
      </c>
      <c r="AB3445" s="4">
        <f t="shared" si="208"/>
        <v>11.3986139557719</v>
      </c>
    </row>
    <row r="3446" spans="24:28" x14ac:dyDescent="0.2">
      <c r="X3446" s="43" t="s">
        <v>2983</v>
      </c>
      <c r="Y3446" s="4">
        <v>11.688520381296399</v>
      </c>
      <c r="Z3446" s="4">
        <v>11.811868682720499</v>
      </c>
      <c r="AA3446" s="4">
        <v>10.6516686918215</v>
      </c>
      <c r="AB3446" s="4">
        <f t="shared" si="208"/>
        <v>11.384019251946134</v>
      </c>
    </row>
    <row r="3447" spans="24:28" x14ac:dyDescent="0.2">
      <c r="X3447" s="43" t="s">
        <v>931</v>
      </c>
      <c r="Y3447" s="4">
        <v>11.5334966236338</v>
      </c>
      <c r="Z3447" s="4">
        <v>11.424165122095999</v>
      </c>
      <c r="AA3447" s="4">
        <v>11.1919185080146</v>
      </c>
      <c r="AB3447" s="4">
        <f t="shared" si="208"/>
        <v>11.383193417914802</v>
      </c>
    </row>
    <row r="3448" spans="24:28" x14ac:dyDescent="0.2">
      <c r="X3448" s="43" t="s">
        <v>4535</v>
      </c>
      <c r="Y3448" s="4">
        <v>11.490019476245701</v>
      </c>
      <c r="Z3448" s="4">
        <v>11.052380677247401</v>
      </c>
      <c r="AA3448" s="4">
        <v>11.5796596362702</v>
      </c>
      <c r="AB3448" s="4">
        <f t="shared" si="208"/>
        <v>11.374019929921099</v>
      </c>
    </row>
    <row r="3449" spans="24:28" x14ac:dyDescent="0.2">
      <c r="X3449" s="43" t="s">
        <v>4356</v>
      </c>
      <c r="Y3449" s="4">
        <v>11.3022431102955</v>
      </c>
      <c r="Z3449" s="4">
        <v>11.610014481381301</v>
      </c>
      <c r="AA3449" s="4">
        <v>11.144237622195501</v>
      </c>
      <c r="AB3449" s="4">
        <f t="shared" si="208"/>
        <v>11.352165071290765</v>
      </c>
    </row>
    <row r="3450" spans="24:28" x14ac:dyDescent="0.2">
      <c r="X3450" s="43" t="s">
        <v>822</v>
      </c>
      <c r="Y3450" s="4">
        <v>11.752629723084199</v>
      </c>
      <c r="Z3450" s="4">
        <v>10.3563977699233</v>
      </c>
      <c r="AA3450" s="4">
        <v>11.882126390415999</v>
      </c>
      <c r="AB3450" s="4">
        <f t="shared" si="208"/>
        <v>11.330384627807833</v>
      </c>
    </row>
    <row r="3451" spans="24:28" x14ac:dyDescent="0.2">
      <c r="X3451" s="43" t="s">
        <v>2480</v>
      </c>
      <c r="Y3451" s="4">
        <v>11.6870784130203</v>
      </c>
      <c r="Z3451" s="4">
        <v>10.312165668483599</v>
      </c>
      <c r="AA3451" s="4">
        <v>11.979288047669799</v>
      </c>
      <c r="AB3451" s="4">
        <f t="shared" si="208"/>
        <v>11.326177376391234</v>
      </c>
    </row>
    <row r="3452" spans="24:28" x14ac:dyDescent="0.2">
      <c r="X3452" s="43" t="s">
        <v>4195</v>
      </c>
      <c r="Y3452" s="4">
        <v>11.300255281140799</v>
      </c>
      <c r="Z3452" s="4">
        <v>11.0176096477971</v>
      </c>
      <c r="AA3452" s="4">
        <v>11.657714561015201</v>
      </c>
      <c r="AB3452" s="4">
        <f t="shared" si="208"/>
        <v>11.325193163317701</v>
      </c>
    </row>
    <row r="3453" spans="24:28" x14ac:dyDescent="0.2">
      <c r="X3453" s="43" t="s">
        <v>4298</v>
      </c>
      <c r="Y3453" s="4">
        <v>11.631204779194499</v>
      </c>
      <c r="Z3453" s="4">
        <v>10.745123240518801</v>
      </c>
      <c r="AA3453" s="4">
        <v>11.5821918013807</v>
      </c>
      <c r="AB3453" s="4">
        <f t="shared" si="208"/>
        <v>11.319506607031334</v>
      </c>
    </row>
    <row r="3454" spans="24:28" x14ac:dyDescent="0.2">
      <c r="X3454" s="43" t="s">
        <v>1041</v>
      </c>
      <c r="Y3454" s="4">
        <v>11.2009944091253</v>
      </c>
      <c r="Z3454" s="4">
        <v>10.7414632465926</v>
      </c>
      <c r="AA3454" s="4">
        <v>12.013407743736099</v>
      </c>
      <c r="AB3454" s="4">
        <f t="shared" si="208"/>
        <v>11.318621799817999</v>
      </c>
    </row>
    <row r="3455" spans="24:28" x14ac:dyDescent="0.2">
      <c r="X3455" s="43" t="s">
        <v>4120</v>
      </c>
      <c r="Y3455" s="4">
        <v>11.3322525598276</v>
      </c>
      <c r="Z3455" s="4">
        <v>11.1103692463622</v>
      </c>
      <c r="AA3455" s="4">
        <v>11.503297427368899</v>
      </c>
      <c r="AB3455" s="4">
        <f t="shared" si="208"/>
        <v>11.315306411186233</v>
      </c>
    </row>
    <row r="3456" spans="24:28" x14ac:dyDescent="0.2">
      <c r="X3456" s="43" t="s">
        <v>3734</v>
      </c>
      <c r="Y3456" s="4">
        <v>11.9923719969501</v>
      </c>
      <c r="Z3456" s="4">
        <v>10.467158210500401</v>
      </c>
      <c r="AA3456" s="4">
        <v>11.4827915916657</v>
      </c>
      <c r="AB3456" s="4">
        <f t="shared" si="208"/>
        <v>11.314107266372067</v>
      </c>
    </row>
    <row r="3457" spans="24:28" x14ac:dyDescent="0.2">
      <c r="X3457" s="43" t="s">
        <v>4473</v>
      </c>
      <c r="Y3457" s="4">
        <v>11.2229027370644</v>
      </c>
      <c r="Z3457" s="4">
        <v>11.1297785920168</v>
      </c>
      <c r="AA3457" s="4">
        <v>11.589337583591799</v>
      </c>
      <c r="AB3457" s="4">
        <f t="shared" si="208"/>
        <v>11.314006304224334</v>
      </c>
    </row>
    <row r="3458" spans="24:28" x14ac:dyDescent="0.2">
      <c r="X3458" s="43" t="s">
        <v>894</v>
      </c>
      <c r="Y3458" s="4">
        <v>11.288126217016201</v>
      </c>
      <c r="Z3458" s="4">
        <v>11.3657878891861</v>
      </c>
      <c r="AA3458" s="4">
        <v>11.2765175772329</v>
      </c>
      <c r="AB3458" s="4">
        <f t="shared" ref="AB3458:AB3491" si="209">(Y3458+Z3458+AA3458)/3</f>
        <v>11.310143894478401</v>
      </c>
    </row>
    <row r="3459" spans="24:28" x14ac:dyDescent="0.2">
      <c r="X3459" s="43" t="s">
        <v>3898</v>
      </c>
      <c r="Y3459" s="4">
        <v>11.350672559910301</v>
      </c>
      <c r="Z3459" s="4">
        <v>11.1814958817254</v>
      </c>
      <c r="AA3459" s="4">
        <v>11.3922095743547</v>
      </c>
      <c r="AB3459" s="4">
        <f t="shared" si="209"/>
        <v>11.308126005330132</v>
      </c>
    </row>
    <row r="3460" spans="24:28" x14ac:dyDescent="0.2">
      <c r="X3460" s="43" t="s">
        <v>4531</v>
      </c>
      <c r="Y3460" s="4">
        <v>11.478171410125899</v>
      </c>
      <c r="Z3460" s="4">
        <v>11.262082240445</v>
      </c>
      <c r="AA3460" s="4">
        <v>11.1318846435276</v>
      </c>
      <c r="AB3460" s="4">
        <f t="shared" si="209"/>
        <v>11.290712764699499</v>
      </c>
    </row>
    <row r="3461" spans="24:28" x14ac:dyDescent="0.2">
      <c r="X3461" s="43" t="s">
        <v>3760</v>
      </c>
      <c r="Y3461" s="4">
        <v>11.505488272325399</v>
      </c>
      <c r="Z3461" s="4">
        <v>11.0112092049207</v>
      </c>
      <c r="AA3461" s="4">
        <v>11.341555927287599</v>
      </c>
      <c r="AB3461" s="4">
        <f t="shared" si="209"/>
        <v>11.286084468177899</v>
      </c>
    </row>
    <row r="3462" spans="24:28" x14ac:dyDescent="0.2">
      <c r="X3462" s="43" t="s">
        <v>4323</v>
      </c>
      <c r="Y3462" s="4">
        <v>11.2796773263399</v>
      </c>
      <c r="Z3462" s="4">
        <v>11.4170814852438</v>
      </c>
      <c r="AA3462" s="4">
        <v>11.126296117099001</v>
      </c>
      <c r="AB3462" s="4">
        <f t="shared" si="209"/>
        <v>11.274351642894233</v>
      </c>
    </row>
    <row r="3463" spans="24:28" x14ac:dyDescent="0.2">
      <c r="X3463" s="43" t="s">
        <v>214</v>
      </c>
      <c r="Y3463" s="4">
        <v>10.6159113282582</v>
      </c>
      <c r="Z3463" s="4">
        <v>11.0312039626737</v>
      </c>
      <c r="AA3463" s="4">
        <v>12.158698234157299</v>
      </c>
      <c r="AB3463" s="4">
        <f t="shared" si="209"/>
        <v>11.268604508363067</v>
      </c>
    </row>
    <row r="3464" spans="24:28" x14ac:dyDescent="0.2">
      <c r="X3464" s="43" t="s">
        <v>4496</v>
      </c>
      <c r="Y3464" s="4">
        <v>11.3980268949548</v>
      </c>
      <c r="Z3464" s="4">
        <v>10.817408702666</v>
      </c>
      <c r="AA3464" s="4">
        <v>11.5770150480665</v>
      </c>
      <c r="AB3464" s="4">
        <f t="shared" si="209"/>
        <v>11.264150215229099</v>
      </c>
    </row>
    <row r="3465" spans="24:28" x14ac:dyDescent="0.2">
      <c r="X3465" s="43" t="s">
        <v>3445</v>
      </c>
      <c r="Y3465" s="4">
        <v>11.481786593077899</v>
      </c>
      <c r="Z3465" s="4">
        <v>10.941492193150699</v>
      </c>
      <c r="AA3465" s="4">
        <v>11.3104563705974</v>
      </c>
      <c r="AB3465" s="4">
        <f t="shared" si="209"/>
        <v>11.244578385608667</v>
      </c>
    </row>
    <row r="3466" spans="24:28" x14ac:dyDescent="0.2">
      <c r="X3466" s="43" t="s">
        <v>2523</v>
      </c>
      <c r="Y3466" s="4">
        <v>11.1778546269364</v>
      </c>
      <c r="Z3466" s="4">
        <v>11.1493072028836</v>
      </c>
      <c r="AA3466" s="4">
        <v>11.3972894258205</v>
      </c>
      <c r="AB3466" s="4">
        <f t="shared" si="209"/>
        <v>11.241483751880168</v>
      </c>
    </row>
    <row r="3467" spans="24:28" x14ac:dyDescent="0.2">
      <c r="X3467" s="43" t="s">
        <v>4424</v>
      </c>
      <c r="Y3467" s="4">
        <v>9.8960051837736902</v>
      </c>
      <c r="Z3467" s="4">
        <v>11.445625112781</v>
      </c>
      <c r="AA3467" s="4">
        <v>12.3180395408473</v>
      </c>
      <c r="AB3467" s="4">
        <f t="shared" si="209"/>
        <v>11.219889945800665</v>
      </c>
    </row>
    <row r="3468" spans="24:28" x14ac:dyDescent="0.2">
      <c r="X3468" s="43" t="s">
        <v>645</v>
      </c>
      <c r="Y3468" s="4">
        <v>11.2632932288041</v>
      </c>
      <c r="Z3468" s="4">
        <v>11.105260781102199</v>
      </c>
      <c r="AA3468" s="4">
        <v>11.2699876000584</v>
      </c>
      <c r="AB3468" s="4">
        <f t="shared" si="209"/>
        <v>11.212847203321566</v>
      </c>
    </row>
    <row r="3469" spans="24:28" x14ac:dyDescent="0.2">
      <c r="X3469" s="43" t="s">
        <v>2803</v>
      </c>
      <c r="Y3469" s="4">
        <v>11.584627258596401</v>
      </c>
      <c r="Z3469" s="4">
        <v>11.0973928558598</v>
      </c>
      <c r="AA3469" s="4">
        <v>10.904651506811</v>
      </c>
      <c r="AB3469" s="4">
        <f t="shared" si="209"/>
        <v>11.195557207089067</v>
      </c>
    </row>
    <row r="3470" spans="24:28" x14ac:dyDescent="0.2">
      <c r="X3470" s="43" t="s">
        <v>4242</v>
      </c>
      <c r="Y3470" s="4">
        <v>11.161787988475901</v>
      </c>
      <c r="Z3470" s="4">
        <v>10.880567147791</v>
      </c>
      <c r="AA3470" s="4">
        <v>11.535351843749799</v>
      </c>
      <c r="AB3470" s="4">
        <f t="shared" si="209"/>
        <v>11.192568993338901</v>
      </c>
    </row>
    <row r="3471" spans="24:28" x14ac:dyDescent="0.2">
      <c r="X3471" s="43" t="s">
        <v>3718</v>
      </c>
      <c r="Y3471" s="4">
        <v>11.3991016369606</v>
      </c>
      <c r="Z3471" s="4">
        <v>10.752493432924901</v>
      </c>
      <c r="AA3471" s="4">
        <v>11.4243667850923</v>
      </c>
      <c r="AB3471" s="4">
        <f t="shared" si="209"/>
        <v>11.191987284992601</v>
      </c>
    </row>
    <row r="3472" spans="24:28" x14ac:dyDescent="0.2">
      <c r="X3472" s="43" t="s">
        <v>1022</v>
      </c>
      <c r="Y3472" s="4">
        <v>11.158690620877501</v>
      </c>
      <c r="Z3472" s="4">
        <v>10.5089689805619</v>
      </c>
      <c r="AA3472" s="4">
        <v>11.907171273014001</v>
      </c>
      <c r="AB3472" s="4">
        <f t="shared" si="209"/>
        <v>11.191610291484466</v>
      </c>
    </row>
    <row r="3473" spans="24:28" x14ac:dyDescent="0.2">
      <c r="X3473" s="43" t="s">
        <v>2553</v>
      </c>
      <c r="Y3473" s="4">
        <v>11.559599536877201</v>
      </c>
      <c r="Z3473" s="4">
        <v>11.469123317167201</v>
      </c>
      <c r="AA3473" s="4">
        <v>10.4694409616479</v>
      </c>
      <c r="AB3473" s="4">
        <f t="shared" si="209"/>
        <v>11.166054605230768</v>
      </c>
    </row>
    <row r="3474" spans="24:28" x14ac:dyDescent="0.2">
      <c r="X3474" s="43" t="s">
        <v>2958</v>
      </c>
      <c r="Y3474" s="4">
        <v>10.806038646972301</v>
      </c>
      <c r="Z3474" s="4">
        <v>11.1366821309439</v>
      </c>
      <c r="AA3474" s="4">
        <v>11.456552518876199</v>
      </c>
      <c r="AB3474" s="4">
        <f t="shared" si="209"/>
        <v>11.1330910989308</v>
      </c>
    </row>
    <row r="3475" spans="24:28" x14ac:dyDescent="0.2">
      <c r="X3475" s="43" t="s">
        <v>4510</v>
      </c>
      <c r="Y3475" s="4">
        <v>10.6739851102071</v>
      </c>
      <c r="Z3475" s="4">
        <v>11.239878752043399</v>
      </c>
      <c r="AA3475" s="4">
        <v>11.374560067377899</v>
      </c>
      <c r="AB3475" s="4">
        <f t="shared" si="209"/>
        <v>11.096141309876133</v>
      </c>
    </row>
    <row r="3476" spans="24:28" x14ac:dyDescent="0.2">
      <c r="X3476" s="43" t="s">
        <v>1143</v>
      </c>
      <c r="Y3476" s="4">
        <v>10.603865189852</v>
      </c>
      <c r="Z3476" s="4">
        <v>11.206607525634601</v>
      </c>
      <c r="AA3476" s="4">
        <v>11.4774456357285</v>
      </c>
      <c r="AB3476" s="4">
        <f t="shared" si="209"/>
        <v>11.095972783738366</v>
      </c>
    </row>
    <row r="3477" spans="24:28" x14ac:dyDescent="0.2">
      <c r="X3477" s="43" t="s">
        <v>4460</v>
      </c>
      <c r="Y3477" s="4">
        <v>10.9387507476583</v>
      </c>
      <c r="Z3477" s="4">
        <v>10.849124601043201</v>
      </c>
      <c r="AA3477" s="4">
        <v>11.340065394240399</v>
      </c>
      <c r="AB3477" s="4">
        <f t="shared" si="209"/>
        <v>11.042646914313968</v>
      </c>
    </row>
    <row r="3478" spans="24:28" x14ac:dyDescent="0.2">
      <c r="X3478" s="43" t="s">
        <v>171</v>
      </c>
      <c r="Y3478" s="4">
        <v>11.363863643145301</v>
      </c>
      <c r="Z3478" s="4">
        <v>10.756373346240601</v>
      </c>
      <c r="AA3478" s="4">
        <v>10.9149968487663</v>
      </c>
      <c r="AB3478" s="4">
        <f t="shared" si="209"/>
        <v>11.011744612717401</v>
      </c>
    </row>
    <row r="3479" spans="24:28" x14ac:dyDescent="0.2">
      <c r="X3479" s="43" t="s">
        <v>2710</v>
      </c>
      <c r="Y3479" s="4">
        <v>10.9081065009588</v>
      </c>
      <c r="Z3479" s="4">
        <v>10.9233015223222</v>
      </c>
      <c r="AA3479" s="4">
        <v>11.0954120863824</v>
      </c>
      <c r="AB3479" s="4">
        <f t="shared" si="209"/>
        <v>10.975606703221132</v>
      </c>
    </row>
    <row r="3480" spans="24:28" x14ac:dyDescent="0.2">
      <c r="X3480" s="43" t="s">
        <v>4391</v>
      </c>
      <c r="Y3480" s="4">
        <v>10.8382420888917</v>
      </c>
      <c r="Z3480" s="4">
        <v>10.934774649338699</v>
      </c>
      <c r="AA3480" s="4">
        <v>11.147108390313599</v>
      </c>
      <c r="AB3480" s="4">
        <f t="shared" si="209"/>
        <v>10.973375042848</v>
      </c>
    </row>
    <row r="3481" spans="24:28" x14ac:dyDescent="0.2">
      <c r="X3481" s="43" t="s">
        <v>2808</v>
      </c>
      <c r="Y3481" s="4">
        <v>10.8492586505032</v>
      </c>
      <c r="Z3481" s="4">
        <v>11.4528703878889</v>
      </c>
      <c r="AA3481" s="4">
        <v>10.607403464952601</v>
      </c>
      <c r="AB3481" s="4">
        <f t="shared" si="209"/>
        <v>10.969844167781568</v>
      </c>
    </row>
    <row r="3482" spans="24:28" x14ac:dyDescent="0.2">
      <c r="X3482" s="43" t="s">
        <v>4557</v>
      </c>
      <c r="Y3482" s="4">
        <v>10.9762438886694</v>
      </c>
      <c r="Z3482" s="4">
        <v>10.7438634402339</v>
      </c>
      <c r="AA3482" s="4">
        <v>11.0381038667103</v>
      </c>
      <c r="AB3482" s="4">
        <f t="shared" si="209"/>
        <v>10.919403731871199</v>
      </c>
    </row>
    <row r="3483" spans="24:28" x14ac:dyDescent="0.2">
      <c r="X3483" s="43" t="s">
        <v>1598</v>
      </c>
      <c r="Y3483" s="4">
        <v>10.7593372390343</v>
      </c>
      <c r="Z3483" s="4">
        <v>10.807246490141999</v>
      </c>
      <c r="AA3483" s="4">
        <v>11.162531873563699</v>
      </c>
      <c r="AB3483" s="4">
        <f t="shared" si="209"/>
        <v>10.909705200913335</v>
      </c>
    </row>
    <row r="3484" spans="24:28" x14ac:dyDescent="0.2">
      <c r="X3484" s="43" t="s">
        <v>646</v>
      </c>
      <c r="Y3484" s="4">
        <v>11.022706874192201</v>
      </c>
      <c r="Z3484" s="4">
        <v>10.674989783149099</v>
      </c>
      <c r="AA3484" s="4">
        <v>10.991258920130401</v>
      </c>
      <c r="AB3484" s="4">
        <f t="shared" si="209"/>
        <v>10.896318525823901</v>
      </c>
    </row>
    <row r="3485" spans="24:28" x14ac:dyDescent="0.2">
      <c r="X3485" s="43" t="s">
        <v>4169</v>
      </c>
      <c r="Y3485" s="4">
        <v>10.6815499678299</v>
      </c>
      <c r="Z3485" s="4">
        <v>10.907867624546901</v>
      </c>
      <c r="AA3485" s="4">
        <v>10.997824687973999</v>
      </c>
      <c r="AB3485" s="4">
        <f t="shared" si="209"/>
        <v>10.862414093450267</v>
      </c>
    </row>
    <row r="3486" spans="24:28" x14ac:dyDescent="0.2">
      <c r="X3486" s="43" t="s">
        <v>4561</v>
      </c>
      <c r="Y3486" s="4">
        <v>11.012454481673499</v>
      </c>
      <c r="Z3486" s="4">
        <v>10.232321960303199</v>
      </c>
      <c r="AA3486" s="4">
        <v>11.144340307470101</v>
      </c>
      <c r="AB3486" s="4">
        <f t="shared" si="209"/>
        <v>10.796372249815599</v>
      </c>
    </row>
    <row r="3487" spans="24:28" x14ac:dyDescent="0.2">
      <c r="X3487" s="43" t="s">
        <v>2764</v>
      </c>
      <c r="Y3487" s="4">
        <v>10.741340628473599</v>
      </c>
      <c r="Z3487" s="4">
        <v>10.4422614084686</v>
      </c>
      <c r="AA3487" s="4">
        <v>10.965156505187499</v>
      </c>
      <c r="AB3487" s="4">
        <f t="shared" si="209"/>
        <v>10.716252847376566</v>
      </c>
    </row>
    <row r="3488" spans="24:28" x14ac:dyDescent="0.2">
      <c r="X3488" s="43" t="s">
        <v>823</v>
      </c>
      <c r="Y3488" s="4">
        <v>10.9706638149499</v>
      </c>
      <c r="Z3488" s="4">
        <v>10.1540764160391</v>
      </c>
      <c r="AA3488" s="4">
        <v>10.984304125462501</v>
      </c>
      <c r="AB3488" s="4">
        <f t="shared" si="209"/>
        <v>10.703014785483832</v>
      </c>
    </row>
    <row r="3489" spans="24:28" x14ac:dyDescent="0.2">
      <c r="X3489" s="43" t="s">
        <v>362</v>
      </c>
      <c r="Y3489" s="4">
        <v>11.1073005147122</v>
      </c>
      <c r="Z3489" s="4">
        <v>10.6203891010459</v>
      </c>
      <c r="AA3489" s="4">
        <v>10.3691959202825</v>
      </c>
      <c r="AB3489" s="4">
        <f t="shared" si="209"/>
        <v>10.698961845346867</v>
      </c>
    </row>
    <row r="3490" spans="24:28" x14ac:dyDescent="0.2">
      <c r="X3490" s="43" t="s">
        <v>3676</v>
      </c>
      <c r="Y3490" s="4">
        <v>11.303398975749699</v>
      </c>
      <c r="Z3490" s="4">
        <v>9.3785154447532104</v>
      </c>
      <c r="AA3490" s="4">
        <v>11.1077245824762</v>
      </c>
      <c r="AB3490" s="4">
        <f t="shared" si="209"/>
        <v>10.596546334326369</v>
      </c>
    </row>
    <row r="3491" spans="24:28" x14ac:dyDescent="0.2">
      <c r="X3491" s="43" t="s">
        <v>4268</v>
      </c>
      <c r="Y3491" s="4">
        <v>10.598224780045101</v>
      </c>
      <c r="Z3491" s="4">
        <v>9.5594546317595306</v>
      </c>
      <c r="AA3491" s="4">
        <v>10.520937382996999</v>
      </c>
      <c r="AB3491" s="4">
        <f t="shared" si="209"/>
        <v>10.226205598267208</v>
      </c>
    </row>
  </sheetData>
  <autoFilter ref="AM1:AM3470" xr:uid="{07DD94BC-0CEB-9547-B998-F58BA39DC7DB}">
    <sortState xmlns:xlrd2="http://schemas.microsoft.com/office/spreadsheetml/2017/richdata2" ref="AM2:AM3470">
      <sortCondition sortBy="cellColor" ref="AM1:AM3470" dxfId="508"/>
    </sortState>
  </autoFilter>
  <sortState xmlns:xlrd2="http://schemas.microsoft.com/office/spreadsheetml/2017/richdata2" ref="AM2:AM3492">
    <sortCondition ref="AM1:AM3492"/>
  </sortState>
  <conditionalFormatting sqref="AK1:AK1048576">
    <cfRule type="duplicateValues" dxfId="173" priority="4"/>
  </conditionalFormatting>
  <conditionalFormatting sqref="AK346:AK352">
    <cfRule type="duplicateValues" dxfId="172" priority="16"/>
    <cfRule type="duplicateValues" dxfId="171" priority="17"/>
    <cfRule type="duplicateValues" dxfId="170" priority="18"/>
    <cfRule type="duplicateValues" dxfId="169" priority="19"/>
  </conditionalFormatting>
  <conditionalFormatting sqref="AK346:AK400">
    <cfRule type="duplicateValues" dxfId="168" priority="15"/>
  </conditionalFormatting>
  <conditionalFormatting sqref="AK346:AK417">
    <cfRule type="duplicateValues" dxfId="167" priority="11"/>
  </conditionalFormatting>
  <conditionalFormatting sqref="AK346:AK439">
    <cfRule type="duplicateValues" dxfId="166" priority="10"/>
  </conditionalFormatting>
  <conditionalFormatting sqref="AK346:AK468">
    <cfRule type="duplicateValues" dxfId="165" priority="9"/>
  </conditionalFormatting>
  <conditionalFormatting sqref="AK346:AK528">
    <cfRule type="duplicateValues" dxfId="164" priority="8"/>
  </conditionalFormatting>
  <conditionalFormatting sqref="AK346:AK536">
    <cfRule type="duplicateValues" dxfId="163" priority="5"/>
  </conditionalFormatting>
  <conditionalFormatting sqref="AK353:AK400">
    <cfRule type="duplicateValues" dxfId="162" priority="13"/>
  </conditionalFormatting>
  <conditionalFormatting sqref="AK401:AK416">
    <cfRule type="duplicateValues" dxfId="161" priority="12"/>
  </conditionalFormatting>
  <conditionalFormatting sqref="AK417">
    <cfRule type="duplicateValues" dxfId="160" priority="14"/>
  </conditionalFormatting>
  <conditionalFormatting sqref="AK529:AK536">
    <cfRule type="duplicateValues" dxfId="159" priority="6"/>
    <cfRule type="duplicateValues" dxfId="158" priority="7"/>
  </conditionalFormatting>
  <conditionalFormatting sqref="AL2:AL19">
    <cfRule type="duplicateValues" dxfId="157" priority="3"/>
  </conditionalFormatting>
  <conditionalFormatting sqref="AM1:AM1048576">
    <cfRule type="duplicateValues" dxfId="156" priority="2"/>
  </conditionalFormatting>
  <conditionalFormatting sqref="AN2:AN22">
    <cfRule type="duplicateValues" dxfId="155" priority="1"/>
  </conditionalFormatting>
  <conditionalFormatting sqref="AP1:AP1048576">
    <cfRule type="duplicateValues" dxfId="154" priority="21"/>
  </conditionalFormatting>
  <conditionalFormatting sqref="AP34:AP97">
    <cfRule type="duplicateValues" dxfId="153" priority="31"/>
  </conditionalFormatting>
  <conditionalFormatting sqref="AP34:AP115">
    <cfRule type="duplicateValues" dxfId="152" priority="28"/>
  </conditionalFormatting>
  <conditionalFormatting sqref="AP34:AP139">
    <cfRule type="duplicateValues" dxfId="151" priority="27"/>
  </conditionalFormatting>
  <conditionalFormatting sqref="AP34:AP169">
    <cfRule type="duplicateValues" dxfId="150" priority="26"/>
  </conditionalFormatting>
  <conditionalFormatting sqref="AP34:AP260">
    <cfRule type="duplicateValues" dxfId="149" priority="25"/>
  </conditionalFormatting>
  <conditionalFormatting sqref="AP34:AP278">
    <cfRule type="duplicateValues" dxfId="148" priority="22"/>
  </conditionalFormatting>
  <conditionalFormatting sqref="AP98:AP115">
    <cfRule type="duplicateValues" dxfId="147" priority="29"/>
    <cfRule type="duplicateValues" dxfId="146" priority="30"/>
  </conditionalFormatting>
  <conditionalFormatting sqref="AP261:AP278">
    <cfRule type="duplicateValues" dxfId="145" priority="24"/>
    <cfRule type="duplicateValues" dxfId="144" priority="23"/>
  </conditionalFormatting>
  <conditionalFormatting sqref="AQ2:AQ8">
    <cfRule type="duplicateValues" dxfId="143" priority="471"/>
  </conditionalFormatting>
  <conditionalFormatting sqref="AQ1:AS1 AR19:AS1048576 AQ2:AQ1048576 AS2:AS18">
    <cfRule type="duplicateValues" dxfId="142" priority="465"/>
  </conditionalFormatting>
  <conditionalFormatting sqref="AR2:AR18">
    <cfRule type="duplicateValues" dxfId="141" priority="20"/>
  </conditionalFormatting>
  <conditionalFormatting sqref="AT1:AT1048576">
    <cfRule type="duplicateValues" dxfId="140" priority="98"/>
  </conditionalFormatting>
  <conditionalFormatting sqref="AT51:AT69">
    <cfRule type="duplicateValues" dxfId="139" priority="350"/>
  </conditionalFormatting>
  <conditionalFormatting sqref="AT51:AT99">
    <cfRule type="duplicateValues" dxfId="138" priority="351"/>
  </conditionalFormatting>
  <conditionalFormatting sqref="AT51:AT190">
    <cfRule type="duplicateValues" dxfId="137" priority="352"/>
  </conditionalFormatting>
  <conditionalFormatting sqref="AT51:AT208">
    <cfRule type="duplicateValues" dxfId="136" priority="353"/>
  </conditionalFormatting>
  <conditionalFormatting sqref="AT51:AT229">
    <cfRule type="duplicateValues" dxfId="135" priority="349"/>
  </conditionalFormatting>
  <conditionalFormatting sqref="AT51:AT278">
    <cfRule type="duplicateValues" dxfId="134" priority="100"/>
  </conditionalFormatting>
  <conditionalFormatting sqref="AT191:AT208">
    <cfRule type="duplicateValues" dxfId="133" priority="103"/>
    <cfRule type="duplicateValues" dxfId="132" priority="102"/>
  </conditionalFormatting>
  <conditionalFormatting sqref="AU51:AU57 AR28:AS34">
    <cfRule type="duplicateValues" dxfId="131" priority="529"/>
    <cfRule type="duplicateValues" dxfId="130" priority="525"/>
    <cfRule type="duplicateValues" dxfId="129" priority="524"/>
    <cfRule type="duplicateValues" dxfId="128" priority="523"/>
  </conditionalFormatting>
  <conditionalFormatting sqref="AU51:AU73 AR28:AS50 AQ9:AQ23">
    <cfRule type="duplicateValues" dxfId="127" priority="505"/>
  </conditionalFormatting>
  <conditionalFormatting sqref="AU51:AU81 AR28:AS58 AQ9:AQ31">
    <cfRule type="duplicateValues" dxfId="126" priority="508"/>
  </conditionalFormatting>
  <conditionalFormatting sqref="AU51:AU103 AR28:AS80 AQ9:AQ53">
    <cfRule type="duplicateValues" dxfId="125" priority="511"/>
  </conditionalFormatting>
  <conditionalFormatting sqref="AU51:AU132 AR28:AS109 AQ9:AQ82">
    <cfRule type="duplicateValues" dxfId="124" priority="514"/>
  </conditionalFormatting>
  <conditionalFormatting sqref="AU51:AU192 AR28:AS169 AQ9:AQ142">
    <cfRule type="duplicateValues" dxfId="123" priority="517"/>
  </conditionalFormatting>
  <conditionalFormatting sqref="AU51:AU200 AR28:AS177 AQ9:AQ150">
    <cfRule type="duplicateValues" dxfId="122" priority="520"/>
  </conditionalFormatting>
  <conditionalFormatting sqref="AU51:AU218 AR28:AS195 AQ9:AQ168">
    <cfRule type="duplicateValues" dxfId="121" priority="502"/>
  </conditionalFormatting>
  <conditionalFormatting sqref="AU51:AU241 AR28:AS218 AQ9:AQ191">
    <cfRule type="duplicateValues" dxfId="120" priority="484"/>
  </conditionalFormatting>
  <conditionalFormatting sqref="AU58:AU73 AR35:AS50 AQ9:AQ23">
    <cfRule type="duplicateValues" dxfId="119" priority="487"/>
  </conditionalFormatting>
  <conditionalFormatting sqref="AU74:AU80 AR51:AS57 AQ24:AQ30">
    <cfRule type="duplicateValues" dxfId="118" priority="490"/>
  </conditionalFormatting>
  <conditionalFormatting sqref="AU81 AR58:AS58 AQ31">
    <cfRule type="duplicateValues" dxfId="117" priority="493"/>
  </conditionalFormatting>
  <conditionalFormatting sqref="AU193:AU200 AR170:AS177 AQ143:AQ150">
    <cfRule type="duplicateValues" dxfId="116" priority="496"/>
    <cfRule type="duplicateValues" dxfId="115" priority="497"/>
  </conditionalFormatting>
  <conditionalFormatting sqref="AV1:AV8">
    <cfRule type="duplicateValues" dxfId="114" priority="81"/>
    <cfRule type="duplicateValues" dxfId="113" priority="80"/>
    <cfRule type="duplicateValues" dxfId="112" priority="79"/>
  </conditionalFormatting>
  <conditionalFormatting sqref="AV1:AV1048576">
    <cfRule type="duplicateValues" dxfId="111" priority="64"/>
  </conditionalFormatting>
  <conditionalFormatting sqref="AV9:AV56">
    <cfRule type="duplicateValues" dxfId="110" priority="74"/>
  </conditionalFormatting>
  <conditionalFormatting sqref="AV57:AV72">
    <cfRule type="duplicateValues" dxfId="109" priority="73"/>
  </conditionalFormatting>
  <conditionalFormatting sqref="AV73">
    <cfRule type="duplicateValues" dxfId="108" priority="75"/>
  </conditionalFormatting>
  <conditionalFormatting sqref="AV185:AV211">
    <cfRule type="duplicateValues" dxfId="107" priority="66"/>
    <cfRule type="duplicateValues" dxfId="106" priority="65"/>
  </conditionalFormatting>
  <conditionalFormatting sqref="AV212:AV1048576 AV1:AV184">
    <cfRule type="duplicateValues" dxfId="105" priority="67"/>
  </conditionalFormatting>
  <conditionalFormatting sqref="AV284:AV318">
    <cfRule type="duplicateValues" dxfId="104" priority="69"/>
    <cfRule type="duplicateValues" dxfId="103" priority="68"/>
  </conditionalFormatting>
  <conditionalFormatting sqref="AV319:AV1048576 AV1:AV8">
    <cfRule type="duplicateValues" dxfId="102" priority="77"/>
  </conditionalFormatting>
  <conditionalFormatting sqref="AV319:AV1048576 AV1:AV56">
    <cfRule type="duplicateValues" dxfId="101" priority="76"/>
  </conditionalFormatting>
  <conditionalFormatting sqref="AV319:AV1048576 AV1:AV73">
    <cfRule type="duplicateValues" dxfId="100" priority="72"/>
  </conditionalFormatting>
  <conditionalFormatting sqref="AV319:AV1048576 AV1:AV95">
    <cfRule type="duplicateValues" dxfId="99" priority="71"/>
  </conditionalFormatting>
  <conditionalFormatting sqref="AV319:AV1048576 AV1:AV124">
    <cfRule type="duplicateValues" dxfId="98" priority="70"/>
  </conditionalFormatting>
  <conditionalFormatting sqref="AV319:AV1048576">
    <cfRule type="duplicateValues" dxfId="97" priority="78"/>
  </conditionalFormatting>
  <conditionalFormatting sqref="AX1:AX1048576">
    <cfRule type="duplicateValues" dxfId="96" priority="82"/>
  </conditionalFormatting>
  <conditionalFormatting sqref="AX66:AX83">
    <cfRule type="duplicateValues" dxfId="95" priority="92"/>
    <cfRule type="duplicateValues" dxfId="94" priority="91"/>
  </conditionalFormatting>
  <conditionalFormatting sqref="AX229:AX255">
    <cfRule type="duplicateValues" dxfId="93" priority="84"/>
    <cfRule type="duplicateValues" dxfId="92" priority="83"/>
  </conditionalFormatting>
  <conditionalFormatting sqref="AX256:AX1048576 AX1:AX228">
    <cfRule type="duplicateValues" dxfId="91" priority="85"/>
  </conditionalFormatting>
  <conditionalFormatting sqref="AX297:AX331">
    <cfRule type="duplicateValues" dxfId="90" priority="87"/>
    <cfRule type="duplicateValues" dxfId="89" priority="86"/>
  </conditionalFormatting>
  <conditionalFormatting sqref="AX332:AX1048576 AX1">
    <cfRule type="duplicateValues" dxfId="88" priority="95"/>
  </conditionalFormatting>
  <conditionalFormatting sqref="AX332:AX1048576 AX1:AX65">
    <cfRule type="duplicateValues" dxfId="87" priority="93"/>
  </conditionalFormatting>
  <conditionalFormatting sqref="AX332:AX1048576 AX1:AX83">
    <cfRule type="duplicateValues" dxfId="86" priority="90"/>
  </conditionalFormatting>
  <conditionalFormatting sqref="AX332:AX1048576 AX1:AX107">
    <cfRule type="duplicateValues" dxfId="85" priority="89"/>
  </conditionalFormatting>
  <conditionalFormatting sqref="AX332:AX1048576 AX1:AX137">
    <cfRule type="duplicateValues" dxfId="84" priority="88"/>
  </conditionalFormatting>
  <conditionalFormatting sqref="AX332:AX1048576">
    <cfRule type="duplicateValues" dxfId="83" priority="94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F82DC-672C-2949-B5A9-80E7E229CF9E}">
  <dimension ref="A1:BD3305"/>
  <sheetViews>
    <sheetView zoomScale="106" workbookViewId="0">
      <pane ySplit="1" topLeftCell="A2" activePane="bottomLeft" state="frozen"/>
      <selection activeCell="Y1" sqref="Y1"/>
      <selection pane="bottomLeft" activeCell="Q31" sqref="Q31"/>
    </sheetView>
  </sheetViews>
  <sheetFormatPr baseColWidth="10" defaultRowHeight="16" x14ac:dyDescent="0.2"/>
  <cols>
    <col min="1" max="33" width="10.83203125" style="4"/>
    <col min="34" max="34" width="26" style="28" customWidth="1"/>
    <col min="35" max="35" width="13.6640625" style="28" customWidth="1"/>
    <col min="36" max="36" width="23.83203125" style="4" customWidth="1"/>
    <col min="37" max="37" width="13.33203125" style="4" customWidth="1"/>
    <col min="38" max="38" width="32" style="4" customWidth="1"/>
    <col min="39" max="39" width="16.83203125" style="4" customWidth="1"/>
    <col min="40" max="40" width="15" style="4" customWidth="1"/>
    <col min="41" max="41" width="19.1640625" style="4" customWidth="1"/>
    <col min="42" max="42" width="10.83203125" style="4"/>
    <col min="43" max="45" width="14.6640625" style="5" customWidth="1"/>
    <col min="46" max="46" width="13.83203125" style="5" customWidth="1"/>
    <col min="47" max="16384" width="10.83203125" style="4"/>
  </cols>
  <sheetData>
    <row r="1" spans="1:46" x14ac:dyDescent="0.2">
      <c r="A1" s="3" t="s">
        <v>4867</v>
      </c>
      <c r="B1" s="3" t="s">
        <v>4906</v>
      </c>
      <c r="C1" s="3" t="s">
        <v>4621</v>
      </c>
      <c r="D1" s="3" t="s">
        <v>4622</v>
      </c>
      <c r="E1" s="3" t="s">
        <v>4623</v>
      </c>
      <c r="F1" s="3" t="s">
        <v>4627</v>
      </c>
      <c r="G1" s="3"/>
      <c r="H1" s="3" t="s">
        <v>4868</v>
      </c>
      <c r="I1" s="3" t="s">
        <v>4906</v>
      </c>
      <c r="J1" s="3" t="s">
        <v>4628</v>
      </c>
      <c r="K1" s="3" t="s">
        <v>4629</v>
      </c>
      <c r="L1" s="3" t="s">
        <v>4630</v>
      </c>
      <c r="M1" s="3" t="s">
        <v>4127</v>
      </c>
      <c r="O1" s="3" t="s">
        <v>4128</v>
      </c>
      <c r="P1" s="3" t="s">
        <v>4906</v>
      </c>
      <c r="Q1" s="3" t="s">
        <v>4621</v>
      </c>
      <c r="R1" s="3" t="s">
        <v>4622</v>
      </c>
      <c r="S1" s="3" t="s">
        <v>4623</v>
      </c>
      <c r="T1" s="3" t="s">
        <v>4127</v>
      </c>
      <c r="V1" s="3" t="s">
        <v>4869</v>
      </c>
      <c r="W1" s="3" t="s">
        <v>4906</v>
      </c>
      <c r="X1" s="3" t="s">
        <v>4628</v>
      </c>
      <c r="Y1" s="3" t="s">
        <v>4629</v>
      </c>
      <c r="Z1" s="3" t="s">
        <v>4630</v>
      </c>
      <c r="AA1" s="3" t="s">
        <v>4127</v>
      </c>
      <c r="AG1" s="3"/>
      <c r="AH1" s="27" t="s">
        <v>4915</v>
      </c>
      <c r="AI1" s="27" t="s">
        <v>4916</v>
      </c>
      <c r="AJ1" s="3" t="s">
        <v>4917</v>
      </c>
      <c r="AK1" s="3" t="s">
        <v>4918</v>
      </c>
      <c r="AL1" s="3" t="s">
        <v>4919</v>
      </c>
      <c r="AM1" s="3" t="s">
        <v>4916</v>
      </c>
      <c r="AN1" s="3" t="s">
        <v>4918</v>
      </c>
      <c r="AO1" s="3"/>
      <c r="AQ1" s="1" t="s">
        <v>1987</v>
      </c>
      <c r="AR1" s="1"/>
      <c r="AS1" s="1"/>
      <c r="AT1" s="1" t="s">
        <v>1988</v>
      </c>
    </row>
    <row r="2" spans="1:46" x14ac:dyDescent="0.2">
      <c r="B2" s="4" t="s">
        <v>1792</v>
      </c>
      <c r="C2" s="4">
        <v>25.517299999999999</v>
      </c>
      <c r="D2" s="4">
        <v>25.0138</v>
      </c>
      <c r="E2" s="4">
        <v>24.832100000000001</v>
      </c>
      <c r="F2" s="4">
        <f t="shared" ref="F2:F65" si="0">(C2+D2+E2)/3</f>
        <v>25.121066666666664</v>
      </c>
      <c r="I2" s="4" t="s">
        <v>1792</v>
      </c>
      <c r="J2" s="4">
        <v>25.264700000000001</v>
      </c>
      <c r="K2" s="4">
        <v>25.3203</v>
      </c>
      <c r="L2" s="4">
        <v>24.9147</v>
      </c>
      <c r="M2" s="4">
        <f t="shared" ref="M2:M65" si="1">(J2+K2+L2)/3</f>
        <v>25.166566666666668</v>
      </c>
      <c r="P2" s="4" t="str">
        <f>"atp-1"</f>
        <v>atp-1</v>
      </c>
      <c r="Q2" s="4">
        <v>24.886007744986301</v>
      </c>
      <c r="R2" s="4">
        <v>24.080281111187499</v>
      </c>
      <c r="S2" s="4">
        <v>24.290264668889499</v>
      </c>
      <c r="T2" s="4">
        <f t="shared" ref="T2:T65" si="2">(Q2+R2+S2)/3</f>
        <v>24.418851175021103</v>
      </c>
      <c r="W2" s="4" t="str">
        <f>"pcca-1"</f>
        <v>pcca-1</v>
      </c>
      <c r="X2" s="4">
        <v>24.8138515628128</v>
      </c>
      <c r="Y2" s="4">
        <v>24.728528487011701</v>
      </c>
      <c r="Z2" s="4">
        <v>24.793010088683701</v>
      </c>
      <c r="AA2" s="4">
        <f t="shared" ref="AA2:AA65" si="3">(X2+Y2+Z2)/3</f>
        <v>24.778463379502735</v>
      </c>
      <c r="AH2" s="28" t="s">
        <v>3571</v>
      </c>
      <c r="AI2" s="28" t="s">
        <v>12</v>
      </c>
      <c r="AJ2" s="4" t="s">
        <v>716</v>
      </c>
      <c r="AK2" s="4" t="s">
        <v>716</v>
      </c>
      <c r="AL2" s="4" t="s">
        <v>3</v>
      </c>
      <c r="AM2" s="4" t="s">
        <v>171</v>
      </c>
      <c r="AN2" s="4" t="s">
        <v>171</v>
      </c>
      <c r="AQ2" s="16" t="s">
        <v>171</v>
      </c>
      <c r="AT2" s="5" t="s">
        <v>134</v>
      </c>
    </row>
    <row r="3" spans="1:46" x14ac:dyDescent="0.2">
      <c r="B3" s="4" t="s">
        <v>978</v>
      </c>
      <c r="C3" s="4">
        <v>25.017499999999998</v>
      </c>
      <c r="D3" s="4">
        <v>24.803000000000001</v>
      </c>
      <c r="E3" s="4">
        <v>24.310199999999998</v>
      </c>
      <c r="F3" s="4">
        <f t="shared" si="0"/>
        <v>24.710233333333331</v>
      </c>
      <c r="I3" s="4" t="s">
        <v>978</v>
      </c>
      <c r="J3" s="4">
        <v>24.757300000000001</v>
      </c>
      <c r="K3" s="4">
        <v>24.858799999999999</v>
      </c>
      <c r="L3" s="4">
        <v>24.561699999999998</v>
      </c>
      <c r="M3" s="4">
        <f t="shared" si="1"/>
        <v>24.725933333333334</v>
      </c>
      <c r="P3" s="4" t="str">
        <f>"pcca-1"</f>
        <v>pcca-1</v>
      </c>
      <c r="Q3" s="4">
        <v>24.3940685025037</v>
      </c>
      <c r="R3" s="4">
        <v>23.581250414101099</v>
      </c>
      <c r="S3" s="4">
        <v>24.075117424259201</v>
      </c>
      <c r="T3" s="4">
        <f t="shared" si="2"/>
        <v>24.016812113621331</v>
      </c>
      <c r="W3" s="4" t="str">
        <f>"pyc-1"</f>
        <v>pyc-1</v>
      </c>
      <c r="X3" s="4">
        <v>24.3921100129953</v>
      </c>
      <c r="Y3" s="4">
        <v>24.2203280178245</v>
      </c>
      <c r="Z3" s="4">
        <v>24.407412212015899</v>
      </c>
      <c r="AA3" s="4">
        <f t="shared" si="3"/>
        <v>24.339950080945233</v>
      </c>
      <c r="AH3" s="28" t="s">
        <v>3925</v>
      </c>
      <c r="AI3" s="28" t="s">
        <v>1069</v>
      </c>
      <c r="AJ3" s="4" t="s">
        <v>967</v>
      </c>
      <c r="AK3" s="4" t="s">
        <v>967</v>
      </c>
      <c r="AL3" s="4" t="s">
        <v>163</v>
      </c>
      <c r="AM3" s="4" t="s">
        <v>488</v>
      </c>
      <c r="AN3" s="4" t="s">
        <v>956</v>
      </c>
      <c r="AQ3" s="5" t="s">
        <v>116</v>
      </c>
      <c r="AT3" s="5" t="s">
        <v>628</v>
      </c>
    </row>
    <row r="4" spans="1:46" x14ac:dyDescent="0.2">
      <c r="B4" s="4" t="s">
        <v>1889</v>
      </c>
      <c r="C4" s="4">
        <v>23.221599999999999</v>
      </c>
      <c r="D4" s="4">
        <v>23.055700000000002</v>
      </c>
      <c r="E4" s="4">
        <v>24.599299999999999</v>
      </c>
      <c r="F4" s="4">
        <f t="shared" si="0"/>
        <v>23.625533333333333</v>
      </c>
      <c r="I4" s="4" t="s">
        <v>3434</v>
      </c>
      <c r="J4" s="4">
        <v>23.656600000000001</v>
      </c>
      <c r="K4" s="4">
        <v>23.6372</v>
      </c>
      <c r="L4" s="4">
        <v>23.812100000000001</v>
      </c>
      <c r="M4" s="4">
        <f t="shared" si="1"/>
        <v>23.701966666666667</v>
      </c>
      <c r="P4" s="4" t="str">
        <f>"pyc-1"</f>
        <v>pyc-1</v>
      </c>
      <c r="Q4" s="4">
        <v>24.306947896578599</v>
      </c>
      <c r="R4" s="4">
        <v>23.519311630173899</v>
      </c>
      <c r="S4" s="4">
        <v>23.779017089028802</v>
      </c>
      <c r="T4" s="4">
        <f t="shared" si="2"/>
        <v>23.868425538593765</v>
      </c>
      <c r="W4" s="4" t="str">
        <f>"atp-1"</f>
        <v>atp-1</v>
      </c>
      <c r="X4" s="4">
        <v>23.947350707838002</v>
      </c>
      <c r="Y4" s="4">
        <v>24.064514510296998</v>
      </c>
      <c r="Z4" s="4">
        <v>24.160177837994301</v>
      </c>
      <c r="AA4" s="4">
        <f t="shared" si="3"/>
        <v>24.057347685376431</v>
      </c>
      <c r="AH4" s="28" t="s">
        <v>75</v>
      </c>
      <c r="AI4" s="28" t="s">
        <v>1068</v>
      </c>
      <c r="AJ4" s="4" t="s">
        <v>903</v>
      </c>
      <c r="AK4" s="4" t="s">
        <v>903</v>
      </c>
      <c r="AL4" s="4" t="s">
        <v>4109</v>
      </c>
      <c r="AQ4" s="5" t="s">
        <v>1055</v>
      </c>
      <c r="AT4" s="5" t="s">
        <v>814</v>
      </c>
    </row>
    <row r="5" spans="1:46" x14ac:dyDescent="0.2">
      <c r="B5" s="4" t="s">
        <v>1898</v>
      </c>
      <c r="C5" s="4">
        <v>23.5288</v>
      </c>
      <c r="D5" s="4">
        <v>23.307600000000001</v>
      </c>
      <c r="E5" s="4">
        <v>23.5703</v>
      </c>
      <c r="F5" s="4">
        <f t="shared" si="0"/>
        <v>23.468900000000001</v>
      </c>
      <c r="I5" s="4" t="s">
        <v>1898</v>
      </c>
      <c r="J5" s="4">
        <v>23.264299999999999</v>
      </c>
      <c r="K5" s="4">
        <v>23.398299999999999</v>
      </c>
      <c r="L5" s="4">
        <v>23.182400000000001</v>
      </c>
      <c r="M5" s="4">
        <f t="shared" si="1"/>
        <v>23.281666666666666</v>
      </c>
      <c r="P5" s="4" t="str">
        <f>"eft-4"</f>
        <v>eft-4</v>
      </c>
      <c r="Q5" s="4">
        <v>23.790258142738601</v>
      </c>
      <c r="R5" s="4">
        <v>23.628279063814801</v>
      </c>
      <c r="S5" s="4">
        <v>23.505155201731899</v>
      </c>
      <c r="T5" s="4">
        <f t="shared" si="2"/>
        <v>23.641230802761768</v>
      </c>
      <c r="W5" s="4" t="str">
        <f>"eft-4"</f>
        <v>eft-4</v>
      </c>
      <c r="X5" s="4">
        <v>23.985051639665201</v>
      </c>
      <c r="Y5" s="4">
        <v>23.9311464399503</v>
      </c>
      <c r="Z5" s="4">
        <v>23.755469611459599</v>
      </c>
      <c r="AA5" s="4">
        <f t="shared" si="3"/>
        <v>23.890555897025035</v>
      </c>
      <c r="AH5" s="28" t="s">
        <v>3192</v>
      </c>
      <c r="AI5" s="28" t="s">
        <v>416</v>
      </c>
      <c r="AJ5" s="4" t="s">
        <v>975</v>
      </c>
      <c r="AK5" s="4" t="s">
        <v>975</v>
      </c>
      <c r="AL5" s="4" t="s">
        <v>171</v>
      </c>
      <c r="AQ5" s="10" t="s">
        <v>488</v>
      </c>
      <c r="AT5" s="5" t="s">
        <v>634</v>
      </c>
    </row>
    <row r="6" spans="1:46" x14ac:dyDescent="0.2">
      <c r="B6" s="4" t="s">
        <v>3434</v>
      </c>
      <c r="C6" s="4">
        <v>23.4697</v>
      </c>
      <c r="D6" s="4">
        <v>23.3018</v>
      </c>
      <c r="E6" s="4">
        <v>23.5396</v>
      </c>
      <c r="F6" s="4">
        <f t="shared" si="0"/>
        <v>23.437033333333336</v>
      </c>
      <c r="I6" s="4" t="s">
        <v>1889</v>
      </c>
      <c r="J6" s="4">
        <v>23.334499999999998</v>
      </c>
      <c r="K6" s="4">
        <v>23.392499999999998</v>
      </c>
      <c r="L6" s="4">
        <v>22.726700000000001</v>
      </c>
      <c r="M6" s="4">
        <f t="shared" si="1"/>
        <v>23.151233333333334</v>
      </c>
      <c r="P6" s="4" t="str">
        <f>"tba-1"</f>
        <v>tba-1</v>
      </c>
      <c r="Q6" s="4">
        <v>23.797162051543001</v>
      </c>
      <c r="R6" s="4">
        <v>23.306846391872099</v>
      </c>
      <c r="S6" s="4">
        <v>23.237935065602201</v>
      </c>
      <c r="T6" s="4">
        <f t="shared" si="2"/>
        <v>23.447314503005767</v>
      </c>
      <c r="W6" s="4" t="str">
        <f>"tba-1"</f>
        <v>tba-1</v>
      </c>
      <c r="X6" s="4">
        <v>23.072110625176201</v>
      </c>
      <c r="Y6" s="4">
        <v>23.3917256215585</v>
      </c>
      <c r="Z6" s="4">
        <v>23.336571757981499</v>
      </c>
      <c r="AA6" s="4">
        <f t="shared" si="3"/>
        <v>23.266802668238736</v>
      </c>
      <c r="AH6" s="28" t="s">
        <v>1091</v>
      </c>
      <c r="AJ6" s="4" t="s">
        <v>894</v>
      </c>
      <c r="AK6" s="4" t="s">
        <v>894</v>
      </c>
      <c r="AL6" s="4" t="s">
        <v>3339</v>
      </c>
      <c r="AQ6" s="5" t="s">
        <v>843</v>
      </c>
      <c r="AT6" s="5" t="s">
        <v>955</v>
      </c>
    </row>
    <row r="7" spans="1:46" x14ac:dyDescent="0.2">
      <c r="B7" s="4" t="s">
        <v>1816</v>
      </c>
      <c r="C7" s="4">
        <v>23.335999999999999</v>
      </c>
      <c r="D7" s="4">
        <v>23.2529</v>
      </c>
      <c r="E7" s="4">
        <v>22.645900000000001</v>
      </c>
      <c r="F7" s="4">
        <f t="shared" si="0"/>
        <v>23.078266666666664</v>
      </c>
      <c r="I7" s="4" t="s">
        <v>1816</v>
      </c>
      <c r="J7" s="4">
        <v>23.0718</v>
      </c>
      <c r="K7" s="4">
        <v>23.093900000000001</v>
      </c>
      <c r="L7" s="4">
        <v>22.972899999999999</v>
      </c>
      <c r="M7" s="4">
        <f t="shared" si="1"/>
        <v>23.046199999999999</v>
      </c>
      <c r="P7" s="4" t="str">
        <f>"atp-2"</f>
        <v>atp-2</v>
      </c>
      <c r="Q7" s="4">
        <v>23.656999226789502</v>
      </c>
      <c r="R7" s="4">
        <v>22.9372724076993</v>
      </c>
      <c r="S7" s="4">
        <v>23.1819814696238</v>
      </c>
      <c r="T7" s="4">
        <f t="shared" si="2"/>
        <v>23.258751034704204</v>
      </c>
      <c r="W7" s="4" t="str">
        <f>"rps-4"</f>
        <v>rps-4</v>
      </c>
      <c r="X7" s="4">
        <v>23.192534585196299</v>
      </c>
      <c r="Y7" s="4">
        <v>23.301300772914701</v>
      </c>
      <c r="Z7" s="4">
        <v>23.178864790949898</v>
      </c>
      <c r="AA7" s="4">
        <f t="shared" si="3"/>
        <v>23.224233383020302</v>
      </c>
      <c r="AH7" s="28" t="s">
        <v>4682</v>
      </c>
      <c r="AJ7" s="4" t="s">
        <v>782</v>
      </c>
      <c r="AK7" s="4" t="s">
        <v>782</v>
      </c>
      <c r="AL7" s="4" t="s">
        <v>1799</v>
      </c>
      <c r="AQ7" s="5" t="s">
        <v>215</v>
      </c>
      <c r="AT7" s="5" t="s">
        <v>638</v>
      </c>
    </row>
    <row r="8" spans="1:46" x14ac:dyDescent="0.2">
      <c r="B8" s="4" t="s">
        <v>2048</v>
      </c>
      <c r="C8" s="4">
        <v>22.899699999999999</v>
      </c>
      <c r="D8" s="4">
        <v>22.850999999999999</v>
      </c>
      <c r="E8" s="4">
        <v>22.771799999999999</v>
      </c>
      <c r="F8" s="4">
        <f t="shared" si="0"/>
        <v>22.840833333333332</v>
      </c>
      <c r="I8" s="4" t="s">
        <v>2639</v>
      </c>
      <c r="J8" s="4">
        <v>23.003900000000002</v>
      </c>
      <c r="K8" s="4">
        <v>22.8874</v>
      </c>
      <c r="L8" s="4">
        <v>22.564</v>
      </c>
      <c r="M8" s="4">
        <f t="shared" si="1"/>
        <v>22.818433333333331</v>
      </c>
      <c r="P8" s="4" t="str">
        <f>"rps-4"</f>
        <v>rps-4</v>
      </c>
      <c r="Q8" s="4">
        <v>23.376380415468802</v>
      </c>
      <c r="R8" s="4">
        <v>23.129025912072599</v>
      </c>
      <c r="S8" s="4">
        <v>23.171820680718199</v>
      </c>
      <c r="T8" s="4">
        <f t="shared" si="2"/>
        <v>23.22574233608653</v>
      </c>
      <c r="W8" s="4" t="str">
        <f>"mccc-1"</f>
        <v>mccc-1</v>
      </c>
      <c r="X8" s="4">
        <v>23.364552870894698</v>
      </c>
      <c r="Y8" s="4">
        <v>23.003678905451999</v>
      </c>
      <c r="Z8" s="4">
        <v>23.0782182386288</v>
      </c>
      <c r="AA8" s="4">
        <f t="shared" si="3"/>
        <v>23.148816671658498</v>
      </c>
      <c r="AH8" s="28" t="s">
        <v>4502</v>
      </c>
      <c r="AJ8" s="4" t="s">
        <v>693</v>
      </c>
      <c r="AK8" s="4" t="s">
        <v>693</v>
      </c>
      <c r="AL8" s="4" t="s">
        <v>246</v>
      </c>
      <c r="AQ8" s="13" t="s">
        <v>380</v>
      </c>
      <c r="AT8" s="5" t="s">
        <v>956</v>
      </c>
    </row>
    <row r="9" spans="1:46" x14ac:dyDescent="0.2">
      <c r="B9" s="4" t="s">
        <v>2639</v>
      </c>
      <c r="C9" s="4">
        <v>22.793600000000001</v>
      </c>
      <c r="D9" s="4">
        <v>22.271899999999999</v>
      </c>
      <c r="E9" s="4">
        <v>23.3658</v>
      </c>
      <c r="F9" s="4">
        <f t="shared" si="0"/>
        <v>22.810433333333332</v>
      </c>
      <c r="I9" s="4" t="s">
        <v>2048</v>
      </c>
      <c r="J9" s="4">
        <v>22.88</v>
      </c>
      <c r="K9" s="4">
        <v>22.990400000000001</v>
      </c>
      <c r="L9" s="4">
        <v>22.582599999999999</v>
      </c>
      <c r="M9" s="4">
        <f t="shared" si="1"/>
        <v>22.817666666666668</v>
      </c>
      <c r="P9" s="4" t="str">
        <f>"suca-1"</f>
        <v>suca-1</v>
      </c>
      <c r="Q9" s="4">
        <v>23.640831638726599</v>
      </c>
      <c r="R9" s="4">
        <v>22.763336911169599</v>
      </c>
      <c r="S9" s="4">
        <v>22.989713920235999</v>
      </c>
      <c r="T9" s="4">
        <f t="shared" si="2"/>
        <v>23.131294156710734</v>
      </c>
      <c r="W9" s="4" t="str">
        <f>"suca-1"</f>
        <v>suca-1</v>
      </c>
      <c r="X9" s="4">
        <v>22.857709265800899</v>
      </c>
      <c r="Y9" s="4">
        <v>23.0021887675004</v>
      </c>
      <c r="Z9" s="4">
        <v>23.162237529857801</v>
      </c>
      <c r="AA9" s="4">
        <f t="shared" si="3"/>
        <v>23.007378521053031</v>
      </c>
      <c r="AH9" s="28" t="s">
        <v>3295</v>
      </c>
      <c r="AJ9" s="4" t="s">
        <v>833</v>
      </c>
      <c r="AK9" s="4" t="s">
        <v>833</v>
      </c>
      <c r="AL9" s="4" t="s">
        <v>956</v>
      </c>
      <c r="AQ9" s="16" t="s">
        <v>401</v>
      </c>
      <c r="AT9" s="5" t="s">
        <v>631</v>
      </c>
    </row>
    <row r="10" spans="1:46" x14ac:dyDescent="0.2">
      <c r="B10" s="4" t="s">
        <v>655</v>
      </c>
      <c r="C10" s="4">
        <v>22.2319</v>
      </c>
      <c r="D10" s="4">
        <v>23.019300000000001</v>
      </c>
      <c r="E10" s="4">
        <v>22.920500000000001</v>
      </c>
      <c r="F10" s="4">
        <f t="shared" si="0"/>
        <v>22.7239</v>
      </c>
      <c r="I10" s="4" t="s">
        <v>2890</v>
      </c>
      <c r="J10" s="4">
        <v>22.545000000000002</v>
      </c>
      <c r="K10" s="4">
        <v>22.6906</v>
      </c>
      <c r="L10" s="4">
        <v>22.3184</v>
      </c>
      <c r="M10" s="4">
        <f t="shared" si="1"/>
        <v>22.518000000000001</v>
      </c>
      <c r="P10" s="4" t="str">
        <f>"tufm-1"</f>
        <v>tufm-1</v>
      </c>
      <c r="Q10" s="4">
        <v>23.326617461648599</v>
      </c>
      <c r="R10" s="4">
        <v>22.3833111082679</v>
      </c>
      <c r="S10" s="4">
        <v>22.5633939565063</v>
      </c>
      <c r="T10" s="4">
        <f t="shared" si="2"/>
        <v>22.757774175474268</v>
      </c>
      <c r="W10" s="4" t="str">
        <f>"ant-1.1"</f>
        <v>ant-1.1</v>
      </c>
      <c r="X10" s="4">
        <v>23.007928019826299</v>
      </c>
      <c r="Y10" s="4">
        <v>23.0877809616989</v>
      </c>
      <c r="Z10" s="4">
        <v>22.883387645163001</v>
      </c>
      <c r="AA10" s="4">
        <f t="shared" si="3"/>
        <v>22.993032208896068</v>
      </c>
      <c r="AH10" s="28" t="s">
        <v>4701</v>
      </c>
      <c r="AJ10" s="4" t="s">
        <v>715</v>
      </c>
      <c r="AK10" s="4" t="s">
        <v>715</v>
      </c>
      <c r="AL10" s="4" t="s">
        <v>488</v>
      </c>
      <c r="AQ10" s="5" t="s">
        <v>695</v>
      </c>
      <c r="AT10" s="5" t="s">
        <v>635</v>
      </c>
    </row>
    <row r="11" spans="1:46" x14ac:dyDescent="0.2">
      <c r="B11" s="4" t="s">
        <v>653</v>
      </c>
      <c r="C11" s="4">
        <v>22.297699999999999</v>
      </c>
      <c r="D11" s="4">
        <v>22.818899999999999</v>
      </c>
      <c r="E11" s="4">
        <v>22.820900000000002</v>
      </c>
      <c r="F11" s="4">
        <f t="shared" si="0"/>
        <v>22.645833333333332</v>
      </c>
      <c r="I11" s="4" t="s">
        <v>1474</v>
      </c>
      <c r="J11" s="4">
        <v>21.584499999999998</v>
      </c>
      <c r="K11" s="4">
        <v>22.089300000000001</v>
      </c>
      <c r="L11" s="4">
        <v>22.764299999999999</v>
      </c>
      <c r="M11" s="4">
        <f t="shared" si="1"/>
        <v>22.146033333333332</v>
      </c>
      <c r="P11" s="4" t="str">
        <f>"F01G4.6"</f>
        <v>F01G4.6</v>
      </c>
      <c r="Q11" s="4">
        <v>22.889737946547701</v>
      </c>
      <c r="R11" s="4">
        <v>22.5393377677022</v>
      </c>
      <c r="S11" s="4">
        <v>22.685887257287199</v>
      </c>
      <c r="T11" s="4">
        <f t="shared" si="2"/>
        <v>22.704987657179032</v>
      </c>
      <c r="W11" s="4" t="str">
        <f>"atp-2"</f>
        <v>atp-2</v>
      </c>
      <c r="X11" s="4">
        <v>22.7734121823968</v>
      </c>
      <c r="Y11" s="4">
        <v>23.0182776644325</v>
      </c>
      <c r="Z11" s="4">
        <v>22.905593865556799</v>
      </c>
      <c r="AA11" s="4">
        <f t="shared" si="3"/>
        <v>22.899094570795366</v>
      </c>
      <c r="AH11" s="28" t="s">
        <v>4853</v>
      </c>
      <c r="AJ11" s="4" t="s">
        <v>672</v>
      </c>
      <c r="AK11" s="4" t="s">
        <v>672</v>
      </c>
      <c r="AL11" s="4" t="s">
        <v>2343</v>
      </c>
      <c r="AQ11" s="5" t="s">
        <v>370</v>
      </c>
      <c r="AT11" s="5" t="s">
        <v>637</v>
      </c>
    </row>
    <row r="12" spans="1:46" x14ac:dyDescent="0.2">
      <c r="B12" s="4" t="s">
        <v>2890</v>
      </c>
      <c r="C12" s="4">
        <v>22.207599999999999</v>
      </c>
      <c r="D12" s="4">
        <v>22.348299999999998</v>
      </c>
      <c r="E12" s="4">
        <v>23.184999999999999</v>
      </c>
      <c r="F12" s="4">
        <f t="shared" si="0"/>
        <v>22.580299999999998</v>
      </c>
      <c r="I12" s="4" t="s">
        <v>655</v>
      </c>
      <c r="J12" s="4">
        <v>22.421500000000002</v>
      </c>
      <c r="K12" s="4">
        <v>22.146799999999999</v>
      </c>
      <c r="L12" s="4">
        <v>21.868400000000001</v>
      </c>
      <c r="M12" s="4">
        <f t="shared" si="1"/>
        <v>22.145566666666667</v>
      </c>
      <c r="P12" s="4" t="str">
        <f>"acer-1"</f>
        <v>acer-1</v>
      </c>
      <c r="Q12" s="4">
        <v>22.977088477546499</v>
      </c>
      <c r="R12" s="4">
        <v>22.426383741108701</v>
      </c>
      <c r="S12" s="4">
        <v>22.469738088746698</v>
      </c>
      <c r="T12" s="4">
        <f t="shared" si="2"/>
        <v>22.62440343580063</v>
      </c>
      <c r="W12" s="4" t="str">
        <f>"acer-1"</f>
        <v>acer-1</v>
      </c>
      <c r="X12" s="4">
        <v>22.880809361929501</v>
      </c>
      <c r="Y12" s="4">
        <v>22.810514244443201</v>
      </c>
      <c r="Z12" s="4">
        <v>22.933309330977</v>
      </c>
      <c r="AA12" s="4">
        <f t="shared" si="3"/>
        <v>22.874877645783233</v>
      </c>
      <c r="AH12" s="28" t="s">
        <v>646</v>
      </c>
      <c r="AJ12" s="4" t="s">
        <v>963</v>
      </c>
      <c r="AK12" s="4" t="s">
        <v>963</v>
      </c>
      <c r="AL12" s="4" t="s">
        <v>543</v>
      </c>
      <c r="AQ12" s="17" t="s">
        <v>406</v>
      </c>
      <c r="AT12" s="16" t="s">
        <v>171</v>
      </c>
    </row>
    <row r="13" spans="1:46" x14ac:dyDescent="0.2">
      <c r="B13" s="4" t="s">
        <v>1203</v>
      </c>
      <c r="C13" s="4">
        <v>22.128499999999999</v>
      </c>
      <c r="D13" s="4">
        <v>22.398800000000001</v>
      </c>
      <c r="E13" s="4">
        <v>22.518899999999999</v>
      </c>
      <c r="F13" s="4">
        <f t="shared" si="0"/>
        <v>22.348733333333332</v>
      </c>
      <c r="I13" s="4" t="s">
        <v>653</v>
      </c>
      <c r="J13" s="4">
        <v>22.387799999999999</v>
      </c>
      <c r="K13" s="4">
        <v>22.331600000000002</v>
      </c>
      <c r="L13" s="4">
        <v>21.5869</v>
      </c>
      <c r="M13" s="4">
        <f t="shared" si="1"/>
        <v>22.102099999999997</v>
      </c>
      <c r="P13" s="4" t="str">
        <f>"ant-1.1"</f>
        <v>ant-1.1</v>
      </c>
      <c r="Q13" s="4">
        <v>22.5281759741626</v>
      </c>
      <c r="R13" s="4">
        <v>22.507491290428799</v>
      </c>
      <c r="S13" s="4">
        <v>22.5971162623939</v>
      </c>
      <c r="T13" s="4">
        <f t="shared" si="2"/>
        <v>22.544261175661763</v>
      </c>
      <c r="W13" s="4" t="str">
        <f>"F01G4.6"</f>
        <v>F01G4.6</v>
      </c>
      <c r="X13" s="4">
        <v>22.059741394982499</v>
      </c>
      <c r="Y13" s="4">
        <v>22.518506694784101</v>
      </c>
      <c r="Z13" s="4">
        <v>22.594994908560501</v>
      </c>
      <c r="AA13" s="4">
        <f t="shared" si="3"/>
        <v>22.391080999442369</v>
      </c>
      <c r="AH13" s="28" t="s">
        <v>3403</v>
      </c>
      <c r="AJ13" s="4" t="s">
        <v>732</v>
      </c>
      <c r="AK13" s="4" t="s">
        <v>732</v>
      </c>
      <c r="AL13" s="1"/>
      <c r="AM13" s="1"/>
      <c r="AN13" s="1"/>
      <c r="AQ13" s="5" t="s">
        <v>780</v>
      </c>
      <c r="AT13" s="5" t="s">
        <v>367</v>
      </c>
    </row>
    <row r="14" spans="1:46" x14ac:dyDescent="0.2">
      <c r="B14" s="4" t="s">
        <v>650</v>
      </c>
      <c r="C14" s="4">
        <v>21.873799999999999</v>
      </c>
      <c r="D14" s="4">
        <v>22.246700000000001</v>
      </c>
      <c r="E14" s="4">
        <v>22.2883</v>
      </c>
      <c r="F14" s="4">
        <f t="shared" si="0"/>
        <v>22.136266666666668</v>
      </c>
      <c r="I14" s="4" t="s">
        <v>2964</v>
      </c>
      <c r="J14" s="4">
        <v>22.022500000000001</v>
      </c>
      <c r="K14" s="4">
        <v>22.2317</v>
      </c>
      <c r="L14" s="4">
        <v>21.627099999999999</v>
      </c>
      <c r="M14" s="4">
        <f t="shared" si="1"/>
        <v>21.960433333333331</v>
      </c>
      <c r="P14" s="4" t="str">
        <f>"tbb-2"</f>
        <v>tbb-2</v>
      </c>
      <c r="Q14" s="4">
        <v>22.743719952069501</v>
      </c>
      <c r="R14" s="4">
        <v>22.092227404704801</v>
      </c>
      <c r="S14" s="4">
        <v>22.049534554022902</v>
      </c>
      <c r="T14" s="4">
        <f t="shared" si="2"/>
        <v>22.295160636932398</v>
      </c>
      <c r="W14" s="4" t="str">
        <f>"ant-1.4"</f>
        <v>ant-1.4</v>
      </c>
      <c r="X14" s="4">
        <v>22.4035688142258</v>
      </c>
      <c r="Y14" s="4">
        <v>22.330640527214999</v>
      </c>
      <c r="Z14" s="4">
        <v>22.300596938382199</v>
      </c>
      <c r="AA14" s="4">
        <f t="shared" si="3"/>
        <v>22.344935426607666</v>
      </c>
      <c r="AH14" s="28" t="s">
        <v>3324</v>
      </c>
      <c r="AJ14" s="4" t="s">
        <v>825</v>
      </c>
      <c r="AK14" s="4" t="s">
        <v>825</v>
      </c>
      <c r="AL14" s="1"/>
      <c r="AM14" s="1"/>
      <c r="AN14" s="1"/>
      <c r="AQ14" s="5" t="s">
        <v>1061</v>
      </c>
      <c r="AT14" s="5" t="s">
        <v>957</v>
      </c>
    </row>
    <row r="15" spans="1:46" x14ac:dyDescent="0.2">
      <c r="B15" s="4" t="s">
        <v>2964</v>
      </c>
      <c r="C15" s="4">
        <v>21.966699999999999</v>
      </c>
      <c r="D15" s="4">
        <v>21.567399999999999</v>
      </c>
      <c r="E15" s="4">
        <v>22.737100000000002</v>
      </c>
      <c r="F15" s="4">
        <f t="shared" si="0"/>
        <v>22.090399999999999</v>
      </c>
      <c r="I15" s="4" t="s">
        <v>650</v>
      </c>
      <c r="J15" s="4">
        <v>22.154299999999999</v>
      </c>
      <c r="K15" s="4">
        <v>22.165900000000001</v>
      </c>
      <c r="L15" s="4">
        <v>21.317900000000002</v>
      </c>
      <c r="M15" s="4">
        <f t="shared" si="1"/>
        <v>21.87936666666667</v>
      </c>
      <c r="P15" s="4" t="str">
        <f>"ahcy-1"</f>
        <v>ahcy-1</v>
      </c>
      <c r="Q15" s="4">
        <v>22.461380187783899</v>
      </c>
      <c r="R15" s="4">
        <v>22.256600194571199</v>
      </c>
      <c r="S15" s="4">
        <v>22.161893236593201</v>
      </c>
      <c r="T15" s="4">
        <f t="shared" si="2"/>
        <v>22.293291206316098</v>
      </c>
      <c r="W15" s="4" t="str">
        <f>"tufm-1"</f>
        <v>tufm-1</v>
      </c>
      <c r="X15" s="4">
        <v>21.954291954088699</v>
      </c>
      <c r="Y15" s="4">
        <v>22.258216535165001</v>
      </c>
      <c r="Z15" s="4">
        <v>22.333358580432002</v>
      </c>
      <c r="AA15" s="4">
        <f t="shared" si="3"/>
        <v>22.181955689895233</v>
      </c>
      <c r="AH15" s="28" t="s">
        <v>12</v>
      </c>
      <c r="AJ15" s="4" t="s">
        <v>745</v>
      </c>
      <c r="AK15" s="4" t="s">
        <v>745</v>
      </c>
      <c r="AL15" s="1"/>
      <c r="AM15" s="1"/>
      <c r="AN15" s="1"/>
      <c r="AQ15" s="5" t="s">
        <v>1058</v>
      </c>
      <c r="AT15" s="5" t="s">
        <v>645</v>
      </c>
    </row>
    <row r="16" spans="1:46" x14ac:dyDescent="0.2">
      <c r="B16" s="4" t="s">
        <v>1958</v>
      </c>
      <c r="C16" s="4">
        <v>21.871700000000001</v>
      </c>
      <c r="D16" s="4">
        <v>21.631599999999999</v>
      </c>
      <c r="E16" s="4">
        <v>22.307099999999998</v>
      </c>
      <c r="F16" s="4">
        <f t="shared" si="0"/>
        <v>21.936799999999995</v>
      </c>
      <c r="I16" s="4" t="s">
        <v>1958</v>
      </c>
      <c r="J16" s="4">
        <v>21.907399999999999</v>
      </c>
      <c r="K16" s="4">
        <v>21.902899999999999</v>
      </c>
      <c r="L16" s="4">
        <v>21.405899999999999</v>
      </c>
      <c r="M16" s="4">
        <f t="shared" si="1"/>
        <v>21.738733333333332</v>
      </c>
      <c r="P16" s="4" t="str">
        <f>"mccc-1"</f>
        <v>mccc-1</v>
      </c>
      <c r="Q16" s="4">
        <v>22.346066127143601</v>
      </c>
      <c r="R16" s="4">
        <v>21.747195129516399</v>
      </c>
      <c r="S16" s="4">
        <v>22.261410478369399</v>
      </c>
      <c r="T16" s="4">
        <f t="shared" si="2"/>
        <v>22.118223911676466</v>
      </c>
      <c r="W16" s="4" t="str">
        <f>"tbb-2"</f>
        <v>tbb-2</v>
      </c>
      <c r="X16" s="4">
        <v>22.038373440872</v>
      </c>
      <c r="Y16" s="4">
        <v>22.279335266981899</v>
      </c>
      <c r="Z16" s="4">
        <v>22.156733353389299</v>
      </c>
      <c r="AA16" s="4">
        <f t="shared" si="3"/>
        <v>22.158147353747733</v>
      </c>
      <c r="AH16" s="28" t="s">
        <v>1069</v>
      </c>
      <c r="AJ16" s="4" t="s">
        <v>767</v>
      </c>
      <c r="AK16" s="4" t="s">
        <v>767</v>
      </c>
      <c r="AL16" s="1"/>
      <c r="AM16" s="1"/>
      <c r="AN16" s="1"/>
      <c r="AQ16" s="5" t="s">
        <v>12</v>
      </c>
      <c r="AT16" s="5" t="s">
        <v>82</v>
      </c>
    </row>
    <row r="17" spans="2:46" x14ac:dyDescent="0.2">
      <c r="B17" s="4" t="s">
        <v>3446</v>
      </c>
      <c r="C17" s="4">
        <v>21.754000000000001</v>
      </c>
      <c r="D17" s="4">
        <v>21.555700000000002</v>
      </c>
      <c r="E17" s="4">
        <v>21.795000000000002</v>
      </c>
      <c r="F17" s="4">
        <f t="shared" si="0"/>
        <v>21.701566666666668</v>
      </c>
      <c r="I17" s="4" t="s">
        <v>1203</v>
      </c>
      <c r="J17" s="4">
        <v>21.647500000000001</v>
      </c>
      <c r="K17" s="4">
        <v>21.590800000000002</v>
      </c>
      <c r="L17" s="4">
        <v>21.901499999999999</v>
      </c>
      <c r="M17" s="4">
        <f t="shared" si="1"/>
        <v>21.713266666666669</v>
      </c>
      <c r="P17" s="4" t="str">
        <f>"Y69A2AR.18"</f>
        <v>Y69A2AR.18</v>
      </c>
      <c r="Q17" s="4">
        <v>22.455337412334099</v>
      </c>
      <c r="R17" s="4">
        <v>21.738880320869299</v>
      </c>
      <c r="S17" s="4">
        <v>21.760271100229101</v>
      </c>
      <c r="T17" s="4">
        <f t="shared" si="2"/>
        <v>21.984829611144168</v>
      </c>
      <c r="W17" s="4" t="str">
        <f>"vit-5"</f>
        <v>vit-5</v>
      </c>
      <c r="X17" s="4">
        <v>22.342362888753001</v>
      </c>
      <c r="Y17" s="4">
        <v>22.222685939678701</v>
      </c>
      <c r="Z17" s="4">
        <v>21.819066278049799</v>
      </c>
      <c r="AA17" s="4">
        <f t="shared" si="3"/>
        <v>22.128038368827166</v>
      </c>
      <c r="AH17" s="28" t="s">
        <v>1068</v>
      </c>
      <c r="AJ17" s="4" t="s">
        <v>976</v>
      </c>
      <c r="AK17" s="4" t="s">
        <v>976</v>
      </c>
      <c r="AL17" s="1"/>
      <c r="AM17" s="1"/>
      <c r="AN17" s="1"/>
      <c r="AQ17" s="5" t="s">
        <v>1062</v>
      </c>
      <c r="AT17" s="17" t="s">
        <v>406</v>
      </c>
    </row>
    <row r="18" spans="2:46" x14ac:dyDescent="0.2">
      <c r="B18" s="4" t="s">
        <v>2</v>
      </c>
      <c r="C18" s="4">
        <v>21.563700000000001</v>
      </c>
      <c r="D18" s="4">
        <v>21.370899999999999</v>
      </c>
      <c r="E18" s="4">
        <v>21.473600000000001</v>
      </c>
      <c r="F18" s="4">
        <f t="shared" si="0"/>
        <v>21.469400000000004</v>
      </c>
      <c r="I18" s="4" t="s">
        <v>3446</v>
      </c>
      <c r="J18" s="4">
        <v>21.627700000000001</v>
      </c>
      <c r="K18" s="4">
        <v>21.745999999999999</v>
      </c>
      <c r="L18" s="4">
        <v>21.388999999999999</v>
      </c>
      <c r="M18" s="4">
        <f t="shared" si="1"/>
        <v>21.587566666666664</v>
      </c>
      <c r="P18" s="4" t="str">
        <f>"rps-1"</f>
        <v>rps-1</v>
      </c>
      <c r="Q18" s="4">
        <v>21.972499303076201</v>
      </c>
      <c r="R18" s="4">
        <v>21.780579598337699</v>
      </c>
      <c r="S18" s="4">
        <v>21.777262137868401</v>
      </c>
      <c r="T18" s="4">
        <f t="shared" si="2"/>
        <v>21.843447013094103</v>
      </c>
      <c r="W18" s="4" t="str">
        <f>"ahcy-1"</f>
        <v>ahcy-1</v>
      </c>
      <c r="X18" s="4">
        <v>22.075067165591499</v>
      </c>
      <c r="Y18" s="4">
        <v>22.222407167102499</v>
      </c>
      <c r="Z18" s="4">
        <v>21.920882562159701</v>
      </c>
      <c r="AA18" s="4">
        <f t="shared" si="3"/>
        <v>22.072785631617901</v>
      </c>
      <c r="AH18" s="28" t="s">
        <v>416</v>
      </c>
      <c r="AJ18" s="4" t="s">
        <v>483</v>
      </c>
      <c r="AK18" s="4" t="s">
        <v>483</v>
      </c>
      <c r="AL18" s="1"/>
      <c r="AM18" s="1"/>
      <c r="AN18" s="1"/>
      <c r="AQ18" s="5" t="s">
        <v>1063</v>
      </c>
      <c r="AT18" s="5" t="s">
        <v>894</v>
      </c>
    </row>
    <row r="19" spans="2:46" x14ac:dyDescent="0.2">
      <c r="B19" s="4" t="s">
        <v>3833</v>
      </c>
      <c r="C19" s="4">
        <v>21.602699999999999</v>
      </c>
      <c r="D19" s="4">
        <v>20.954000000000001</v>
      </c>
      <c r="E19" s="4">
        <v>21.730899999999998</v>
      </c>
      <c r="F19" s="4">
        <f t="shared" si="0"/>
        <v>21.429199999999998</v>
      </c>
      <c r="I19" s="4" t="s">
        <v>3074</v>
      </c>
      <c r="J19" s="4">
        <v>21.296199999999999</v>
      </c>
      <c r="K19" s="4">
        <v>21.679500000000001</v>
      </c>
      <c r="L19" s="4">
        <v>21.6431</v>
      </c>
      <c r="M19" s="4">
        <f t="shared" si="1"/>
        <v>21.539600000000004</v>
      </c>
      <c r="P19" s="4" t="str">
        <f>"ant-1.4"</f>
        <v>ant-1.4</v>
      </c>
      <c r="Q19" s="4">
        <v>21.6546865360752</v>
      </c>
      <c r="R19" s="4">
        <v>21.797530911985898</v>
      </c>
      <c r="S19" s="4">
        <v>21.882392559825401</v>
      </c>
      <c r="T19" s="4">
        <f t="shared" si="2"/>
        <v>21.778203335962164</v>
      </c>
      <c r="W19" s="4" t="str">
        <f>"C18G1.9"</f>
        <v>C18G1.9</v>
      </c>
      <c r="X19" s="4">
        <v>22.104503603831301</v>
      </c>
      <c r="Y19" s="4">
        <v>22.262910118567401</v>
      </c>
      <c r="Z19" s="4">
        <v>21.674675671707501</v>
      </c>
      <c r="AA19" s="4">
        <f t="shared" si="3"/>
        <v>22.014029798035398</v>
      </c>
      <c r="AH19" s="28">
        <v>45809</v>
      </c>
      <c r="AJ19" s="4" t="s">
        <v>972</v>
      </c>
      <c r="AK19" s="4" t="s">
        <v>972</v>
      </c>
      <c r="AL19" s="1"/>
      <c r="AM19" s="1"/>
      <c r="AN19" s="1"/>
      <c r="AQ19" s="5" t="s">
        <v>1064</v>
      </c>
      <c r="AT19" s="5" t="s">
        <v>649</v>
      </c>
    </row>
    <row r="20" spans="2:46" x14ac:dyDescent="0.2">
      <c r="B20" s="4" t="s">
        <v>2596</v>
      </c>
      <c r="C20" s="4">
        <v>21.7026</v>
      </c>
      <c r="D20" s="4">
        <v>21.4603</v>
      </c>
      <c r="E20" s="4">
        <v>21.1099</v>
      </c>
      <c r="F20" s="4">
        <f t="shared" si="0"/>
        <v>21.424266666666668</v>
      </c>
      <c r="I20" s="4" t="s">
        <v>913</v>
      </c>
      <c r="J20" s="4">
        <v>21.198699999999999</v>
      </c>
      <c r="K20" s="4">
        <v>21.243400000000001</v>
      </c>
      <c r="L20" s="4">
        <v>22.008700000000001</v>
      </c>
      <c r="M20" s="4">
        <f t="shared" si="1"/>
        <v>21.483599999999999</v>
      </c>
      <c r="P20" s="4" t="str">
        <f>"rpl-22"</f>
        <v>rpl-22</v>
      </c>
      <c r="Q20" s="4">
        <v>21.997410856691101</v>
      </c>
      <c r="R20" s="4">
        <v>21.4276862379545</v>
      </c>
      <c r="S20" s="4">
        <v>21.4406390057651</v>
      </c>
      <c r="T20" s="4">
        <f t="shared" si="2"/>
        <v>21.621912033470235</v>
      </c>
      <c r="W20" s="4" t="str">
        <f>"B0303.3"</f>
        <v>B0303.3</v>
      </c>
      <c r="X20" s="4">
        <v>21.7519751317821</v>
      </c>
      <c r="Y20" s="4">
        <v>21.787270731161399</v>
      </c>
      <c r="Z20" s="4">
        <v>22.0760648031664</v>
      </c>
      <c r="AA20" s="4">
        <f t="shared" si="3"/>
        <v>21.871770222036634</v>
      </c>
      <c r="AH20" s="28">
        <v>45901</v>
      </c>
      <c r="AJ20" s="4" t="s">
        <v>968</v>
      </c>
      <c r="AK20" s="4" t="s">
        <v>968</v>
      </c>
      <c r="AL20" s="1"/>
      <c r="AM20" s="1"/>
      <c r="AN20" s="1"/>
      <c r="AQ20" s="5" t="s">
        <v>1059</v>
      </c>
      <c r="AT20" s="5" t="s">
        <v>958</v>
      </c>
    </row>
    <row r="21" spans="2:46" x14ac:dyDescent="0.2">
      <c r="B21" s="4" t="s">
        <v>1918</v>
      </c>
      <c r="C21" s="4">
        <v>20.992799999999999</v>
      </c>
      <c r="D21" s="4">
        <v>21.1023</v>
      </c>
      <c r="E21" s="4">
        <v>22.169599999999999</v>
      </c>
      <c r="F21" s="4">
        <f t="shared" si="0"/>
        <v>21.421566666666667</v>
      </c>
      <c r="I21" s="4" t="s">
        <v>2596</v>
      </c>
      <c r="J21" s="4">
        <v>21.560700000000001</v>
      </c>
      <c r="K21" s="4">
        <v>21.5489</v>
      </c>
      <c r="L21" s="4">
        <v>21.209700000000002</v>
      </c>
      <c r="M21" s="4">
        <f t="shared" si="1"/>
        <v>21.439766666666667</v>
      </c>
      <c r="P21" s="4" t="str">
        <f>"rps-14"</f>
        <v>rps-14</v>
      </c>
      <c r="Q21" s="4">
        <v>21.765093096547499</v>
      </c>
      <c r="R21" s="4">
        <v>21.437819315426601</v>
      </c>
      <c r="S21" s="4">
        <v>21.550237347001101</v>
      </c>
      <c r="T21" s="4">
        <f t="shared" si="2"/>
        <v>21.584383252991731</v>
      </c>
      <c r="W21" s="4" t="str">
        <f>"rps-14"</f>
        <v>rps-14</v>
      </c>
      <c r="X21" s="4">
        <v>21.857040444761498</v>
      </c>
      <c r="Y21" s="4">
        <v>21.9037232777052</v>
      </c>
      <c r="Z21" s="4">
        <v>21.738341403466499</v>
      </c>
      <c r="AA21" s="4">
        <f t="shared" si="3"/>
        <v>21.833035041977734</v>
      </c>
      <c r="AH21" s="28" t="s">
        <v>3710</v>
      </c>
      <c r="AJ21" s="4" t="s">
        <v>688</v>
      </c>
      <c r="AK21" s="4" t="s">
        <v>688</v>
      </c>
      <c r="AL21" s="1"/>
      <c r="AM21" s="1"/>
      <c r="AN21" s="1"/>
      <c r="AQ21" s="5" t="s">
        <v>803</v>
      </c>
      <c r="AT21" s="5" t="s">
        <v>648</v>
      </c>
    </row>
    <row r="22" spans="2:46" x14ac:dyDescent="0.2">
      <c r="B22" s="4" t="s">
        <v>1776</v>
      </c>
      <c r="C22" s="4">
        <v>21.313199999999998</v>
      </c>
      <c r="D22" s="4">
        <v>21.328600000000002</v>
      </c>
      <c r="E22" s="4">
        <v>21.572199999999999</v>
      </c>
      <c r="F22" s="4">
        <f t="shared" si="0"/>
        <v>21.404666666666667</v>
      </c>
      <c r="I22" s="4" t="s">
        <v>1061</v>
      </c>
      <c r="J22" s="4">
        <v>21.297499999999999</v>
      </c>
      <c r="K22" s="4">
        <v>21.194700000000001</v>
      </c>
      <c r="L22" s="4">
        <v>21.732500000000002</v>
      </c>
      <c r="M22" s="4">
        <f t="shared" si="1"/>
        <v>21.408233333333332</v>
      </c>
      <c r="P22" s="4" t="str">
        <f>"rpl-4"</f>
        <v>rpl-4</v>
      </c>
      <c r="Q22" s="4">
        <v>21.7578486196293</v>
      </c>
      <c r="R22" s="4">
        <v>21.4826950944388</v>
      </c>
      <c r="S22" s="4">
        <v>21.4055654028605</v>
      </c>
      <c r="T22" s="4">
        <f t="shared" si="2"/>
        <v>21.5487030389762</v>
      </c>
      <c r="W22" s="4" t="str">
        <f>"vit-2"</f>
        <v>vit-2</v>
      </c>
      <c r="X22" s="4">
        <v>21.856757454708099</v>
      </c>
      <c r="Y22" s="4">
        <v>21.7970126836891</v>
      </c>
      <c r="Z22" s="4">
        <v>21.710398369028301</v>
      </c>
      <c r="AA22" s="4">
        <f t="shared" si="3"/>
        <v>21.788056169141836</v>
      </c>
      <c r="AH22" s="28" t="s">
        <v>3599</v>
      </c>
      <c r="AJ22" s="4" t="s">
        <v>667</v>
      </c>
      <c r="AK22" s="4" t="s">
        <v>667</v>
      </c>
      <c r="AL22" s="1"/>
      <c r="AM22" s="1"/>
      <c r="AN22" s="1"/>
      <c r="AQ22" s="5" t="s">
        <v>670</v>
      </c>
      <c r="AT22" s="5" t="s">
        <v>650</v>
      </c>
    </row>
    <row r="23" spans="2:46" x14ac:dyDescent="0.2">
      <c r="B23" s="4" t="s">
        <v>1954</v>
      </c>
      <c r="C23" s="4">
        <v>21.2041</v>
      </c>
      <c r="D23" s="4">
        <v>20.866299999999999</v>
      </c>
      <c r="E23" s="4">
        <v>22.113700000000001</v>
      </c>
      <c r="F23" s="4">
        <f t="shared" si="0"/>
        <v>21.3947</v>
      </c>
      <c r="I23" s="4" t="s">
        <v>3833</v>
      </c>
      <c r="J23" s="4">
        <v>21.535399999999999</v>
      </c>
      <c r="K23" s="4">
        <v>21.221499999999999</v>
      </c>
      <c r="L23" s="4">
        <v>21.148399999999999</v>
      </c>
      <c r="M23" s="4">
        <f t="shared" si="1"/>
        <v>21.301766666666666</v>
      </c>
      <c r="P23" s="4" t="str">
        <f>"rps-2"</f>
        <v>rps-2</v>
      </c>
      <c r="Q23" s="4">
        <v>21.733716799095902</v>
      </c>
      <c r="R23" s="4">
        <v>21.390705308078299</v>
      </c>
      <c r="S23" s="4">
        <v>21.376956094158999</v>
      </c>
      <c r="T23" s="4">
        <f t="shared" si="2"/>
        <v>21.500459400444399</v>
      </c>
      <c r="W23" s="4" t="str">
        <f>"rps-1"</f>
        <v>rps-1</v>
      </c>
      <c r="X23" s="4">
        <v>21.699840334350501</v>
      </c>
      <c r="Y23" s="4">
        <v>21.8456814851817</v>
      </c>
      <c r="Z23" s="4">
        <v>21.644131508918701</v>
      </c>
      <c r="AA23" s="4">
        <f t="shared" si="3"/>
        <v>21.729884442816967</v>
      </c>
      <c r="AH23" s="28" t="s">
        <v>3249</v>
      </c>
      <c r="AJ23" s="46" t="s">
        <v>3932</v>
      </c>
      <c r="AK23" s="1"/>
      <c r="AL23" s="1"/>
      <c r="AM23" s="1"/>
      <c r="AN23" s="1"/>
      <c r="AQ23" s="5" t="s">
        <v>1065</v>
      </c>
      <c r="AT23" s="5" t="s">
        <v>652</v>
      </c>
    </row>
    <row r="24" spans="2:46" x14ac:dyDescent="0.2">
      <c r="B24" s="4" t="s">
        <v>648</v>
      </c>
      <c r="C24" s="4">
        <v>21.127199999999998</v>
      </c>
      <c r="D24" s="4">
        <v>21.484999999999999</v>
      </c>
      <c r="E24" s="4">
        <v>21.348600000000001</v>
      </c>
      <c r="F24" s="4">
        <f t="shared" si="0"/>
        <v>21.320266666666669</v>
      </c>
      <c r="I24" s="4" t="s">
        <v>1776</v>
      </c>
      <c r="J24" s="4">
        <v>21.283300000000001</v>
      </c>
      <c r="K24" s="4">
        <v>21.426100000000002</v>
      </c>
      <c r="L24" s="4">
        <v>21.110499999999998</v>
      </c>
      <c r="M24" s="4">
        <f t="shared" si="1"/>
        <v>21.273300000000003</v>
      </c>
      <c r="P24" s="4" t="str">
        <f>"rpl-23"</f>
        <v>rpl-23</v>
      </c>
      <c r="Q24" s="4">
        <v>21.693410651955201</v>
      </c>
      <c r="R24" s="4">
        <v>21.255575207029199</v>
      </c>
      <c r="S24" s="4">
        <v>21.303659998892002</v>
      </c>
      <c r="T24" s="4">
        <f t="shared" si="2"/>
        <v>21.417548619292134</v>
      </c>
      <c r="W24" s="4" t="str">
        <f>"rpl-22"</f>
        <v>rpl-22</v>
      </c>
      <c r="X24" s="4">
        <v>21.719059688687601</v>
      </c>
      <c r="Y24" s="4">
        <v>21.735974041269401</v>
      </c>
      <c r="Z24" s="4">
        <v>21.527336122354001</v>
      </c>
      <c r="AA24" s="4">
        <f t="shared" si="3"/>
        <v>21.660789950770333</v>
      </c>
      <c r="AH24" s="28" t="s">
        <v>3538</v>
      </c>
      <c r="AJ24" s="4" t="s">
        <v>0</v>
      </c>
      <c r="AK24" s="1"/>
      <c r="AL24" s="1"/>
      <c r="AM24" s="1"/>
      <c r="AN24" s="1"/>
      <c r="AQ24" s="5" t="s">
        <v>1066</v>
      </c>
      <c r="AT24" s="5" t="s">
        <v>651</v>
      </c>
    </row>
    <row r="25" spans="2:46" x14ac:dyDescent="0.2">
      <c r="B25" s="4" t="s">
        <v>3527</v>
      </c>
      <c r="C25" s="4">
        <v>21.4879</v>
      </c>
      <c r="D25" s="4">
        <v>21.206</v>
      </c>
      <c r="E25" s="4">
        <v>21.018000000000001</v>
      </c>
      <c r="F25" s="4">
        <f t="shared" si="0"/>
        <v>21.237300000000001</v>
      </c>
      <c r="I25" s="4" t="s">
        <v>1954</v>
      </c>
      <c r="J25" s="4">
        <v>21.346699999999998</v>
      </c>
      <c r="K25" s="4">
        <v>21.3873</v>
      </c>
      <c r="L25" s="4">
        <v>21.039200000000001</v>
      </c>
      <c r="M25" s="4">
        <f t="shared" si="1"/>
        <v>21.257733333333331</v>
      </c>
      <c r="P25" s="4" t="str">
        <f>"rps-3"</f>
        <v>rps-3</v>
      </c>
      <c r="Q25" s="4">
        <v>21.551517851021</v>
      </c>
      <c r="R25" s="4">
        <v>21.113657714590001</v>
      </c>
      <c r="S25" s="4">
        <v>21.189375905555501</v>
      </c>
      <c r="T25" s="4">
        <f t="shared" si="2"/>
        <v>21.284850490388834</v>
      </c>
      <c r="W25" s="4" t="str">
        <f>"rpl-23"</f>
        <v>rpl-23</v>
      </c>
      <c r="X25" s="4">
        <v>21.643021584863</v>
      </c>
      <c r="Y25" s="4">
        <v>21.595381371507099</v>
      </c>
      <c r="Z25" s="4">
        <v>21.6464661693445</v>
      </c>
      <c r="AA25" s="4">
        <f t="shared" si="3"/>
        <v>21.628289708571533</v>
      </c>
      <c r="AH25" s="28" t="s">
        <v>2362</v>
      </c>
      <c r="AJ25" s="4" t="s">
        <v>2355</v>
      </c>
      <c r="AK25" s="1"/>
      <c r="AL25" s="1"/>
      <c r="AM25" s="1"/>
      <c r="AN25" s="1"/>
      <c r="AQ25" s="5" t="s">
        <v>409</v>
      </c>
      <c r="AT25" s="5" t="s">
        <v>647</v>
      </c>
    </row>
    <row r="26" spans="2:46" x14ac:dyDescent="0.2">
      <c r="B26" s="4" t="s">
        <v>1756</v>
      </c>
      <c r="C26" s="4">
        <v>21.359200000000001</v>
      </c>
      <c r="D26" s="4">
        <v>21.303000000000001</v>
      </c>
      <c r="E26" s="4">
        <v>20.932099999999998</v>
      </c>
      <c r="F26" s="4">
        <f t="shared" si="0"/>
        <v>21.1981</v>
      </c>
      <c r="I26" s="4" t="s">
        <v>329</v>
      </c>
      <c r="J26" s="4">
        <v>21.182099999999998</v>
      </c>
      <c r="K26" s="4">
        <v>21.453900000000001</v>
      </c>
      <c r="L26" s="4">
        <v>20.972200000000001</v>
      </c>
      <c r="M26" s="4">
        <f t="shared" si="1"/>
        <v>21.202733333333331</v>
      </c>
      <c r="P26" s="4" t="str">
        <f>"rpl-10"</f>
        <v>rpl-10</v>
      </c>
      <c r="Q26" s="4">
        <v>21.492934414505399</v>
      </c>
      <c r="R26" s="4">
        <v>21.197213067501899</v>
      </c>
      <c r="S26" s="4">
        <v>21.017798316617899</v>
      </c>
      <c r="T26" s="4">
        <f t="shared" si="2"/>
        <v>21.235981932875067</v>
      </c>
      <c r="W26" s="4" t="str">
        <f>"Y69A2AR.18"</f>
        <v>Y69A2AR.18</v>
      </c>
      <c r="X26" s="4">
        <v>21.220966517083902</v>
      </c>
      <c r="Y26" s="4">
        <v>21.746873379434401</v>
      </c>
      <c r="Z26" s="4">
        <v>21.504350387963299</v>
      </c>
      <c r="AA26" s="4">
        <f t="shared" si="3"/>
        <v>21.4907300948272</v>
      </c>
      <c r="AH26" s="28" t="s">
        <v>3927</v>
      </c>
      <c r="AJ26" s="4" t="s">
        <v>3824</v>
      </c>
      <c r="AK26" s="1"/>
      <c r="AL26" s="1"/>
      <c r="AM26" s="1"/>
      <c r="AN26" s="1"/>
      <c r="AQ26" s="5" t="s">
        <v>1007</v>
      </c>
      <c r="AT26" s="16" t="s">
        <v>401</v>
      </c>
    </row>
    <row r="27" spans="2:46" x14ac:dyDescent="0.2">
      <c r="B27" s="4" t="s">
        <v>2573</v>
      </c>
      <c r="C27" s="4">
        <v>21.065000000000001</v>
      </c>
      <c r="D27" s="4">
        <v>20.839200000000002</v>
      </c>
      <c r="E27" s="4">
        <v>21.598800000000001</v>
      </c>
      <c r="F27" s="4">
        <f t="shared" si="0"/>
        <v>21.167666666666666</v>
      </c>
      <c r="I27" s="4" t="s">
        <v>3527</v>
      </c>
      <c r="J27" s="4">
        <v>21.2136</v>
      </c>
      <c r="K27" s="4">
        <v>21.258700000000001</v>
      </c>
      <c r="L27" s="4">
        <v>21.1221</v>
      </c>
      <c r="M27" s="4">
        <f t="shared" si="1"/>
        <v>21.198133333333335</v>
      </c>
      <c r="P27" s="4" t="str">
        <f>"B0303.3"</f>
        <v>B0303.3</v>
      </c>
      <c r="Q27" s="4">
        <v>21.683930555407098</v>
      </c>
      <c r="R27" s="4">
        <v>20.845096268555199</v>
      </c>
      <c r="S27" s="4">
        <v>21.1490742875636</v>
      </c>
      <c r="T27" s="4">
        <f t="shared" si="2"/>
        <v>21.226033703841967</v>
      </c>
      <c r="W27" s="4" t="str">
        <f>"rpl-6"</f>
        <v>rpl-6</v>
      </c>
      <c r="X27" s="4">
        <v>21.519881070971</v>
      </c>
      <c r="Y27" s="4">
        <v>21.378714570629299</v>
      </c>
      <c r="Z27" s="4">
        <v>21.4497484925792</v>
      </c>
      <c r="AA27" s="4">
        <f t="shared" si="3"/>
        <v>21.449448044726498</v>
      </c>
      <c r="AH27" s="28" t="s">
        <v>3251</v>
      </c>
      <c r="AJ27" s="4" t="s">
        <v>3232</v>
      </c>
      <c r="AK27" s="1"/>
      <c r="AL27" s="1"/>
      <c r="AM27" s="1"/>
      <c r="AN27" s="1"/>
      <c r="AQ27" s="5" t="s">
        <v>785</v>
      </c>
      <c r="AT27" s="5" t="s">
        <v>959</v>
      </c>
    </row>
    <row r="28" spans="2:46" x14ac:dyDescent="0.2">
      <c r="B28" s="4" t="s">
        <v>1474</v>
      </c>
      <c r="C28" s="4">
        <v>21.736799999999999</v>
      </c>
      <c r="D28" s="4">
        <v>20.3125</v>
      </c>
      <c r="E28" s="4">
        <v>21.020399999999999</v>
      </c>
      <c r="F28" s="4">
        <f t="shared" si="0"/>
        <v>21.023233333333334</v>
      </c>
      <c r="I28" s="4" t="s">
        <v>3452</v>
      </c>
      <c r="J28" s="4">
        <v>20.974900000000002</v>
      </c>
      <c r="K28" s="4">
        <v>20.842099999999999</v>
      </c>
      <c r="L28" s="4">
        <v>21.613700000000001</v>
      </c>
      <c r="M28" s="4">
        <f t="shared" si="1"/>
        <v>21.143566666666668</v>
      </c>
      <c r="P28" s="4" t="str">
        <f>"rpl-6"</f>
        <v>rpl-6</v>
      </c>
      <c r="Q28" s="4">
        <v>20.949453002004301</v>
      </c>
      <c r="R28" s="4">
        <v>21.3271464244452</v>
      </c>
      <c r="S28" s="4">
        <v>21.2850186685491</v>
      </c>
      <c r="T28" s="4">
        <f t="shared" si="2"/>
        <v>21.1872060316662</v>
      </c>
      <c r="W28" s="4" t="str">
        <f>"rps-30"</f>
        <v>rps-30</v>
      </c>
      <c r="X28" s="4">
        <v>21.353346646609999</v>
      </c>
      <c r="Y28" s="4">
        <v>20.851126157421501</v>
      </c>
      <c r="Z28" s="4">
        <v>22.055950030614099</v>
      </c>
      <c r="AA28" s="4">
        <f t="shared" si="3"/>
        <v>21.420140944881865</v>
      </c>
      <c r="AH28" s="28" t="s">
        <v>4666</v>
      </c>
      <c r="AJ28" s="4" t="s">
        <v>1937</v>
      </c>
      <c r="AK28" s="1"/>
      <c r="AL28" s="1"/>
      <c r="AM28" s="1"/>
      <c r="AN28" s="1"/>
      <c r="AQ28" s="5" t="s">
        <v>1067</v>
      </c>
      <c r="AT28" s="5" t="s">
        <v>653</v>
      </c>
    </row>
    <row r="29" spans="2:46" x14ac:dyDescent="0.2">
      <c r="B29" s="4" t="s">
        <v>2943</v>
      </c>
      <c r="C29" s="4">
        <v>20.6632</v>
      </c>
      <c r="D29" s="4">
        <v>21.0044</v>
      </c>
      <c r="E29" s="4">
        <v>21.239699999999999</v>
      </c>
      <c r="F29" s="4">
        <f t="shared" si="0"/>
        <v>20.969100000000001</v>
      </c>
      <c r="I29" s="4" t="s">
        <v>2</v>
      </c>
      <c r="J29" s="4">
        <v>21.272099999999998</v>
      </c>
      <c r="K29" s="4">
        <v>21.313500000000001</v>
      </c>
      <c r="L29" s="4">
        <v>20.827200000000001</v>
      </c>
      <c r="M29" s="4">
        <f t="shared" si="1"/>
        <v>21.137600000000003</v>
      </c>
      <c r="P29" s="4" t="str">
        <f>"aco-2"</f>
        <v>aco-2</v>
      </c>
      <c r="Q29" s="4">
        <v>21.6519704072021</v>
      </c>
      <c r="R29" s="4">
        <v>20.599050314777799</v>
      </c>
      <c r="S29" s="4">
        <v>20.882237148569601</v>
      </c>
      <c r="T29" s="4">
        <f t="shared" si="2"/>
        <v>21.044419290183168</v>
      </c>
      <c r="W29" s="4" t="str">
        <f>"rpl-4"</f>
        <v>rpl-4</v>
      </c>
      <c r="X29" s="4">
        <v>21.021159996888802</v>
      </c>
      <c r="Y29" s="4">
        <v>21.474138822312799</v>
      </c>
      <c r="Z29" s="4">
        <v>21.3670691601362</v>
      </c>
      <c r="AA29" s="4">
        <f t="shared" si="3"/>
        <v>21.287455993112602</v>
      </c>
      <c r="AH29" s="28" t="s">
        <v>4728</v>
      </c>
      <c r="AJ29" s="4" t="s">
        <v>1149</v>
      </c>
      <c r="AK29" s="1"/>
      <c r="AL29" s="1"/>
      <c r="AM29" s="1"/>
      <c r="AN29" s="1"/>
      <c r="AQ29" s="5" t="s">
        <v>1052</v>
      </c>
      <c r="AT29" s="5" t="s">
        <v>655</v>
      </c>
    </row>
    <row r="30" spans="2:46" x14ac:dyDescent="0.2">
      <c r="B30" s="4" t="s">
        <v>2728</v>
      </c>
      <c r="C30" s="4">
        <v>20.790400000000002</v>
      </c>
      <c r="D30" s="4">
        <v>20.712499999999999</v>
      </c>
      <c r="E30" s="4">
        <v>21.3706</v>
      </c>
      <c r="F30" s="4">
        <f t="shared" si="0"/>
        <v>20.95783333333333</v>
      </c>
      <c r="I30" s="4" t="s">
        <v>2943</v>
      </c>
      <c r="J30" s="4">
        <v>20.989000000000001</v>
      </c>
      <c r="K30" s="4">
        <v>21.1798</v>
      </c>
      <c r="L30" s="4">
        <v>21.0898</v>
      </c>
      <c r="M30" s="4">
        <f t="shared" si="1"/>
        <v>21.086200000000002</v>
      </c>
      <c r="P30" s="4" t="str">
        <f>"dld-1"</f>
        <v>dld-1</v>
      </c>
      <c r="Q30" s="4">
        <v>21.519727639578399</v>
      </c>
      <c r="R30" s="4">
        <v>20.560645557649501</v>
      </c>
      <c r="S30" s="4">
        <v>20.918948184431901</v>
      </c>
      <c r="T30" s="4">
        <f t="shared" si="2"/>
        <v>20.9997737938866</v>
      </c>
      <c r="W30" s="4" t="str">
        <f>"vit-6"</f>
        <v>vit-6</v>
      </c>
      <c r="X30" s="4">
        <v>21.4971318552941</v>
      </c>
      <c r="Y30" s="4">
        <v>21.340488080837499</v>
      </c>
      <c r="Z30" s="4">
        <v>20.997251387236201</v>
      </c>
      <c r="AA30" s="4">
        <f t="shared" si="3"/>
        <v>21.278290441122603</v>
      </c>
      <c r="AH30" s="28" t="s">
        <v>2229</v>
      </c>
      <c r="AJ30" s="4" t="s">
        <v>4305</v>
      </c>
      <c r="AK30" s="1"/>
      <c r="AL30" s="1"/>
      <c r="AM30" s="1"/>
      <c r="AN30" s="1"/>
      <c r="AQ30" s="5" t="s">
        <v>730</v>
      </c>
      <c r="AT30" s="5" t="s">
        <v>677</v>
      </c>
    </row>
    <row r="31" spans="2:46" x14ac:dyDescent="0.2">
      <c r="B31" s="4" t="s">
        <v>2665</v>
      </c>
      <c r="C31" s="4">
        <v>21.035</v>
      </c>
      <c r="D31" s="4">
        <v>20.7822</v>
      </c>
      <c r="E31" s="4">
        <v>21.0152</v>
      </c>
      <c r="F31" s="4">
        <f t="shared" si="0"/>
        <v>20.944133333333333</v>
      </c>
      <c r="I31" s="4" t="s">
        <v>2665</v>
      </c>
      <c r="J31" s="4">
        <v>21.046399999999998</v>
      </c>
      <c r="K31" s="4">
        <v>20.92</v>
      </c>
      <c r="L31" s="4">
        <v>21.169799999999999</v>
      </c>
      <c r="M31" s="4">
        <f t="shared" si="1"/>
        <v>21.045400000000001</v>
      </c>
      <c r="P31" s="4" t="str">
        <f>"rps-23"</f>
        <v>rps-23</v>
      </c>
      <c r="Q31" s="4">
        <v>20.8168011393951</v>
      </c>
      <c r="R31" s="4">
        <v>20.782315661551799</v>
      </c>
      <c r="S31" s="4">
        <v>20.9987691095792</v>
      </c>
      <c r="T31" s="4">
        <f t="shared" si="2"/>
        <v>20.865961970175366</v>
      </c>
      <c r="W31" s="4" t="str">
        <f>"rpl-10"</f>
        <v>rpl-10</v>
      </c>
      <c r="X31" s="4">
        <v>21.3080491073035</v>
      </c>
      <c r="Y31" s="4">
        <v>21.269616915805699</v>
      </c>
      <c r="Z31" s="4">
        <v>21.179521079520399</v>
      </c>
      <c r="AA31" s="4">
        <f t="shared" si="3"/>
        <v>21.252395700876534</v>
      </c>
      <c r="AH31" s="28" t="s">
        <v>4550</v>
      </c>
      <c r="AJ31" s="4" t="s">
        <v>2575</v>
      </c>
      <c r="AK31" s="1"/>
      <c r="AL31" s="1"/>
      <c r="AM31" s="1"/>
      <c r="AN31" s="1"/>
      <c r="AQ31" s="5" t="s">
        <v>1068</v>
      </c>
      <c r="AT31" s="5" t="s">
        <v>824</v>
      </c>
    </row>
    <row r="32" spans="2:46" x14ac:dyDescent="0.2">
      <c r="B32" s="4" t="s">
        <v>1900</v>
      </c>
      <c r="C32" s="4">
        <v>20.876100000000001</v>
      </c>
      <c r="D32" s="4">
        <v>20.266999999999999</v>
      </c>
      <c r="E32" s="4">
        <v>21.406600000000001</v>
      </c>
      <c r="F32" s="4">
        <f t="shared" si="0"/>
        <v>20.849900000000002</v>
      </c>
      <c r="I32" s="4" t="s">
        <v>2573</v>
      </c>
      <c r="J32" s="4">
        <v>21.064499999999999</v>
      </c>
      <c r="K32" s="4">
        <v>21.185700000000001</v>
      </c>
      <c r="L32" s="4">
        <v>20.7928</v>
      </c>
      <c r="M32" s="4">
        <f t="shared" si="1"/>
        <v>21.014333333333333</v>
      </c>
      <c r="P32" s="4" t="str">
        <f>"rps-18"</f>
        <v>rps-18</v>
      </c>
      <c r="Q32" s="4">
        <v>21.107094921870001</v>
      </c>
      <c r="R32" s="4">
        <v>20.655424571040601</v>
      </c>
      <c r="S32" s="4">
        <v>20.827821479173998</v>
      </c>
      <c r="T32" s="4">
        <f t="shared" si="2"/>
        <v>20.863446990694865</v>
      </c>
      <c r="W32" s="4" t="str">
        <f>"rps-2"</f>
        <v>rps-2</v>
      </c>
      <c r="X32" s="4">
        <v>21.158768357518898</v>
      </c>
      <c r="Y32" s="4">
        <v>21.3470399666666</v>
      </c>
      <c r="Z32" s="4">
        <v>21.206598319863101</v>
      </c>
      <c r="AA32" s="4">
        <f t="shared" si="3"/>
        <v>21.237468881349532</v>
      </c>
      <c r="AH32" s="28" t="s">
        <v>2034</v>
      </c>
      <c r="AJ32" s="4" t="s">
        <v>3842</v>
      </c>
      <c r="AK32" s="1"/>
      <c r="AL32" s="1"/>
      <c r="AM32" s="1"/>
      <c r="AN32" s="1"/>
      <c r="AQ32" s="5" t="s">
        <v>1069</v>
      </c>
      <c r="AT32" s="5" t="s">
        <v>659</v>
      </c>
    </row>
    <row r="33" spans="2:56" x14ac:dyDescent="0.2">
      <c r="B33" s="4" t="s">
        <v>3074</v>
      </c>
      <c r="C33" s="4">
        <v>21.155000000000001</v>
      </c>
      <c r="D33" s="4">
        <v>20.4009</v>
      </c>
      <c r="E33" s="4">
        <v>20.780899999999999</v>
      </c>
      <c r="F33" s="4">
        <f t="shared" si="0"/>
        <v>20.778933333333331</v>
      </c>
      <c r="I33" s="4" t="s">
        <v>938</v>
      </c>
      <c r="J33" s="4">
        <v>20.814900000000002</v>
      </c>
      <c r="K33" s="4">
        <v>20.843800000000002</v>
      </c>
      <c r="L33" s="4">
        <v>21.175599999999999</v>
      </c>
      <c r="M33" s="4">
        <f t="shared" si="1"/>
        <v>20.944766666666666</v>
      </c>
      <c r="P33" s="4" t="str">
        <f>"ran-1"</f>
        <v>ran-1</v>
      </c>
      <c r="Q33" s="4">
        <v>21.009624534514</v>
      </c>
      <c r="R33" s="4">
        <v>20.76239122242</v>
      </c>
      <c r="S33" s="4">
        <v>20.817883374961902</v>
      </c>
      <c r="T33" s="4">
        <f t="shared" si="2"/>
        <v>20.863299710631967</v>
      </c>
      <c r="W33" s="4" t="str">
        <f>"rps-3"</f>
        <v>rps-3</v>
      </c>
      <c r="X33" s="4">
        <v>21.134204884523701</v>
      </c>
      <c r="Y33" s="4">
        <v>21.1738193918343</v>
      </c>
      <c r="Z33" s="4">
        <v>21.1569300805049</v>
      </c>
      <c r="AA33" s="4">
        <f t="shared" si="3"/>
        <v>21.154984785620965</v>
      </c>
      <c r="AH33" s="28" t="s">
        <v>4860</v>
      </c>
      <c r="AJ33" s="4" t="s">
        <v>2471</v>
      </c>
      <c r="AK33" s="1"/>
      <c r="AL33" s="1"/>
      <c r="AM33" s="1"/>
      <c r="AN33" s="1"/>
      <c r="AQ33" s="5" t="s">
        <v>1070</v>
      </c>
      <c r="AT33" s="5" t="s">
        <v>532</v>
      </c>
    </row>
    <row r="34" spans="2:56" x14ac:dyDescent="0.2">
      <c r="B34" s="4" t="s">
        <v>3843</v>
      </c>
      <c r="C34" s="4">
        <v>20.771000000000001</v>
      </c>
      <c r="D34" s="4">
        <v>20.841200000000001</v>
      </c>
      <c r="E34" s="4">
        <v>20.5808</v>
      </c>
      <c r="F34" s="4">
        <f t="shared" si="0"/>
        <v>20.730999999999998</v>
      </c>
      <c r="I34" s="4" t="s">
        <v>3294</v>
      </c>
      <c r="J34" s="4">
        <v>20.9725</v>
      </c>
      <c r="K34" s="4">
        <v>21.172899999999998</v>
      </c>
      <c r="L34" s="4">
        <v>20.597300000000001</v>
      </c>
      <c r="M34" s="4">
        <f t="shared" si="1"/>
        <v>20.914233333333332</v>
      </c>
      <c r="P34" s="4" t="str">
        <f>"fib-1"</f>
        <v>fib-1</v>
      </c>
      <c r="Q34" s="4">
        <v>20.9238363455427</v>
      </c>
      <c r="R34" s="4">
        <v>20.738745750288601</v>
      </c>
      <c r="S34" s="4">
        <v>20.762750571277898</v>
      </c>
      <c r="T34" s="4">
        <f t="shared" si="2"/>
        <v>20.808444222369733</v>
      </c>
      <c r="W34" s="4" t="str">
        <f>"rps-23"</f>
        <v>rps-23</v>
      </c>
      <c r="X34" s="4">
        <v>21.004409758139701</v>
      </c>
      <c r="Y34" s="4">
        <v>21.030272005001301</v>
      </c>
      <c r="Z34" s="4">
        <v>21.1000143392003</v>
      </c>
      <c r="AA34" s="4">
        <f t="shared" si="3"/>
        <v>21.044898700780433</v>
      </c>
      <c r="AH34" s="28" t="s">
        <v>4776</v>
      </c>
      <c r="AJ34" s="4" t="s">
        <v>2391</v>
      </c>
      <c r="AK34" s="1"/>
      <c r="AL34" s="1"/>
      <c r="AM34" s="1"/>
      <c r="AN34" s="1"/>
      <c r="AQ34" s="5" t="s">
        <v>1071</v>
      </c>
      <c r="AT34" s="5" t="s">
        <v>960</v>
      </c>
    </row>
    <row r="35" spans="2:56" x14ac:dyDescent="0.2">
      <c r="B35" s="4" t="s">
        <v>113</v>
      </c>
      <c r="C35" s="4">
        <v>20.657</v>
      </c>
      <c r="D35" s="4">
        <v>20.6663</v>
      </c>
      <c r="E35" s="4">
        <v>20.794599999999999</v>
      </c>
      <c r="F35" s="4">
        <f t="shared" si="0"/>
        <v>20.705966666666669</v>
      </c>
      <c r="I35" s="4" t="s">
        <v>2728</v>
      </c>
      <c r="J35" s="4">
        <v>20.903700000000001</v>
      </c>
      <c r="K35" s="4">
        <v>21.018699999999999</v>
      </c>
      <c r="L35" s="4">
        <v>20.7682</v>
      </c>
      <c r="M35" s="4">
        <f t="shared" si="1"/>
        <v>20.896866666666664</v>
      </c>
      <c r="P35" s="4" t="str">
        <f>"efl-1"</f>
        <v>efl-1</v>
      </c>
      <c r="Q35" s="4">
        <v>21.5967793315595</v>
      </c>
      <c r="R35" s="4">
        <v>19.958208695947398</v>
      </c>
      <c r="S35" s="4">
        <v>20.498954604219701</v>
      </c>
      <c r="T35" s="4">
        <f t="shared" si="2"/>
        <v>20.684647543908866</v>
      </c>
      <c r="W35" s="4" t="str">
        <f>"daf-21"</f>
        <v>daf-21</v>
      </c>
      <c r="X35" s="4">
        <v>20.972884798315398</v>
      </c>
      <c r="Y35" s="4">
        <v>20.9966830757831</v>
      </c>
      <c r="Z35" s="4">
        <v>20.8157408490049</v>
      </c>
      <c r="AA35" s="4">
        <f t="shared" si="3"/>
        <v>20.928436241034465</v>
      </c>
      <c r="AH35" s="28" t="s">
        <v>3649</v>
      </c>
      <c r="AJ35" s="4" t="s">
        <v>1897</v>
      </c>
      <c r="AK35" s="1"/>
      <c r="AL35" s="1"/>
      <c r="AM35" s="1"/>
      <c r="AN35" s="1"/>
      <c r="AQ35" s="5" t="s">
        <v>1072</v>
      </c>
      <c r="AT35" s="5" t="s">
        <v>654</v>
      </c>
    </row>
    <row r="36" spans="2:56" x14ac:dyDescent="0.2">
      <c r="B36" s="4" t="s">
        <v>938</v>
      </c>
      <c r="C36" s="4">
        <v>20.6845</v>
      </c>
      <c r="D36" s="4">
        <v>20.4499</v>
      </c>
      <c r="E36" s="4">
        <v>20.7803</v>
      </c>
      <c r="F36" s="4">
        <f t="shared" si="0"/>
        <v>20.638233333333332</v>
      </c>
      <c r="I36" s="4" t="s">
        <v>648</v>
      </c>
      <c r="J36" s="4">
        <v>21.233799999999999</v>
      </c>
      <c r="K36" s="4">
        <v>21.124700000000001</v>
      </c>
      <c r="L36" s="4">
        <v>20.321200000000001</v>
      </c>
      <c r="M36" s="4">
        <f t="shared" si="1"/>
        <v>20.893233333333331</v>
      </c>
      <c r="P36" s="4" t="str">
        <f>"rpl-5"</f>
        <v>rpl-5</v>
      </c>
      <c r="Q36" s="4">
        <v>20.863645788972399</v>
      </c>
      <c r="R36" s="4">
        <v>20.606554140465999</v>
      </c>
      <c r="S36" s="4">
        <v>20.560465036759801</v>
      </c>
      <c r="T36" s="4">
        <f t="shared" si="2"/>
        <v>20.676888322066066</v>
      </c>
      <c r="W36" s="4" t="str">
        <f>"efl-1"</f>
        <v>efl-1</v>
      </c>
      <c r="X36" s="4">
        <v>21.021191847951901</v>
      </c>
      <c r="Y36" s="4">
        <v>20.401065766891701</v>
      </c>
      <c r="Z36" s="4">
        <v>21.2194741521396</v>
      </c>
      <c r="AA36" s="4">
        <f t="shared" si="3"/>
        <v>20.880577255661066</v>
      </c>
      <c r="AH36" s="28" t="s">
        <v>4805</v>
      </c>
      <c r="AJ36" s="4" t="s">
        <v>4039</v>
      </c>
      <c r="AK36" s="1"/>
      <c r="AL36" s="1"/>
      <c r="AM36" s="1"/>
      <c r="AN36" s="1"/>
      <c r="AQ36" s="5" t="s">
        <v>1073</v>
      </c>
      <c r="AT36" s="5" t="s">
        <v>658</v>
      </c>
    </row>
    <row r="37" spans="2:56" x14ac:dyDescent="0.2">
      <c r="B37" s="4" t="s">
        <v>1915</v>
      </c>
      <c r="C37" s="4">
        <v>20.435300000000002</v>
      </c>
      <c r="D37" s="4">
        <v>20.110499999999998</v>
      </c>
      <c r="E37" s="4">
        <v>21.366399999999999</v>
      </c>
      <c r="F37" s="4">
        <f t="shared" si="0"/>
        <v>20.6374</v>
      </c>
      <c r="I37" s="4" t="s">
        <v>1918</v>
      </c>
      <c r="J37" s="4">
        <v>20.910699999999999</v>
      </c>
      <c r="K37" s="4">
        <v>21.030100000000001</v>
      </c>
      <c r="L37" s="4">
        <v>20.578800000000001</v>
      </c>
      <c r="M37" s="4">
        <f t="shared" si="1"/>
        <v>20.839866666666666</v>
      </c>
      <c r="P37" s="4" t="str">
        <f>"rpl-9"</f>
        <v>rpl-9</v>
      </c>
      <c r="Q37" s="4">
        <v>20.750841798331098</v>
      </c>
      <c r="R37" s="4">
        <v>20.572225321858301</v>
      </c>
      <c r="S37" s="4">
        <v>20.624199528157</v>
      </c>
      <c r="T37" s="4">
        <f t="shared" si="2"/>
        <v>20.649088882782134</v>
      </c>
      <c r="W37" s="4" t="str">
        <f>"act-1"</f>
        <v>act-1</v>
      </c>
      <c r="X37" s="4">
        <v>20.53671991709</v>
      </c>
      <c r="Y37" s="4">
        <v>20.3497545570246</v>
      </c>
      <c r="Z37" s="4">
        <v>21.3286705383886</v>
      </c>
      <c r="AA37" s="4">
        <f t="shared" si="3"/>
        <v>20.7383816708344</v>
      </c>
      <c r="AH37" s="28" t="s">
        <v>4763</v>
      </c>
      <c r="AJ37" s="4" t="s">
        <v>3112</v>
      </c>
      <c r="AK37" s="1"/>
      <c r="AL37" s="1"/>
      <c r="AM37" s="1"/>
      <c r="AN37" s="1"/>
      <c r="AQ37" s="5" t="s">
        <v>1074</v>
      </c>
      <c r="AT37" s="10" t="s">
        <v>606</v>
      </c>
    </row>
    <row r="38" spans="2:56" x14ac:dyDescent="0.2">
      <c r="B38" s="4" t="s">
        <v>1258</v>
      </c>
      <c r="C38" s="4">
        <v>20.347100000000001</v>
      </c>
      <c r="D38" s="4">
        <v>20.087499999999999</v>
      </c>
      <c r="E38" s="4">
        <v>21.440100000000001</v>
      </c>
      <c r="F38" s="4">
        <f t="shared" si="0"/>
        <v>20.6249</v>
      </c>
      <c r="I38" s="4" t="s">
        <v>2576</v>
      </c>
      <c r="J38" s="4">
        <v>20.484999999999999</v>
      </c>
      <c r="K38" s="4">
        <v>20.801400000000001</v>
      </c>
      <c r="L38" s="4">
        <v>21.179600000000001</v>
      </c>
      <c r="M38" s="4">
        <f t="shared" si="1"/>
        <v>20.821999999999999</v>
      </c>
      <c r="P38" s="4" t="str">
        <f>"rpl-7"</f>
        <v>rpl-7</v>
      </c>
      <c r="Q38" s="4">
        <v>20.693002637081101</v>
      </c>
      <c r="R38" s="4">
        <v>20.591522805362999</v>
      </c>
      <c r="S38" s="4">
        <v>20.642861380378701</v>
      </c>
      <c r="T38" s="4">
        <f t="shared" si="2"/>
        <v>20.642462274274266</v>
      </c>
      <c r="W38" s="4" t="str">
        <f>"rpl-9"</f>
        <v>rpl-9</v>
      </c>
      <c r="X38" s="4">
        <v>20.666066371698399</v>
      </c>
      <c r="Y38" s="4">
        <v>20.737545743618</v>
      </c>
      <c r="Z38" s="4">
        <v>20.742746274805501</v>
      </c>
      <c r="AA38" s="4">
        <f t="shared" si="3"/>
        <v>20.7154527967073</v>
      </c>
      <c r="AH38" s="28" t="s">
        <v>918</v>
      </c>
      <c r="AJ38" s="4" t="s">
        <v>4508</v>
      </c>
      <c r="AL38" s="1"/>
      <c r="AM38" s="1"/>
      <c r="AN38" s="1"/>
      <c r="AQ38" s="5" t="s">
        <v>416</v>
      </c>
      <c r="AT38" s="5" t="s">
        <v>660</v>
      </c>
    </row>
    <row r="39" spans="2:56" x14ac:dyDescent="0.2">
      <c r="B39" s="4" t="s">
        <v>913</v>
      </c>
      <c r="C39" s="4">
        <v>20.889800000000001</v>
      </c>
      <c r="D39" s="4">
        <v>20.0274</v>
      </c>
      <c r="E39" s="4">
        <v>20.830200000000001</v>
      </c>
      <c r="F39" s="4">
        <f t="shared" si="0"/>
        <v>20.582466666666665</v>
      </c>
      <c r="I39" s="4" t="s">
        <v>1900</v>
      </c>
      <c r="J39" s="4">
        <v>20.9711</v>
      </c>
      <c r="K39" s="4">
        <v>20.8794</v>
      </c>
      <c r="L39" s="4">
        <v>20.537700000000001</v>
      </c>
      <c r="M39" s="4">
        <f t="shared" si="1"/>
        <v>20.796066666666665</v>
      </c>
      <c r="P39" s="4" t="str">
        <f>"pccb-1"</f>
        <v>pccb-1</v>
      </c>
      <c r="Q39" s="4">
        <v>21.338515202959599</v>
      </c>
      <c r="R39" s="4">
        <v>20.1166961777651</v>
      </c>
      <c r="S39" s="4">
        <v>20.452316537944299</v>
      </c>
      <c r="T39" s="4">
        <f t="shared" si="2"/>
        <v>20.635842639556333</v>
      </c>
      <c r="W39" s="4" t="str">
        <f>"rpl-5"</f>
        <v>rpl-5</v>
      </c>
      <c r="X39" s="4">
        <v>20.752948768168501</v>
      </c>
      <c r="Y39" s="4">
        <v>20.729119574085601</v>
      </c>
      <c r="Z39" s="4">
        <v>20.528437740712299</v>
      </c>
      <c r="AA39" s="4">
        <f t="shared" si="3"/>
        <v>20.670168694322133</v>
      </c>
      <c r="AH39" s="28" t="s">
        <v>4249</v>
      </c>
      <c r="AJ39" s="4" t="s">
        <v>27</v>
      </c>
      <c r="AL39" s="1"/>
      <c r="AM39" s="1"/>
      <c r="AN39" s="1"/>
      <c r="AT39" s="5" t="s">
        <v>961</v>
      </c>
    </row>
    <row r="40" spans="2:56" x14ac:dyDescent="0.2">
      <c r="B40" s="4" t="s">
        <v>2535</v>
      </c>
      <c r="C40" s="4">
        <v>20.632200000000001</v>
      </c>
      <c r="D40" s="4">
        <v>20.633099999999999</v>
      </c>
      <c r="E40" s="4">
        <v>20.434000000000001</v>
      </c>
      <c r="F40" s="4">
        <f t="shared" si="0"/>
        <v>20.566433333333332</v>
      </c>
      <c r="I40" s="4" t="s">
        <v>113</v>
      </c>
      <c r="J40" s="4">
        <v>20.817699999999999</v>
      </c>
      <c r="K40" s="4">
        <v>20.646799999999999</v>
      </c>
      <c r="L40" s="4">
        <v>20.703900000000001</v>
      </c>
      <c r="M40" s="4">
        <f t="shared" si="1"/>
        <v>20.722800000000003</v>
      </c>
      <c r="P40" s="4" t="str">
        <f>"act-1"</f>
        <v>act-1</v>
      </c>
      <c r="Q40" s="4">
        <v>20.624793291183401</v>
      </c>
      <c r="R40" s="4">
        <v>20.4109481413557</v>
      </c>
      <c r="S40" s="4">
        <v>20.696862227313702</v>
      </c>
      <c r="T40" s="4">
        <f t="shared" si="2"/>
        <v>20.577534553284266</v>
      </c>
      <c r="W40" s="4" t="str">
        <f>"fib-1"</f>
        <v>fib-1</v>
      </c>
      <c r="X40" s="4">
        <v>20.552915388029401</v>
      </c>
      <c r="Y40" s="4">
        <v>20.655289037517701</v>
      </c>
      <c r="Z40" s="4">
        <v>20.3612035344029</v>
      </c>
      <c r="AA40" s="4">
        <f t="shared" si="3"/>
        <v>20.523135986650001</v>
      </c>
      <c r="AH40" s="28" t="s">
        <v>4765</v>
      </c>
      <c r="AJ40" s="4" t="s">
        <v>1866</v>
      </c>
      <c r="AL40" s="1"/>
      <c r="AM40" s="1"/>
      <c r="AN40" s="1"/>
      <c r="AT40" s="5" t="s">
        <v>657</v>
      </c>
    </row>
    <row r="41" spans="2:56" x14ac:dyDescent="0.2">
      <c r="B41" s="4" t="s">
        <v>1650</v>
      </c>
      <c r="C41" s="4">
        <v>20.099299999999999</v>
      </c>
      <c r="D41" s="4">
        <v>20.397400000000001</v>
      </c>
      <c r="E41" s="4">
        <v>21.111899999999999</v>
      </c>
      <c r="F41" s="4">
        <f t="shared" si="0"/>
        <v>20.536200000000001</v>
      </c>
      <c r="I41" s="4" t="s">
        <v>1756</v>
      </c>
      <c r="J41" s="4">
        <v>20.764299999999999</v>
      </c>
      <c r="K41" s="4">
        <v>20.804099999999998</v>
      </c>
      <c r="L41" s="4">
        <v>20.522300000000001</v>
      </c>
      <c r="M41" s="4">
        <f t="shared" si="1"/>
        <v>20.696899999999999</v>
      </c>
      <c r="P41" s="4" t="str">
        <f>"rps-8"</f>
        <v>rps-8</v>
      </c>
      <c r="Q41" s="4">
        <v>20.878099756486101</v>
      </c>
      <c r="R41" s="4">
        <v>20.458350724632201</v>
      </c>
      <c r="S41" s="4">
        <v>20.377672732361201</v>
      </c>
      <c r="T41" s="4">
        <f t="shared" si="2"/>
        <v>20.57137440449317</v>
      </c>
      <c r="W41" s="4" t="str">
        <f>"rps-11"</f>
        <v>rps-11</v>
      </c>
      <c r="X41" s="4">
        <v>20.447983953540799</v>
      </c>
      <c r="Y41" s="4">
        <v>20.572154818852901</v>
      </c>
      <c r="Z41" s="4">
        <v>20.5437950564354</v>
      </c>
      <c r="AA41" s="4">
        <f t="shared" si="3"/>
        <v>20.521311276276368</v>
      </c>
      <c r="AH41" s="28" t="s">
        <v>4224</v>
      </c>
      <c r="AJ41" s="4" t="s">
        <v>1572</v>
      </c>
      <c r="AL41" s="1"/>
      <c r="AM41" s="1"/>
      <c r="AN41" s="1"/>
      <c r="AT41" s="5" t="s">
        <v>780</v>
      </c>
    </row>
    <row r="42" spans="2:56" x14ac:dyDescent="0.2">
      <c r="B42" s="4" t="s">
        <v>690</v>
      </c>
      <c r="C42" s="4">
        <v>20.621600000000001</v>
      </c>
      <c r="D42" s="4">
        <v>20.775400000000001</v>
      </c>
      <c r="E42" s="4">
        <v>20.198699999999999</v>
      </c>
      <c r="F42" s="4">
        <f t="shared" si="0"/>
        <v>20.531900000000004</v>
      </c>
      <c r="I42" s="4" t="s">
        <v>1258</v>
      </c>
      <c r="J42" s="4">
        <v>20.573399999999999</v>
      </c>
      <c r="K42" s="4">
        <v>20.446000000000002</v>
      </c>
      <c r="L42" s="4">
        <v>20.991</v>
      </c>
      <c r="M42" s="4">
        <f t="shared" si="1"/>
        <v>20.670133333333336</v>
      </c>
      <c r="P42" s="4" t="str">
        <f>"C18G1.9"</f>
        <v>C18G1.9</v>
      </c>
      <c r="Q42" s="4">
        <v>20.4131488489387</v>
      </c>
      <c r="R42" s="4">
        <v>20.348059577767501</v>
      </c>
      <c r="S42" s="4">
        <v>20.933116898800101</v>
      </c>
      <c r="T42" s="4">
        <f t="shared" si="2"/>
        <v>20.564775108502101</v>
      </c>
      <c r="W42" s="4" t="str">
        <f>"F46H5.3"</f>
        <v>F46H5.3</v>
      </c>
      <c r="X42" s="4">
        <v>20.565869920574901</v>
      </c>
      <c r="Y42" s="4">
        <v>20.576624785531401</v>
      </c>
      <c r="Z42" s="4">
        <v>20.395680385789401</v>
      </c>
      <c r="AA42" s="4">
        <f t="shared" si="3"/>
        <v>20.512725030631902</v>
      </c>
      <c r="AH42" s="28" t="s">
        <v>1788</v>
      </c>
      <c r="AJ42" s="4" t="s">
        <v>31</v>
      </c>
      <c r="AL42" s="1"/>
      <c r="AM42" s="1"/>
      <c r="AN42" s="1"/>
      <c r="AT42" s="5" t="s">
        <v>892</v>
      </c>
    </row>
    <row r="43" spans="2:56" x14ac:dyDescent="0.2">
      <c r="B43" s="4" t="s">
        <v>3591</v>
      </c>
      <c r="C43" s="4">
        <v>20.3855</v>
      </c>
      <c r="D43" s="4">
        <v>20.2043</v>
      </c>
      <c r="E43" s="4">
        <v>20.893799999999999</v>
      </c>
      <c r="F43" s="4">
        <f t="shared" si="0"/>
        <v>20.494533333333333</v>
      </c>
      <c r="I43" s="4" t="s">
        <v>3591</v>
      </c>
      <c r="J43" s="4">
        <v>20.3429</v>
      </c>
      <c r="K43" s="4">
        <v>20.466699999999999</v>
      </c>
      <c r="L43" s="4">
        <v>20.891500000000001</v>
      </c>
      <c r="M43" s="4">
        <f t="shared" si="1"/>
        <v>20.567033333333335</v>
      </c>
      <c r="P43" s="4" t="str">
        <f>"act-5"</f>
        <v>act-5</v>
      </c>
      <c r="Q43" s="4">
        <v>20.6526436321892</v>
      </c>
      <c r="R43" s="4">
        <v>20.381055484101601</v>
      </c>
      <c r="S43" s="4">
        <v>20.458255905856198</v>
      </c>
      <c r="T43" s="4">
        <f t="shared" si="2"/>
        <v>20.497318340715669</v>
      </c>
      <c r="W43" s="4" t="str">
        <f>"rpl-7"</f>
        <v>rpl-7</v>
      </c>
      <c r="X43" s="4">
        <v>20.489844273360301</v>
      </c>
      <c r="Y43" s="4">
        <v>20.619178672981</v>
      </c>
      <c r="Z43" s="4">
        <v>20.259645007212399</v>
      </c>
      <c r="AA43" s="4">
        <f t="shared" si="3"/>
        <v>20.456222651184564</v>
      </c>
      <c r="AH43" s="28" t="s">
        <v>3800</v>
      </c>
      <c r="AJ43" s="4" t="s">
        <v>3363</v>
      </c>
      <c r="AL43" s="1"/>
      <c r="AM43" s="1"/>
      <c r="AN43" s="1"/>
      <c r="AT43" s="5" t="s">
        <v>662</v>
      </c>
    </row>
    <row r="44" spans="2:56" x14ac:dyDescent="0.2">
      <c r="B44" s="4" t="s">
        <v>3452</v>
      </c>
      <c r="C44" s="4">
        <v>20.433499999999999</v>
      </c>
      <c r="D44" s="4">
        <v>20.439</v>
      </c>
      <c r="E44" s="4">
        <v>20.583600000000001</v>
      </c>
      <c r="F44" s="4">
        <f t="shared" si="0"/>
        <v>20.485366666666668</v>
      </c>
      <c r="I44" s="4" t="s">
        <v>1915</v>
      </c>
      <c r="J44" s="4">
        <v>20.421900000000001</v>
      </c>
      <c r="K44" s="4">
        <v>20.612100000000002</v>
      </c>
      <c r="L44" s="4">
        <v>20.456299999999999</v>
      </c>
      <c r="M44" s="4">
        <f t="shared" si="1"/>
        <v>20.496766666666669</v>
      </c>
      <c r="P44" s="4" t="str">
        <f>"daf-21"</f>
        <v>daf-21</v>
      </c>
      <c r="Q44" s="4">
        <v>20.401293735629501</v>
      </c>
      <c r="R44" s="4">
        <v>20.483860092566001</v>
      </c>
      <c r="S44" s="4">
        <v>20.48997892197</v>
      </c>
      <c r="T44" s="4">
        <f t="shared" si="2"/>
        <v>20.458377583388501</v>
      </c>
      <c r="W44" s="4" t="str">
        <f>"ran-1"</f>
        <v>ran-1</v>
      </c>
      <c r="X44" s="4">
        <v>20.470087920342898</v>
      </c>
      <c r="Y44" s="4">
        <v>20.387165950513999</v>
      </c>
      <c r="Z44" s="4">
        <v>20.408277084354399</v>
      </c>
      <c r="AA44" s="4">
        <f t="shared" si="3"/>
        <v>20.421843651737095</v>
      </c>
      <c r="AH44" s="28" t="s">
        <v>932</v>
      </c>
      <c r="AJ44" s="4" t="s">
        <v>2579</v>
      </c>
      <c r="AL44" s="1"/>
      <c r="AM44" s="1"/>
      <c r="AN44" s="1"/>
      <c r="AT44" s="5" t="s">
        <v>962</v>
      </c>
    </row>
    <row r="45" spans="2:56" x14ac:dyDescent="0.2">
      <c r="B45" s="4" t="s">
        <v>2670</v>
      </c>
      <c r="C45" s="4">
        <v>20.582899999999999</v>
      </c>
      <c r="D45" s="4">
        <v>19.948799999999999</v>
      </c>
      <c r="E45" s="4">
        <v>20.919599999999999</v>
      </c>
      <c r="F45" s="4">
        <f t="shared" si="0"/>
        <v>20.483766666666668</v>
      </c>
      <c r="I45" s="4" t="s">
        <v>1065</v>
      </c>
      <c r="J45" s="4">
        <v>20.172699999999999</v>
      </c>
      <c r="K45" s="4">
        <v>20.295400000000001</v>
      </c>
      <c r="L45" s="4">
        <v>20.914899999999999</v>
      </c>
      <c r="M45" s="4">
        <f t="shared" si="1"/>
        <v>20.460999999999999</v>
      </c>
      <c r="P45" s="4" t="str">
        <f>"rpl-14"</f>
        <v>rpl-14</v>
      </c>
      <c r="Q45" s="4">
        <v>20.3862917732962</v>
      </c>
      <c r="R45" s="4">
        <v>20.330647007719001</v>
      </c>
      <c r="S45" s="4">
        <v>20.368781329139502</v>
      </c>
      <c r="T45" s="4">
        <f t="shared" si="2"/>
        <v>20.3619067033849</v>
      </c>
      <c r="W45" s="4" t="str">
        <f>"rps-8"</f>
        <v>rps-8</v>
      </c>
      <c r="X45" s="4">
        <v>20.479053436107101</v>
      </c>
      <c r="Y45" s="4">
        <v>20.394111950252601</v>
      </c>
      <c r="Z45" s="4">
        <v>20.348733493594899</v>
      </c>
      <c r="AA45" s="4">
        <f t="shared" si="3"/>
        <v>20.407299626651533</v>
      </c>
      <c r="AH45" s="28" t="s">
        <v>1404</v>
      </c>
      <c r="AJ45" s="4" t="s">
        <v>1255</v>
      </c>
      <c r="AL45" s="1"/>
      <c r="AM45" s="1"/>
      <c r="AN45" s="1"/>
      <c r="AT45" s="5" t="s">
        <v>483</v>
      </c>
    </row>
    <row r="46" spans="2:56" x14ac:dyDescent="0.2">
      <c r="B46" s="4" t="s">
        <v>329</v>
      </c>
      <c r="C46" s="4">
        <v>20.3111</v>
      </c>
      <c r="D46" s="4">
        <v>20.519300000000001</v>
      </c>
      <c r="E46" s="4">
        <v>20.464200000000002</v>
      </c>
      <c r="F46" s="4">
        <f t="shared" si="0"/>
        <v>20.431533333333334</v>
      </c>
      <c r="I46" s="4" t="s">
        <v>799</v>
      </c>
      <c r="J46" s="4">
        <v>20.462499999999999</v>
      </c>
      <c r="K46" s="4">
        <v>20.479700000000001</v>
      </c>
      <c r="L46" s="4">
        <v>20.3977</v>
      </c>
      <c r="M46" s="4">
        <f t="shared" si="1"/>
        <v>20.446633333333335</v>
      </c>
      <c r="P46" s="4" t="str">
        <f>"rps-11"</f>
        <v>rps-11</v>
      </c>
      <c r="Q46" s="4">
        <v>20.1994619417537</v>
      </c>
      <c r="R46" s="4">
        <v>20.298073809723999</v>
      </c>
      <c r="S46" s="4">
        <v>20.4498437884703</v>
      </c>
      <c r="T46" s="4">
        <f t="shared" si="2"/>
        <v>20.315793179982666</v>
      </c>
      <c r="W46" s="4" t="str">
        <f>"rpl-14"</f>
        <v>rpl-14</v>
      </c>
      <c r="X46" s="4">
        <v>20.381863646217099</v>
      </c>
      <c r="Y46" s="4">
        <v>20.4398541183266</v>
      </c>
      <c r="Z46" s="4">
        <v>20.396102956237801</v>
      </c>
      <c r="AA46" s="4">
        <f t="shared" si="3"/>
        <v>20.405940240260502</v>
      </c>
      <c r="AH46" s="28" t="s">
        <v>4746</v>
      </c>
      <c r="AJ46" s="4" t="s">
        <v>2044</v>
      </c>
      <c r="AL46" s="1"/>
      <c r="AM46" s="1"/>
      <c r="AN46" s="1"/>
      <c r="AT46" s="5" t="s">
        <v>664</v>
      </c>
      <c r="BD46" s="44"/>
    </row>
    <row r="47" spans="2:56" x14ac:dyDescent="0.2">
      <c r="B47" s="4" t="s">
        <v>799</v>
      </c>
      <c r="C47" s="4">
        <v>20.319400000000002</v>
      </c>
      <c r="D47" s="4">
        <v>20.467600000000001</v>
      </c>
      <c r="E47" s="4">
        <v>20.424099999999999</v>
      </c>
      <c r="F47" s="4">
        <f t="shared" si="0"/>
        <v>20.403700000000001</v>
      </c>
      <c r="I47" s="4" t="s">
        <v>1880</v>
      </c>
      <c r="J47" s="4">
        <v>20.3841</v>
      </c>
      <c r="K47" s="4">
        <v>20.3813</v>
      </c>
      <c r="L47" s="4">
        <v>20.4847</v>
      </c>
      <c r="M47" s="4">
        <f t="shared" si="1"/>
        <v>20.416700000000002</v>
      </c>
      <c r="P47" s="4" t="str">
        <f>"tbb-1"</f>
        <v>tbb-1</v>
      </c>
      <c r="Q47" s="4">
        <v>20.520441708362998</v>
      </c>
      <c r="R47" s="4">
        <v>20.200298643969901</v>
      </c>
      <c r="S47" s="4">
        <v>20.218915123117199</v>
      </c>
      <c r="T47" s="4">
        <f t="shared" si="2"/>
        <v>20.313218491816698</v>
      </c>
      <c r="W47" s="4" t="str">
        <f>"dld-1"</f>
        <v>dld-1</v>
      </c>
      <c r="X47" s="4">
        <v>19.957803533500201</v>
      </c>
      <c r="Y47" s="4">
        <v>20.448807795318402</v>
      </c>
      <c r="Z47" s="4">
        <v>20.741983390658699</v>
      </c>
      <c r="AA47" s="4">
        <f t="shared" si="3"/>
        <v>20.382864906492433</v>
      </c>
      <c r="AH47" s="28" t="s">
        <v>4658</v>
      </c>
      <c r="AJ47" s="28" t="s">
        <v>4871</v>
      </c>
      <c r="AL47" s="1"/>
      <c r="AM47" s="1"/>
      <c r="AN47" s="1"/>
      <c r="AT47" s="5" t="s">
        <v>963</v>
      </c>
    </row>
    <row r="48" spans="2:56" x14ac:dyDescent="0.2">
      <c r="B48" s="4" t="s">
        <v>824</v>
      </c>
      <c r="C48" s="4">
        <v>20.382999999999999</v>
      </c>
      <c r="D48" s="4">
        <v>20.438800000000001</v>
      </c>
      <c r="E48" s="4">
        <v>20.255299999999998</v>
      </c>
      <c r="F48" s="4">
        <f t="shared" si="0"/>
        <v>20.359033333333333</v>
      </c>
      <c r="I48" s="4" t="s">
        <v>1650</v>
      </c>
      <c r="J48" s="4">
        <v>20.4498</v>
      </c>
      <c r="K48" s="4">
        <v>20.7361</v>
      </c>
      <c r="L48" s="4">
        <v>19.9876</v>
      </c>
      <c r="M48" s="4">
        <f t="shared" si="1"/>
        <v>20.391166666666667</v>
      </c>
      <c r="P48" s="4" t="str">
        <f>"F44E5.4"</f>
        <v>F44E5.4</v>
      </c>
      <c r="Q48" s="4">
        <v>20.380013319370899</v>
      </c>
      <c r="R48" s="4">
        <v>19.978876000376498</v>
      </c>
      <c r="S48" s="4">
        <v>20.548733979164599</v>
      </c>
      <c r="T48" s="4">
        <f t="shared" si="2"/>
        <v>20.302541099637335</v>
      </c>
      <c r="W48" s="4" t="str">
        <f>"inf-1"</f>
        <v>inf-1</v>
      </c>
      <c r="X48" s="4">
        <v>20.438987234017201</v>
      </c>
      <c r="Y48" s="4">
        <v>20.328260095953901</v>
      </c>
      <c r="Z48" s="4">
        <v>20.275853503089301</v>
      </c>
      <c r="AA48" s="4">
        <f t="shared" si="3"/>
        <v>20.347700277686801</v>
      </c>
      <c r="AH48" s="28" t="s">
        <v>52</v>
      </c>
      <c r="AJ48" s="4" t="s">
        <v>562</v>
      </c>
      <c r="AL48" s="1"/>
      <c r="AT48" s="5" t="s">
        <v>684</v>
      </c>
    </row>
    <row r="49" spans="2:46" x14ac:dyDescent="0.2">
      <c r="B49" s="4" t="s">
        <v>1911</v>
      </c>
      <c r="C49" s="4">
        <v>20.292100000000001</v>
      </c>
      <c r="D49" s="4">
        <v>20.431699999999999</v>
      </c>
      <c r="E49" s="4">
        <v>20.266400000000001</v>
      </c>
      <c r="F49" s="4">
        <f t="shared" si="0"/>
        <v>20.330066666666667</v>
      </c>
      <c r="I49" s="4" t="s">
        <v>2022</v>
      </c>
      <c r="J49" s="4">
        <v>20.417100000000001</v>
      </c>
      <c r="K49" s="4">
        <v>20.3918</v>
      </c>
      <c r="L49" s="4">
        <v>20.2209</v>
      </c>
      <c r="M49" s="4">
        <f t="shared" si="1"/>
        <v>20.343266666666668</v>
      </c>
      <c r="P49" s="4" t="str">
        <f>"rpl-20"</f>
        <v>rpl-20</v>
      </c>
      <c r="Q49" s="4">
        <v>20.133230983102202</v>
      </c>
      <c r="R49" s="4">
        <v>20.223151913583401</v>
      </c>
      <c r="S49" s="4">
        <v>20.312792627878501</v>
      </c>
      <c r="T49" s="4">
        <f t="shared" si="2"/>
        <v>20.223058508188036</v>
      </c>
      <c r="W49" s="4" t="str">
        <f>"rpl-20"</f>
        <v>rpl-20</v>
      </c>
      <c r="X49" s="4">
        <v>20.242944663557001</v>
      </c>
      <c r="Y49" s="4">
        <v>20.3769945244502</v>
      </c>
      <c r="Z49" s="4">
        <v>20.2339150553465</v>
      </c>
      <c r="AA49" s="4">
        <f t="shared" si="3"/>
        <v>20.284618081117902</v>
      </c>
      <c r="AH49" s="28" t="s">
        <v>4723</v>
      </c>
      <c r="AJ49" s="4" t="s">
        <v>4269</v>
      </c>
      <c r="AL49" s="1"/>
      <c r="AT49" s="5" t="s">
        <v>891</v>
      </c>
    </row>
    <row r="50" spans="2:46" x14ac:dyDescent="0.2">
      <c r="B50" s="4" t="s">
        <v>3294</v>
      </c>
      <c r="C50" s="4">
        <v>20.2362</v>
      </c>
      <c r="D50" s="4">
        <v>20.004300000000001</v>
      </c>
      <c r="E50" s="4">
        <v>20.656099999999999</v>
      </c>
      <c r="F50" s="4">
        <f t="shared" si="0"/>
        <v>20.298866666666665</v>
      </c>
      <c r="I50" s="4" t="s">
        <v>3762</v>
      </c>
      <c r="J50" s="4">
        <v>20.472000000000001</v>
      </c>
      <c r="K50" s="4">
        <v>20.315899999999999</v>
      </c>
      <c r="L50" s="4">
        <v>20.134799999999998</v>
      </c>
      <c r="M50" s="4">
        <f t="shared" si="1"/>
        <v>20.307566666666666</v>
      </c>
      <c r="P50" s="4" t="str">
        <f>"gpd-4"</f>
        <v>gpd-4</v>
      </c>
      <c r="Q50" s="4">
        <v>20.271332879248799</v>
      </c>
      <c r="R50" s="4">
        <v>20.099091349372902</v>
      </c>
      <c r="S50" s="4">
        <v>20.177340869646901</v>
      </c>
      <c r="T50" s="4">
        <f t="shared" si="2"/>
        <v>20.182588366089533</v>
      </c>
      <c r="W50" s="4" t="str">
        <f>"rps-24"</f>
        <v>rps-24</v>
      </c>
      <c r="X50" s="4">
        <v>20.279379392169702</v>
      </c>
      <c r="Y50" s="4">
        <v>20.164893098371198</v>
      </c>
      <c r="Z50" s="4">
        <v>20.224816723304301</v>
      </c>
      <c r="AA50" s="4">
        <f t="shared" si="3"/>
        <v>20.223029737948398</v>
      </c>
      <c r="AH50" s="28" t="s">
        <v>2175</v>
      </c>
      <c r="AJ50" s="4" t="s">
        <v>3569</v>
      </c>
      <c r="AL50" s="1"/>
      <c r="AT50" s="5" t="s">
        <v>701</v>
      </c>
    </row>
    <row r="51" spans="2:46" x14ac:dyDescent="0.2">
      <c r="B51" s="4" t="s">
        <v>377</v>
      </c>
      <c r="C51" s="4">
        <v>20.145900000000001</v>
      </c>
      <c r="D51" s="4">
        <v>20.505099999999999</v>
      </c>
      <c r="E51" s="4">
        <v>20.190799999999999</v>
      </c>
      <c r="F51" s="4">
        <f t="shared" si="0"/>
        <v>20.280599999999996</v>
      </c>
      <c r="I51" s="4" t="s">
        <v>2866</v>
      </c>
      <c r="J51" s="4">
        <v>20.2348</v>
      </c>
      <c r="K51" s="4">
        <v>20.243600000000001</v>
      </c>
      <c r="L51" s="4">
        <v>20.428799999999999</v>
      </c>
      <c r="M51" s="4">
        <f t="shared" si="1"/>
        <v>20.302400000000002</v>
      </c>
      <c r="P51" s="4" t="str">
        <f>"inf-1"</f>
        <v>inf-1</v>
      </c>
      <c r="Q51" s="4">
        <v>20.266380638704401</v>
      </c>
      <c r="R51" s="4">
        <v>20.176192222608702</v>
      </c>
      <c r="S51" s="4">
        <v>20.069469188852501</v>
      </c>
      <c r="T51" s="4">
        <f t="shared" si="2"/>
        <v>20.170680683388536</v>
      </c>
      <c r="W51" s="4" t="str">
        <f>"F44E5.4"</f>
        <v>F44E5.4</v>
      </c>
      <c r="X51" s="4">
        <v>19.9982604670457</v>
      </c>
      <c r="Y51" s="4">
        <v>20.2208784995203</v>
      </c>
      <c r="Z51" s="4">
        <v>20.086861727783202</v>
      </c>
      <c r="AA51" s="4">
        <f t="shared" si="3"/>
        <v>20.102000231449733</v>
      </c>
      <c r="AH51" s="28" t="s">
        <v>2475</v>
      </c>
      <c r="AJ51" s="4" t="s">
        <v>3693</v>
      </c>
      <c r="AL51" s="1"/>
      <c r="AT51" s="5" t="s">
        <v>673</v>
      </c>
    </row>
    <row r="52" spans="2:46" x14ac:dyDescent="0.2">
      <c r="B52" s="4" t="s">
        <v>1495</v>
      </c>
      <c r="C52" s="4">
        <v>20.2042</v>
      </c>
      <c r="D52" s="4">
        <v>20.567499999999999</v>
      </c>
      <c r="E52" s="4">
        <v>20.035799999999998</v>
      </c>
      <c r="F52" s="4">
        <f t="shared" si="0"/>
        <v>20.269166666666663</v>
      </c>
      <c r="I52" s="4" t="s">
        <v>2535</v>
      </c>
      <c r="J52" s="4">
        <v>20.499500000000001</v>
      </c>
      <c r="K52" s="4">
        <v>19.9818</v>
      </c>
      <c r="L52" s="4">
        <v>20.364999999999998</v>
      </c>
      <c r="M52" s="4">
        <f t="shared" si="1"/>
        <v>20.2821</v>
      </c>
      <c r="P52" s="4" t="str">
        <f>"rps-30"</f>
        <v>rps-30</v>
      </c>
      <c r="Q52" s="4">
        <v>19.558422747092401</v>
      </c>
      <c r="R52" s="4">
        <v>20.125714483240699</v>
      </c>
      <c r="S52" s="4">
        <v>20.729929765832701</v>
      </c>
      <c r="T52" s="4">
        <f t="shared" si="2"/>
        <v>20.138022332055268</v>
      </c>
      <c r="W52" s="4" t="str">
        <f>"unc-54"</f>
        <v>unc-54</v>
      </c>
      <c r="X52" s="4">
        <v>19.8598336379453</v>
      </c>
      <c r="Y52" s="4">
        <v>20.026416916161299</v>
      </c>
      <c r="Z52" s="4">
        <v>20.376281375849299</v>
      </c>
      <c r="AA52" s="4">
        <f t="shared" si="3"/>
        <v>20.087510643318634</v>
      </c>
      <c r="AH52" s="28" t="s">
        <v>1607</v>
      </c>
      <c r="AJ52" s="4" t="s">
        <v>2993</v>
      </c>
      <c r="AL52" s="1"/>
      <c r="AT52" s="5" t="s">
        <v>679</v>
      </c>
    </row>
    <row r="53" spans="2:46" x14ac:dyDescent="0.2">
      <c r="B53" s="4" t="s">
        <v>279</v>
      </c>
      <c r="C53" s="4">
        <v>19.741499999999998</v>
      </c>
      <c r="D53" s="4">
        <v>20.109100000000002</v>
      </c>
      <c r="E53" s="4">
        <v>20.871300000000002</v>
      </c>
      <c r="F53" s="4">
        <f t="shared" si="0"/>
        <v>20.240633333333335</v>
      </c>
      <c r="I53" s="4" t="s">
        <v>1444</v>
      </c>
      <c r="J53" s="4">
        <v>20.395399999999999</v>
      </c>
      <c r="K53" s="4">
        <v>20.691199999999998</v>
      </c>
      <c r="L53" s="4">
        <v>19.6828</v>
      </c>
      <c r="M53" s="4">
        <f t="shared" si="1"/>
        <v>20.256466666666665</v>
      </c>
      <c r="P53" s="4" t="str">
        <f>"rps-24"</f>
        <v>rps-24</v>
      </c>
      <c r="Q53" s="4">
        <v>20.168972202860999</v>
      </c>
      <c r="R53" s="4">
        <v>19.957678332408399</v>
      </c>
      <c r="S53" s="4">
        <v>20.083746442729801</v>
      </c>
      <c r="T53" s="4">
        <f t="shared" si="2"/>
        <v>20.070132325999733</v>
      </c>
      <c r="W53" s="4" t="str">
        <f>"act-5"</f>
        <v>act-5</v>
      </c>
      <c r="X53" s="4">
        <v>20.010106133295601</v>
      </c>
      <c r="Y53" s="4">
        <v>20.190063566431999</v>
      </c>
      <c r="Z53" s="4">
        <v>19.9938210876828</v>
      </c>
      <c r="AA53" s="4">
        <f t="shared" si="3"/>
        <v>20.064663595803466</v>
      </c>
      <c r="AH53" s="28" t="s">
        <v>4780</v>
      </c>
      <c r="AJ53" s="4" t="s">
        <v>3165</v>
      </c>
      <c r="AL53" s="1"/>
      <c r="AT53" s="5" t="s">
        <v>782</v>
      </c>
    </row>
    <row r="54" spans="2:46" x14ac:dyDescent="0.2">
      <c r="B54" s="4" t="s">
        <v>2866</v>
      </c>
      <c r="C54" s="4">
        <v>20.2392</v>
      </c>
      <c r="D54" s="4">
        <v>20.298300000000001</v>
      </c>
      <c r="E54" s="4">
        <v>20.134699999999999</v>
      </c>
      <c r="F54" s="4">
        <f t="shared" si="0"/>
        <v>20.224066666666669</v>
      </c>
      <c r="I54" s="4" t="s">
        <v>377</v>
      </c>
      <c r="J54" s="4">
        <v>20.360900000000001</v>
      </c>
      <c r="K54" s="4">
        <v>20.3565</v>
      </c>
      <c r="L54" s="4">
        <v>20.0501</v>
      </c>
      <c r="M54" s="4">
        <f t="shared" si="1"/>
        <v>20.255833333333332</v>
      </c>
      <c r="P54" s="4" t="str">
        <f>"vha-15"</f>
        <v>vha-15</v>
      </c>
      <c r="Q54" s="4">
        <v>20.172902280083601</v>
      </c>
      <c r="R54" s="4">
        <v>20.0030772647203</v>
      </c>
      <c r="S54" s="4">
        <v>19.911275720459699</v>
      </c>
      <c r="T54" s="4">
        <f t="shared" si="2"/>
        <v>20.029085088421201</v>
      </c>
      <c r="W54" s="4" t="str">
        <f>"rpl-17"</f>
        <v>rpl-17</v>
      </c>
      <c r="X54" s="4">
        <v>20.113146288177798</v>
      </c>
      <c r="Y54" s="4">
        <v>20.056978749685101</v>
      </c>
      <c r="Z54" s="4">
        <v>20.022426472478301</v>
      </c>
      <c r="AA54" s="4">
        <f t="shared" si="3"/>
        <v>20.064183836780401</v>
      </c>
      <c r="AH54" s="28" t="s">
        <v>3168</v>
      </c>
      <c r="AJ54" s="4" t="s">
        <v>70</v>
      </c>
      <c r="AL54" s="1"/>
      <c r="AT54" s="5" t="s">
        <v>964</v>
      </c>
    </row>
    <row r="55" spans="2:46" x14ac:dyDescent="0.2">
      <c r="B55" s="4" t="s">
        <v>2723</v>
      </c>
      <c r="C55" s="4">
        <v>20.177499999999998</v>
      </c>
      <c r="D55" s="4">
        <v>19.747800000000002</v>
      </c>
      <c r="E55" s="4">
        <v>20.657</v>
      </c>
      <c r="F55" s="4">
        <f t="shared" si="0"/>
        <v>20.194100000000002</v>
      </c>
      <c r="I55" s="4" t="s">
        <v>1911</v>
      </c>
      <c r="J55" s="4">
        <v>20.164000000000001</v>
      </c>
      <c r="K55" s="4">
        <v>20.4132</v>
      </c>
      <c r="L55" s="4">
        <v>20.009</v>
      </c>
      <c r="M55" s="4">
        <f t="shared" si="1"/>
        <v>20.195400000000003</v>
      </c>
      <c r="P55" s="4" t="str">
        <f>"rpl-17"</f>
        <v>rpl-17</v>
      </c>
      <c r="Q55" s="4">
        <v>20.097930089439899</v>
      </c>
      <c r="R55" s="4">
        <v>20.063883987535199</v>
      </c>
      <c r="S55" s="4">
        <v>19.864946195737801</v>
      </c>
      <c r="T55" s="4">
        <f t="shared" si="2"/>
        <v>20.008920090904301</v>
      </c>
      <c r="W55" s="4" t="str">
        <f>"dars-1"</f>
        <v>dars-1</v>
      </c>
      <c r="X55" s="4">
        <v>20.033798043510899</v>
      </c>
      <c r="Y55" s="4">
        <v>20.144486607964801</v>
      </c>
      <c r="Z55" s="4">
        <v>19.941226634279801</v>
      </c>
      <c r="AA55" s="4">
        <f t="shared" si="3"/>
        <v>20.039837095251833</v>
      </c>
      <c r="AH55" s="28" t="s">
        <v>4858</v>
      </c>
      <c r="AJ55" s="4" t="s">
        <v>2304</v>
      </c>
      <c r="AL55" s="1"/>
      <c r="AT55" s="5" t="s">
        <v>965</v>
      </c>
    </row>
    <row r="56" spans="2:46" x14ac:dyDescent="0.2">
      <c r="B56" s="4" t="s">
        <v>46</v>
      </c>
      <c r="C56" s="4">
        <v>19.8658</v>
      </c>
      <c r="D56" s="4">
        <v>20.5624</v>
      </c>
      <c r="E56" s="4">
        <v>19.991199999999999</v>
      </c>
      <c r="F56" s="4">
        <f t="shared" si="0"/>
        <v>20.139800000000001</v>
      </c>
      <c r="I56" s="4" t="s">
        <v>922</v>
      </c>
      <c r="J56" s="4">
        <v>20.269100000000002</v>
      </c>
      <c r="K56" s="4">
        <v>19.940000000000001</v>
      </c>
      <c r="L56" s="4">
        <v>20.3369</v>
      </c>
      <c r="M56" s="4">
        <f t="shared" si="1"/>
        <v>20.182000000000002</v>
      </c>
      <c r="P56" s="4" t="str">
        <f>"gcst-1"</f>
        <v>gcst-1</v>
      </c>
      <c r="Q56" s="4">
        <v>20.2949145841595</v>
      </c>
      <c r="R56" s="4">
        <v>19.6497111913643</v>
      </c>
      <c r="S56" s="4">
        <v>20.024067616819401</v>
      </c>
      <c r="T56" s="4">
        <f t="shared" si="2"/>
        <v>19.989564464114402</v>
      </c>
      <c r="W56" s="4" t="str">
        <f>"rpl-24.1"</f>
        <v>rpl-24.1</v>
      </c>
      <c r="X56" s="4">
        <v>20.132464844150999</v>
      </c>
      <c r="Y56" s="4">
        <v>19.927114137020599</v>
      </c>
      <c r="Z56" s="4">
        <v>20.0121884063688</v>
      </c>
      <c r="AA56" s="4">
        <f t="shared" si="3"/>
        <v>20.023922462513465</v>
      </c>
      <c r="AH56" s="28" t="s">
        <v>4751</v>
      </c>
      <c r="AJ56" s="4" t="s">
        <v>4300</v>
      </c>
      <c r="AL56" s="1"/>
      <c r="AT56" s="5" t="s">
        <v>672</v>
      </c>
    </row>
    <row r="57" spans="2:46" x14ac:dyDescent="0.2">
      <c r="B57" s="4" t="s">
        <v>2576</v>
      </c>
      <c r="C57" s="4">
        <v>20.625</v>
      </c>
      <c r="D57" s="4">
        <v>19.974</v>
      </c>
      <c r="E57" s="4">
        <v>19.8065</v>
      </c>
      <c r="F57" s="4">
        <f t="shared" si="0"/>
        <v>20.135166666666667</v>
      </c>
      <c r="I57" s="4" t="s">
        <v>1547</v>
      </c>
      <c r="J57" s="4">
        <v>19.812999999999999</v>
      </c>
      <c r="K57" s="4">
        <v>19.8842</v>
      </c>
      <c r="L57" s="4">
        <v>20.660699999999999</v>
      </c>
      <c r="M57" s="4">
        <f t="shared" si="1"/>
        <v>20.119299999999999</v>
      </c>
      <c r="P57" s="4" t="str">
        <f>"egl-4"</f>
        <v>egl-4</v>
      </c>
      <c r="Q57" s="4">
        <v>20.2219550933855</v>
      </c>
      <c r="R57" s="4">
        <v>19.8466327476856</v>
      </c>
      <c r="S57" s="4">
        <v>19.766562635834699</v>
      </c>
      <c r="T57" s="4">
        <f t="shared" si="2"/>
        <v>19.945050158968598</v>
      </c>
      <c r="W57" s="4" t="str">
        <f>"tbb-1"</f>
        <v>tbb-1</v>
      </c>
      <c r="X57" s="4">
        <v>19.758585572048698</v>
      </c>
      <c r="Y57" s="4">
        <v>20.094925846097301</v>
      </c>
      <c r="Z57" s="4">
        <v>20.063386137990999</v>
      </c>
      <c r="AA57" s="4">
        <f t="shared" si="3"/>
        <v>19.972299185379001</v>
      </c>
      <c r="AH57" s="28" t="s">
        <v>3570</v>
      </c>
      <c r="AJ57" s="4" t="s">
        <v>3284</v>
      </c>
      <c r="AL57" s="1"/>
      <c r="AT57" s="5" t="s">
        <v>661</v>
      </c>
    </row>
    <row r="58" spans="2:46" x14ac:dyDescent="0.2">
      <c r="B58" s="4" t="s">
        <v>3690</v>
      </c>
      <c r="C58" s="4">
        <v>20.102699999999999</v>
      </c>
      <c r="D58" s="4">
        <v>20.3249</v>
      </c>
      <c r="E58" s="4">
        <v>19.9467</v>
      </c>
      <c r="F58" s="4">
        <f t="shared" si="0"/>
        <v>20.124766666666666</v>
      </c>
      <c r="I58" s="4" t="s">
        <v>46</v>
      </c>
      <c r="J58" s="4">
        <v>20.044699999999999</v>
      </c>
      <c r="K58" s="4">
        <v>20.201699999999999</v>
      </c>
      <c r="L58" s="4">
        <v>19.973700000000001</v>
      </c>
      <c r="M58" s="4">
        <f t="shared" si="1"/>
        <v>20.073366666666665</v>
      </c>
      <c r="P58" s="4" t="str">
        <f>"unc-54"</f>
        <v>unc-54</v>
      </c>
      <c r="Q58" s="4">
        <v>20.027359702605001</v>
      </c>
      <c r="R58" s="4">
        <v>19.6914167335662</v>
      </c>
      <c r="S58" s="4">
        <v>20.0939435837481</v>
      </c>
      <c r="T58" s="4">
        <f t="shared" si="2"/>
        <v>19.937573339973099</v>
      </c>
      <c r="W58" s="4" t="str">
        <f>"rack-1"</f>
        <v>rack-1</v>
      </c>
      <c r="X58" s="4">
        <v>19.986234502702299</v>
      </c>
      <c r="Y58" s="4">
        <v>19.940265950394</v>
      </c>
      <c r="Z58" s="4">
        <v>19.865115216024801</v>
      </c>
      <c r="AA58" s="4">
        <f t="shared" si="3"/>
        <v>19.930538556373701</v>
      </c>
      <c r="AH58" s="28" t="s">
        <v>67</v>
      </c>
      <c r="AJ58" s="4" t="s">
        <v>4239</v>
      </c>
      <c r="AL58" s="1"/>
      <c r="AT58" s="5" t="s">
        <v>681</v>
      </c>
    </row>
    <row r="59" spans="2:46" x14ac:dyDescent="0.2">
      <c r="B59" s="4" t="s">
        <v>3762</v>
      </c>
      <c r="C59" s="4">
        <v>20.505500000000001</v>
      </c>
      <c r="D59" s="4">
        <v>19.816500000000001</v>
      </c>
      <c r="E59" s="4">
        <v>20.028199999999998</v>
      </c>
      <c r="F59" s="4">
        <f t="shared" si="0"/>
        <v>20.116733333333332</v>
      </c>
      <c r="I59" s="4" t="s">
        <v>2670</v>
      </c>
      <c r="J59" s="4">
        <v>20.3537</v>
      </c>
      <c r="K59" s="4">
        <v>20.1372</v>
      </c>
      <c r="L59" s="4">
        <v>19.677399999999999</v>
      </c>
      <c r="M59" s="4">
        <f t="shared" si="1"/>
        <v>20.056099999999997</v>
      </c>
      <c r="P59" s="4" t="str">
        <f>"Y37E3.8"</f>
        <v>Y37E3.8</v>
      </c>
      <c r="Q59" s="4">
        <v>20.022460425022</v>
      </c>
      <c r="R59" s="4">
        <v>19.891099055282101</v>
      </c>
      <c r="S59" s="4">
        <v>19.882222654298701</v>
      </c>
      <c r="T59" s="4">
        <f t="shared" si="2"/>
        <v>19.931927378200935</v>
      </c>
      <c r="W59" s="4" t="str">
        <f>"cdc-48.2"</f>
        <v>cdc-48.2</v>
      </c>
      <c r="X59" s="4">
        <v>19.8403464534973</v>
      </c>
      <c r="Y59" s="4">
        <v>20.078560114669202</v>
      </c>
      <c r="Z59" s="4">
        <v>19.810798697065302</v>
      </c>
      <c r="AA59" s="4">
        <f t="shared" si="3"/>
        <v>19.909901755077268</v>
      </c>
      <c r="AH59" s="28" t="s">
        <v>3587</v>
      </c>
      <c r="AJ59" s="4" t="s">
        <v>1581</v>
      </c>
      <c r="AL59" s="1"/>
      <c r="AT59" s="5" t="s">
        <v>903</v>
      </c>
    </row>
    <row r="60" spans="2:46" x14ac:dyDescent="0.2">
      <c r="B60" s="4" t="s">
        <v>2022</v>
      </c>
      <c r="C60" s="4">
        <v>20.120200000000001</v>
      </c>
      <c r="D60" s="4">
        <v>19.684000000000001</v>
      </c>
      <c r="E60" s="4">
        <v>20.534500000000001</v>
      </c>
      <c r="F60" s="4">
        <f t="shared" si="0"/>
        <v>20.1129</v>
      </c>
      <c r="I60" s="4" t="s">
        <v>279</v>
      </c>
      <c r="J60" s="4">
        <v>20.173400000000001</v>
      </c>
      <c r="K60" s="4">
        <v>20.360499999999998</v>
      </c>
      <c r="L60" s="4">
        <v>19.6309</v>
      </c>
      <c r="M60" s="4">
        <f t="shared" si="1"/>
        <v>20.054933333333334</v>
      </c>
      <c r="P60" s="4" t="str">
        <f>"rack-1"</f>
        <v>rack-1</v>
      </c>
      <c r="Q60" s="4">
        <v>20.011171506344699</v>
      </c>
      <c r="R60" s="4">
        <v>19.836591157700902</v>
      </c>
      <c r="S60" s="4">
        <v>19.895320078362801</v>
      </c>
      <c r="T60" s="4">
        <f t="shared" si="2"/>
        <v>19.914360914136136</v>
      </c>
      <c r="W60" s="4" t="str">
        <f>"rpl-15"</f>
        <v>rpl-15</v>
      </c>
      <c r="X60" s="4">
        <v>19.892375924205801</v>
      </c>
      <c r="Y60" s="4">
        <v>19.7165316060888</v>
      </c>
      <c r="Z60" s="4">
        <v>20.105728371297499</v>
      </c>
      <c r="AA60" s="4">
        <f t="shared" si="3"/>
        <v>19.904878633864033</v>
      </c>
      <c r="AH60" s="28" t="s">
        <v>4641</v>
      </c>
      <c r="AJ60" s="4" t="s">
        <v>2021</v>
      </c>
      <c r="AL60" s="1"/>
      <c r="AT60" s="5" t="s">
        <v>773</v>
      </c>
    </row>
    <row r="61" spans="2:46" x14ac:dyDescent="0.2">
      <c r="B61" s="4" t="s">
        <v>1444</v>
      </c>
      <c r="C61" s="4">
        <v>20.5382</v>
      </c>
      <c r="D61" s="4">
        <v>19.773199999999999</v>
      </c>
      <c r="E61" s="4">
        <v>19.998200000000001</v>
      </c>
      <c r="F61" s="4">
        <f t="shared" si="0"/>
        <v>20.103200000000001</v>
      </c>
      <c r="I61" s="4" t="s">
        <v>3690</v>
      </c>
      <c r="J61" s="4">
        <v>20.114599999999999</v>
      </c>
      <c r="K61" s="4">
        <v>19.8734</v>
      </c>
      <c r="L61" s="4">
        <v>20.155999999999999</v>
      </c>
      <c r="M61" s="4">
        <f t="shared" si="1"/>
        <v>20.047999999999998</v>
      </c>
      <c r="P61" s="4" t="str">
        <f>"rpl-2"</f>
        <v>rpl-2</v>
      </c>
      <c r="Q61" s="4">
        <v>19.7752182025263</v>
      </c>
      <c r="R61" s="4">
        <v>19.9277551713759</v>
      </c>
      <c r="S61" s="4">
        <v>19.9262333351835</v>
      </c>
      <c r="T61" s="4">
        <f t="shared" si="2"/>
        <v>19.876402236361898</v>
      </c>
      <c r="W61" s="4" t="str">
        <f>"rps-18"</f>
        <v>rps-18</v>
      </c>
      <c r="X61" s="4">
        <v>19.519138434684201</v>
      </c>
      <c r="Y61" s="4">
        <v>20.106234862713801</v>
      </c>
      <c r="Z61" s="4">
        <v>20.0083199658878</v>
      </c>
      <c r="AA61" s="4">
        <f t="shared" si="3"/>
        <v>19.877897754428599</v>
      </c>
      <c r="AH61" s="28" t="s">
        <v>4646</v>
      </c>
      <c r="AJ61" s="4" t="s">
        <v>2517</v>
      </c>
      <c r="AL61" s="1"/>
      <c r="AT61" s="5" t="s">
        <v>697</v>
      </c>
    </row>
    <row r="62" spans="2:46" x14ac:dyDescent="0.2">
      <c r="B62" s="4" t="s">
        <v>922</v>
      </c>
      <c r="C62" s="4">
        <v>20.136800000000001</v>
      </c>
      <c r="D62" s="4">
        <v>20.263400000000001</v>
      </c>
      <c r="E62" s="4">
        <v>19.8809</v>
      </c>
      <c r="F62" s="4">
        <f t="shared" si="0"/>
        <v>20.093699999999998</v>
      </c>
      <c r="I62" s="4" t="s">
        <v>2171</v>
      </c>
      <c r="J62" s="4">
        <v>19.803999999999998</v>
      </c>
      <c r="K62" s="4">
        <v>20.5215</v>
      </c>
      <c r="L62" s="4">
        <v>19.811299999999999</v>
      </c>
      <c r="M62" s="4">
        <f t="shared" si="1"/>
        <v>20.045599999999997</v>
      </c>
      <c r="P62" s="4" t="str">
        <f>"F46H5.3"</f>
        <v>F46H5.3</v>
      </c>
      <c r="Q62" s="4">
        <v>19.727797937173801</v>
      </c>
      <c r="R62" s="4">
        <v>19.811598257124398</v>
      </c>
      <c r="S62" s="4">
        <v>19.977829035468101</v>
      </c>
      <c r="T62" s="4">
        <f t="shared" si="2"/>
        <v>19.839075076588767</v>
      </c>
      <c r="W62" s="4" t="str">
        <f>"rpl-2"</f>
        <v>rpl-2</v>
      </c>
      <c r="X62" s="4">
        <v>19.862598958207499</v>
      </c>
      <c r="Y62" s="4">
        <v>19.908431328928401</v>
      </c>
      <c r="Z62" s="4">
        <v>19.721357488090899</v>
      </c>
      <c r="AA62" s="4">
        <f t="shared" si="3"/>
        <v>19.830795925075602</v>
      </c>
      <c r="AH62" s="28" t="s">
        <v>1320</v>
      </c>
      <c r="AJ62" s="4" t="s">
        <v>3286</v>
      </c>
      <c r="AL62" s="1"/>
      <c r="AT62" s="5" t="s">
        <v>699</v>
      </c>
    </row>
    <row r="63" spans="2:46" x14ac:dyDescent="0.2">
      <c r="B63" s="4" t="s">
        <v>3330</v>
      </c>
      <c r="C63" s="4">
        <v>20.2089</v>
      </c>
      <c r="D63" s="4">
        <v>19.9817</v>
      </c>
      <c r="E63" s="4">
        <v>19.9605</v>
      </c>
      <c r="F63" s="4">
        <f t="shared" si="0"/>
        <v>20.050366666666665</v>
      </c>
      <c r="I63" s="4" t="s">
        <v>824</v>
      </c>
      <c r="J63" s="4">
        <v>19.907399999999999</v>
      </c>
      <c r="K63" s="4">
        <v>19.445799999999998</v>
      </c>
      <c r="L63" s="4">
        <v>20.5761</v>
      </c>
      <c r="M63" s="4">
        <f t="shared" si="1"/>
        <v>19.976433333333333</v>
      </c>
      <c r="P63" s="4" t="str">
        <f>"rps-0"</f>
        <v>rps-0</v>
      </c>
      <c r="Q63" s="4">
        <v>19.989042586412999</v>
      </c>
      <c r="R63" s="4">
        <v>19.778381865610701</v>
      </c>
      <c r="S63" s="4">
        <v>19.667227144161401</v>
      </c>
      <c r="T63" s="4">
        <f t="shared" si="2"/>
        <v>19.811550532061702</v>
      </c>
      <c r="W63" s="4" t="str">
        <f>"aco-2"</f>
        <v>aco-2</v>
      </c>
      <c r="X63" s="4">
        <v>19.3793830326243</v>
      </c>
      <c r="Y63" s="4">
        <v>19.811987660923201</v>
      </c>
      <c r="Z63" s="4">
        <v>20.110445359034301</v>
      </c>
      <c r="AA63" s="4">
        <f t="shared" si="3"/>
        <v>19.767272017527265</v>
      </c>
      <c r="AH63" s="28" t="s">
        <v>935</v>
      </c>
      <c r="AJ63" s="4" t="s">
        <v>1804</v>
      </c>
      <c r="AL63" s="1"/>
      <c r="AT63" s="5" t="s">
        <v>666</v>
      </c>
    </row>
    <row r="64" spans="2:46" x14ac:dyDescent="0.2">
      <c r="B64" s="4" t="s">
        <v>1361</v>
      </c>
      <c r="C64" s="4">
        <v>19.345500000000001</v>
      </c>
      <c r="D64" s="4">
        <v>20.160799999999998</v>
      </c>
      <c r="E64" s="4">
        <v>20.403300000000002</v>
      </c>
      <c r="F64" s="4">
        <f t="shared" si="0"/>
        <v>19.969866666666665</v>
      </c>
      <c r="I64" s="4" t="s">
        <v>2723</v>
      </c>
      <c r="J64" s="4">
        <v>20.140899999999998</v>
      </c>
      <c r="K64" s="4">
        <v>20.0946</v>
      </c>
      <c r="L64" s="4">
        <v>19.674199999999999</v>
      </c>
      <c r="M64" s="4">
        <f t="shared" si="1"/>
        <v>19.969899999999999</v>
      </c>
      <c r="P64" s="4" t="str">
        <f>"his-67"</f>
        <v>his-67</v>
      </c>
      <c r="Q64" s="4">
        <v>19.820294915872498</v>
      </c>
      <c r="R64" s="4">
        <v>19.616120477437601</v>
      </c>
      <c r="S64" s="4">
        <v>19.918841576806201</v>
      </c>
      <c r="T64" s="4">
        <f t="shared" si="2"/>
        <v>19.785085656705434</v>
      </c>
      <c r="W64" s="4" t="str">
        <f>"Y37E3.8"</f>
        <v>Y37E3.8</v>
      </c>
      <c r="X64" s="4">
        <v>19.652168542770699</v>
      </c>
      <c r="Y64" s="4">
        <v>19.7964954667607</v>
      </c>
      <c r="Z64" s="4">
        <v>19.732469414666301</v>
      </c>
      <c r="AA64" s="4">
        <f t="shared" si="3"/>
        <v>19.727044474732566</v>
      </c>
      <c r="AH64" s="28" t="s">
        <v>3073</v>
      </c>
      <c r="AJ64" s="4" t="s">
        <v>501</v>
      </c>
      <c r="AL64" s="1"/>
      <c r="AM64" s="28"/>
      <c r="AN64" s="28"/>
      <c r="AT64" s="5" t="s">
        <v>966</v>
      </c>
    </row>
    <row r="65" spans="2:46" x14ac:dyDescent="0.2">
      <c r="B65" s="4" t="s">
        <v>3598</v>
      </c>
      <c r="C65" s="4">
        <v>19.693999999999999</v>
      </c>
      <c r="D65" s="4">
        <v>19.852799999999998</v>
      </c>
      <c r="E65" s="4">
        <v>20.3277</v>
      </c>
      <c r="F65" s="4">
        <f t="shared" si="0"/>
        <v>19.958166666666667</v>
      </c>
      <c r="I65" s="4" t="s">
        <v>3598</v>
      </c>
      <c r="J65" s="4">
        <v>19.8002</v>
      </c>
      <c r="K65" s="4">
        <v>19.939800000000002</v>
      </c>
      <c r="L65" s="4">
        <v>20.1236</v>
      </c>
      <c r="M65" s="4">
        <f t="shared" si="1"/>
        <v>19.954533333333334</v>
      </c>
      <c r="P65" s="4" t="str">
        <f>"rps-25"</f>
        <v>rps-25</v>
      </c>
      <c r="Q65" s="4">
        <v>19.992567794212398</v>
      </c>
      <c r="R65" s="4">
        <v>19.636440962727001</v>
      </c>
      <c r="S65" s="4">
        <v>19.642883814359099</v>
      </c>
      <c r="T65" s="4">
        <f t="shared" si="2"/>
        <v>19.757297523766166</v>
      </c>
      <c r="W65" s="4" t="str">
        <f>"rpl-3"</f>
        <v>rpl-3</v>
      </c>
      <c r="X65" s="4">
        <v>19.853116495199998</v>
      </c>
      <c r="Y65" s="4">
        <v>19.7198703956591</v>
      </c>
      <c r="Z65" s="4">
        <v>19.561454533532</v>
      </c>
      <c r="AA65" s="4">
        <f t="shared" si="3"/>
        <v>19.711480474797032</v>
      </c>
      <c r="AH65" s="28" t="s">
        <v>3645</v>
      </c>
      <c r="AJ65" s="4" t="s">
        <v>4178</v>
      </c>
      <c r="AL65" s="1"/>
      <c r="AQ65" s="6"/>
      <c r="AR65" s="6"/>
      <c r="AS65" s="6"/>
      <c r="AT65" s="5" t="s">
        <v>967</v>
      </c>
    </row>
    <row r="66" spans="2:46" x14ac:dyDescent="0.2">
      <c r="B66" s="4" t="s">
        <v>1935</v>
      </c>
      <c r="C66" s="4">
        <v>19.9285</v>
      </c>
      <c r="D66" s="4">
        <v>19.5931</v>
      </c>
      <c r="E66" s="4">
        <v>20.293099999999999</v>
      </c>
      <c r="F66" s="4">
        <f t="shared" ref="F66:F129" si="4">(C66+D66+E66)/3</f>
        <v>19.938233333333333</v>
      </c>
      <c r="I66" s="4" t="s">
        <v>960</v>
      </c>
      <c r="J66" s="4">
        <v>18.796299999999999</v>
      </c>
      <c r="K66" s="4">
        <v>19.724499999999999</v>
      </c>
      <c r="L66" s="4">
        <v>21.192599999999999</v>
      </c>
      <c r="M66" s="4">
        <f t="shared" ref="M66:M129" si="5">(J66+K66+L66)/3</f>
        <v>19.904466666666664</v>
      </c>
      <c r="P66" s="4" t="str">
        <f>"his-40"</f>
        <v>his-40</v>
      </c>
      <c r="Q66" s="4">
        <v>19.7447249133584</v>
      </c>
      <c r="R66" s="4">
        <v>19.627879934540601</v>
      </c>
      <c r="S66" s="4">
        <v>19.882865289527501</v>
      </c>
      <c r="T66" s="4">
        <f t="shared" ref="T66:T129" si="6">(Q66+R66+S66)/3</f>
        <v>19.751823379142166</v>
      </c>
      <c r="W66" s="4" t="str">
        <f>"vit-4"</f>
        <v>vit-4</v>
      </c>
      <c r="X66" s="4">
        <v>20.068270297675699</v>
      </c>
      <c r="Y66" s="4">
        <v>19.669604590845001</v>
      </c>
      <c r="Z66" s="4">
        <v>19.362225509016302</v>
      </c>
      <c r="AA66" s="4">
        <f t="shared" ref="AA66:AA129" si="7">(X66+Y66+Z66)/3</f>
        <v>19.700033465845667</v>
      </c>
      <c r="AH66" s="28" t="s">
        <v>4684</v>
      </c>
      <c r="AJ66" s="4" t="s">
        <v>1956</v>
      </c>
      <c r="AL66" s="1"/>
      <c r="AT66" s="5" t="s">
        <v>825</v>
      </c>
    </row>
    <row r="67" spans="2:46" x14ac:dyDescent="0.2">
      <c r="B67" s="4" t="s">
        <v>2171</v>
      </c>
      <c r="C67" s="4">
        <v>20.241800000000001</v>
      </c>
      <c r="D67" s="4">
        <v>19.945</v>
      </c>
      <c r="E67" s="4">
        <v>19.5288</v>
      </c>
      <c r="F67" s="4">
        <f t="shared" si="4"/>
        <v>19.905200000000004</v>
      </c>
      <c r="I67" s="4" t="s">
        <v>1361</v>
      </c>
      <c r="J67" s="4">
        <v>19.723700000000001</v>
      </c>
      <c r="K67" s="4">
        <v>20.224699999999999</v>
      </c>
      <c r="L67" s="4">
        <v>19.705400000000001</v>
      </c>
      <c r="M67" s="4">
        <f t="shared" si="5"/>
        <v>19.884600000000002</v>
      </c>
      <c r="P67" s="4" t="str">
        <f>"hsp-1"</f>
        <v>hsp-1</v>
      </c>
      <c r="Q67" s="4">
        <v>20.009714420873198</v>
      </c>
      <c r="R67" s="4">
        <v>19.548910613790301</v>
      </c>
      <c r="S67" s="4">
        <v>19.688077435246001</v>
      </c>
      <c r="T67" s="4">
        <f t="shared" si="6"/>
        <v>19.748900823303167</v>
      </c>
      <c r="W67" s="4" t="str">
        <f>"hsp-1"</f>
        <v>hsp-1</v>
      </c>
      <c r="X67" s="4">
        <v>19.803451390866201</v>
      </c>
      <c r="Y67" s="4">
        <v>19.674854490673301</v>
      </c>
      <c r="Z67" s="4">
        <v>19.6012346693702</v>
      </c>
      <c r="AA67" s="4">
        <f t="shared" si="7"/>
        <v>19.693180183636567</v>
      </c>
      <c r="AH67" s="28" t="s">
        <v>4673</v>
      </c>
      <c r="AJ67" s="4" t="s">
        <v>874</v>
      </c>
      <c r="AL67" s="1"/>
      <c r="AO67" s="28"/>
      <c r="AQ67" s="6"/>
      <c r="AR67" s="6"/>
      <c r="AS67" s="6"/>
      <c r="AT67" s="5" t="s">
        <v>693</v>
      </c>
    </row>
    <row r="68" spans="2:46" x14ac:dyDescent="0.2">
      <c r="B68" s="4" t="s">
        <v>2486</v>
      </c>
      <c r="C68" s="4">
        <v>19.638400000000001</v>
      </c>
      <c r="D68" s="4">
        <v>20.14</v>
      </c>
      <c r="E68" s="4">
        <v>19.8353</v>
      </c>
      <c r="F68" s="4">
        <f t="shared" si="4"/>
        <v>19.871233333333336</v>
      </c>
      <c r="I68" s="4" t="s">
        <v>690</v>
      </c>
      <c r="J68" s="4">
        <v>20.039200000000001</v>
      </c>
      <c r="K68" s="4">
        <v>20.334800000000001</v>
      </c>
      <c r="L68" s="4">
        <v>19.178699999999999</v>
      </c>
      <c r="M68" s="4">
        <f t="shared" si="5"/>
        <v>19.850899999999999</v>
      </c>
      <c r="P68" s="4" t="str">
        <f>"ldh-1"</f>
        <v>ldh-1</v>
      </c>
      <c r="Q68" s="4">
        <v>19.8036084970168</v>
      </c>
      <c r="R68" s="4">
        <v>19.747296980092699</v>
      </c>
      <c r="S68" s="4">
        <v>19.686056414136502</v>
      </c>
      <c r="T68" s="4">
        <f t="shared" si="6"/>
        <v>19.745653963748666</v>
      </c>
      <c r="W68" s="4" t="str">
        <f>"rpl-16"</f>
        <v>rpl-16</v>
      </c>
      <c r="X68" s="4">
        <v>19.766555310836701</v>
      </c>
      <c r="Y68" s="4">
        <v>19.4217711272271</v>
      </c>
      <c r="Z68" s="4">
        <v>19.887553383362999</v>
      </c>
      <c r="AA68" s="4">
        <f t="shared" si="7"/>
        <v>19.691959940475599</v>
      </c>
      <c r="AH68" s="28" t="s">
        <v>934</v>
      </c>
      <c r="AJ68" s="4" t="s">
        <v>3156</v>
      </c>
      <c r="AL68" s="1"/>
      <c r="AQ68" s="6"/>
      <c r="AR68" s="6"/>
      <c r="AS68" s="6"/>
      <c r="AT68" s="5" t="s">
        <v>707</v>
      </c>
    </row>
    <row r="69" spans="2:46" x14ac:dyDescent="0.2">
      <c r="B69" s="4" t="s">
        <v>267</v>
      </c>
      <c r="C69" s="4">
        <v>20.084599999999998</v>
      </c>
      <c r="D69" s="4">
        <v>19.438800000000001</v>
      </c>
      <c r="E69" s="4">
        <v>19.917999999999999</v>
      </c>
      <c r="F69" s="4">
        <f t="shared" si="4"/>
        <v>19.813799999999997</v>
      </c>
      <c r="I69" s="4" t="s">
        <v>4002</v>
      </c>
      <c r="J69" s="4">
        <v>20.048500000000001</v>
      </c>
      <c r="K69" s="4">
        <v>19.819500000000001</v>
      </c>
      <c r="L69" s="4">
        <v>19.634</v>
      </c>
      <c r="M69" s="4">
        <f t="shared" si="5"/>
        <v>19.834</v>
      </c>
      <c r="P69" s="4" t="str">
        <f>"rpl-24.1"</f>
        <v>rpl-24.1</v>
      </c>
      <c r="Q69" s="4">
        <v>19.929621934462901</v>
      </c>
      <c r="R69" s="4">
        <v>19.531253052643802</v>
      </c>
      <c r="S69" s="4">
        <v>19.6421077078355</v>
      </c>
      <c r="T69" s="4">
        <f t="shared" si="6"/>
        <v>19.700994231647403</v>
      </c>
      <c r="W69" s="4" t="str">
        <f>"ifc-2"</f>
        <v>ifc-2</v>
      </c>
      <c r="X69" s="4">
        <v>19.037405913049099</v>
      </c>
      <c r="Y69" s="4">
        <v>19.8793004312543</v>
      </c>
      <c r="Z69" s="4">
        <v>20.143174575259302</v>
      </c>
      <c r="AA69" s="4">
        <f t="shared" si="7"/>
        <v>19.686626973187568</v>
      </c>
      <c r="AH69" s="28" t="s">
        <v>4798</v>
      </c>
      <c r="AJ69" s="4" t="s">
        <v>507</v>
      </c>
      <c r="AL69" s="1"/>
      <c r="AQ69" s="6"/>
      <c r="AR69" s="6"/>
      <c r="AS69" s="6"/>
      <c r="AT69" s="5" t="s">
        <v>34</v>
      </c>
    </row>
    <row r="70" spans="2:46" x14ac:dyDescent="0.2">
      <c r="B70" s="4" t="s">
        <v>2040</v>
      </c>
      <c r="C70" s="4">
        <v>19.993600000000001</v>
      </c>
      <c r="D70" s="4">
        <v>19.712700000000002</v>
      </c>
      <c r="E70" s="4">
        <v>19.560600000000001</v>
      </c>
      <c r="F70" s="4">
        <f t="shared" si="4"/>
        <v>19.755633333333332</v>
      </c>
      <c r="I70" s="4" t="s">
        <v>2486</v>
      </c>
      <c r="J70" s="4">
        <v>19.9541</v>
      </c>
      <c r="K70" s="4">
        <v>19.6403</v>
      </c>
      <c r="L70" s="4">
        <v>19.796099999999999</v>
      </c>
      <c r="M70" s="4">
        <f t="shared" si="5"/>
        <v>19.796833333333336</v>
      </c>
      <c r="P70" s="4" t="str">
        <f>"cdc-48.2"</f>
        <v>cdc-48.2</v>
      </c>
      <c r="Q70" s="4">
        <v>19.891845009168701</v>
      </c>
      <c r="R70" s="4">
        <v>19.630485411331101</v>
      </c>
      <c r="S70" s="4">
        <v>19.557935391768201</v>
      </c>
      <c r="T70" s="4">
        <f t="shared" si="6"/>
        <v>19.693421937422666</v>
      </c>
      <c r="W70" s="4" t="str">
        <f>"oatr-1"</f>
        <v>oatr-1</v>
      </c>
      <c r="X70" s="4">
        <v>19.437819915942701</v>
      </c>
      <c r="Y70" s="4">
        <v>19.887342754359999</v>
      </c>
      <c r="Z70" s="4">
        <v>19.7294799931928</v>
      </c>
      <c r="AA70" s="4">
        <f t="shared" si="7"/>
        <v>19.684880887831834</v>
      </c>
      <c r="AH70" s="28" t="s">
        <v>3817</v>
      </c>
      <c r="AJ70" s="4" t="s">
        <v>4363</v>
      </c>
      <c r="AL70" s="1"/>
      <c r="AQ70" s="6"/>
      <c r="AR70" s="6"/>
      <c r="AS70" s="6"/>
      <c r="AT70" s="5" t="s">
        <v>715</v>
      </c>
    </row>
    <row r="71" spans="2:46" x14ac:dyDescent="0.2">
      <c r="B71" s="4" t="s">
        <v>1061</v>
      </c>
      <c r="C71" s="4">
        <v>19.6889</v>
      </c>
      <c r="D71" s="4">
        <v>19.971599999999999</v>
      </c>
      <c r="E71" s="4">
        <v>19.5763</v>
      </c>
      <c r="F71" s="4">
        <f t="shared" si="4"/>
        <v>19.7456</v>
      </c>
      <c r="I71" s="4" t="s">
        <v>293</v>
      </c>
      <c r="J71" s="4">
        <v>19.737200000000001</v>
      </c>
      <c r="K71" s="4">
        <v>19.583500000000001</v>
      </c>
      <c r="L71" s="4">
        <v>19.963899999999999</v>
      </c>
      <c r="M71" s="4">
        <f t="shared" si="5"/>
        <v>19.761533333333333</v>
      </c>
      <c r="P71" s="4" t="str">
        <f>"pdhb-1"</f>
        <v>pdhb-1</v>
      </c>
      <c r="Q71" s="4">
        <v>19.9448972054753</v>
      </c>
      <c r="R71" s="4">
        <v>19.576144957330101</v>
      </c>
      <c r="S71" s="4">
        <v>19.5496583608771</v>
      </c>
      <c r="T71" s="4">
        <f t="shared" si="6"/>
        <v>19.690233507894167</v>
      </c>
      <c r="W71" s="4" t="str">
        <f>"rps-0"</f>
        <v>rps-0</v>
      </c>
      <c r="X71" s="4">
        <v>19.596137446149001</v>
      </c>
      <c r="Y71" s="4">
        <v>19.885275756527101</v>
      </c>
      <c r="Z71" s="4">
        <v>19.5526750106125</v>
      </c>
      <c r="AA71" s="4">
        <f t="shared" si="7"/>
        <v>19.678029404429534</v>
      </c>
      <c r="AH71" s="28" t="s">
        <v>4692</v>
      </c>
      <c r="AJ71" s="4" t="s">
        <v>719</v>
      </c>
      <c r="AL71" s="1"/>
      <c r="AQ71" s="6"/>
      <c r="AR71" s="6"/>
      <c r="AS71" s="6"/>
      <c r="AT71" s="5" t="s">
        <v>674</v>
      </c>
    </row>
    <row r="72" spans="2:46" x14ac:dyDescent="0.2">
      <c r="B72" s="4" t="s">
        <v>4043</v>
      </c>
      <c r="C72" s="4">
        <v>20.075500000000002</v>
      </c>
      <c r="D72" s="4">
        <v>19.594000000000001</v>
      </c>
      <c r="E72" s="4">
        <v>19.565899999999999</v>
      </c>
      <c r="F72" s="4">
        <f t="shared" si="4"/>
        <v>19.745133333333332</v>
      </c>
      <c r="I72" s="4" t="s">
        <v>3153</v>
      </c>
      <c r="J72" s="4">
        <v>19.596499999999999</v>
      </c>
      <c r="K72" s="4">
        <v>19.876000000000001</v>
      </c>
      <c r="L72" s="4">
        <v>19.7986</v>
      </c>
      <c r="M72" s="4">
        <f t="shared" si="5"/>
        <v>19.757033333333332</v>
      </c>
      <c r="P72" s="4" t="str">
        <f>"hsp-6"</f>
        <v>hsp-6</v>
      </c>
      <c r="Q72" s="4">
        <v>20.326789436042301</v>
      </c>
      <c r="R72" s="4">
        <v>19.229016159799102</v>
      </c>
      <c r="S72" s="4">
        <v>19.4965694826506</v>
      </c>
      <c r="T72" s="4">
        <f t="shared" si="6"/>
        <v>19.684125026164001</v>
      </c>
      <c r="W72" s="4" t="str">
        <f>"vha-15"</f>
        <v>vha-15</v>
      </c>
      <c r="X72" s="4">
        <v>19.663272679136</v>
      </c>
      <c r="Y72" s="4">
        <v>19.7134407997194</v>
      </c>
      <c r="Z72" s="4">
        <v>19.541162637362799</v>
      </c>
      <c r="AA72" s="4">
        <f t="shared" si="7"/>
        <v>19.639292038739399</v>
      </c>
      <c r="AH72" s="28" t="s">
        <v>3435</v>
      </c>
      <c r="AJ72" s="4" t="s">
        <v>4335</v>
      </c>
      <c r="AL72" s="1"/>
      <c r="AQ72" s="6"/>
      <c r="AR72" s="6"/>
      <c r="AS72" s="6"/>
      <c r="AT72" s="5" t="s">
        <v>913</v>
      </c>
    </row>
    <row r="73" spans="2:46" x14ac:dyDescent="0.2">
      <c r="B73" s="4" t="s">
        <v>3839</v>
      </c>
      <c r="C73" s="4">
        <v>19.6387</v>
      </c>
      <c r="D73" s="4">
        <v>19.415500000000002</v>
      </c>
      <c r="E73" s="4">
        <v>20.0884</v>
      </c>
      <c r="F73" s="4">
        <f t="shared" si="4"/>
        <v>19.714200000000002</v>
      </c>
      <c r="I73" s="4" t="s">
        <v>1488</v>
      </c>
      <c r="J73" s="4">
        <v>19.4068</v>
      </c>
      <c r="K73" s="4">
        <v>19.630600000000001</v>
      </c>
      <c r="L73" s="4">
        <v>20.142199999999999</v>
      </c>
      <c r="M73" s="4">
        <f t="shared" si="5"/>
        <v>19.726533333333336</v>
      </c>
      <c r="P73" s="4" t="str">
        <f>"rps-20"</f>
        <v>rps-20</v>
      </c>
      <c r="Q73" s="4">
        <v>20.000721350468002</v>
      </c>
      <c r="R73" s="4">
        <v>19.342465476427499</v>
      </c>
      <c r="S73" s="4">
        <v>19.616875750323601</v>
      </c>
      <c r="T73" s="4">
        <f t="shared" si="6"/>
        <v>19.653354192406368</v>
      </c>
      <c r="W73" s="4" t="str">
        <f>"egl-4"</f>
        <v>egl-4</v>
      </c>
      <c r="X73" s="4">
        <v>19.4364714401095</v>
      </c>
      <c r="Y73" s="4">
        <v>19.742510672292799</v>
      </c>
      <c r="Z73" s="4">
        <v>19.6961363757258</v>
      </c>
      <c r="AA73" s="4">
        <f t="shared" si="7"/>
        <v>19.625039496042699</v>
      </c>
      <c r="AH73" s="28" t="s">
        <v>521</v>
      </c>
      <c r="AJ73" s="4" t="s">
        <v>3262</v>
      </c>
      <c r="AL73" s="1"/>
      <c r="AQ73" s="6"/>
      <c r="AR73" s="6"/>
      <c r="AS73" s="6"/>
      <c r="AT73" s="5" t="s">
        <v>968</v>
      </c>
    </row>
    <row r="74" spans="2:46" x14ac:dyDescent="0.2">
      <c r="B74" s="4" t="s">
        <v>2286</v>
      </c>
      <c r="C74" s="4">
        <v>19.728200000000001</v>
      </c>
      <c r="D74" s="4">
        <v>19.8307</v>
      </c>
      <c r="E74" s="4">
        <v>19.462</v>
      </c>
      <c r="F74" s="4">
        <f t="shared" si="4"/>
        <v>19.673633333333331</v>
      </c>
      <c r="I74" s="4" t="s">
        <v>3116</v>
      </c>
      <c r="J74" s="4">
        <v>19.789300000000001</v>
      </c>
      <c r="K74" s="4">
        <v>19.822700000000001</v>
      </c>
      <c r="L74" s="4">
        <v>19.480599999999999</v>
      </c>
      <c r="M74" s="4">
        <f t="shared" si="5"/>
        <v>19.697533333333336</v>
      </c>
      <c r="P74" s="4" t="str">
        <f>"dars-1"</f>
        <v>dars-1</v>
      </c>
      <c r="Q74" s="4">
        <v>19.5968845088364</v>
      </c>
      <c r="R74" s="4">
        <v>19.640682888928399</v>
      </c>
      <c r="S74" s="4">
        <v>19.681429409498701</v>
      </c>
      <c r="T74" s="4">
        <f t="shared" si="6"/>
        <v>19.639665602421164</v>
      </c>
      <c r="W74" s="4" t="str">
        <f>"cgh-1"</f>
        <v>cgh-1</v>
      </c>
      <c r="X74" s="4">
        <v>19.772272915114399</v>
      </c>
      <c r="Y74" s="4">
        <v>19.476579938913599</v>
      </c>
      <c r="Z74" s="4">
        <v>19.500162192069599</v>
      </c>
      <c r="AA74" s="4">
        <f t="shared" si="7"/>
        <v>19.583005015365867</v>
      </c>
      <c r="AH74" s="28" t="s">
        <v>1051</v>
      </c>
      <c r="AJ74" s="4" t="s">
        <v>4193</v>
      </c>
      <c r="AL74" s="1"/>
      <c r="AQ74" s="6"/>
      <c r="AR74" s="6"/>
      <c r="AS74" s="6"/>
      <c r="AT74" s="5" t="s">
        <v>729</v>
      </c>
    </row>
    <row r="75" spans="2:46" x14ac:dyDescent="0.2">
      <c r="B75" s="4" t="s">
        <v>1880</v>
      </c>
      <c r="C75" s="4">
        <v>19.949400000000001</v>
      </c>
      <c r="D75" s="4">
        <v>19.4619</v>
      </c>
      <c r="E75" s="4">
        <v>19.5716</v>
      </c>
      <c r="F75" s="4">
        <f t="shared" si="4"/>
        <v>19.660966666666667</v>
      </c>
      <c r="I75" s="4" t="s">
        <v>3839</v>
      </c>
      <c r="J75" s="4">
        <v>19.730599999999999</v>
      </c>
      <c r="K75" s="4">
        <v>19.712</v>
      </c>
      <c r="L75" s="4">
        <v>19.596699999999998</v>
      </c>
      <c r="M75" s="4">
        <f t="shared" si="5"/>
        <v>19.679766666666666</v>
      </c>
      <c r="P75" s="4" t="str">
        <f>"rpl-16"</f>
        <v>rpl-16</v>
      </c>
      <c r="Q75" s="4">
        <v>19.5227100074212</v>
      </c>
      <c r="R75" s="4">
        <v>19.8487972641685</v>
      </c>
      <c r="S75" s="4">
        <v>19.469461230566601</v>
      </c>
      <c r="T75" s="4">
        <f t="shared" si="6"/>
        <v>19.613656167385432</v>
      </c>
      <c r="W75" s="4" t="str">
        <f>"bckd-1b"</f>
        <v>bckd-1b</v>
      </c>
      <c r="X75" s="4">
        <v>19.434843132304099</v>
      </c>
      <c r="Y75" s="4">
        <v>19.656174513500201</v>
      </c>
      <c r="Z75" s="4">
        <v>19.645756433609598</v>
      </c>
      <c r="AA75" s="4">
        <f t="shared" si="7"/>
        <v>19.578924693137967</v>
      </c>
      <c r="AH75" s="28" t="s">
        <v>4825</v>
      </c>
      <c r="AJ75" s="4" t="s">
        <v>1525</v>
      </c>
      <c r="AL75" s="1"/>
      <c r="AQ75" s="6"/>
      <c r="AR75" s="6"/>
      <c r="AS75" s="6"/>
      <c r="AT75" s="5" t="s">
        <v>969</v>
      </c>
    </row>
    <row r="76" spans="2:46" x14ac:dyDescent="0.2">
      <c r="B76" s="4" t="s">
        <v>2309</v>
      </c>
      <c r="C76" s="4">
        <v>19.697900000000001</v>
      </c>
      <c r="D76" s="4">
        <v>19.139500000000002</v>
      </c>
      <c r="E76" s="4">
        <v>20.0518</v>
      </c>
      <c r="F76" s="4">
        <f t="shared" si="4"/>
        <v>19.629733333333334</v>
      </c>
      <c r="I76" s="4" t="s">
        <v>1935</v>
      </c>
      <c r="J76" s="4">
        <v>19.706099999999999</v>
      </c>
      <c r="K76" s="4">
        <v>19.667300000000001</v>
      </c>
      <c r="L76" s="4">
        <v>19.655999999999999</v>
      </c>
      <c r="M76" s="4">
        <f t="shared" si="5"/>
        <v>19.676466666666666</v>
      </c>
      <c r="P76" s="4" t="str">
        <f>"tag-18"</f>
        <v>tag-18</v>
      </c>
      <c r="Q76" s="4">
        <v>19.801242938144998</v>
      </c>
      <c r="R76" s="4">
        <v>19.434649245943799</v>
      </c>
      <c r="S76" s="4">
        <v>19.5875603503058</v>
      </c>
      <c r="T76" s="4">
        <f t="shared" si="6"/>
        <v>19.607817511464866</v>
      </c>
      <c r="W76" s="4" t="str">
        <f>"sca-1"</f>
        <v>sca-1</v>
      </c>
      <c r="X76" s="4">
        <v>19.6437264796356</v>
      </c>
      <c r="Y76" s="4">
        <v>19.471094978658702</v>
      </c>
      <c r="Z76" s="4">
        <v>19.425379828640398</v>
      </c>
      <c r="AA76" s="4">
        <f t="shared" si="7"/>
        <v>19.513400428978233</v>
      </c>
      <c r="AH76" s="28" t="s">
        <v>1535</v>
      </c>
      <c r="AJ76" s="4" t="s">
        <v>3009</v>
      </c>
      <c r="AL76" s="1"/>
      <c r="AQ76" s="6"/>
      <c r="AR76" s="6"/>
      <c r="AS76" s="6"/>
      <c r="AT76" s="5" t="s">
        <v>192</v>
      </c>
    </row>
    <row r="77" spans="2:46" x14ac:dyDescent="0.2">
      <c r="B77" s="4" t="s">
        <v>3578</v>
      </c>
      <c r="C77" s="4">
        <v>19.6539</v>
      </c>
      <c r="D77" s="4">
        <v>19.837900000000001</v>
      </c>
      <c r="E77" s="4">
        <v>19.342600000000001</v>
      </c>
      <c r="F77" s="4">
        <f t="shared" si="4"/>
        <v>19.611466666666669</v>
      </c>
      <c r="I77" s="4" t="s">
        <v>267</v>
      </c>
      <c r="J77" s="4">
        <v>19.688700000000001</v>
      </c>
      <c r="K77" s="4">
        <v>19.822700000000001</v>
      </c>
      <c r="L77" s="4">
        <v>19.490100000000002</v>
      </c>
      <c r="M77" s="4">
        <f t="shared" si="5"/>
        <v>19.66716666666667</v>
      </c>
      <c r="P77" s="4" t="str">
        <f>"oatr-1"</f>
        <v>oatr-1</v>
      </c>
      <c r="Q77" s="4">
        <v>19.690378649593502</v>
      </c>
      <c r="R77" s="4">
        <v>19.6066172482154</v>
      </c>
      <c r="S77" s="4">
        <v>19.457014473723198</v>
      </c>
      <c r="T77" s="4">
        <f t="shared" si="6"/>
        <v>19.584670123844031</v>
      </c>
      <c r="W77" s="4" t="str">
        <f>"eat-6"</f>
        <v>eat-6</v>
      </c>
      <c r="X77" s="4">
        <v>19.593741312210302</v>
      </c>
      <c r="Y77" s="4">
        <v>19.492380722688502</v>
      </c>
      <c r="Z77" s="4">
        <v>19.406356048761999</v>
      </c>
      <c r="AA77" s="4">
        <f t="shared" si="7"/>
        <v>19.497492694553603</v>
      </c>
      <c r="AH77" s="28" t="s">
        <v>3708</v>
      </c>
      <c r="AJ77" s="4" t="s">
        <v>2235</v>
      </c>
      <c r="AL77" s="1"/>
      <c r="AQ77" s="6"/>
      <c r="AR77" s="6"/>
      <c r="AS77" s="6"/>
      <c r="AT77" s="5" t="s">
        <v>700</v>
      </c>
    </row>
    <row r="78" spans="2:46" x14ac:dyDescent="0.2">
      <c r="B78" s="4" t="s">
        <v>2101</v>
      </c>
      <c r="C78" s="4">
        <v>19.547899999999998</v>
      </c>
      <c r="D78" s="4">
        <v>19.246500000000001</v>
      </c>
      <c r="E78" s="4">
        <v>20.0136</v>
      </c>
      <c r="F78" s="4">
        <f t="shared" si="4"/>
        <v>19.602666666666664</v>
      </c>
      <c r="I78" s="4" t="s">
        <v>1678</v>
      </c>
      <c r="J78" s="4">
        <v>19.600000000000001</v>
      </c>
      <c r="K78" s="4">
        <v>19.533899999999999</v>
      </c>
      <c r="L78" s="4">
        <v>19.796500000000002</v>
      </c>
      <c r="M78" s="4">
        <f t="shared" si="5"/>
        <v>19.643466666666665</v>
      </c>
      <c r="P78" s="4" t="str">
        <f>"alh-13"</f>
        <v>alh-13</v>
      </c>
      <c r="Q78" s="4">
        <v>19.837147700812402</v>
      </c>
      <c r="R78" s="4">
        <v>19.308575165137398</v>
      </c>
      <c r="S78" s="4">
        <v>19.4967027199204</v>
      </c>
      <c r="T78" s="4">
        <f t="shared" si="6"/>
        <v>19.547475195290065</v>
      </c>
      <c r="W78" s="4" t="str">
        <f>"chc-1"</f>
        <v>chc-1</v>
      </c>
      <c r="X78" s="4">
        <v>19.574236832770499</v>
      </c>
      <c r="Y78" s="4">
        <v>19.508184862752501</v>
      </c>
      <c r="Z78" s="4">
        <v>19.285121488735498</v>
      </c>
      <c r="AA78" s="4">
        <f t="shared" si="7"/>
        <v>19.455847728086166</v>
      </c>
      <c r="AH78" s="28" t="s">
        <v>2256</v>
      </c>
      <c r="AJ78" s="4" t="s">
        <v>112</v>
      </c>
      <c r="AL78" s="1"/>
      <c r="AQ78" s="6"/>
      <c r="AR78" s="6"/>
      <c r="AS78" s="6"/>
      <c r="AT78" s="5" t="s">
        <v>713</v>
      </c>
    </row>
    <row r="79" spans="2:46" x14ac:dyDescent="0.2">
      <c r="B79" s="4" t="s">
        <v>4002</v>
      </c>
      <c r="C79" s="4">
        <v>20.0016</v>
      </c>
      <c r="D79" s="4">
        <v>19.162800000000001</v>
      </c>
      <c r="E79" s="4">
        <v>19.611799999999999</v>
      </c>
      <c r="F79" s="4">
        <f t="shared" si="4"/>
        <v>19.592066666666668</v>
      </c>
      <c r="I79" s="4" t="s">
        <v>2040</v>
      </c>
      <c r="J79" s="4">
        <v>19.689800000000002</v>
      </c>
      <c r="K79" s="4">
        <v>19.5747</v>
      </c>
      <c r="L79" s="4">
        <v>19.613099999999999</v>
      </c>
      <c r="M79" s="4">
        <f t="shared" si="5"/>
        <v>19.625866666666667</v>
      </c>
      <c r="P79" s="4" t="str">
        <f>"eat-6"</f>
        <v>eat-6</v>
      </c>
      <c r="Q79" s="4">
        <v>19.5932484844162</v>
      </c>
      <c r="R79" s="4">
        <v>19.3964902346532</v>
      </c>
      <c r="S79" s="4">
        <v>19.651757806448401</v>
      </c>
      <c r="T79" s="4">
        <f t="shared" si="6"/>
        <v>19.547165508505934</v>
      </c>
      <c r="W79" s="4" t="str">
        <f>"rpl-34"</f>
        <v>rpl-34</v>
      </c>
      <c r="X79" s="4">
        <v>19.555167632652999</v>
      </c>
      <c r="Y79" s="4">
        <v>19.427427295538099</v>
      </c>
      <c r="Z79" s="4">
        <v>19.301170646136701</v>
      </c>
      <c r="AA79" s="4">
        <f t="shared" si="7"/>
        <v>19.427921858109269</v>
      </c>
      <c r="AH79" s="28" t="s">
        <v>106</v>
      </c>
      <c r="AJ79" s="4" t="s">
        <v>2410</v>
      </c>
      <c r="AL79" s="1"/>
      <c r="AQ79" s="6"/>
      <c r="AR79" s="6"/>
      <c r="AS79" s="6"/>
      <c r="AT79" s="5" t="s">
        <v>712</v>
      </c>
    </row>
    <row r="80" spans="2:46" x14ac:dyDescent="0.2">
      <c r="B80" s="4" t="s">
        <v>1173</v>
      </c>
      <c r="C80" s="4">
        <v>20.059899999999999</v>
      </c>
      <c r="D80" s="4">
        <v>18.6508</v>
      </c>
      <c r="E80" s="4">
        <v>20.062999999999999</v>
      </c>
      <c r="F80" s="4">
        <f t="shared" si="4"/>
        <v>19.591233333333335</v>
      </c>
      <c r="I80" s="4" t="s">
        <v>2359</v>
      </c>
      <c r="J80" s="4">
        <v>19.197700000000001</v>
      </c>
      <c r="K80" s="4">
        <v>19.3492</v>
      </c>
      <c r="L80" s="4">
        <v>20.267700000000001</v>
      </c>
      <c r="M80" s="4">
        <f t="shared" si="5"/>
        <v>19.604866666666666</v>
      </c>
      <c r="P80" s="4" t="str">
        <f>"T23E7.2"</f>
        <v>T23E7.2</v>
      </c>
      <c r="Q80" s="4">
        <v>19.988148495885099</v>
      </c>
      <c r="R80" s="4">
        <v>19.140916731438899</v>
      </c>
      <c r="S80" s="4">
        <v>19.446543755933501</v>
      </c>
      <c r="T80" s="4">
        <f t="shared" si="6"/>
        <v>19.525202994419164</v>
      </c>
      <c r="W80" s="4" t="str">
        <f>"rpt-6"</f>
        <v>rpt-6</v>
      </c>
      <c r="X80" s="4">
        <v>19.31575413929</v>
      </c>
      <c r="Y80" s="4">
        <v>19.520133002589699</v>
      </c>
      <c r="Z80" s="4">
        <v>19.4238780459373</v>
      </c>
      <c r="AA80" s="4">
        <f t="shared" si="7"/>
        <v>19.419921729272332</v>
      </c>
      <c r="AH80" s="28" t="s">
        <v>4727</v>
      </c>
      <c r="AJ80" s="4" t="s">
        <v>4251</v>
      </c>
      <c r="AL80" s="1"/>
      <c r="AQ80" s="6"/>
      <c r="AR80" s="6"/>
      <c r="AS80" s="6"/>
      <c r="AT80" s="5" t="s">
        <v>907</v>
      </c>
    </row>
    <row r="81" spans="2:46" x14ac:dyDescent="0.2">
      <c r="B81" s="4" t="s">
        <v>1547</v>
      </c>
      <c r="C81" s="4">
        <v>19.6236</v>
      </c>
      <c r="D81" s="4">
        <v>19.839500000000001</v>
      </c>
      <c r="E81" s="4">
        <v>19.258800000000001</v>
      </c>
      <c r="F81" s="4">
        <f t="shared" si="4"/>
        <v>19.573966666666667</v>
      </c>
      <c r="I81" s="4" t="s">
        <v>2118</v>
      </c>
      <c r="J81" s="4">
        <v>19.472999999999999</v>
      </c>
      <c r="K81" s="4">
        <v>20.0075</v>
      </c>
      <c r="L81" s="4">
        <v>19.244499999999999</v>
      </c>
      <c r="M81" s="4">
        <f t="shared" si="5"/>
        <v>19.574999999999999</v>
      </c>
      <c r="P81" s="4" t="str">
        <f>"rpl-3"</f>
        <v>rpl-3</v>
      </c>
      <c r="Q81" s="4">
        <v>19.4039772776548</v>
      </c>
      <c r="R81" s="4">
        <v>19.560209436650599</v>
      </c>
      <c r="S81" s="4">
        <v>19.499269845444999</v>
      </c>
      <c r="T81" s="4">
        <f t="shared" si="6"/>
        <v>19.487818853250133</v>
      </c>
      <c r="W81" s="4" t="str">
        <f>"gsy-1"</f>
        <v>gsy-1</v>
      </c>
      <c r="X81" s="4">
        <v>19.3089834958643</v>
      </c>
      <c r="Y81" s="4">
        <v>19.5734648828414</v>
      </c>
      <c r="Z81" s="4">
        <v>19.376818786687402</v>
      </c>
      <c r="AA81" s="4">
        <f t="shared" si="7"/>
        <v>19.419755721797703</v>
      </c>
      <c r="AH81" s="28" t="s">
        <v>3603</v>
      </c>
      <c r="AJ81" s="4" t="s">
        <v>3326</v>
      </c>
      <c r="AL81" s="1"/>
      <c r="AT81" s="5" t="s">
        <v>764</v>
      </c>
    </row>
    <row r="82" spans="2:46" x14ac:dyDescent="0.2">
      <c r="B82" s="4" t="s">
        <v>1678</v>
      </c>
      <c r="C82" s="4">
        <v>19.579899999999999</v>
      </c>
      <c r="D82" s="4">
        <v>19.6844</v>
      </c>
      <c r="E82" s="4">
        <v>19.4559</v>
      </c>
      <c r="F82" s="4">
        <f t="shared" si="4"/>
        <v>19.573399999999999</v>
      </c>
      <c r="I82" s="4" t="s">
        <v>3039</v>
      </c>
      <c r="J82" s="4">
        <v>19.447399999999998</v>
      </c>
      <c r="K82" s="4">
        <v>19.550799999999999</v>
      </c>
      <c r="L82" s="4">
        <v>19.590599999999998</v>
      </c>
      <c r="M82" s="4">
        <f t="shared" si="5"/>
        <v>19.529599999999999</v>
      </c>
      <c r="P82" s="4" t="str">
        <f>"bckd-1b"</f>
        <v>bckd-1b</v>
      </c>
      <c r="Q82" s="4">
        <v>19.796163412764098</v>
      </c>
      <c r="R82" s="4">
        <v>19.254842282807701</v>
      </c>
      <c r="S82" s="4">
        <v>19.412118441995201</v>
      </c>
      <c r="T82" s="4">
        <f t="shared" si="6"/>
        <v>19.487708045855669</v>
      </c>
      <c r="W82" s="4" t="str">
        <f>"gcst-1"</f>
        <v>gcst-1</v>
      </c>
      <c r="X82" s="4">
        <v>19.0008753648344</v>
      </c>
      <c r="Y82" s="4">
        <v>19.562773369432001</v>
      </c>
      <c r="Z82" s="4">
        <v>19.6945846867761</v>
      </c>
      <c r="AA82" s="4">
        <f t="shared" si="7"/>
        <v>19.419411140347503</v>
      </c>
      <c r="AH82" s="28" t="s">
        <v>4768</v>
      </c>
      <c r="AJ82" s="4" t="s">
        <v>4480</v>
      </c>
      <c r="AL82" s="1"/>
      <c r="AT82" s="5" t="s">
        <v>732</v>
      </c>
    </row>
    <row r="83" spans="2:46" x14ac:dyDescent="0.2">
      <c r="B83" s="4" t="s">
        <v>3153</v>
      </c>
      <c r="C83" s="4">
        <v>19.334599999999998</v>
      </c>
      <c r="D83" s="4">
        <v>19.377099999999999</v>
      </c>
      <c r="E83" s="4">
        <v>19.942699999999999</v>
      </c>
      <c r="F83" s="4">
        <f t="shared" si="4"/>
        <v>19.551466666666666</v>
      </c>
      <c r="I83" s="4" t="s">
        <v>1955</v>
      </c>
      <c r="J83" s="4">
        <v>19.3841</v>
      </c>
      <c r="K83" s="4">
        <v>19.462199999999999</v>
      </c>
      <c r="L83" s="4">
        <v>19.705500000000001</v>
      </c>
      <c r="M83" s="4">
        <f t="shared" si="5"/>
        <v>19.517266666666668</v>
      </c>
      <c r="P83" s="4" t="str">
        <f>"vit-2"</f>
        <v>vit-2</v>
      </c>
      <c r="Q83" s="4">
        <v>19.205369672870201</v>
      </c>
      <c r="R83" s="4">
        <v>19.5627765426411</v>
      </c>
      <c r="S83" s="4">
        <v>19.665419441237201</v>
      </c>
      <c r="T83" s="4">
        <f t="shared" si="6"/>
        <v>19.477855218916165</v>
      </c>
      <c r="W83" s="4" t="str">
        <f>"alh-13"</f>
        <v>alh-13</v>
      </c>
      <c r="X83" s="4">
        <v>19.284851835610301</v>
      </c>
      <c r="Y83" s="4">
        <v>19.435069822309298</v>
      </c>
      <c r="Z83" s="4">
        <v>19.525210166145101</v>
      </c>
      <c r="AA83" s="4">
        <f t="shared" si="7"/>
        <v>19.415043941354899</v>
      </c>
      <c r="AH83" s="28" t="s">
        <v>1104</v>
      </c>
      <c r="AJ83" s="4" t="s">
        <v>4137</v>
      </c>
      <c r="AL83" s="1"/>
      <c r="AT83" s="5" t="s">
        <v>689</v>
      </c>
    </row>
    <row r="84" spans="2:46" x14ac:dyDescent="0.2">
      <c r="B84" s="4" t="s">
        <v>2291</v>
      </c>
      <c r="C84" s="4">
        <v>19.2682</v>
      </c>
      <c r="D84" s="4">
        <v>19.345199999999998</v>
      </c>
      <c r="E84" s="4">
        <v>19.900600000000001</v>
      </c>
      <c r="F84" s="4">
        <f t="shared" si="4"/>
        <v>19.504666666666665</v>
      </c>
      <c r="I84" s="4" t="s">
        <v>2291</v>
      </c>
      <c r="J84" s="4">
        <v>19.558800000000002</v>
      </c>
      <c r="K84" s="4">
        <v>19.604099999999999</v>
      </c>
      <c r="L84" s="4">
        <v>19.381499999999999</v>
      </c>
      <c r="M84" s="4">
        <f t="shared" si="5"/>
        <v>19.514799999999997</v>
      </c>
      <c r="P84" s="4" t="str">
        <f>"D2030.2"</f>
        <v>D2030.2</v>
      </c>
      <c r="Q84" s="4">
        <v>19.899900199600399</v>
      </c>
      <c r="R84" s="4">
        <v>19.151520180102199</v>
      </c>
      <c r="S84" s="4">
        <v>19.3756228246482</v>
      </c>
      <c r="T84" s="4">
        <f t="shared" si="6"/>
        <v>19.475681068116931</v>
      </c>
      <c r="W84" s="4" t="str">
        <f>"his-67"</f>
        <v>his-67</v>
      </c>
      <c r="X84" s="4">
        <v>20.123211700612899</v>
      </c>
      <c r="Y84" s="4">
        <v>19.125768464736399</v>
      </c>
      <c r="Z84" s="4">
        <v>18.9384830257065</v>
      </c>
      <c r="AA84" s="4">
        <f t="shared" si="7"/>
        <v>19.395821063685265</v>
      </c>
      <c r="AH84" s="28" t="s">
        <v>4747</v>
      </c>
      <c r="AJ84" s="4" t="s">
        <v>919</v>
      </c>
      <c r="AL84" s="1"/>
      <c r="AQ84" s="6"/>
      <c r="AR84" s="6"/>
      <c r="AS84" s="6"/>
      <c r="AT84" s="5" t="s">
        <v>839</v>
      </c>
    </row>
    <row r="85" spans="2:46" x14ac:dyDescent="0.2">
      <c r="B85" s="4" t="s">
        <v>2950</v>
      </c>
      <c r="C85" s="4">
        <v>19.292200000000001</v>
      </c>
      <c r="D85" s="4">
        <v>19.724299999999999</v>
      </c>
      <c r="E85" s="4">
        <v>19.461300000000001</v>
      </c>
      <c r="F85" s="4">
        <f t="shared" si="4"/>
        <v>19.492599999999999</v>
      </c>
      <c r="I85" s="4" t="s">
        <v>3330</v>
      </c>
      <c r="J85" s="4">
        <v>19.820699999999999</v>
      </c>
      <c r="K85" s="4">
        <v>19.633199999999999</v>
      </c>
      <c r="L85" s="4">
        <v>19.071100000000001</v>
      </c>
      <c r="M85" s="4">
        <f t="shared" si="5"/>
        <v>19.508333333333333</v>
      </c>
      <c r="P85" s="4" t="str">
        <f>"gpdh-2"</f>
        <v>gpdh-2</v>
      </c>
      <c r="Q85" s="4">
        <v>19.6950465664289</v>
      </c>
      <c r="R85" s="4">
        <v>19.399762608130299</v>
      </c>
      <c r="S85" s="4">
        <v>19.2994460904394</v>
      </c>
      <c r="T85" s="4">
        <f t="shared" si="6"/>
        <v>19.464751754999536</v>
      </c>
      <c r="W85" s="4" t="str">
        <f>"eef-2"</f>
        <v>eef-2</v>
      </c>
      <c r="X85" s="4">
        <v>19.458728292559801</v>
      </c>
      <c r="Y85" s="4">
        <v>19.376805173627901</v>
      </c>
      <c r="Z85" s="4">
        <v>19.270178703685499</v>
      </c>
      <c r="AA85" s="4">
        <f t="shared" si="7"/>
        <v>19.368570723291068</v>
      </c>
      <c r="AH85" s="28" t="s">
        <v>3007</v>
      </c>
      <c r="AJ85" s="4" t="s">
        <v>4281</v>
      </c>
      <c r="AL85" s="1"/>
      <c r="AT85" s="5" t="s">
        <v>739</v>
      </c>
    </row>
    <row r="86" spans="2:46" x14ac:dyDescent="0.2">
      <c r="B86" s="4" t="s">
        <v>1698</v>
      </c>
      <c r="C86" s="4">
        <v>19.624600000000001</v>
      </c>
      <c r="D86" s="4">
        <v>19.139700000000001</v>
      </c>
      <c r="E86" s="4">
        <v>19.5763</v>
      </c>
      <c r="F86" s="4">
        <f t="shared" si="4"/>
        <v>19.446866666666669</v>
      </c>
      <c r="I86" s="4" t="s">
        <v>3739</v>
      </c>
      <c r="J86" s="4">
        <v>19.8703</v>
      </c>
      <c r="K86" s="4">
        <v>19.665299999999998</v>
      </c>
      <c r="L86" s="4">
        <v>18.955400000000001</v>
      </c>
      <c r="M86" s="4">
        <f t="shared" si="5"/>
        <v>19.497</v>
      </c>
      <c r="P86" s="4" t="str">
        <f>"rpl-18"</f>
        <v>rpl-18</v>
      </c>
      <c r="Q86" s="4">
        <v>19.387782353186601</v>
      </c>
      <c r="R86" s="4">
        <v>19.5717335725273</v>
      </c>
      <c r="S86" s="4">
        <v>19.4255279074893</v>
      </c>
      <c r="T86" s="4">
        <f t="shared" si="6"/>
        <v>19.461681277734399</v>
      </c>
      <c r="W86" s="4" t="str">
        <f>"pccb-1"</f>
        <v>pccb-1</v>
      </c>
      <c r="X86" s="4">
        <v>19.267550822105601</v>
      </c>
      <c r="Y86" s="4">
        <v>19.3765469503664</v>
      </c>
      <c r="Z86" s="4">
        <v>19.3764668574163</v>
      </c>
      <c r="AA86" s="4">
        <f t="shared" si="7"/>
        <v>19.340188209962765</v>
      </c>
      <c r="AH86" s="28" t="s">
        <v>3546</v>
      </c>
      <c r="AJ86" s="4" t="s">
        <v>2803</v>
      </c>
      <c r="AL86" s="1"/>
      <c r="AQ86" s="6"/>
      <c r="AR86" s="6"/>
      <c r="AS86" s="6"/>
      <c r="AT86" s="5" t="s">
        <v>724</v>
      </c>
    </row>
    <row r="87" spans="2:46" x14ac:dyDescent="0.2">
      <c r="B87" s="4" t="s">
        <v>3116</v>
      </c>
      <c r="C87" s="4">
        <v>19.377500000000001</v>
      </c>
      <c r="D87" s="4">
        <v>19.151199999999999</v>
      </c>
      <c r="E87" s="4">
        <v>19.805</v>
      </c>
      <c r="F87" s="4">
        <f t="shared" si="4"/>
        <v>19.444566666666667</v>
      </c>
      <c r="I87" s="4" t="s">
        <v>2950</v>
      </c>
      <c r="J87" s="4">
        <v>19.247299999999999</v>
      </c>
      <c r="K87" s="4">
        <v>19.261600000000001</v>
      </c>
      <c r="L87" s="4">
        <v>19.953299999999999</v>
      </c>
      <c r="M87" s="4">
        <f t="shared" si="5"/>
        <v>19.487399999999997</v>
      </c>
      <c r="P87" s="4" t="str">
        <f>"spg-7"</f>
        <v>spg-7</v>
      </c>
      <c r="Q87" s="4">
        <v>19.615925470010499</v>
      </c>
      <c r="R87" s="4">
        <v>19.329383525248801</v>
      </c>
      <c r="S87" s="4">
        <v>19.370470794975802</v>
      </c>
      <c r="T87" s="4">
        <f t="shared" si="6"/>
        <v>19.4385932634117</v>
      </c>
      <c r="W87" s="4" t="str">
        <f>"rpl-36.A"</f>
        <v>rpl-36.A</v>
      </c>
      <c r="X87" s="4">
        <v>19.9636560106552</v>
      </c>
      <c r="Y87" s="4">
        <v>19.1079365025934</v>
      </c>
      <c r="Z87" s="4">
        <v>18.9214289547382</v>
      </c>
      <c r="AA87" s="4">
        <f t="shared" si="7"/>
        <v>19.331007155995604</v>
      </c>
      <c r="AH87" s="28" t="s">
        <v>2091</v>
      </c>
      <c r="AJ87" s="4" t="s">
        <v>3979</v>
      </c>
      <c r="AL87" s="1"/>
      <c r="AT87" s="5" t="s">
        <v>970</v>
      </c>
    </row>
    <row r="88" spans="2:46" x14ac:dyDescent="0.2">
      <c r="B88" s="4" t="s">
        <v>1955</v>
      </c>
      <c r="C88" s="4">
        <v>19.343599999999999</v>
      </c>
      <c r="D88" s="4">
        <v>18.914000000000001</v>
      </c>
      <c r="E88" s="4">
        <v>20.073599999999999</v>
      </c>
      <c r="F88" s="4">
        <f t="shared" si="4"/>
        <v>19.443733333333331</v>
      </c>
      <c r="I88" s="4" t="s">
        <v>1908</v>
      </c>
      <c r="J88" s="4">
        <v>19.307400000000001</v>
      </c>
      <c r="K88" s="4">
        <v>19.516999999999999</v>
      </c>
      <c r="L88" s="4">
        <v>19.619900000000001</v>
      </c>
      <c r="M88" s="4">
        <f t="shared" si="5"/>
        <v>19.481433333333332</v>
      </c>
      <c r="P88" s="4" t="str">
        <f>"rps-9"</f>
        <v>rps-9</v>
      </c>
      <c r="Q88" s="4">
        <v>19.402768756461299</v>
      </c>
      <c r="R88" s="4">
        <v>19.581428047032201</v>
      </c>
      <c r="S88" s="4">
        <v>19.243620574233599</v>
      </c>
      <c r="T88" s="4">
        <f t="shared" si="6"/>
        <v>19.40927245924237</v>
      </c>
      <c r="W88" s="4" t="str">
        <f>"rml-1"</f>
        <v>rml-1</v>
      </c>
      <c r="X88" s="4">
        <v>19.427776206918001</v>
      </c>
      <c r="Y88" s="4">
        <v>19.306743298991101</v>
      </c>
      <c r="Z88" s="4">
        <v>19.220007630211999</v>
      </c>
      <c r="AA88" s="4">
        <f t="shared" si="7"/>
        <v>19.318175712040368</v>
      </c>
      <c r="AH88" s="28" t="s">
        <v>2909</v>
      </c>
      <c r="AJ88" s="4" t="s">
        <v>4486</v>
      </c>
      <c r="AL88" s="1"/>
      <c r="AQ88" s="6"/>
      <c r="AR88" s="6"/>
      <c r="AS88" s="6"/>
      <c r="AT88" s="5" t="s">
        <v>727</v>
      </c>
    </row>
    <row r="89" spans="2:46" x14ac:dyDescent="0.2">
      <c r="B89" s="4" t="s">
        <v>1944</v>
      </c>
      <c r="C89" s="4">
        <v>19.352399999999999</v>
      </c>
      <c r="D89" s="4">
        <v>18.958100000000002</v>
      </c>
      <c r="E89" s="4">
        <v>19.993099999999998</v>
      </c>
      <c r="F89" s="4">
        <f t="shared" si="4"/>
        <v>19.434533333333334</v>
      </c>
      <c r="I89" s="4" t="s">
        <v>2584</v>
      </c>
      <c r="J89" s="4">
        <v>19.324300000000001</v>
      </c>
      <c r="K89" s="4">
        <v>18.857900000000001</v>
      </c>
      <c r="L89" s="4">
        <v>20.189399999999999</v>
      </c>
      <c r="M89" s="4">
        <f t="shared" si="5"/>
        <v>19.4572</v>
      </c>
      <c r="P89" s="4" t="str">
        <f>"rps-5"</f>
        <v>rps-5</v>
      </c>
      <c r="Q89" s="4">
        <v>19.946921109462899</v>
      </c>
      <c r="R89" s="4">
        <v>19.136812443724601</v>
      </c>
      <c r="S89" s="4">
        <v>19.0480699806762</v>
      </c>
      <c r="T89" s="4">
        <f t="shared" si="6"/>
        <v>19.377267844621233</v>
      </c>
      <c r="W89" s="4" t="str">
        <f>"T22B7.7"</f>
        <v>T22B7.7</v>
      </c>
      <c r="X89" s="4">
        <v>19.342824276753401</v>
      </c>
      <c r="Y89" s="4">
        <v>19.491693926501402</v>
      </c>
      <c r="Z89" s="4">
        <v>19.105856535743499</v>
      </c>
      <c r="AA89" s="4">
        <f t="shared" si="7"/>
        <v>19.313458246332768</v>
      </c>
      <c r="AH89" s="28" t="s">
        <v>2712</v>
      </c>
      <c r="AJ89" s="4" t="s">
        <v>92</v>
      </c>
      <c r="AL89" s="1"/>
      <c r="AT89" s="5" t="s">
        <v>685</v>
      </c>
    </row>
    <row r="90" spans="2:46" x14ac:dyDescent="0.2">
      <c r="B90" s="4" t="s">
        <v>1752</v>
      </c>
      <c r="C90" s="4">
        <v>19.539100000000001</v>
      </c>
      <c r="D90" s="4">
        <v>19.349499999999999</v>
      </c>
      <c r="E90" s="4">
        <v>19.389700000000001</v>
      </c>
      <c r="F90" s="4">
        <f t="shared" si="4"/>
        <v>19.426100000000002</v>
      </c>
      <c r="I90" s="4" t="s">
        <v>370</v>
      </c>
      <c r="J90" s="4">
        <v>18.708300000000001</v>
      </c>
      <c r="K90" s="4">
        <v>19.282699999999998</v>
      </c>
      <c r="L90" s="4">
        <v>20.365200000000002</v>
      </c>
      <c r="M90" s="4">
        <f t="shared" si="5"/>
        <v>19.452066666666667</v>
      </c>
      <c r="P90" s="4" t="str">
        <f>"rpl-15"</f>
        <v>rpl-15</v>
      </c>
      <c r="Q90" s="4">
        <v>18.9665611766371</v>
      </c>
      <c r="R90" s="4">
        <v>19.423430897059699</v>
      </c>
      <c r="S90" s="4">
        <v>19.635553952359999</v>
      </c>
      <c r="T90" s="4">
        <f t="shared" si="6"/>
        <v>19.341848675352267</v>
      </c>
      <c r="W90" s="4" t="str">
        <f>"F45D11.15"</f>
        <v>F45D11.15</v>
      </c>
      <c r="X90" s="4">
        <v>19.100885547131298</v>
      </c>
      <c r="Y90" s="4">
        <v>19.336486592326899</v>
      </c>
      <c r="Z90" s="4">
        <v>19.488747707152701</v>
      </c>
      <c r="AA90" s="4">
        <f t="shared" si="7"/>
        <v>19.308706615536966</v>
      </c>
      <c r="AH90" s="28" t="s">
        <v>2912</v>
      </c>
      <c r="AJ90" s="4" t="s">
        <v>835</v>
      </c>
      <c r="AL90" s="1"/>
      <c r="AQ90" s="6"/>
      <c r="AR90" s="6"/>
      <c r="AS90" s="6"/>
      <c r="AT90" s="5" t="s">
        <v>834</v>
      </c>
    </row>
    <row r="91" spans="2:46" x14ac:dyDescent="0.2">
      <c r="B91" s="4" t="s">
        <v>293</v>
      </c>
      <c r="C91" s="4">
        <v>19.1736</v>
      </c>
      <c r="D91" s="4">
        <v>19.605699999999999</v>
      </c>
      <c r="E91" s="4">
        <v>19.341899999999999</v>
      </c>
      <c r="F91" s="4">
        <f t="shared" si="4"/>
        <v>19.373733333333334</v>
      </c>
      <c r="I91" s="4" t="s">
        <v>263</v>
      </c>
      <c r="J91" s="4">
        <v>19.510899999999999</v>
      </c>
      <c r="K91" s="4">
        <v>19.276</v>
      </c>
      <c r="L91" s="4">
        <v>19.558700000000002</v>
      </c>
      <c r="M91" s="4">
        <f t="shared" si="5"/>
        <v>19.448533333333334</v>
      </c>
      <c r="P91" s="4" t="str">
        <f>"nol-58"</f>
        <v>nol-58</v>
      </c>
      <c r="Q91" s="4">
        <v>19.5365858767798</v>
      </c>
      <c r="R91" s="4">
        <v>19.3141814771692</v>
      </c>
      <c r="S91" s="4">
        <v>19.165843499626501</v>
      </c>
      <c r="T91" s="4">
        <f t="shared" si="6"/>
        <v>19.338870284525168</v>
      </c>
      <c r="W91" s="4" t="str">
        <f>"D2030.2"</f>
        <v>D2030.2</v>
      </c>
      <c r="X91" s="4">
        <v>19.003774867442299</v>
      </c>
      <c r="Y91" s="4">
        <v>19.4041778871409</v>
      </c>
      <c r="Z91" s="4">
        <v>19.517255195583001</v>
      </c>
      <c r="AA91" s="4">
        <f t="shared" si="7"/>
        <v>19.308402650055399</v>
      </c>
      <c r="AH91" s="28" t="s">
        <v>2767</v>
      </c>
      <c r="AJ91" s="4" t="s">
        <v>4358</v>
      </c>
      <c r="AL91" s="1"/>
      <c r="AT91" s="5" t="s">
        <v>731</v>
      </c>
    </row>
    <row r="92" spans="2:46" x14ac:dyDescent="0.2">
      <c r="B92" s="4" t="s">
        <v>2444</v>
      </c>
      <c r="C92" s="4">
        <v>18.956399999999999</v>
      </c>
      <c r="D92" s="4">
        <v>19.3446</v>
      </c>
      <c r="E92" s="4">
        <v>19.776599999999998</v>
      </c>
      <c r="F92" s="4">
        <f t="shared" si="4"/>
        <v>19.359200000000001</v>
      </c>
      <c r="I92" s="4" t="s">
        <v>1698</v>
      </c>
      <c r="J92" s="4">
        <v>19.761700000000001</v>
      </c>
      <c r="K92" s="4">
        <v>19.135300000000001</v>
      </c>
      <c r="L92" s="4">
        <v>19.435099999999998</v>
      </c>
      <c r="M92" s="4">
        <f t="shared" si="5"/>
        <v>19.444033333333334</v>
      </c>
      <c r="P92" s="4" t="str">
        <f>"rpl-21"</f>
        <v>rpl-21</v>
      </c>
      <c r="Q92" s="4">
        <v>19.283164954839201</v>
      </c>
      <c r="R92" s="4">
        <v>19.2855110405633</v>
      </c>
      <c r="S92" s="4">
        <v>19.438586104134998</v>
      </c>
      <c r="T92" s="4">
        <f t="shared" si="6"/>
        <v>19.335754033179168</v>
      </c>
      <c r="W92" s="4" t="str">
        <f>"ldh-1"</f>
        <v>ldh-1</v>
      </c>
      <c r="X92" s="4">
        <v>19.162483093983798</v>
      </c>
      <c r="Y92" s="4">
        <v>19.475221812676001</v>
      </c>
      <c r="Z92" s="4">
        <v>19.279917328299302</v>
      </c>
      <c r="AA92" s="4">
        <f t="shared" si="7"/>
        <v>19.3058740783197</v>
      </c>
      <c r="AH92" s="28" t="s">
        <v>4265</v>
      </c>
      <c r="AJ92" s="4" t="s">
        <v>2681</v>
      </c>
      <c r="AL92" s="1"/>
      <c r="AQ92" s="6"/>
      <c r="AR92" s="6"/>
      <c r="AS92" s="6"/>
      <c r="AT92" s="5" t="s">
        <v>909</v>
      </c>
    </row>
    <row r="93" spans="2:46" x14ac:dyDescent="0.2">
      <c r="B93" s="4" t="s">
        <v>1931</v>
      </c>
      <c r="C93" s="4">
        <v>19.127099999999999</v>
      </c>
      <c r="D93" s="4">
        <v>18.932500000000001</v>
      </c>
      <c r="E93" s="4">
        <v>19.8902</v>
      </c>
      <c r="F93" s="4">
        <f t="shared" si="4"/>
        <v>19.316600000000001</v>
      </c>
      <c r="I93" s="4" t="s">
        <v>961</v>
      </c>
      <c r="J93" s="4">
        <v>18.361699999999999</v>
      </c>
      <c r="K93" s="4">
        <v>19.351400000000002</v>
      </c>
      <c r="L93" s="4">
        <v>20.592500000000001</v>
      </c>
      <c r="M93" s="4">
        <f t="shared" si="5"/>
        <v>19.435199999999998</v>
      </c>
      <c r="P93" s="4" t="str">
        <f>"gsy-1"</f>
        <v>gsy-1</v>
      </c>
      <c r="Q93" s="4">
        <v>19.4908108709643</v>
      </c>
      <c r="R93" s="4">
        <v>19.267375395297801</v>
      </c>
      <c r="S93" s="4">
        <v>19.120583796460799</v>
      </c>
      <c r="T93" s="4">
        <f t="shared" si="6"/>
        <v>19.292923354240965</v>
      </c>
      <c r="W93" s="4" t="str">
        <f>"rpl-21"</f>
        <v>rpl-21</v>
      </c>
      <c r="X93" s="4">
        <v>19.1947538670894</v>
      </c>
      <c r="Y93" s="4">
        <v>19.360995594976501</v>
      </c>
      <c r="Z93" s="4">
        <v>19.297802150743401</v>
      </c>
      <c r="AA93" s="4">
        <f t="shared" si="7"/>
        <v>19.284517204269768</v>
      </c>
      <c r="AH93" s="28" t="s">
        <v>4346</v>
      </c>
      <c r="AJ93" s="4" t="s">
        <v>2680</v>
      </c>
      <c r="AL93" s="1"/>
      <c r="AQ93" s="6"/>
      <c r="AR93" s="6"/>
      <c r="AS93" s="6"/>
      <c r="AT93" s="5" t="s">
        <v>971</v>
      </c>
    </row>
    <row r="94" spans="2:46" x14ac:dyDescent="0.2">
      <c r="B94" s="4" t="s">
        <v>2325</v>
      </c>
      <c r="C94" s="4">
        <v>19.2882</v>
      </c>
      <c r="D94" s="4">
        <v>18.468599999999999</v>
      </c>
      <c r="E94" s="4">
        <v>20.1465</v>
      </c>
      <c r="F94" s="4">
        <f t="shared" si="4"/>
        <v>19.301100000000002</v>
      </c>
      <c r="I94" s="4" t="s">
        <v>2101</v>
      </c>
      <c r="J94" s="4">
        <v>19.729800000000001</v>
      </c>
      <c r="K94" s="4">
        <v>19.382200000000001</v>
      </c>
      <c r="L94" s="4">
        <v>19.084399999999999</v>
      </c>
      <c r="M94" s="4">
        <f t="shared" si="5"/>
        <v>19.398799999999998</v>
      </c>
      <c r="P94" s="4" t="str">
        <f>"R05F9.6"</f>
        <v>R05F9.6</v>
      </c>
      <c r="Q94" s="4">
        <v>19.389524370022599</v>
      </c>
      <c r="R94" s="4">
        <v>19.235136363629799</v>
      </c>
      <c r="S94" s="4">
        <v>19.175004711783501</v>
      </c>
      <c r="T94" s="4">
        <f t="shared" si="6"/>
        <v>19.266555148478634</v>
      </c>
      <c r="W94" s="4" t="str">
        <f>"spg-7"</f>
        <v>spg-7</v>
      </c>
      <c r="X94" s="4">
        <v>19.0812103763488</v>
      </c>
      <c r="Y94" s="4">
        <v>19.369968488804702</v>
      </c>
      <c r="Z94" s="4">
        <v>19.328878344205101</v>
      </c>
      <c r="AA94" s="4">
        <f t="shared" si="7"/>
        <v>19.2600190697862</v>
      </c>
      <c r="AH94" s="28" t="s">
        <v>3350</v>
      </c>
      <c r="AJ94" s="4" t="s">
        <v>4392</v>
      </c>
      <c r="AL94" s="1"/>
      <c r="AQ94" s="6"/>
      <c r="AR94" s="6"/>
      <c r="AS94" s="6"/>
      <c r="AT94" s="5" t="s">
        <v>826</v>
      </c>
    </row>
    <row r="95" spans="2:46" x14ac:dyDescent="0.2">
      <c r="B95" s="4" t="s">
        <v>2214</v>
      </c>
      <c r="C95" s="4">
        <v>19.133500000000002</v>
      </c>
      <c r="D95" s="4">
        <v>19.4587</v>
      </c>
      <c r="E95" s="4">
        <v>19.257899999999999</v>
      </c>
      <c r="F95" s="4">
        <f t="shared" si="4"/>
        <v>19.283366666666669</v>
      </c>
      <c r="I95" s="4" t="s">
        <v>1510</v>
      </c>
      <c r="J95" s="4">
        <v>18.0977</v>
      </c>
      <c r="K95" s="4">
        <v>19.543700000000001</v>
      </c>
      <c r="L95" s="4">
        <v>20.526900000000001</v>
      </c>
      <c r="M95" s="4">
        <f t="shared" si="5"/>
        <v>19.389433333333333</v>
      </c>
      <c r="P95" s="4" t="str">
        <f>"rpl-7A"</f>
        <v>rpl-7A</v>
      </c>
      <c r="Q95" s="4">
        <v>19.372119751583298</v>
      </c>
      <c r="R95" s="4">
        <v>19.237181840801401</v>
      </c>
      <c r="S95" s="4">
        <v>19.1714080330824</v>
      </c>
      <c r="T95" s="4">
        <f t="shared" si="6"/>
        <v>19.260236541822366</v>
      </c>
      <c r="W95" s="4" t="str">
        <f>"rps-20"</f>
        <v>rps-20</v>
      </c>
      <c r="X95" s="4">
        <v>19.140682525986801</v>
      </c>
      <c r="Y95" s="4">
        <v>19.344226184630902</v>
      </c>
      <c r="Z95" s="4">
        <v>19.223985952781302</v>
      </c>
      <c r="AA95" s="4">
        <f t="shared" si="7"/>
        <v>19.236298221133001</v>
      </c>
      <c r="AH95" s="28" t="s">
        <v>1402</v>
      </c>
      <c r="AJ95" s="4" t="s">
        <v>4359</v>
      </c>
      <c r="AL95" s="1"/>
      <c r="AQ95" s="6"/>
      <c r="AR95" s="6"/>
      <c r="AS95" s="6"/>
      <c r="AT95" s="5" t="s">
        <v>882</v>
      </c>
    </row>
    <row r="96" spans="2:46" x14ac:dyDescent="0.2">
      <c r="B96" s="4" t="s">
        <v>2574</v>
      </c>
      <c r="C96" s="4">
        <v>19.234100000000002</v>
      </c>
      <c r="D96" s="4">
        <v>18.819500000000001</v>
      </c>
      <c r="E96" s="4">
        <v>19.7239</v>
      </c>
      <c r="F96" s="4">
        <f t="shared" si="4"/>
        <v>19.259166666666669</v>
      </c>
      <c r="I96" s="4" t="s">
        <v>2309</v>
      </c>
      <c r="J96" s="4">
        <v>19.686299999999999</v>
      </c>
      <c r="K96" s="4">
        <v>19.5367</v>
      </c>
      <c r="L96" s="4">
        <v>18.944600000000001</v>
      </c>
      <c r="M96" s="4">
        <f t="shared" si="5"/>
        <v>19.389199999999999</v>
      </c>
      <c r="P96" s="4" t="str">
        <f>"vit-5"</f>
        <v>vit-5</v>
      </c>
      <c r="Q96" s="4">
        <v>18.760818358641</v>
      </c>
      <c r="R96" s="4">
        <v>19.444355612753402</v>
      </c>
      <c r="S96" s="4">
        <v>19.573440798732499</v>
      </c>
      <c r="T96" s="4">
        <f t="shared" si="6"/>
        <v>19.259538256708968</v>
      </c>
      <c r="W96" s="4" t="str">
        <f>"pygl-1"</f>
        <v>pygl-1</v>
      </c>
      <c r="X96" s="4">
        <v>19.361744975417899</v>
      </c>
      <c r="Y96" s="4">
        <v>19.198052907122499</v>
      </c>
      <c r="Z96" s="4">
        <v>19.0593427590765</v>
      </c>
      <c r="AA96" s="4">
        <f t="shared" si="7"/>
        <v>19.206380213872297</v>
      </c>
      <c r="AH96" s="28" t="s">
        <v>1394</v>
      </c>
      <c r="AJ96" s="4" t="s">
        <v>4475</v>
      </c>
      <c r="AL96" s="1"/>
      <c r="AQ96" s="6"/>
      <c r="AR96" s="6"/>
      <c r="AS96" s="6"/>
      <c r="AT96" s="5" t="s">
        <v>718</v>
      </c>
    </row>
    <row r="97" spans="2:46" x14ac:dyDescent="0.2">
      <c r="B97" s="4" t="s">
        <v>3739</v>
      </c>
      <c r="C97" s="4">
        <v>19.527000000000001</v>
      </c>
      <c r="D97" s="4">
        <v>18.8597</v>
      </c>
      <c r="E97" s="4">
        <v>19.385200000000001</v>
      </c>
      <c r="F97" s="4">
        <f t="shared" si="4"/>
        <v>19.257300000000001</v>
      </c>
      <c r="I97" s="4" t="s">
        <v>2325</v>
      </c>
      <c r="J97" s="4">
        <v>19.485800000000001</v>
      </c>
      <c r="K97" s="4">
        <v>19.379100000000001</v>
      </c>
      <c r="L97" s="4">
        <v>19.2974</v>
      </c>
      <c r="M97" s="4">
        <f t="shared" si="5"/>
        <v>19.387433333333334</v>
      </c>
      <c r="P97" s="4" t="str">
        <f>"nol-56"</f>
        <v>nol-56</v>
      </c>
      <c r="Q97" s="4">
        <v>19.327711596819299</v>
      </c>
      <c r="R97" s="4">
        <v>19.3175134777577</v>
      </c>
      <c r="S97" s="4">
        <v>18.992704575089</v>
      </c>
      <c r="T97" s="4">
        <f t="shared" si="6"/>
        <v>19.212643216555332</v>
      </c>
      <c r="W97" s="4" t="str">
        <f>"rpl-19"</f>
        <v>rpl-19</v>
      </c>
      <c r="X97" s="4">
        <v>19.1934831324211</v>
      </c>
      <c r="Y97" s="4">
        <v>19.213131233699698</v>
      </c>
      <c r="Z97" s="4">
        <v>19.177017663630998</v>
      </c>
      <c r="AA97" s="4">
        <f t="shared" si="7"/>
        <v>19.194544009917266</v>
      </c>
      <c r="AH97" s="28" t="s">
        <v>4699</v>
      </c>
      <c r="AJ97" s="4" t="s">
        <v>159</v>
      </c>
      <c r="AL97" s="1"/>
      <c r="AQ97" s="6"/>
      <c r="AR97" s="6"/>
      <c r="AS97" s="6"/>
      <c r="AT97" s="5" t="s">
        <v>691</v>
      </c>
    </row>
    <row r="98" spans="2:46" x14ac:dyDescent="0.2">
      <c r="B98" s="4" t="s">
        <v>2359</v>
      </c>
      <c r="C98" s="4">
        <v>19.0488</v>
      </c>
      <c r="D98" s="4">
        <v>19.314699999999998</v>
      </c>
      <c r="E98" s="4">
        <v>19.3995</v>
      </c>
      <c r="F98" s="4">
        <f t="shared" si="4"/>
        <v>19.254333333333335</v>
      </c>
      <c r="I98" s="4" t="s">
        <v>3059</v>
      </c>
      <c r="J98" s="4">
        <v>19.402000000000001</v>
      </c>
      <c r="K98" s="4">
        <v>19.374300000000002</v>
      </c>
      <c r="L98" s="4">
        <v>19.358899999999998</v>
      </c>
      <c r="M98" s="4">
        <f t="shared" si="5"/>
        <v>19.378400000000003</v>
      </c>
      <c r="P98" s="4" t="str">
        <f>"dbt-1"</f>
        <v>dbt-1</v>
      </c>
      <c r="Q98" s="4">
        <v>19.622787227443101</v>
      </c>
      <c r="R98" s="4">
        <v>18.902524970369502</v>
      </c>
      <c r="S98" s="4">
        <v>19.082961146621901</v>
      </c>
      <c r="T98" s="4">
        <f t="shared" si="6"/>
        <v>19.202757781478169</v>
      </c>
      <c r="W98" s="4" t="str">
        <f>"cand-1"</f>
        <v>cand-1</v>
      </c>
      <c r="X98" s="4">
        <v>19.153153703517201</v>
      </c>
      <c r="Y98" s="4">
        <v>19.303576966504298</v>
      </c>
      <c r="Z98" s="4">
        <v>19.110945013374501</v>
      </c>
      <c r="AA98" s="4">
        <f t="shared" si="7"/>
        <v>19.189225227798669</v>
      </c>
      <c r="AH98" s="28" t="s">
        <v>3919</v>
      </c>
      <c r="AJ98" s="4" t="s">
        <v>4381</v>
      </c>
      <c r="AL98" s="1"/>
      <c r="AQ98" s="6"/>
      <c r="AR98" s="6"/>
      <c r="AS98" s="6"/>
      <c r="AT98" s="5" t="s">
        <v>720</v>
      </c>
    </row>
    <row r="99" spans="2:46" x14ac:dyDescent="0.2">
      <c r="B99" s="4" t="s">
        <v>2584</v>
      </c>
      <c r="C99" s="4">
        <v>19.0001</v>
      </c>
      <c r="D99" s="4">
        <v>19.319500000000001</v>
      </c>
      <c r="E99" s="4">
        <v>19.2944</v>
      </c>
      <c r="F99" s="4">
        <f t="shared" si="4"/>
        <v>19.204666666666668</v>
      </c>
      <c r="I99" s="4" t="s">
        <v>3691</v>
      </c>
      <c r="J99" s="4">
        <v>19.1511</v>
      </c>
      <c r="K99" s="4">
        <v>19.4269</v>
      </c>
      <c r="L99" s="4">
        <v>19.4786</v>
      </c>
      <c r="M99" s="4">
        <f t="shared" si="5"/>
        <v>19.3522</v>
      </c>
      <c r="P99" s="4" t="str">
        <f>"sca-1"</f>
        <v>sca-1</v>
      </c>
      <c r="Q99" s="4">
        <v>19.180835991171399</v>
      </c>
      <c r="R99" s="4">
        <v>19.065662064133601</v>
      </c>
      <c r="S99" s="4">
        <v>19.3270444321657</v>
      </c>
      <c r="T99" s="4">
        <f t="shared" si="6"/>
        <v>19.191180829156899</v>
      </c>
      <c r="W99" s="4" t="str">
        <f>"gpd-4"</f>
        <v>gpd-4</v>
      </c>
      <c r="X99" s="4">
        <v>19.400194888352999</v>
      </c>
      <c r="Y99" s="4">
        <v>19.23605017345</v>
      </c>
      <c r="Z99" s="4">
        <v>18.9186128670732</v>
      </c>
      <c r="AA99" s="4">
        <f t="shared" si="7"/>
        <v>19.184952642958731</v>
      </c>
      <c r="AH99" s="28" t="s">
        <v>4659</v>
      </c>
      <c r="AJ99" s="4" t="s">
        <v>1011</v>
      </c>
      <c r="AL99" s="1"/>
      <c r="AQ99" s="6"/>
      <c r="AR99" s="6"/>
      <c r="AS99" s="6"/>
      <c r="AT99" s="5" t="s">
        <v>409</v>
      </c>
    </row>
    <row r="100" spans="2:46" x14ac:dyDescent="0.2">
      <c r="B100" s="4" t="s">
        <v>3039</v>
      </c>
      <c r="C100" s="4">
        <v>19.290500000000002</v>
      </c>
      <c r="D100" s="4">
        <v>18.795300000000001</v>
      </c>
      <c r="E100" s="4">
        <v>19.517800000000001</v>
      </c>
      <c r="F100" s="4">
        <f t="shared" si="4"/>
        <v>19.201200000000004</v>
      </c>
      <c r="I100" s="4" t="s">
        <v>1495</v>
      </c>
      <c r="J100" s="4">
        <v>19.426500000000001</v>
      </c>
      <c r="K100" s="4">
        <v>19.3752</v>
      </c>
      <c r="L100" s="4">
        <v>19.246099999999998</v>
      </c>
      <c r="M100" s="4">
        <f t="shared" si="5"/>
        <v>19.349266666666665</v>
      </c>
      <c r="P100" s="4" t="str">
        <f>"tba-2"</f>
        <v>tba-2</v>
      </c>
      <c r="Q100" s="4">
        <v>19.6615623412948</v>
      </c>
      <c r="R100" s="4">
        <v>19.021147761682201</v>
      </c>
      <c r="S100" s="4">
        <v>18.857965289907298</v>
      </c>
      <c r="T100" s="4">
        <f t="shared" si="6"/>
        <v>19.180225130961432</v>
      </c>
      <c r="W100" s="4" t="str">
        <f>"rps-7"</f>
        <v>rps-7</v>
      </c>
      <c r="X100" s="4">
        <v>19.260919561090599</v>
      </c>
      <c r="Y100" s="4">
        <v>19.020226605517301</v>
      </c>
      <c r="Z100" s="4">
        <v>19.261615427596801</v>
      </c>
      <c r="AA100" s="4">
        <f t="shared" si="7"/>
        <v>19.180920531401565</v>
      </c>
      <c r="AH100" s="28" t="s">
        <v>2605</v>
      </c>
      <c r="AJ100" s="4" t="s">
        <v>4290</v>
      </c>
      <c r="AL100" s="1"/>
      <c r="AQ100" s="6"/>
      <c r="AR100" s="6"/>
      <c r="AS100" s="6"/>
      <c r="AT100" s="5" t="s">
        <v>899</v>
      </c>
    </row>
    <row r="101" spans="2:46" x14ac:dyDescent="0.2">
      <c r="B101" s="4" t="s">
        <v>3681</v>
      </c>
      <c r="C101" s="4">
        <v>19.0868</v>
      </c>
      <c r="D101" s="4">
        <v>19.047999999999998</v>
      </c>
      <c r="E101" s="4">
        <v>19.4589</v>
      </c>
      <c r="F101" s="4">
        <f t="shared" si="4"/>
        <v>19.197900000000001</v>
      </c>
      <c r="I101" s="4" t="s">
        <v>3695</v>
      </c>
      <c r="J101" s="4">
        <v>19.660799999999998</v>
      </c>
      <c r="K101" s="4">
        <v>19.224799999999998</v>
      </c>
      <c r="L101" s="4">
        <v>19.060099999999998</v>
      </c>
      <c r="M101" s="4">
        <f t="shared" si="5"/>
        <v>19.315233333333332</v>
      </c>
      <c r="P101" s="4" t="str">
        <f>"rpl-11.2"</f>
        <v>rpl-11.2</v>
      </c>
      <c r="Q101" s="4">
        <v>19.3454632798273</v>
      </c>
      <c r="R101" s="4">
        <v>19.067384261505001</v>
      </c>
      <c r="S101" s="4">
        <v>19.074079387372301</v>
      </c>
      <c r="T101" s="4">
        <f t="shared" si="6"/>
        <v>19.162308976234865</v>
      </c>
      <c r="W101" s="4" t="str">
        <f>"T23E7.2"</f>
        <v>T23E7.2</v>
      </c>
      <c r="X101" s="4">
        <v>18.845550932008798</v>
      </c>
      <c r="Y101" s="4">
        <v>19.253805728410899</v>
      </c>
      <c r="Z101" s="4">
        <v>19.369850414964901</v>
      </c>
      <c r="AA101" s="4">
        <f t="shared" si="7"/>
        <v>19.156402358461534</v>
      </c>
      <c r="AH101" s="28" t="s">
        <v>4769</v>
      </c>
      <c r="AJ101" s="4" t="s">
        <v>3096</v>
      </c>
      <c r="AL101" s="1"/>
      <c r="AQ101" s="6"/>
      <c r="AR101" s="6"/>
      <c r="AS101" s="6"/>
      <c r="AT101" s="5" t="s">
        <v>696</v>
      </c>
    </row>
    <row r="102" spans="2:46" x14ac:dyDescent="0.2">
      <c r="B102" s="4" t="s">
        <v>2075</v>
      </c>
      <c r="C102" s="4">
        <v>19.290700000000001</v>
      </c>
      <c r="D102" s="4">
        <v>19.058700000000002</v>
      </c>
      <c r="E102" s="4">
        <v>19.2286</v>
      </c>
      <c r="F102" s="4">
        <f t="shared" si="4"/>
        <v>19.192666666666668</v>
      </c>
      <c r="I102" s="4" t="s">
        <v>2444</v>
      </c>
      <c r="J102" s="4">
        <v>19.145199999999999</v>
      </c>
      <c r="K102" s="4">
        <v>19.309799999999999</v>
      </c>
      <c r="L102" s="4">
        <v>19.4085</v>
      </c>
      <c r="M102" s="4">
        <f t="shared" si="5"/>
        <v>19.287833333333335</v>
      </c>
      <c r="P102" s="4" t="str">
        <f>"rps-7"</f>
        <v>rps-7</v>
      </c>
      <c r="Q102" s="4">
        <v>19.302597191010499</v>
      </c>
      <c r="R102" s="4">
        <v>19.2319637974906</v>
      </c>
      <c r="S102" s="4">
        <v>18.941572023888099</v>
      </c>
      <c r="T102" s="4">
        <f t="shared" si="6"/>
        <v>19.158711004129731</v>
      </c>
      <c r="W102" s="4" t="str">
        <f>"rpl-18"</f>
        <v>rpl-18</v>
      </c>
      <c r="X102" s="4">
        <v>19.029599598205099</v>
      </c>
      <c r="Y102" s="4">
        <v>19.278987475459001</v>
      </c>
      <c r="Z102" s="4">
        <v>19.155412393475</v>
      </c>
      <c r="AA102" s="4">
        <f t="shared" si="7"/>
        <v>19.154666489046367</v>
      </c>
      <c r="AH102" s="28" t="s">
        <v>4810</v>
      </c>
      <c r="AJ102" s="4" t="s">
        <v>4139</v>
      </c>
      <c r="AL102" s="1"/>
      <c r="AQ102" s="6"/>
      <c r="AR102" s="6"/>
      <c r="AS102" s="6"/>
      <c r="AT102" s="5" t="s">
        <v>42</v>
      </c>
    </row>
    <row r="103" spans="2:46" x14ac:dyDescent="0.2">
      <c r="B103" s="4" t="s">
        <v>295</v>
      </c>
      <c r="C103" s="4">
        <v>18.629100000000001</v>
      </c>
      <c r="D103" s="4">
        <v>19.1127</v>
      </c>
      <c r="E103" s="4">
        <v>19.770800000000001</v>
      </c>
      <c r="F103" s="4">
        <f t="shared" si="4"/>
        <v>19.170866666666665</v>
      </c>
      <c r="I103" s="4" t="s">
        <v>3681</v>
      </c>
      <c r="J103" s="4">
        <v>19.295999999999999</v>
      </c>
      <c r="K103" s="4">
        <v>19.1433</v>
      </c>
      <c r="L103" s="4">
        <v>19.233899999999998</v>
      </c>
      <c r="M103" s="4">
        <f t="shared" si="5"/>
        <v>19.224399999999999</v>
      </c>
      <c r="P103" s="4" t="str">
        <f>"rpl-34"</f>
        <v>rpl-34</v>
      </c>
      <c r="Q103" s="4">
        <v>19.176202352271901</v>
      </c>
      <c r="R103" s="4">
        <v>19.0190953479269</v>
      </c>
      <c r="S103" s="4">
        <v>19.215973526617301</v>
      </c>
      <c r="T103" s="4">
        <f t="shared" si="6"/>
        <v>19.1370904089387</v>
      </c>
      <c r="W103" s="4" t="str">
        <f>"gpdh-2"</f>
        <v>gpdh-2</v>
      </c>
      <c r="X103" s="4">
        <v>19.059268116856401</v>
      </c>
      <c r="Y103" s="4">
        <v>19.233114044700301</v>
      </c>
      <c r="Z103" s="4">
        <v>19.1200879531787</v>
      </c>
      <c r="AA103" s="4">
        <f t="shared" si="7"/>
        <v>19.137490038245133</v>
      </c>
      <c r="AH103" s="28" t="s">
        <v>1125</v>
      </c>
      <c r="AJ103" s="4" t="s">
        <v>1188</v>
      </c>
      <c r="AL103" s="1"/>
      <c r="AQ103" s="6"/>
      <c r="AR103" s="6"/>
      <c r="AS103" s="6"/>
      <c r="AT103" s="5" t="s">
        <v>667</v>
      </c>
    </row>
    <row r="104" spans="2:46" x14ac:dyDescent="0.2">
      <c r="B104" s="4" t="s">
        <v>3691</v>
      </c>
      <c r="C104" s="4">
        <v>18.807500000000001</v>
      </c>
      <c r="D104" s="4">
        <v>19.052900000000001</v>
      </c>
      <c r="E104" s="4">
        <v>19.630199999999999</v>
      </c>
      <c r="F104" s="4">
        <f t="shared" si="4"/>
        <v>19.163533333333334</v>
      </c>
      <c r="I104" s="4" t="s">
        <v>2574</v>
      </c>
      <c r="J104" s="4">
        <v>19.481300000000001</v>
      </c>
      <c r="K104" s="4">
        <v>19.283999999999999</v>
      </c>
      <c r="L104" s="4">
        <v>18.857600000000001</v>
      </c>
      <c r="M104" s="4">
        <f t="shared" si="5"/>
        <v>19.207633333333334</v>
      </c>
      <c r="P104" s="4" t="str">
        <f>"T05H10.6"</f>
        <v>T05H10.6</v>
      </c>
      <c r="Q104" s="4">
        <v>19.3190053901228</v>
      </c>
      <c r="R104" s="4">
        <v>18.992704342989299</v>
      </c>
      <c r="S104" s="4">
        <v>19.0317410946538</v>
      </c>
      <c r="T104" s="4">
        <f t="shared" si="6"/>
        <v>19.114483609255299</v>
      </c>
      <c r="W104" s="4" t="str">
        <f>"hsp-6"</f>
        <v>hsp-6</v>
      </c>
      <c r="X104" s="4">
        <v>18.925914178644099</v>
      </c>
      <c r="Y104" s="4">
        <v>19.081042600558199</v>
      </c>
      <c r="Z104" s="4">
        <v>19.394987066160098</v>
      </c>
      <c r="AA104" s="4">
        <f t="shared" si="7"/>
        <v>19.133981281787467</v>
      </c>
      <c r="AH104" s="28" t="s">
        <v>4691</v>
      </c>
      <c r="AJ104" s="4" t="s">
        <v>1809</v>
      </c>
      <c r="AL104" s="1"/>
      <c r="AQ104" s="6"/>
      <c r="AR104" s="6"/>
      <c r="AS104" s="6"/>
      <c r="AT104" s="5" t="s">
        <v>767</v>
      </c>
    </row>
    <row r="105" spans="2:46" x14ac:dyDescent="0.2">
      <c r="B105" s="4" t="s">
        <v>1065</v>
      </c>
      <c r="C105" s="4">
        <v>19.380600000000001</v>
      </c>
      <c r="D105" s="4">
        <v>19.1388</v>
      </c>
      <c r="E105" s="4">
        <v>18.939800000000002</v>
      </c>
      <c r="F105" s="4">
        <f t="shared" si="4"/>
        <v>19.153066666666671</v>
      </c>
      <c r="I105" s="4" t="s">
        <v>1931</v>
      </c>
      <c r="J105" s="4">
        <v>19.135000000000002</v>
      </c>
      <c r="K105" s="4">
        <v>19.2041</v>
      </c>
      <c r="L105" s="4">
        <v>19.279399999999999</v>
      </c>
      <c r="M105" s="4">
        <f t="shared" si="5"/>
        <v>19.206166666666665</v>
      </c>
      <c r="P105" s="4" t="str">
        <f>"cand-1"</f>
        <v>cand-1</v>
      </c>
      <c r="Q105" s="4">
        <v>19.2625742049138</v>
      </c>
      <c r="R105" s="4">
        <v>19.121786450296401</v>
      </c>
      <c r="S105" s="4">
        <v>18.938713373728699</v>
      </c>
      <c r="T105" s="4">
        <f t="shared" si="6"/>
        <v>19.107691342979635</v>
      </c>
      <c r="W105" s="4" t="str">
        <f>"unc-52"</f>
        <v>unc-52</v>
      </c>
      <c r="X105" s="4">
        <v>18.557267825340901</v>
      </c>
      <c r="Y105" s="4">
        <v>19.150307206340699</v>
      </c>
      <c r="Z105" s="4">
        <v>19.653170975227599</v>
      </c>
      <c r="AA105" s="4">
        <f t="shared" si="7"/>
        <v>19.120248668969733</v>
      </c>
      <c r="AH105" s="28" t="s">
        <v>4732</v>
      </c>
      <c r="AJ105" s="4" t="s">
        <v>3012</v>
      </c>
      <c r="AL105" s="1"/>
      <c r="AQ105" s="6"/>
      <c r="AR105" s="6"/>
      <c r="AS105" s="6"/>
      <c r="AT105" s="5" t="s">
        <v>688</v>
      </c>
    </row>
    <row r="106" spans="2:46" x14ac:dyDescent="0.2">
      <c r="B106" s="4" t="s">
        <v>3695</v>
      </c>
      <c r="C106" s="4">
        <v>19.263999999999999</v>
      </c>
      <c r="D106" s="4">
        <v>18.715</v>
      </c>
      <c r="E106" s="4">
        <v>19.3322</v>
      </c>
      <c r="F106" s="4">
        <f t="shared" si="4"/>
        <v>19.103733333333334</v>
      </c>
      <c r="I106" s="4" t="s">
        <v>2214</v>
      </c>
      <c r="J106" s="4">
        <v>19.2485</v>
      </c>
      <c r="K106" s="4">
        <v>19.1431</v>
      </c>
      <c r="L106" s="4">
        <v>19.1206</v>
      </c>
      <c r="M106" s="4">
        <f t="shared" si="5"/>
        <v>19.170733333333331</v>
      </c>
      <c r="P106" s="4" t="str">
        <f>"chc-1"</f>
        <v>chc-1</v>
      </c>
      <c r="Q106" s="4">
        <v>19.0134634328411</v>
      </c>
      <c r="R106" s="4">
        <v>19.1732011390068</v>
      </c>
      <c r="S106" s="4">
        <v>19.076575286640001</v>
      </c>
      <c r="T106" s="4">
        <f t="shared" si="6"/>
        <v>19.087746619495967</v>
      </c>
      <c r="W106" s="4" t="str">
        <f>"dbt-1"</f>
        <v>dbt-1</v>
      </c>
      <c r="X106" s="4">
        <v>18.870739029583699</v>
      </c>
      <c r="Y106" s="4">
        <v>19.164782713923199</v>
      </c>
      <c r="Z106" s="4">
        <v>19.284482204785299</v>
      </c>
      <c r="AA106" s="4">
        <f t="shared" si="7"/>
        <v>19.106667982764066</v>
      </c>
      <c r="AH106" s="28" t="s">
        <v>4650</v>
      </c>
      <c r="AJ106" s="4" t="s">
        <v>4481</v>
      </c>
      <c r="AK106" s="28"/>
      <c r="AL106" s="1"/>
      <c r="AQ106" s="6"/>
      <c r="AR106" s="6"/>
      <c r="AS106" s="6"/>
      <c r="AT106" s="5" t="s">
        <v>692</v>
      </c>
    </row>
    <row r="107" spans="2:46" x14ac:dyDescent="0.2">
      <c r="B107" s="4" t="s">
        <v>73</v>
      </c>
      <c r="C107" s="4">
        <v>19.525300000000001</v>
      </c>
      <c r="D107" s="4">
        <v>18.7456</v>
      </c>
      <c r="E107" s="4">
        <v>19.029699999999998</v>
      </c>
      <c r="F107" s="4">
        <f t="shared" si="4"/>
        <v>19.100199999999997</v>
      </c>
      <c r="I107" s="4" t="s">
        <v>1382</v>
      </c>
      <c r="J107" s="4">
        <v>19.139900000000001</v>
      </c>
      <c r="K107" s="4">
        <v>19.086200000000002</v>
      </c>
      <c r="L107" s="4">
        <v>19.255199999999999</v>
      </c>
      <c r="M107" s="4">
        <f t="shared" si="5"/>
        <v>19.160433333333334</v>
      </c>
      <c r="P107" s="4" t="str">
        <f>"rps-16"</f>
        <v>rps-16</v>
      </c>
      <c r="Q107" s="4">
        <v>19.408943005851899</v>
      </c>
      <c r="R107" s="4">
        <v>18.802163439366399</v>
      </c>
      <c r="S107" s="4">
        <v>19.008772677148201</v>
      </c>
      <c r="T107" s="4">
        <f t="shared" si="6"/>
        <v>19.073293040788833</v>
      </c>
      <c r="W107" s="4" t="str">
        <f>"rpl-11.2"</f>
        <v>rpl-11.2</v>
      </c>
      <c r="X107" s="4">
        <v>19.080464606736999</v>
      </c>
      <c r="Y107" s="4">
        <v>19.013998093160399</v>
      </c>
      <c r="Z107" s="4">
        <v>19.2208852191199</v>
      </c>
      <c r="AA107" s="4">
        <f t="shared" si="7"/>
        <v>19.105115973005766</v>
      </c>
      <c r="AH107" s="28" t="s">
        <v>3580</v>
      </c>
      <c r="AJ107" s="4" t="s">
        <v>4466</v>
      </c>
      <c r="AL107" s="1"/>
      <c r="AQ107" s="6"/>
      <c r="AR107" s="6"/>
      <c r="AS107" s="6"/>
      <c r="AT107" s="5" t="s">
        <v>675</v>
      </c>
    </row>
    <row r="108" spans="2:46" x14ac:dyDescent="0.2">
      <c r="B108" s="4" t="s">
        <v>3059</v>
      </c>
      <c r="C108" s="4">
        <v>18.957899999999999</v>
      </c>
      <c r="D108" s="4">
        <v>18.907599999999999</v>
      </c>
      <c r="E108" s="4">
        <v>19.333300000000001</v>
      </c>
      <c r="F108" s="4">
        <f t="shared" si="4"/>
        <v>19.066266666666667</v>
      </c>
      <c r="I108" s="4" t="s">
        <v>3027</v>
      </c>
      <c r="J108" s="4">
        <v>19.2119</v>
      </c>
      <c r="K108" s="4">
        <v>19.227900000000002</v>
      </c>
      <c r="L108" s="4">
        <v>19.0305</v>
      </c>
      <c r="M108" s="4">
        <f t="shared" si="5"/>
        <v>19.15676666666667</v>
      </c>
      <c r="P108" s="4" t="str">
        <f>"misc-1"</f>
        <v>misc-1</v>
      </c>
      <c r="Q108" s="4">
        <v>19.033152903040499</v>
      </c>
      <c r="R108" s="4">
        <v>19.1045680983983</v>
      </c>
      <c r="S108" s="4">
        <v>18.977831238743299</v>
      </c>
      <c r="T108" s="4">
        <f t="shared" si="6"/>
        <v>19.038517413394032</v>
      </c>
      <c r="W108" s="4" t="str">
        <f>"pod-2"</f>
        <v>pod-2</v>
      </c>
      <c r="X108" s="4">
        <v>19.05615049931</v>
      </c>
      <c r="Y108" s="4">
        <v>19.101549289464302</v>
      </c>
      <c r="Z108" s="4">
        <v>19.148026725004101</v>
      </c>
      <c r="AA108" s="4">
        <f t="shared" si="7"/>
        <v>19.101908837926135</v>
      </c>
      <c r="AH108" s="28" t="s">
        <v>4681</v>
      </c>
      <c r="AJ108" s="4" t="s">
        <v>41</v>
      </c>
      <c r="AL108" s="1"/>
      <c r="AQ108" s="6"/>
      <c r="AR108" s="6"/>
      <c r="AS108" s="6"/>
      <c r="AT108" s="5" t="s">
        <v>745</v>
      </c>
    </row>
    <row r="109" spans="2:46" x14ac:dyDescent="0.2">
      <c r="B109" s="4" t="s">
        <v>1626</v>
      </c>
      <c r="C109" s="4">
        <v>18.5153</v>
      </c>
      <c r="D109" s="4">
        <v>18.921399999999998</v>
      </c>
      <c r="E109" s="4">
        <v>19.741599999999998</v>
      </c>
      <c r="F109" s="4">
        <f t="shared" si="4"/>
        <v>19.059433333333335</v>
      </c>
      <c r="I109" s="4" t="s">
        <v>1944</v>
      </c>
      <c r="J109" s="4">
        <v>19.4315</v>
      </c>
      <c r="K109" s="4">
        <v>19.415400000000002</v>
      </c>
      <c r="L109" s="4">
        <v>18.616599999999998</v>
      </c>
      <c r="M109" s="4">
        <f t="shared" si="5"/>
        <v>19.154500000000002</v>
      </c>
      <c r="P109" s="4" t="str">
        <f>"rpt-6"</f>
        <v>rpt-6</v>
      </c>
      <c r="Q109" s="4">
        <v>19.168852383682498</v>
      </c>
      <c r="R109" s="4">
        <v>18.970562600022301</v>
      </c>
      <c r="S109" s="4">
        <v>18.9727408102681</v>
      </c>
      <c r="T109" s="4">
        <f t="shared" si="6"/>
        <v>19.037385264657633</v>
      </c>
      <c r="W109" s="4" t="str">
        <f>"his-40"</f>
        <v>his-40</v>
      </c>
      <c r="X109" s="4">
        <v>19.521711411400201</v>
      </c>
      <c r="Y109" s="4">
        <v>18.643162596512202</v>
      </c>
      <c r="Z109" s="4">
        <v>19.062390064782999</v>
      </c>
      <c r="AA109" s="4">
        <f t="shared" si="7"/>
        <v>19.075754690898467</v>
      </c>
      <c r="AH109" s="28" t="s">
        <v>1518</v>
      </c>
      <c r="AJ109" s="4" t="s">
        <v>3410</v>
      </c>
      <c r="AL109" s="1"/>
      <c r="AQ109" s="6"/>
      <c r="AR109" s="6"/>
      <c r="AS109" s="6"/>
      <c r="AT109" s="5" t="s">
        <v>702</v>
      </c>
    </row>
    <row r="110" spans="2:46" x14ac:dyDescent="0.2">
      <c r="B110" s="4" t="s">
        <v>2367</v>
      </c>
      <c r="C110" s="4">
        <v>19.296500000000002</v>
      </c>
      <c r="D110" s="4">
        <v>19.0045</v>
      </c>
      <c r="E110" s="4">
        <v>18.861699999999999</v>
      </c>
      <c r="F110" s="4">
        <f t="shared" si="4"/>
        <v>19.054233333333332</v>
      </c>
      <c r="I110" s="4" t="s">
        <v>2075</v>
      </c>
      <c r="J110" s="4">
        <v>19.272500000000001</v>
      </c>
      <c r="K110" s="4">
        <v>19.110700000000001</v>
      </c>
      <c r="L110" s="4">
        <v>19.073799999999999</v>
      </c>
      <c r="M110" s="4">
        <f t="shared" si="5"/>
        <v>19.152333333333335</v>
      </c>
      <c r="P110" s="4" t="str">
        <f>"rpl-19"</f>
        <v>rpl-19</v>
      </c>
      <c r="Q110" s="4">
        <v>19.013558094681201</v>
      </c>
      <c r="R110" s="4">
        <v>18.962481058748999</v>
      </c>
      <c r="S110" s="4">
        <v>19.121066327006499</v>
      </c>
      <c r="T110" s="4">
        <f t="shared" si="6"/>
        <v>19.032368493478899</v>
      </c>
      <c r="W110" s="4" t="str">
        <f>"K11H3.3"</f>
        <v>K11H3.3</v>
      </c>
      <c r="X110" s="4">
        <v>18.880013913997502</v>
      </c>
      <c r="Y110" s="4">
        <v>19.182971441772501</v>
      </c>
      <c r="Z110" s="4">
        <v>19.149847052017599</v>
      </c>
      <c r="AA110" s="4">
        <f t="shared" si="7"/>
        <v>19.070944135929199</v>
      </c>
      <c r="AH110" s="28" t="s">
        <v>1514</v>
      </c>
      <c r="AJ110" s="4" t="s">
        <v>3575</v>
      </c>
      <c r="AL110" s="1"/>
      <c r="AQ110" s="6"/>
      <c r="AR110" s="6"/>
      <c r="AS110" s="6"/>
      <c r="AT110" s="5" t="s">
        <v>972</v>
      </c>
    </row>
    <row r="111" spans="2:46" x14ac:dyDescent="0.2">
      <c r="B111" s="4" t="s">
        <v>1922</v>
      </c>
      <c r="C111" s="4">
        <v>18.965</v>
      </c>
      <c r="D111" s="4">
        <v>18.6008</v>
      </c>
      <c r="E111" s="4">
        <v>19.550799999999999</v>
      </c>
      <c r="F111" s="4">
        <f t="shared" si="4"/>
        <v>19.038866666666664</v>
      </c>
      <c r="I111" s="4" t="s">
        <v>1922</v>
      </c>
      <c r="J111" s="4">
        <v>19.314399999999999</v>
      </c>
      <c r="K111" s="4">
        <v>19.2012</v>
      </c>
      <c r="L111" s="4">
        <v>18.867799999999999</v>
      </c>
      <c r="M111" s="4">
        <f t="shared" si="5"/>
        <v>19.127799999999997</v>
      </c>
      <c r="P111" s="4" t="str">
        <f>"C05C10.3"</f>
        <v>C05C10.3</v>
      </c>
      <c r="Q111" s="4">
        <v>19.398483132549</v>
      </c>
      <c r="R111" s="4">
        <v>18.665039259878601</v>
      </c>
      <c r="S111" s="4">
        <v>18.972641905455902</v>
      </c>
      <c r="T111" s="4">
        <f t="shared" si="6"/>
        <v>19.012054765961167</v>
      </c>
      <c r="W111" s="4" t="str">
        <f>"nol-56"</f>
        <v>nol-56</v>
      </c>
      <c r="X111" s="4">
        <v>19.118375629772899</v>
      </c>
      <c r="Y111" s="4">
        <v>19.0636135213709</v>
      </c>
      <c r="Z111" s="4">
        <v>19.002699151216401</v>
      </c>
      <c r="AA111" s="4">
        <f t="shared" si="7"/>
        <v>19.061562767453399</v>
      </c>
      <c r="AH111" s="28" t="s">
        <v>4801</v>
      </c>
      <c r="AJ111" s="4" t="s">
        <v>56</v>
      </c>
      <c r="AL111" s="1"/>
      <c r="AQ111" s="6"/>
      <c r="AR111" s="6"/>
      <c r="AS111" s="6"/>
      <c r="AT111" s="5" t="s">
        <v>973</v>
      </c>
    </row>
    <row r="112" spans="2:46" x14ac:dyDescent="0.2">
      <c r="B112" s="4" t="s">
        <v>3423</v>
      </c>
      <c r="C112" s="4">
        <v>19.290600000000001</v>
      </c>
      <c r="D112" s="4">
        <v>19.066299999999998</v>
      </c>
      <c r="E112" s="4">
        <v>18.747900000000001</v>
      </c>
      <c r="F112" s="4">
        <f t="shared" si="4"/>
        <v>19.034933333333331</v>
      </c>
      <c r="I112" s="4" t="s">
        <v>2286</v>
      </c>
      <c r="J112" s="4">
        <v>19.1997</v>
      </c>
      <c r="K112" s="4">
        <v>19.0961</v>
      </c>
      <c r="L112" s="4">
        <v>19.0626</v>
      </c>
      <c r="M112" s="4">
        <f t="shared" si="5"/>
        <v>19.119466666666668</v>
      </c>
      <c r="P112" s="4" t="str">
        <f>"icl-1"</f>
        <v>icl-1</v>
      </c>
      <c r="Q112" s="4">
        <v>19.411031712672401</v>
      </c>
      <c r="R112" s="4">
        <v>18.7633397613852</v>
      </c>
      <c r="S112" s="4">
        <v>18.777600801906601</v>
      </c>
      <c r="T112" s="4">
        <f t="shared" si="6"/>
        <v>18.983990758654734</v>
      </c>
      <c r="W112" s="4" t="str">
        <f>"copb-1"</f>
        <v>copb-1</v>
      </c>
      <c r="X112" s="4">
        <v>18.990476469665499</v>
      </c>
      <c r="Y112" s="4">
        <v>19.155662658656802</v>
      </c>
      <c r="Z112" s="4">
        <v>19.037954045672802</v>
      </c>
      <c r="AA112" s="4">
        <f t="shared" si="7"/>
        <v>19.061364391331704</v>
      </c>
      <c r="AH112" s="28" t="s">
        <v>4793</v>
      </c>
      <c r="AJ112" s="4" t="s">
        <v>3788</v>
      </c>
      <c r="AL112" s="1"/>
      <c r="AQ112" s="6"/>
      <c r="AR112" s="6"/>
      <c r="AS112" s="6"/>
      <c r="AT112" s="5" t="s">
        <v>974</v>
      </c>
    </row>
    <row r="113" spans="2:46" x14ac:dyDescent="0.2">
      <c r="B113" s="4" t="s">
        <v>1382</v>
      </c>
      <c r="C113" s="4">
        <v>18.9422</v>
      </c>
      <c r="D113" s="4">
        <v>19.060700000000001</v>
      </c>
      <c r="E113" s="4">
        <v>19.087399999999999</v>
      </c>
      <c r="F113" s="4">
        <f t="shared" si="4"/>
        <v>19.030100000000001</v>
      </c>
      <c r="I113" s="4" t="s">
        <v>4043</v>
      </c>
      <c r="J113" s="4">
        <v>19.4499</v>
      </c>
      <c r="K113" s="4">
        <v>18.920300000000001</v>
      </c>
      <c r="L113" s="4">
        <v>18.9389</v>
      </c>
      <c r="M113" s="4">
        <f t="shared" si="5"/>
        <v>19.103033333333332</v>
      </c>
      <c r="P113" s="4" t="str">
        <f>"rps-6"</f>
        <v>rps-6</v>
      </c>
      <c r="Q113" s="4">
        <v>19.180817430547702</v>
      </c>
      <c r="R113" s="4">
        <v>18.9001886930062</v>
      </c>
      <c r="S113" s="4">
        <v>18.862855693288498</v>
      </c>
      <c r="T113" s="4">
        <f t="shared" si="6"/>
        <v>18.981287272280799</v>
      </c>
      <c r="W113" s="4" t="str">
        <f>"csr-1"</f>
        <v>csr-1</v>
      </c>
      <c r="X113" s="4">
        <v>19.174544828315501</v>
      </c>
      <c r="Y113" s="4">
        <v>19.075625186660101</v>
      </c>
      <c r="Z113" s="4">
        <v>18.925271102738101</v>
      </c>
      <c r="AA113" s="4">
        <f t="shared" si="7"/>
        <v>19.058480372571236</v>
      </c>
      <c r="AH113" s="28" t="s">
        <v>2528</v>
      </c>
      <c r="AJ113" s="4" t="s">
        <v>3482</v>
      </c>
      <c r="AL113" s="1"/>
      <c r="AQ113" s="6"/>
      <c r="AR113" s="6"/>
      <c r="AS113" s="6"/>
      <c r="AT113" s="5" t="s">
        <v>975</v>
      </c>
    </row>
    <row r="114" spans="2:46" x14ac:dyDescent="0.2">
      <c r="B114" s="4" t="s">
        <v>3307</v>
      </c>
      <c r="C114" s="4">
        <v>18.986599999999999</v>
      </c>
      <c r="D114" s="4">
        <v>19.088200000000001</v>
      </c>
      <c r="E114" s="4">
        <v>18.948699999999999</v>
      </c>
      <c r="F114" s="4">
        <f t="shared" si="4"/>
        <v>19.007833333333334</v>
      </c>
      <c r="I114" s="4" t="s">
        <v>1485</v>
      </c>
      <c r="J114" s="4">
        <v>19.0867</v>
      </c>
      <c r="K114" s="4">
        <v>18.882300000000001</v>
      </c>
      <c r="L114" s="4">
        <v>19.290600000000001</v>
      </c>
      <c r="M114" s="4">
        <f t="shared" si="5"/>
        <v>19.086533333333335</v>
      </c>
      <c r="P114" s="4" t="str">
        <f>"copb-1"</f>
        <v>copb-1</v>
      </c>
      <c r="Q114" s="4">
        <v>19.156924442293299</v>
      </c>
      <c r="R114" s="4">
        <v>18.919051425614899</v>
      </c>
      <c r="S114" s="4">
        <v>18.829022956684302</v>
      </c>
      <c r="T114" s="4">
        <f t="shared" si="6"/>
        <v>18.968332941530832</v>
      </c>
      <c r="W114" s="4" t="str">
        <f>"rme-1"</f>
        <v>rme-1</v>
      </c>
      <c r="X114" s="4">
        <v>18.952243789920502</v>
      </c>
      <c r="Y114" s="4">
        <v>19.1109564136557</v>
      </c>
      <c r="Z114" s="4">
        <v>18.851351497947299</v>
      </c>
      <c r="AA114" s="4">
        <f t="shared" si="7"/>
        <v>18.971517233841166</v>
      </c>
      <c r="AH114" s="28" t="s">
        <v>2048</v>
      </c>
      <c r="AJ114" s="4" t="s">
        <v>3806</v>
      </c>
      <c r="AL114" s="1"/>
      <c r="AQ114" s="6"/>
      <c r="AR114" s="6"/>
      <c r="AS114" s="6"/>
      <c r="AT114" s="5" t="s">
        <v>864</v>
      </c>
    </row>
    <row r="115" spans="2:46" x14ac:dyDescent="0.2">
      <c r="B115" s="4" t="s">
        <v>3321</v>
      </c>
      <c r="C115" s="4">
        <v>19.035699999999999</v>
      </c>
      <c r="D115" s="4">
        <v>19.123799999999999</v>
      </c>
      <c r="E115" s="4">
        <v>18.838100000000001</v>
      </c>
      <c r="F115" s="4">
        <f t="shared" si="4"/>
        <v>18.999199999999998</v>
      </c>
      <c r="I115" s="4" t="s">
        <v>4631</v>
      </c>
      <c r="J115" s="4">
        <v>18.594100000000001</v>
      </c>
      <c r="K115" s="4">
        <v>19.379000000000001</v>
      </c>
      <c r="L115" s="4">
        <v>19.2075</v>
      </c>
      <c r="M115" s="4">
        <f t="shared" si="5"/>
        <v>19.060199999999998</v>
      </c>
      <c r="P115" s="4" t="str">
        <f>"vwa-8"</f>
        <v>vwa-8</v>
      </c>
      <c r="Q115" s="4">
        <v>19.330198894900999</v>
      </c>
      <c r="R115" s="4">
        <v>18.737403821213199</v>
      </c>
      <c r="S115" s="4">
        <v>18.802340388315201</v>
      </c>
      <c r="T115" s="4">
        <f t="shared" si="6"/>
        <v>18.956647701476466</v>
      </c>
      <c r="W115" s="4" t="str">
        <f>"cct-1"</f>
        <v>cct-1</v>
      </c>
      <c r="X115" s="4">
        <v>18.907755359369698</v>
      </c>
      <c r="Y115" s="4">
        <v>19.129984575658401</v>
      </c>
      <c r="Z115" s="4">
        <v>18.8706076521641</v>
      </c>
      <c r="AA115" s="4">
        <f t="shared" si="7"/>
        <v>18.969449195730732</v>
      </c>
      <c r="AH115" s="28" t="s">
        <v>1838</v>
      </c>
      <c r="AJ115" s="4" t="s">
        <v>2651</v>
      </c>
      <c r="AL115" s="1"/>
      <c r="AQ115" s="6"/>
      <c r="AR115" s="6"/>
      <c r="AS115" s="6"/>
      <c r="AT115" s="5" t="s">
        <v>833</v>
      </c>
    </row>
    <row r="116" spans="2:46" x14ac:dyDescent="0.2">
      <c r="B116" s="4" t="s">
        <v>2117</v>
      </c>
      <c r="C116" s="4">
        <v>18.9238</v>
      </c>
      <c r="D116" s="4">
        <v>18.942900000000002</v>
      </c>
      <c r="E116" s="4">
        <v>19.068100000000001</v>
      </c>
      <c r="F116" s="4">
        <f t="shared" si="4"/>
        <v>18.978266666666666</v>
      </c>
      <c r="I116" s="4" t="s">
        <v>2427</v>
      </c>
      <c r="J116" s="4">
        <v>18.954699999999999</v>
      </c>
      <c r="K116" s="4">
        <v>19.268999999999998</v>
      </c>
      <c r="L116" s="4">
        <v>18.875699999999998</v>
      </c>
      <c r="M116" s="4">
        <f t="shared" si="5"/>
        <v>19.033133333333328</v>
      </c>
      <c r="P116" s="4" t="str">
        <f>"rml-1"</f>
        <v>rml-1</v>
      </c>
      <c r="Q116" s="4">
        <v>18.7635981149398</v>
      </c>
      <c r="R116" s="4">
        <v>18.9692585895734</v>
      </c>
      <c r="S116" s="4">
        <v>19.066047046284901</v>
      </c>
      <c r="T116" s="4">
        <f t="shared" si="6"/>
        <v>18.9329679169327</v>
      </c>
      <c r="W116" s="4" t="str">
        <f>"rpl-7A"</f>
        <v>rpl-7A</v>
      </c>
      <c r="X116" s="4">
        <v>19.051965827184802</v>
      </c>
      <c r="Y116" s="4">
        <v>19.1909783459413</v>
      </c>
      <c r="Z116" s="4">
        <v>18.659740994593999</v>
      </c>
      <c r="AA116" s="4">
        <f t="shared" si="7"/>
        <v>18.967561722573368</v>
      </c>
      <c r="AH116" s="28" t="s">
        <v>991</v>
      </c>
      <c r="AJ116" s="4" t="s">
        <v>4326</v>
      </c>
      <c r="AL116" s="1"/>
      <c r="AQ116" s="6"/>
      <c r="AR116" s="6"/>
      <c r="AS116" s="6"/>
      <c r="AT116" s="5" t="s">
        <v>976</v>
      </c>
    </row>
    <row r="117" spans="2:46" x14ac:dyDescent="0.2">
      <c r="B117" s="4" t="s">
        <v>651</v>
      </c>
      <c r="C117" s="4">
        <v>18.559200000000001</v>
      </c>
      <c r="D117" s="4">
        <v>19.181699999999999</v>
      </c>
      <c r="E117" s="4">
        <v>19.170500000000001</v>
      </c>
      <c r="F117" s="4">
        <f t="shared" si="4"/>
        <v>18.970466666666667</v>
      </c>
      <c r="I117" s="4" t="s">
        <v>3307</v>
      </c>
      <c r="J117" s="4">
        <v>18.884</v>
      </c>
      <c r="K117" s="4">
        <v>19.046199999999999</v>
      </c>
      <c r="L117" s="4">
        <v>19.028300000000002</v>
      </c>
      <c r="M117" s="4">
        <f t="shared" si="5"/>
        <v>18.986166666666666</v>
      </c>
      <c r="P117" s="4" t="str">
        <f>"his-24"</f>
        <v>his-24</v>
      </c>
      <c r="Q117" s="4">
        <v>18.8464445453201</v>
      </c>
      <c r="R117" s="4">
        <v>19.089440849781099</v>
      </c>
      <c r="S117" s="4">
        <v>18.806716016749601</v>
      </c>
      <c r="T117" s="4">
        <f t="shared" si="6"/>
        <v>18.914200470616933</v>
      </c>
      <c r="W117" s="4" t="str">
        <f>"rps-16"</f>
        <v>rps-16</v>
      </c>
      <c r="X117" s="4">
        <v>19.0120467534882</v>
      </c>
      <c r="Y117" s="4">
        <v>19.1039643262997</v>
      </c>
      <c r="Z117" s="4">
        <v>18.742867538161299</v>
      </c>
      <c r="AA117" s="4">
        <f t="shared" si="7"/>
        <v>18.952959539316399</v>
      </c>
      <c r="AH117" s="28" t="s">
        <v>3155</v>
      </c>
      <c r="AJ117" s="4" t="s">
        <v>2152</v>
      </c>
      <c r="AL117" s="1"/>
      <c r="AQ117" s="6"/>
      <c r="AR117" s="6"/>
      <c r="AS117" s="6"/>
      <c r="AT117" s="5" t="s">
        <v>977</v>
      </c>
    </row>
    <row r="118" spans="2:46" x14ac:dyDescent="0.2">
      <c r="B118" s="4" t="s">
        <v>3176</v>
      </c>
      <c r="C118" s="4">
        <v>19.136500000000002</v>
      </c>
      <c r="D118" s="4">
        <v>18.981999999999999</v>
      </c>
      <c r="E118" s="4">
        <v>18.698</v>
      </c>
      <c r="F118" s="4">
        <f t="shared" si="4"/>
        <v>18.938833333333331</v>
      </c>
      <c r="I118" s="4" t="s">
        <v>295</v>
      </c>
      <c r="J118" s="4">
        <v>18.924399999999999</v>
      </c>
      <c r="K118" s="4">
        <v>19.2773</v>
      </c>
      <c r="L118" s="4">
        <v>18.752199999999998</v>
      </c>
      <c r="M118" s="4">
        <f t="shared" si="5"/>
        <v>18.984633333333335</v>
      </c>
      <c r="P118" s="4" t="str">
        <f>"pfk-1.1"</f>
        <v>pfk-1.1</v>
      </c>
      <c r="Q118" s="4">
        <v>19.174776080553102</v>
      </c>
      <c r="R118" s="4">
        <v>18.826893768390502</v>
      </c>
      <c r="S118" s="4">
        <v>18.691702229819501</v>
      </c>
      <c r="T118" s="4">
        <f t="shared" si="6"/>
        <v>18.897790692921035</v>
      </c>
      <c r="W118" s="4" t="str">
        <f>"ech-1.2"</f>
        <v>ech-1.2</v>
      </c>
      <c r="X118" s="4">
        <v>18.792904927887299</v>
      </c>
      <c r="Y118" s="4">
        <v>18.878605106042102</v>
      </c>
      <c r="Z118" s="4">
        <v>19.1364009029834</v>
      </c>
      <c r="AA118" s="4">
        <f t="shared" si="7"/>
        <v>18.935970312304267</v>
      </c>
      <c r="AH118" s="28" t="s">
        <v>241</v>
      </c>
      <c r="AJ118" s="4" t="s">
        <v>4559</v>
      </c>
      <c r="AL118" s="1"/>
      <c r="AQ118" s="6"/>
      <c r="AR118" s="6"/>
      <c r="AS118" s="6"/>
      <c r="AT118" s="5" t="s">
        <v>387</v>
      </c>
    </row>
    <row r="119" spans="2:46" x14ac:dyDescent="0.2">
      <c r="B119" s="4" t="s">
        <v>241</v>
      </c>
      <c r="C119" s="4">
        <v>19.3308</v>
      </c>
      <c r="D119" s="4">
        <v>18.790299999999998</v>
      </c>
      <c r="E119" s="4">
        <v>18.685099999999998</v>
      </c>
      <c r="F119" s="4">
        <f t="shared" si="4"/>
        <v>18.935399999999998</v>
      </c>
      <c r="I119" s="4" t="s">
        <v>1063</v>
      </c>
      <c r="J119" s="4">
        <v>18.162800000000001</v>
      </c>
      <c r="K119" s="4">
        <v>18.7958</v>
      </c>
      <c r="L119" s="4">
        <v>19.9833</v>
      </c>
      <c r="M119" s="4">
        <f t="shared" si="5"/>
        <v>18.980633333333333</v>
      </c>
      <c r="P119" s="4" t="str">
        <f>"tba-9"</f>
        <v>tba-9</v>
      </c>
      <c r="Q119" s="4">
        <v>19.277948957284501</v>
      </c>
      <c r="R119" s="4">
        <v>18.768159031186698</v>
      </c>
      <c r="S119" s="4">
        <v>18.640431726202699</v>
      </c>
      <c r="T119" s="4">
        <f t="shared" si="6"/>
        <v>18.895513238224634</v>
      </c>
      <c r="W119" s="4" t="str">
        <f>"pdhb-1"</f>
        <v>pdhb-1</v>
      </c>
      <c r="X119" s="4">
        <v>18.653311396998099</v>
      </c>
      <c r="Y119" s="4">
        <v>19.141773389369501</v>
      </c>
      <c r="Z119" s="4">
        <v>18.993279425800502</v>
      </c>
      <c r="AA119" s="4">
        <f t="shared" si="7"/>
        <v>18.929454737389367</v>
      </c>
      <c r="AH119" s="28" t="s">
        <v>3416</v>
      </c>
      <c r="AJ119" s="4" t="s">
        <v>4177</v>
      </c>
      <c r="AL119" s="1"/>
      <c r="AQ119" s="6"/>
      <c r="AR119" s="6"/>
      <c r="AS119" s="6"/>
      <c r="AT119" s="5" t="s">
        <v>978</v>
      </c>
    </row>
    <row r="120" spans="2:46" x14ac:dyDescent="0.2">
      <c r="B120" s="4" t="s">
        <v>1536</v>
      </c>
      <c r="C120" s="4">
        <v>19.259399999999999</v>
      </c>
      <c r="D120" s="4">
        <v>18.828399999999998</v>
      </c>
      <c r="E120" s="4">
        <v>18.715699999999998</v>
      </c>
      <c r="F120" s="4">
        <f t="shared" si="4"/>
        <v>18.9345</v>
      </c>
      <c r="I120" s="4" t="s">
        <v>1173</v>
      </c>
      <c r="J120" s="4">
        <v>18.973800000000001</v>
      </c>
      <c r="K120" s="4">
        <v>18.994</v>
      </c>
      <c r="L120" s="4">
        <v>18.898700000000002</v>
      </c>
      <c r="M120" s="4">
        <f t="shared" si="5"/>
        <v>18.955500000000001</v>
      </c>
      <c r="P120" s="4" t="str">
        <f>"tufm-2"</f>
        <v>tufm-2</v>
      </c>
      <c r="Q120" s="4">
        <v>19.2278589489414</v>
      </c>
      <c r="R120" s="4">
        <v>18.651847134135</v>
      </c>
      <c r="S120" s="4">
        <v>18.800269321582199</v>
      </c>
      <c r="T120" s="4">
        <f t="shared" si="6"/>
        <v>18.893325134886201</v>
      </c>
      <c r="W120" s="4" t="str">
        <f>"Y37E3.17"</f>
        <v>Y37E3.17</v>
      </c>
      <c r="X120" s="4">
        <v>18.873729507565901</v>
      </c>
      <c r="Y120" s="4">
        <v>18.912095722310799</v>
      </c>
      <c r="Z120" s="4">
        <v>19.002172850802499</v>
      </c>
      <c r="AA120" s="4">
        <f t="shared" si="7"/>
        <v>18.929332693559733</v>
      </c>
      <c r="AH120" s="28" t="s">
        <v>4741</v>
      </c>
      <c r="AJ120" s="4" t="s">
        <v>2933</v>
      </c>
      <c r="AL120" s="1"/>
      <c r="AT120" s="5" t="s">
        <v>748</v>
      </c>
    </row>
    <row r="121" spans="2:46" x14ac:dyDescent="0.2">
      <c r="B121" s="4" t="s">
        <v>882</v>
      </c>
      <c r="C121" s="4">
        <v>19.064</v>
      </c>
      <c r="D121" s="4">
        <v>18.662500000000001</v>
      </c>
      <c r="E121" s="4">
        <v>18.989799999999999</v>
      </c>
      <c r="F121" s="4">
        <f t="shared" si="4"/>
        <v>18.905433333333335</v>
      </c>
      <c r="I121" s="4" t="s">
        <v>1878</v>
      </c>
      <c r="J121" s="4">
        <v>19.266400000000001</v>
      </c>
      <c r="K121" s="4">
        <v>18.804099999999998</v>
      </c>
      <c r="L121" s="4">
        <v>18.788399999999999</v>
      </c>
      <c r="M121" s="4">
        <f t="shared" si="5"/>
        <v>18.952966666666665</v>
      </c>
      <c r="P121" s="4" t="str">
        <f>"eef-2"</f>
        <v>eef-2</v>
      </c>
      <c r="Q121" s="4">
        <v>19.043895781610399</v>
      </c>
      <c r="R121" s="4">
        <v>18.698778595802398</v>
      </c>
      <c r="S121" s="4">
        <v>18.867320793383101</v>
      </c>
      <c r="T121" s="4">
        <f t="shared" si="6"/>
        <v>18.869998390265298</v>
      </c>
      <c r="W121" s="4" t="str">
        <f>"misc-1"</f>
        <v>misc-1</v>
      </c>
      <c r="X121" s="4">
        <v>18.740724196297101</v>
      </c>
      <c r="Y121" s="4">
        <v>18.969172164755399</v>
      </c>
      <c r="Z121" s="4">
        <v>19.073500114130901</v>
      </c>
      <c r="AA121" s="4">
        <f t="shared" si="7"/>
        <v>18.927798825061135</v>
      </c>
      <c r="AH121" s="28" t="s">
        <v>4788</v>
      </c>
      <c r="AJ121" s="4" t="s">
        <v>3473</v>
      </c>
      <c r="AL121" s="1"/>
      <c r="AQ121" s="6"/>
      <c r="AR121" s="6"/>
      <c r="AS121" s="6"/>
      <c r="AT121" s="5" t="s">
        <v>722</v>
      </c>
    </row>
    <row r="122" spans="2:46" x14ac:dyDescent="0.2">
      <c r="B122" s="4" t="s">
        <v>3086</v>
      </c>
      <c r="C122" s="4">
        <v>18.900300000000001</v>
      </c>
      <c r="D122" s="4">
        <v>19.033999999999999</v>
      </c>
      <c r="E122" s="4">
        <v>18.7819</v>
      </c>
      <c r="F122" s="4">
        <f t="shared" si="4"/>
        <v>18.9054</v>
      </c>
      <c r="I122" s="4" t="s">
        <v>3491</v>
      </c>
      <c r="J122" s="4">
        <v>18.7041</v>
      </c>
      <c r="K122" s="4">
        <v>19.159700000000001</v>
      </c>
      <c r="L122" s="4">
        <v>18.985800000000001</v>
      </c>
      <c r="M122" s="4">
        <f t="shared" si="5"/>
        <v>18.949866666666665</v>
      </c>
      <c r="P122" s="4" t="str">
        <f>"ech-6"</f>
        <v>ech-6</v>
      </c>
      <c r="Q122" s="4">
        <v>19.382335172535502</v>
      </c>
      <c r="R122" s="4">
        <v>18.270694534323699</v>
      </c>
      <c r="S122" s="4">
        <v>18.894406437545001</v>
      </c>
      <c r="T122" s="4">
        <f t="shared" si="6"/>
        <v>18.849145381468066</v>
      </c>
      <c r="W122" s="4" t="str">
        <f>"fbp-1"</f>
        <v>fbp-1</v>
      </c>
      <c r="X122" s="4">
        <v>18.8969872977226</v>
      </c>
      <c r="Y122" s="4">
        <v>19.075603021326</v>
      </c>
      <c r="Z122" s="4">
        <v>18.750947288738899</v>
      </c>
      <c r="AA122" s="4">
        <f t="shared" si="7"/>
        <v>18.907845869262498</v>
      </c>
      <c r="AH122" s="28" t="s">
        <v>3944</v>
      </c>
      <c r="AJ122" s="4" t="s">
        <v>993</v>
      </c>
      <c r="AL122" s="1"/>
      <c r="AQ122" s="6"/>
      <c r="AR122" s="6"/>
      <c r="AS122" s="6"/>
      <c r="AT122" s="5" t="s">
        <v>698</v>
      </c>
    </row>
    <row r="123" spans="2:46" x14ac:dyDescent="0.2">
      <c r="B123" s="4" t="s">
        <v>2118</v>
      </c>
      <c r="C123" s="4">
        <v>18.811699999999998</v>
      </c>
      <c r="D123" s="4">
        <v>18.980799999999999</v>
      </c>
      <c r="E123" s="4">
        <v>18.895299999999999</v>
      </c>
      <c r="F123" s="4">
        <f t="shared" si="4"/>
        <v>18.895933333333332</v>
      </c>
      <c r="I123" s="4" t="s">
        <v>2458</v>
      </c>
      <c r="J123" s="4">
        <v>19.0684</v>
      </c>
      <c r="K123" s="4">
        <v>19.1355</v>
      </c>
      <c r="L123" s="4">
        <v>18.6374</v>
      </c>
      <c r="M123" s="4">
        <f t="shared" si="5"/>
        <v>18.947100000000002</v>
      </c>
      <c r="P123" s="4" t="str">
        <f>"glp-4"</f>
        <v>glp-4</v>
      </c>
      <c r="Q123" s="4">
        <v>18.953296219532</v>
      </c>
      <c r="R123" s="4">
        <v>18.8441361339598</v>
      </c>
      <c r="S123" s="4">
        <v>18.715247014944499</v>
      </c>
      <c r="T123" s="4">
        <f t="shared" si="6"/>
        <v>18.837559789478764</v>
      </c>
      <c r="W123" s="4" t="str">
        <f>"vwa-8"</f>
        <v>vwa-8</v>
      </c>
      <c r="X123" s="4">
        <v>18.735322663503101</v>
      </c>
      <c r="Y123" s="4">
        <v>18.998565882392299</v>
      </c>
      <c r="Z123" s="4">
        <v>18.9766140807825</v>
      </c>
      <c r="AA123" s="4">
        <f t="shared" si="7"/>
        <v>18.903500875559299</v>
      </c>
      <c r="AH123" s="28" t="s">
        <v>1458</v>
      </c>
      <c r="AJ123" s="4" t="s">
        <v>149</v>
      </c>
      <c r="AL123" s="1"/>
      <c r="AQ123" s="6"/>
      <c r="AR123" s="6"/>
      <c r="AS123" s="6"/>
      <c r="AT123" s="5" t="s">
        <v>979</v>
      </c>
    </row>
    <row r="124" spans="2:46" x14ac:dyDescent="0.2">
      <c r="B124" s="4" t="s">
        <v>1425</v>
      </c>
      <c r="C124" s="4">
        <v>18.771000000000001</v>
      </c>
      <c r="D124" s="4">
        <v>19.1221</v>
      </c>
      <c r="E124" s="4">
        <v>18.744199999999999</v>
      </c>
      <c r="F124" s="4">
        <f t="shared" si="4"/>
        <v>18.879100000000001</v>
      </c>
      <c r="I124" s="4" t="s">
        <v>1626</v>
      </c>
      <c r="J124" s="4">
        <v>18.887699999999999</v>
      </c>
      <c r="K124" s="4">
        <v>19.115200000000002</v>
      </c>
      <c r="L124" s="4">
        <v>18.812100000000001</v>
      </c>
      <c r="M124" s="4">
        <f t="shared" si="5"/>
        <v>18.938333333333333</v>
      </c>
      <c r="P124" s="4" t="str">
        <f>"vit-6"</f>
        <v>vit-6</v>
      </c>
      <c r="Q124" s="4">
        <v>18.3507845171941</v>
      </c>
      <c r="R124" s="4">
        <v>18.865423248587401</v>
      </c>
      <c r="S124" s="4">
        <v>19.250158117323501</v>
      </c>
      <c r="T124" s="4">
        <f t="shared" si="6"/>
        <v>18.822121961035002</v>
      </c>
      <c r="W124" s="4" t="str">
        <f>"glp-4"</f>
        <v>glp-4</v>
      </c>
      <c r="X124" s="4">
        <v>18.867593647741302</v>
      </c>
      <c r="Y124" s="4">
        <v>18.950046026606501</v>
      </c>
      <c r="Z124" s="4">
        <v>18.873121637210701</v>
      </c>
      <c r="AA124" s="4">
        <f t="shared" si="7"/>
        <v>18.896920437186168</v>
      </c>
      <c r="AH124" s="28" t="s">
        <v>4654</v>
      </c>
      <c r="AJ124" s="4" t="s">
        <v>49</v>
      </c>
      <c r="AL124" s="1"/>
      <c r="AQ124" s="6"/>
      <c r="AR124" s="6"/>
      <c r="AS124" s="6"/>
      <c r="AT124" s="5" t="s">
        <v>139</v>
      </c>
    </row>
    <row r="125" spans="2:46" x14ac:dyDescent="0.2">
      <c r="B125" s="4" t="s">
        <v>1908</v>
      </c>
      <c r="C125" s="4">
        <v>18.8292</v>
      </c>
      <c r="D125" s="4">
        <v>18.779800000000002</v>
      </c>
      <c r="E125" s="4">
        <v>19.0062</v>
      </c>
      <c r="F125" s="4">
        <f t="shared" si="4"/>
        <v>18.871733333333335</v>
      </c>
      <c r="I125" s="4" t="s">
        <v>3321</v>
      </c>
      <c r="J125" s="4">
        <v>18.975999999999999</v>
      </c>
      <c r="K125" s="4">
        <v>18.724299999999999</v>
      </c>
      <c r="L125" s="4">
        <v>19.088200000000001</v>
      </c>
      <c r="M125" s="4">
        <f t="shared" si="5"/>
        <v>18.929500000000001</v>
      </c>
      <c r="P125" s="4" t="str">
        <f>"rme-1"</f>
        <v>rme-1</v>
      </c>
      <c r="Q125" s="4">
        <v>18.8873976849091</v>
      </c>
      <c r="R125" s="4">
        <v>18.833188987183899</v>
      </c>
      <c r="S125" s="4">
        <v>18.6869848209064</v>
      </c>
      <c r="T125" s="4">
        <f t="shared" si="6"/>
        <v>18.8025238309998</v>
      </c>
      <c r="W125" s="4" t="str">
        <f>"R05F9.6"</f>
        <v>R05F9.6</v>
      </c>
      <c r="X125" s="4">
        <v>18.6641405851503</v>
      </c>
      <c r="Y125" s="4">
        <v>19.044699891697601</v>
      </c>
      <c r="Z125" s="4">
        <v>18.973105328843801</v>
      </c>
      <c r="AA125" s="4">
        <f t="shared" si="7"/>
        <v>18.893981935230567</v>
      </c>
      <c r="AH125" s="28" t="s">
        <v>4662</v>
      </c>
      <c r="AJ125" s="4" t="s">
        <v>1894</v>
      </c>
      <c r="AL125" s="1"/>
      <c r="AQ125" s="6"/>
      <c r="AR125" s="6"/>
      <c r="AS125" s="6"/>
      <c r="AT125" s="5" t="s">
        <v>726</v>
      </c>
    </row>
    <row r="126" spans="2:46" x14ac:dyDescent="0.2">
      <c r="B126" s="4" t="s">
        <v>2435</v>
      </c>
      <c r="C126" s="4">
        <v>18.912400000000002</v>
      </c>
      <c r="D126" s="4">
        <v>18.452300000000001</v>
      </c>
      <c r="E126" s="4">
        <v>19.2484</v>
      </c>
      <c r="F126" s="4">
        <f t="shared" si="4"/>
        <v>18.871033333333333</v>
      </c>
      <c r="I126" s="4" t="s">
        <v>3982</v>
      </c>
      <c r="J126" s="4">
        <v>18.713999999999999</v>
      </c>
      <c r="K126" s="4">
        <v>18.867999999999999</v>
      </c>
      <c r="L126" s="4">
        <v>19.149699999999999</v>
      </c>
      <c r="M126" s="4">
        <f t="shared" si="5"/>
        <v>18.910566666666664</v>
      </c>
      <c r="P126" s="4" t="str">
        <f>"pygl-1"</f>
        <v>pygl-1</v>
      </c>
      <c r="Q126" s="4">
        <v>18.615984585105998</v>
      </c>
      <c r="R126" s="4">
        <v>18.9215593963713</v>
      </c>
      <c r="S126" s="4">
        <v>18.837213437474201</v>
      </c>
      <c r="T126" s="4">
        <f t="shared" si="6"/>
        <v>18.791585806317169</v>
      </c>
      <c r="W126" s="4" t="str">
        <f>"rps-28"</f>
        <v>rps-28</v>
      </c>
      <c r="X126" s="4">
        <v>18.997869125367401</v>
      </c>
      <c r="Y126" s="4">
        <v>18.803115838284999</v>
      </c>
      <c r="Z126" s="4">
        <v>18.8739617938487</v>
      </c>
      <c r="AA126" s="4">
        <f t="shared" si="7"/>
        <v>18.891648919167032</v>
      </c>
      <c r="AH126" s="28" t="s">
        <v>4645</v>
      </c>
      <c r="AJ126" s="4" t="s">
        <v>1461</v>
      </c>
      <c r="AL126" s="1"/>
      <c r="AQ126" s="6"/>
      <c r="AR126" s="6"/>
      <c r="AS126" s="6"/>
      <c r="AT126" s="5" t="s">
        <v>669</v>
      </c>
    </row>
    <row r="127" spans="2:46" x14ac:dyDescent="0.2">
      <c r="B127" s="4" t="s">
        <v>1485</v>
      </c>
      <c r="C127" s="4">
        <v>18.698799999999999</v>
      </c>
      <c r="D127" s="4">
        <v>19.038799999999998</v>
      </c>
      <c r="E127" s="4">
        <v>18.829599999999999</v>
      </c>
      <c r="F127" s="4">
        <f t="shared" si="4"/>
        <v>18.855733333333333</v>
      </c>
      <c r="I127" s="4" t="s">
        <v>1536</v>
      </c>
      <c r="J127" s="4">
        <v>18.980399999999999</v>
      </c>
      <c r="K127" s="4">
        <v>18.782900000000001</v>
      </c>
      <c r="L127" s="4">
        <v>18.899799999999999</v>
      </c>
      <c r="M127" s="4">
        <f t="shared" si="5"/>
        <v>18.887699999999999</v>
      </c>
      <c r="P127" s="4" t="str">
        <f>"rps-28"</f>
        <v>rps-28</v>
      </c>
      <c r="Q127" s="4">
        <v>19.0017763910861</v>
      </c>
      <c r="R127" s="4">
        <v>18.509878689579701</v>
      </c>
      <c r="S127" s="4">
        <v>18.796906138080601</v>
      </c>
      <c r="T127" s="4">
        <f t="shared" si="6"/>
        <v>18.769520406248802</v>
      </c>
      <c r="W127" s="4" t="str">
        <f>"rps-25"</f>
        <v>rps-25</v>
      </c>
      <c r="X127" s="4">
        <v>18.781948381377202</v>
      </c>
      <c r="Y127" s="4">
        <v>18.941212103392001</v>
      </c>
      <c r="Z127" s="4">
        <v>18.9504601666222</v>
      </c>
      <c r="AA127" s="4">
        <f t="shared" si="7"/>
        <v>18.891206883797135</v>
      </c>
      <c r="AH127" s="28" t="s">
        <v>4399</v>
      </c>
      <c r="AJ127" s="4" t="s">
        <v>4337</v>
      </c>
      <c r="AL127" s="1"/>
      <c r="AQ127" s="6"/>
      <c r="AR127" s="6"/>
      <c r="AS127" s="6"/>
      <c r="AT127" s="5" t="s">
        <v>716</v>
      </c>
    </row>
    <row r="128" spans="2:46" x14ac:dyDescent="0.2">
      <c r="B128" s="4" t="s">
        <v>3027</v>
      </c>
      <c r="C128" s="4">
        <v>18.769100000000002</v>
      </c>
      <c r="D128" s="4">
        <v>18.6752</v>
      </c>
      <c r="E128" s="4">
        <v>19.084099999999999</v>
      </c>
      <c r="F128" s="4">
        <f t="shared" si="4"/>
        <v>18.8428</v>
      </c>
      <c r="I128" s="4" t="s">
        <v>2224</v>
      </c>
      <c r="J128" s="4">
        <v>18.720500000000001</v>
      </c>
      <c r="K128" s="4">
        <v>18.801500000000001</v>
      </c>
      <c r="L128" s="4">
        <v>19.136600000000001</v>
      </c>
      <c r="M128" s="4">
        <f t="shared" si="5"/>
        <v>18.886200000000002</v>
      </c>
      <c r="P128" s="4" t="str">
        <f>"hel-1"</f>
        <v>hel-1</v>
      </c>
      <c r="Q128" s="4">
        <v>18.8434698692813</v>
      </c>
      <c r="R128" s="4">
        <v>18.641360857629401</v>
      </c>
      <c r="S128" s="4">
        <v>18.752861886687899</v>
      </c>
      <c r="T128" s="4">
        <f t="shared" si="6"/>
        <v>18.745897537866199</v>
      </c>
      <c r="W128" s="4" t="str">
        <f>"rps-9"</f>
        <v>rps-9</v>
      </c>
      <c r="X128" s="4">
        <v>18.733622322972501</v>
      </c>
      <c r="Y128" s="4">
        <v>18.984544818297302</v>
      </c>
      <c r="Z128" s="4">
        <v>18.889668445550001</v>
      </c>
      <c r="AA128" s="4">
        <f t="shared" si="7"/>
        <v>18.869278528939933</v>
      </c>
      <c r="AH128" s="28" t="s">
        <v>4796</v>
      </c>
      <c r="AJ128" s="4" t="s">
        <v>1501</v>
      </c>
      <c r="AL128" s="1"/>
      <c r="AQ128" s="6"/>
      <c r="AR128" s="6"/>
      <c r="AS128" s="6"/>
      <c r="AT128" s="5" t="s">
        <v>736</v>
      </c>
    </row>
    <row r="129" spans="2:45" x14ac:dyDescent="0.2">
      <c r="B129" s="4" t="s">
        <v>263</v>
      </c>
      <c r="C129" s="4">
        <v>18.778099999999998</v>
      </c>
      <c r="D129" s="4">
        <v>18.970400000000001</v>
      </c>
      <c r="E129" s="4">
        <v>18.774899999999999</v>
      </c>
      <c r="F129" s="4">
        <f t="shared" si="4"/>
        <v>18.841133333333332</v>
      </c>
      <c r="I129" s="4" t="s">
        <v>1247</v>
      </c>
      <c r="J129" s="4">
        <v>18.8748</v>
      </c>
      <c r="K129" s="4">
        <v>18.815999999999999</v>
      </c>
      <c r="L129" s="4">
        <v>18.882400000000001</v>
      </c>
      <c r="M129" s="4">
        <f t="shared" si="5"/>
        <v>18.857733333333332</v>
      </c>
      <c r="P129" s="4" t="str">
        <f>"rpl-26"</f>
        <v>rpl-26</v>
      </c>
      <c r="Q129" s="4">
        <v>18.713750641330801</v>
      </c>
      <c r="R129" s="4">
        <v>18.670916991911302</v>
      </c>
      <c r="S129" s="4">
        <v>18.793443567588</v>
      </c>
      <c r="T129" s="4">
        <f t="shared" si="6"/>
        <v>18.726037066943366</v>
      </c>
      <c r="W129" s="4" t="str">
        <f>"tag-18"</f>
        <v>tag-18</v>
      </c>
      <c r="X129" s="4">
        <v>18.4596949137728</v>
      </c>
      <c r="Y129" s="4">
        <v>19.028684497706301</v>
      </c>
      <c r="Z129" s="4">
        <v>19.0752252180182</v>
      </c>
      <c r="AA129" s="4">
        <f t="shared" si="7"/>
        <v>18.854534876499102</v>
      </c>
      <c r="AH129" s="28" t="s">
        <v>4686</v>
      </c>
      <c r="AJ129" s="4" t="s">
        <v>176</v>
      </c>
      <c r="AL129" s="1"/>
      <c r="AQ129" s="6"/>
      <c r="AR129" s="6"/>
      <c r="AS129" s="6"/>
    </row>
    <row r="130" spans="2:45" x14ac:dyDescent="0.2">
      <c r="B130" s="4" t="s">
        <v>361</v>
      </c>
      <c r="C130" s="4">
        <v>19.046800000000001</v>
      </c>
      <c r="D130" s="4">
        <v>18.822099999999999</v>
      </c>
      <c r="E130" s="4">
        <v>18.628399999999999</v>
      </c>
      <c r="F130" s="4">
        <f t="shared" ref="F130:F193" si="8">(C130+D130+E130)/3</f>
        <v>18.832433333333331</v>
      </c>
      <c r="I130" s="4" t="s">
        <v>4395</v>
      </c>
      <c r="J130" s="4">
        <v>18.932099999999998</v>
      </c>
      <c r="K130" s="4">
        <v>19.096900000000002</v>
      </c>
      <c r="L130" s="4">
        <v>18.542400000000001</v>
      </c>
      <c r="M130" s="4">
        <f t="shared" ref="M130:M193" si="9">(J130+K130+L130)/3</f>
        <v>18.857133333333334</v>
      </c>
      <c r="P130" s="4" t="str">
        <f>"Y37E3.17"</f>
        <v>Y37E3.17</v>
      </c>
      <c r="Q130" s="4">
        <v>18.9152306103305</v>
      </c>
      <c r="R130" s="4">
        <v>18.5259655863841</v>
      </c>
      <c r="S130" s="4">
        <v>18.628230502614699</v>
      </c>
      <c r="T130" s="4">
        <f t="shared" ref="T130:T193" si="10">(Q130+R130+S130)/3</f>
        <v>18.689808899776434</v>
      </c>
      <c r="W130" s="4" t="str">
        <f>"rpt-3"</f>
        <v>rpt-3</v>
      </c>
      <c r="X130" s="4">
        <v>18.7611045472797</v>
      </c>
      <c r="Y130" s="4">
        <v>18.872615359144699</v>
      </c>
      <c r="Z130" s="4">
        <v>18.7998501861173</v>
      </c>
      <c r="AA130" s="4">
        <f t="shared" ref="AA130:AA193" si="11">(X130+Y130+Z130)/3</f>
        <v>18.811190030847232</v>
      </c>
      <c r="AH130" s="28" t="s">
        <v>3181</v>
      </c>
      <c r="AJ130" s="4" t="s">
        <v>4094</v>
      </c>
      <c r="AL130" s="1"/>
      <c r="AQ130" s="6"/>
      <c r="AR130" s="6"/>
      <c r="AS130" s="6"/>
    </row>
    <row r="131" spans="2:45" x14ac:dyDescent="0.2">
      <c r="B131" s="4" t="s">
        <v>3208</v>
      </c>
      <c r="C131" s="4">
        <v>18.8477</v>
      </c>
      <c r="D131" s="4">
        <v>18.5945</v>
      </c>
      <c r="E131" s="4">
        <v>18.994800000000001</v>
      </c>
      <c r="F131" s="4">
        <f t="shared" si="8"/>
        <v>18.812333333333331</v>
      </c>
      <c r="I131" s="4" t="s">
        <v>361</v>
      </c>
      <c r="J131" s="4">
        <v>18.886099999999999</v>
      </c>
      <c r="K131" s="4">
        <v>18.6464</v>
      </c>
      <c r="L131" s="4">
        <v>18.9114</v>
      </c>
      <c r="M131" s="4">
        <f t="shared" si="9"/>
        <v>18.814633333333333</v>
      </c>
      <c r="P131" s="4" t="str">
        <f>"copg-1"</f>
        <v>copg-1</v>
      </c>
      <c r="Q131" s="4">
        <v>18.9085187396518</v>
      </c>
      <c r="R131" s="4">
        <v>18.640079541645601</v>
      </c>
      <c r="S131" s="4">
        <v>18.4994259044154</v>
      </c>
      <c r="T131" s="4">
        <f t="shared" si="10"/>
        <v>18.682674728570934</v>
      </c>
      <c r="W131" s="4" t="str">
        <f>"copa-1"</f>
        <v>copa-1</v>
      </c>
      <c r="X131" s="4">
        <v>18.795506482967401</v>
      </c>
      <c r="Y131" s="4">
        <v>18.853806690278098</v>
      </c>
      <c r="Z131" s="4">
        <v>18.774372882590601</v>
      </c>
      <c r="AA131" s="4">
        <f t="shared" si="11"/>
        <v>18.807895351945366</v>
      </c>
      <c r="AH131" s="28" t="s">
        <v>3573</v>
      </c>
      <c r="AJ131" s="4" t="s">
        <v>3795</v>
      </c>
    </row>
    <row r="132" spans="2:45" x14ac:dyDescent="0.2">
      <c r="B132" s="4" t="s">
        <v>2427</v>
      </c>
      <c r="C132" s="4">
        <v>18.333100000000002</v>
      </c>
      <c r="D132" s="4">
        <v>18.688099999999999</v>
      </c>
      <c r="E132" s="4">
        <v>19.4099</v>
      </c>
      <c r="F132" s="4">
        <f t="shared" si="8"/>
        <v>18.810366666666667</v>
      </c>
      <c r="I132" s="4" t="s">
        <v>2749</v>
      </c>
      <c r="J132" s="4">
        <v>19.001100000000001</v>
      </c>
      <c r="K132" s="4">
        <v>18.744700000000002</v>
      </c>
      <c r="L132" s="4">
        <v>18.693300000000001</v>
      </c>
      <c r="M132" s="4">
        <f t="shared" si="9"/>
        <v>18.813033333333333</v>
      </c>
      <c r="P132" s="4" t="str">
        <f>"acp-1"</f>
        <v>acp-1</v>
      </c>
      <c r="Q132" s="4">
        <v>18.772133091521798</v>
      </c>
      <c r="R132" s="4">
        <v>18.590702377232901</v>
      </c>
      <c r="S132" s="4">
        <v>18.625359644976701</v>
      </c>
      <c r="T132" s="4">
        <f t="shared" si="10"/>
        <v>18.66273170457713</v>
      </c>
      <c r="W132" s="4" t="str">
        <f>"fasn-1"</f>
        <v>fasn-1</v>
      </c>
      <c r="X132" s="4">
        <v>18.8885537013768</v>
      </c>
      <c r="Y132" s="4">
        <v>18.904914421584799</v>
      </c>
      <c r="Z132" s="4">
        <v>18.612992116874899</v>
      </c>
      <c r="AA132" s="4">
        <f t="shared" si="11"/>
        <v>18.802153413278834</v>
      </c>
      <c r="AH132" s="28" t="s">
        <v>4760</v>
      </c>
      <c r="AJ132" s="4" t="s">
        <v>2215</v>
      </c>
      <c r="AQ132" s="6"/>
      <c r="AR132" s="6"/>
      <c r="AS132" s="6"/>
    </row>
    <row r="133" spans="2:45" x14ac:dyDescent="0.2">
      <c r="B133" s="4" t="s">
        <v>1057</v>
      </c>
      <c r="C133" s="4">
        <v>18.878699999999998</v>
      </c>
      <c r="D133" s="4">
        <v>18.927600000000002</v>
      </c>
      <c r="E133" s="4">
        <v>18.6066</v>
      </c>
      <c r="F133" s="4">
        <f t="shared" si="8"/>
        <v>18.804300000000001</v>
      </c>
      <c r="I133" s="4" t="s">
        <v>3578</v>
      </c>
      <c r="J133" s="4">
        <v>19.066400000000002</v>
      </c>
      <c r="K133" s="4">
        <v>18.877400000000002</v>
      </c>
      <c r="L133" s="4">
        <v>18.446100000000001</v>
      </c>
      <c r="M133" s="4">
        <f t="shared" si="9"/>
        <v>18.796633333333336</v>
      </c>
      <c r="P133" s="4" t="str">
        <f>"hrpr-1"</f>
        <v>hrpr-1</v>
      </c>
      <c r="Q133" s="4">
        <v>18.630671903959598</v>
      </c>
      <c r="R133" s="4">
        <v>18.674170645091301</v>
      </c>
      <c r="S133" s="4">
        <v>18.632268133533302</v>
      </c>
      <c r="T133" s="4">
        <f t="shared" si="10"/>
        <v>18.645703560861403</v>
      </c>
      <c r="W133" s="4" t="str">
        <f>"nol-58"</f>
        <v>nol-58</v>
      </c>
      <c r="X133" s="4">
        <v>18.686921861209399</v>
      </c>
      <c r="Y133" s="4">
        <v>18.8919231326785</v>
      </c>
      <c r="Z133" s="4">
        <v>18.789195136649301</v>
      </c>
      <c r="AA133" s="4">
        <f t="shared" si="11"/>
        <v>18.789346710179064</v>
      </c>
      <c r="AH133" s="28" t="s">
        <v>4852</v>
      </c>
      <c r="AJ133" s="4" t="s">
        <v>4572</v>
      </c>
      <c r="AQ133" s="6"/>
      <c r="AR133" s="6"/>
      <c r="AS133" s="6"/>
    </row>
    <row r="134" spans="2:45" x14ac:dyDescent="0.2">
      <c r="B134" s="4" t="s">
        <v>537</v>
      </c>
      <c r="C134" s="4">
        <v>18.614699999999999</v>
      </c>
      <c r="D134" s="4">
        <v>19.157900000000001</v>
      </c>
      <c r="E134" s="4">
        <v>18.628699999999998</v>
      </c>
      <c r="F134" s="4">
        <f t="shared" si="8"/>
        <v>18.800433333333331</v>
      </c>
      <c r="I134" s="4" t="s">
        <v>537</v>
      </c>
      <c r="J134" s="4">
        <v>18.979600000000001</v>
      </c>
      <c r="K134" s="4">
        <v>19.164400000000001</v>
      </c>
      <c r="L134" s="4">
        <v>18.222200000000001</v>
      </c>
      <c r="M134" s="4">
        <f t="shared" si="9"/>
        <v>18.788733333333337</v>
      </c>
      <c r="P134" s="4" t="str">
        <f>"R13H4.2"</f>
        <v>R13H4.2</v>
      </c>
      <c r="Q134" s="4">
        <v>18.841518924734601</v>
      </c>
      <c r="R134" s="4">
        <v>18.535153848719801</v>
      </c>
      <c r="S134" s="4">
        <v>18.5411667262115</v>
      </c>
      <c r="T134" s="4">
        <f t="shared" si="10"/>
        <v>18.639279833221966</v>
      </c>
      <c r="W134" s="4" t="str">
        <f>"acdh-10"</f>
        <v>acdh-10</v>
      </c>
      <c r="X134" s="4">
        <v>18.831928518637401</v>
      </c>
      <c r="Y134" s="4">
        <v>18.7400215333682</v>
      </c>
      <c r="Z134" s="4">
        <v>18.7899632093302</v>
      </c>
      <c r="AA134" s="4">
        <f t="shared" si="11"/>
        <v>18.787304420445267</v>
      </c>
      <c r="AH134" s="28" t="s">
        <v>4787</v>
      </c>
      <c r="AJ134" s="4" t="s">
        <v>2791</v>
      </c>
    </row>
    <row r="135" spans="2:45" x14ac:dyDescent="0.2">
      <c r="B135" s="4" t="s">
        <v>4576</v>
      </c>
      <c r="C135" s="4">
        <v>18.600999999999999</v>
      </c>
      <c r="D135" s="4">
        <v>19.086099999999998</v>
      </c>
      <c r="E135" s="4">
        <v>18.656600000000001</v>
      </c>
      <c r="F135" s="4">
        <f t="shared" si="8"/>
        <v>18.781233333333333</v>
      </c>
      <c r="I135" s="4" t="s">
        <v>2117</v>
      </c>
      <c r="J135" s="4">
        <v>18.8216</v>
      </c>
      <c r="K135" s="4">
        <v>18.8629</v>
      </c>
      <c r="L135" s="4">
        <v>18.6769</v>
      </c>
      <c r="M135" s="4">
        <f t="shared" si="9"/>
        <v>18.787133333333333</v>
      </c>
      <c r="P135" s="4" t="str">
        <f>"C18B2.3"</f>
        <v>C18B2.3</v>
      </c>
      <c r="Q135" s="4">
        <v>19.025279967404899</v>
      </c>
      <c r="R135" s="4">
        <v>18.357351453204501</v>
      </c>
      <c r="S135" s="4">
        <v>18.496925122110198</v>
      </c>
      <c r="T135" s="4">
        <f t="shared" si="10"/>
        <v>18.626518847573198</v>
      </c>
      <c r="W135" s="4" t="str">
        <f>"idha-1"</f>
        <v>idha-1</v>
      </c>
      <c r="X135" s="4">
        <v>18.6851512968645</v>
      </c>
      <c r="Y135" s="4">
        <v>18.8472481316313</v>
      </c>
      <c r="Z135" s="4">
        <v>18.807227399043899</v>
      </c>
      <c r="AA135" s="4">
        <f t="shared" si="11"/>
        <v>18.7798756091799</v>
      </c>
      <c r="AH135" s="28" t="s">
        <v>4675</v>
      </c>
      <c r="AJ135" s="4" t="s">
        <v>1240</v>
      </c>
      <c r="AQ135" s="6"/>
      <c r="AR135" s="6"/>
      <c r="AS135" s="6"/>
    </row>
    <row r="136" spans="2:45" x14ac:dyDescent="0.2">
      <c r="B136" s="4" t="s">
        <v>1878</v>
      </c>
      <c r="C136" s="4">
        <v>19.096299999999999</v>
      </c>
      <c r="D136" s="4">
        <v>18.476600000000001</v>
      </c>
      <c r="E136" s="4">
        <v>18.755099999999999</v>
      </c>
      <c r="F136" s="4">
        <f t="shared" si="8"/>
        <v>18.776</v>
      </c>
      <c r="I136" s="4" t="s">
        <v>4576</v>
      </c>
      <c r="J136" s="4">
        <v>18.852699999999999</v>
      </c>
      <c r="K136" s="4">
        <v>18.7668</v>
      </c>
      <c r="L136" s="4">
        <v>18.738900000000001</v>
      </c>
      <c r="M136" s="4">
        <f t="shared" si="9"/>
        <v>18.786133333333336</v>
      </c>
      <c r="P136" s="4" t="str">
        <f>"fbp-1"</f>
        <v>fbp-1</v>
      </c>
      <c r="Q136" s="4">
        <v>18.630783125124601</v>
      </c>
      <c r="R136" s="4">
        <v>18.633939425781399</v>
      </c>
      <c r="S136" s="4">
        <v>18.613771003360899</v>
      </c>
      <c r="T136" s="4">
        <f t="shared" si="10"/>
        <v>18.626164518088967</v>
      </c>
      <c r="W136" s="4" t="str">
        <f>"sec-61.a"</f>
        <v>sec-61.a</v>
      </c>
      <c r="X136" s="4">
        <v>18.851819536484701</v>
      </c>
      <c r="Y136" s="4">
        <v>18.847809603963601</v>
      </c>
      <c r="Z136" s="4">
        <v>18.607612354147701</v>
      </c>
      <c r="AA136" s="4">
        <f t="shared" si="11"/>
        <v>18.769080498198665</v>
      </c>
      <c r="AH136" s="28" t="s">
        <v>3664</v>
      </c>
      <c r="AJ136" s="4" t="s">
        <v>4286</v>
      </c>
      <c r="AQ136" s="6"/>
      <c r="AR136" s="6"/>
      <c r="AS136" s="6"/>
    </row>
    <row r="137" spans="2:45" x14ac:dyDescent="0.2">
      <c r="B137" s="4" t="s">
        <v>760</v>
      </c>
      <c r="C137" s="4">
        <v>18.683599999999998</v>
      </c>
      <c r="D137" s="4">
        <v>18.981200000000001</v>
      </c>
      <c r="E137" s="4">
        <v>18.615500000000001</v>
      </c>
      <c r="F137" s="4">
        <f t="shared" si="8"/>
        <v>18.760099999999998</v>
      </c>
      <c r="I137" s="4" t="s">
        <v>651</v>
      </c>
      <c r="J137" s="4">
        <v>18.900500000000001</v>
      </c>
      <c r="K137" s="4">
        <v>19.067499999999999</v>
      </c>
      <c r="L137" s="4">
        <v>18.381599999999999</v>
      </c>
      <c r="M137" s="4">
        <f t="shared" si="9"/>
        <v>18.783200000000001</v>
      </c>
      <c r="P137" s="4" t="str">
        <f>"K11H3.3"</f>
        <v>K11H3.3</v>
      </c>
      <c r="Q137" s="4">
        <v>18.561351153307001</v>
      </c>
      <c r="R137" s="4">
        <v>18.579733895358199</v>
      </c>
      <c r="S137" s="4">
        <v>18.682015803080901</v>
      </c>
      <c r="T137" s="4">
        <f t="shared" si="10"/>
        <v>18.607700283915367</v>
      </c>
      <c r="W137" s="4" t="str">
        <f>"rpl-27"</f>
        <v>rpl-27</v>
      </c>
      <c r="X137" s="4">
        <v>18.813859648304</v>
      </c>
      <c r="Y137" s="4">
        <v>18.8186070618633</v>
      </c>
      <c r="Z137" s="4">
        <v>18.666656905369301</v>
      </c>
      <c r="AA137" s="4">
        <f t="shared" si="11"/>
        <v>18.766374538512199</v>
      </c>
      <c r="AH137" s="28" t="s">
        <v>2219</v>
      </c>
      <c r="AJ137" s="4" t="s">
        <v>182</v>
      </c>
      <c r="AQ137" s="6"/>
      <c r="AR137" s="6"/>
      <c r="AS137" s="6"/>
    </row>
    <row r="138" spans="2:45" x14ac:dyDescent="0.2">
      <c r="B138" s="4" t="s">
        <v>3127</v>
      </c>
      <c r="C138" s="4">
        <v>18.890799999999999</v>
      </c>
      <c r="D138" s="4">
        <v>18.807500000000001</v>
      </c>
      <c r="E138" s="4">
        <v>18.515999999999998</v>
      </c>
      <c r="F138" s="4">
        <f t="shared" si="8"/>
        <v>18.738099999999999</v>
      </c>
      <c r="I138" s="4" t="s">
        <v>3176</v>
      </c>
      <c r="J138" s="4">
        <v>19.096599999999999</v>
      </c>
      <c r="K138" s="4">
        <v>18.467600000000001</v>
      </c>
      <c r="L138" s="4">
        <v>18.755199999999999</v>
      </c>
      <c r="M138" s="4">
        <f t="shared" si="9"/>
        <v>18.773133333333334</v>
      </c>
      <c r="P138" s="4" t="str">
        <f>"acp-6"</f>
        <v>acp-6</v>
      </c>
      <c r="Q138" s="4">
        <v>18.412144337451601</v>
      </c>
      <c r="R138" s="4">
        <v>18.749071674647301</v>
      </c>
      <c r="S138" s="4">
        <v>18.5716865642522</v>
      </c>
      <c r="T138" s="4">
        <f t="shared" si="10"/>
        <v>18.577634192117035</v>
      </c>
      <c r="W138" s="4" t="str">
        <f>"rpl-26"</f>
        <v>rpl-26</v>
      </c>
      <c r="X138" s="4">
        <v>18.789419470321501</v>
      </c>
      <c r="Y138" s="4">
        <v>18.840200907085599</v>
      </c>
      <c r="Z138" s="4">
        <v>18.5831851969191</v>
      </c>
      <c r="AA138" s="4">
        <f t="shared" si="11"/>
        <v>18.737601858108732</v>
      </c>
      <c r="AH138" s="28" t="s">
        <v>4711</v>
      </c>
      <c r="AJ138" s="4" t="s">
        <v>4301</v>
      </c>
      <c r="AQ138" s="6"/>
      <c r="AR138" s="6"/>
      <c r="AS138" s="6"/>
    </row>
    <row r="139" spans="2:45" x14ac:dyDescent="0.2">
      <c r="B139" s="4" t="s">
        <v>2224</v>
      </c>
      <c r="C139" s="4">
        <v>18.644500000000001</v>
      </c>
      <c r="D139" s="4">
        <v>18.497299999999999</v>
      </c>
      <c r="E139" s="4">
        <v>19.053000000000001</v>
      </c>
      <c r="F139" s="4">
        <f t="shared" si="8"/>
        <v>18.7316</v>
      </c>
      <c r="I139" s="4" t="s">
        <v>882</v>
      </c>
      <c r="J139" s="4">
        <v>19.000800000000002</v>
      </c>
      <c r="K139" s="4">
        <v>18.850300000000001</v>
      </c>
      <c r="L139" s="4">
        <v>18.458300000000001</v>
      </c>
      <c r="M139" s="4">
        <f t="shared" si="9"/>
        <v>18.7698</v>
      </c>
      <c r="P139" s="4" t="str">
        <f>"nnt-1"</f>
        <v>nnt-1</v>
      </c>
      <c r="Q139" s="4">
        <v>18.8730831959768</v>
      </c>
      <c r="R139" s="4">
        <v>18.256328068503102</v>
      </c>
      <c r="S139" s="4">
        <v>18.5320410205155</v>
      </c>
      <c r="T139" s="4">
        <f t="shared" si="10"/>
        <v>18.553817428331801</v>
      </c>
      <c r="W139" s="4" t="str">
        <f>"par-5"</f>
        <v>par-5</v>
      </c>
      <c r="X139" s="4">
        <v>19.170719176734899</v>
      </c>
      <c r="Y139" s="4">
        <v>18.466025644999299</v>
      </c>
      <c r="Z139" s="4">
        <v>18.507268167463501</v>
      </c>
      <c r="AA139" s="4">
        <f t="shared" si="11"/>
        <v>18.714670996399231</v>
      </c>
      <c r="AH139" s="28" t="s">
        <v>931</v>
      </c>
      <c r="AJ139" s="4" t="s">
        <v>1039</v>
      </c>
    </row>
    <row r="140" spans="2:45" x14ac:dyDescent="0.2">
      <c r="B140" s="4" t="s">
        <v>647</v>
      </c>
      <c r="C140" s="4">
        <v>18.546900000000001</v>
      </c>
      <c r="D140" s="4">
        <v>18.802700000000002</v>
      </c>
      <c r="E140" s="4">
        <v>18.834199999999999</v>
      </c>
      <c r="F140" s="4">
        <f t="shared" si="8"/>
        <v>18.727933333333336</v>
      </c>
      <c r="I140" s="4" t="s">
        <v>3843</v>
      </c>
      <c r="J140" s="4">
        <v>18.922999999999998</v>
      </c>
      <c r="K140" s="4">
        <v>18.6279</v>
      </c>
      <c r="L140" s="4">
        <v>18.7577</v>
      </c>
      <c r="M140" s="4">
        <f t="shared" si="9"/>
        <v>18.769533333333332</v>
      </c>
      <c r="P140" s="4" t="str">
        <f>"rpl-27"</f>
        <v>rpl-27</v>
      </c>
      <c r="Q140" s="4">
        <v>18.195355290983699</v>
      </c>
      <c r="R140" s="4">
        <v>18.6443692621833</v>
      </c>
      <c r="S140" s="4">
        <v>18.7600318030679</v>
      </c>
      <c r="T140" s="4">
        <f t="shared" si="10"/>
        <v>18.533252118744969</v>
      </c>
      <c r="W140" s="4" t="str">
        <f>"tba-2"</f>
        <v>tba-2</v>
      </c>
      <c r="X140" s="4">
        <v>18.616433019250501</v>
      </c>
      <c r="Y140" s="4">
        <v>18.892950060465399</v>
      </c>
      <c r="Z140" s="4">
        <v>18.6209824032101</v>
      </c>
      <c r="AA140" s="4">
        <f t="shared" si="11"/>
        <v>18.710121827642002</v>
      </c>
      <c r="AH140" s="28" t="s">
        <v>2405</v>
      </c>
      <c r="AJ140" s="4" t="s">
        <v>1031</v>
      </c>
      <c r="AQ140" s="6"/>
      <c r="AR140" s="6"/>
      <c r="AS140" s="6"/>
    </row>
    <row r="141" spans="2:45" x14ac:dyDescent="0.2">
      <c r="B141" s="4" t="s">
        <v>1488</v>
      </c>
      <c r="C141" s="4">
        <v>19.214400000000001</v>
      </c>
      <c r="D141" s="4">
        <v>18.291</v>
      </c>
      <c r="E141" s="4">
        <v>18.668600000000001</v>
      </c>
      <c r="F141" s="4">
        <f t="shared" si="8"/>
        <v>18.724666666666668</v>
      </c>
      <c r="I141" s="4" t="s">
        <v>3198</v>
      </c>
      <c r="J141" s="4">
        <v>18.740500000000001</v>
      </c>
      <c r="K141" s="4">
        <v>18.677800000000001</v>
      </c>
      <c r="L141" s="4">
        <v>18.875900000000001</v>
      </c>
      <c r="M141" s="4">
        <f t="shared" si="9"/>
        <v>18.764733333333336</v>
      </c>
      <c r="P141" s="4" t="str">
        <f>"cct-1"</f>
        <v>cct-1</v>
      </c>
      <c r="Q141" s="4">
        <v>18.390920551435901</v>
      </c>
      <c r="R141" s="4">
        <v>18.814068933640101</v>
      </c>
      <c r="S141" s="4">
        <v>18.387206623372499</v>
      </c>
      <c r="T141" s="4">
        <f t="shared" si="10"/>
        <v>18.530732036149498</v>
      </c>
      <c r="W141" s="4" t="str">
        <f>"ivd-1"</f>
        <v>ivd-1</v>
      </c>
      <c r="X141" s="4">
        <v>18.789457512537201</v>
      </c>
      <c r="Y141" s="4">
        <v>18.739958494363801</v>
      </c>
      <c r="Z141" s="4">
        <v>18.582632719579799</v>
      </c>
      <c r="AA141" s="4">
        <f t="shared" si="11"/>
        <v>18.704016242160268</v>
      </c>
      <c r="AH141" s="28" t="s">
        <v>146</v>
      </c>
      <c r="AJ141" s="4" t="s">
        <v>226</v>
      </c>
    </row>
    <row r="142" spans="2:45" x14ac:dyDescent="0.2">
      <c r="B142" s="4" t="s">
        <v>1223</v>
      </c>
      <c r="C142" s="4">
        <v>18.6754</v>
      </c>
      <c r="D142" s="4">
        <v>18.401700000000002</v>
      </c>
      <c r="E142" s="4">
        <v>19.027000000000001</v>
      </c>
      <c r="F142" s="4">
        <f t="shared" si="8"/>
        <v>18.701366666666669</v>
      </c>
      <c r="I142" s="4" t="s">
        <v>3086</v>
      </c>
      <c r="J142" s="4">
        <v>18.818300000000001</v>
      </c>
      <c r="K142" s="4">
        <v>18.963899999999999</v>
      </c>
      <c r="L142" s="4">
        <v>18.509699999999999</v>
      </c>
      <c r="M142" s="4">
        <f t="shared" si="9"/>
        <v>18.763966666666665</v>
      </c>
      <c r="P142" s="4" t="str">
        <f>"ech-1.2"</f>
        <v>ech-1.2</v>
      </c>
      <c r="Q142" s="4">
        <v>18.886830373536501</v>
      </c>
      <c r="R142" s="4">
        <v>18.205739202980102</v>
      </c>
      <c r="S142" s="4">
        <v>18.471062479651401</v>
      </c>
      <c r="T142" s="4">
        <f t="shared" si="10"/>
        <v>18.521210685389335</v>
      </c>
      <c r="W142" s="4" t="str">
        <f>"acdh-12"</f>
        <v>acdh-12</v>
      </c>
      <c r="X142" s="4">
        <v>18.542770444033099</v>
      </c>
      <c r="Y142" s="4">
        <v>18.610752287995901</v>
      </c>
      <c r="Z142" s="4">
        <v>18.868933991903901</v>
      </c>
      <c r="AA142" s="4">
        <f t="shared" si="11"/>
        <v>18.674152241310967</v>
      </c>
      <c r="AH142" s="28" t="s">
        <v>4660</v>
      </c>
      <c r="AJ142" s="4" t="s">
        <v>4174</v>
      </c>
      <c r="AQ142" s="6"/>
      <c r="AR142" s="6"/>
      <c r="AS142" s="6"/>
    </row>
    <row r="143" spans="2:45" x14ac:dyDescent="0.2">
      <c r="B143" s="4" t="s">
        <v>2458</v>
      </c>
      <c r="C143" s="4">
        <v>18.61</v>
      </c>
      <c r="D143" s="4">
        <v>18.3324</v>
      </c>
      <c r="E143" s="4">
        <v>19.1465</v>
      </c>
      <c r="F143" s="4">
        <f t="shared" si="8"/>
        <v>18.696299999999997</v>
      </c>
      <c r="I143" s="4" t="s">
        <v>1792</v>
      </c>
      <c r="J143" s="4">
        <v>18.5123</v>
      </c>
      <c r="K143" s="4">
        <v>18.430399999999999</v>
      </c>
      <c r="L143" s="4">
        <v>19.346299999999999</v>
      </c>
      <c r="M143" s="4">
        <f t="shared" si="9"/>
        <v>18.763000000000002</v>
      </c>
      <c r="P143" s="4" t="str">
        <f>"alh-3"</f>
        <v>alh-3</v>
      </c>
      <c r="Q143" s="4">
        <v>18.6938925112897</v>
      </c>
      <c r="R143" s="4">
        <v>18.421598182418698</v>
      </c>
      <c r="S143" s="4">
        <v>18.420710565466798</v>
      </c>
      <c r="T143" s="4">
        <f t="shared" si="10"/>
        <v>18.512067086391731</v>
      </c>
      <c r="W143" s="4" t="str">
        <f>"copg-1"</f>
        <v>copg-1</v>
      </c>
      <c r="X143" s="4">
        <v>18.528486655217701</v>
      </c>
      <c r="Y143" s="4">
        <v>18.787931721159399</v>
      </c>
      <c r="Z143" s="4">
        <v>18.697279196113499</v>
      </c>
      <c r="AA143" s="4">
        <f t="shared" si="11"/>
        <v>18.671232524163532</v>
      </c>
      <c r="AH143" s="28" t="s">
        <v>3466</v>
      </c>
      <c r="AJ143" s="4" t="s">
        <v>2349</v>
      </c>
      <c r="AQ143" s="6"/>
      <c r="AR143" s="6"/>
      <c r="AS143" s="6"/>
    </row>
    <row r="144" spans="2:45" x14ac:dyDescent="0.2">
      <c r="B144" s="4" t="s">
        <v>2344</v>
      </c>
      <c r="C144" s="4">
        <v>18.842700000000001</v>
      </c>
      <c r="D144" s="4">
        <v>18.437899999999999</v>
      </c>
      <c r="E144" s="4">
        <v>18.767499999999998</v>
      </c>
      <c r="F144" s="4">
        <f t="shared" si="8"/>
        <v>18.682700000000001</v>
      </c>
      <c r="I144" s="4" t="s">
        <v>1057</v>
      </c>
      <c r="J144" s="4">
        <v>18.970500000000001</v>
      </c>
      <c r="K144" s="4">
        <v>19.171299999999999</v>
      </c>
      <c r="L144" s="4">
        <v>18.118099999999998</v>
      </c>
      <c r="M144" s="4">
        <f t="shared" si="9"/>
        <v>18.753299999999999</v>
      </c>
      <c r="P144" s="4" t="str">
        <f>"acs-4"</f>
        <v>acs-4</v>
      </c>
      <c r="Q144" s="4">
        <v>18.5380437766668</v>
      </c>
      <c r="R144" s="4">
        <v>18.435797670557299</v>
      </c>
      <c r="S144" s="4">
        <v>18.547452847593998</v>
      </c>
      <c r="T144" s="4">
        <f t="shared" si="10"/>
        <v>18.507098098272703</v>
      </c>
      <c r="W144" s="4" t="str">
        <f>"cct-3"</f>
        <v>cct-3</v>
      </c>
      <c r="X144" s="4">
        <v>18.607112817436899</v>
      </c>
      <c r="Y144" s="4">
        <v>18.850547442973799</v>
      </c>
      <c r="Z144" s="4">
        <v>18.546260140086201</v>
      </c>
      <c r="AA144" s="4">
        <f t="shared" si="11"/>
        <v>18.667973466832297</v>
      </c>
      <c r="AH144" s="28" t="s">
        <v>1774</v>
      </c>
      <c r="AJ144" s="4" t="s">
        <v>3646</v>
      </c>
      <c r="AQ144" s="6"/>
      <c r="AR144" s="6"/>
      <c r="AS144" s="6"/>
    </row>
    <row r="145" spans="2:46" x14ac:dyDescent="0.2">
      <c r="B145" s="4" t="s">
        <v>2749</v>
      </c>
      <c r="C145" s="4">
        <v>18.482500000000002</v>
      </c>
      <c r="D145" s="4">
        <v>18.566700000000001</v>
      </c>
      <c r="E145" s="4">
        <v>18.965800000000002</v>
      </c>
      <c r="F145" s="4">
        <f t="shared" si="8"/>
        <v>18.671666666666667</v>
      </c>
      <c r="I145" s="4" t="s">
        <v>2598</v>
      </c>
      <c r="J145" s="4">
        <v>18.7682</v>
      </c>
      <c r="K145" s="4">
        <v>18.6615</v>
      </c>
      <c r="L145" s="4">
        <v>18.780899999999999</v>
      </c>
      <c r="M145" s="4">
        <f t="shared" si="9"/>
        <v>18.736866666666668</v>
      </c>
      <c r="P145" s="4" t="str">
        <f>"nduf-9"</f>
        <v>nduf-9</v>
      </c>
      <c r="Q145" s="4">
        <v>18.859024305811602</v>
      </c>
      <c r="R145" s="4">
        <v>18.257122715627499</v>
      </c>
      <c r="S145" s="4">
        <v>18.392430684027801</v>
      </c>
      <c r="T145" s="4">
        <f t="shared" si="10"/>
        <v>18.502859235155636</v>
      </c>
      <c r="W145" s="4" t="str">
        <f>"C05C10.3"</f>
        <v>C05C10.3</v>
      </c>
      <c r="X145" s="4">
        <v>18.536109746070199</v>
      </c>
      <c r="Y145" s="4">
        <v>18.685489998065901</v>
      </c>
      <c r="Z145" s="4">
        <v>18.778695458030601</v>
      </c>
      <c r="AA145" s="4">
        <f t="shared" si="11"/>
        <v>18.666765067388898</v>
      </c>
      <c r="AH145" s="28" t="s">
        <v>160</v>
      </c>
      <c r="AJ145" s="4" t="s">
        <v>238</v>
      </c>
      <c r="AQ145" s="6"/>
      <c r="AR145" s="6"/>
      <c r="AS145" s="6"/>
    </row>
    <row r="146" spans="2:46" x14ac:dyDescent="0.2">
      <c r="B146" s="4" t="s">
        <v>600</v>
      </c>
      <c r="C146" s="4">
        <v>18.081199999999999</v>
      </c>
      <c r="D146" s="4">
        <v>18.5959</v>
      </c>
      <c r="E146" s="4">
        <v>19.302</v>
      </c>
      <c r="F146" s="4">
        <f t="shared" si="8"/>
        <v>18.659699999999997</v>
      </c>
      <c r="I146" s="4" t="s">
        <v>1546</v>
      </c>
      <c r="J146" s="4">
        <v>18.8858</v>
      </c>
      <c r="K146" s="4">
        <v>18.954499999999999</v>
      </c>
      <c r="L146" s="4">
        <v>18.279599999999999</v>
      </c>
      <c r="M146" s="4">
        <f t="shared" si="9"/>
        <v>18.706633333333333</v>
      </c>
      <c r="P146" s="4" t="str">
        <f>"copa-1"</f>
        <v>copa-1</v>
      </c>
      <c r="Q146" s="4">
        <v>18.497277551544801</v>
      </c>
      <c r="R146" s="4">
        <v>18.494986327590301</v>
      </c>
      <c r="S146" s="4">
        <v>18.503470493803199</v>
      </c>
      <c r="T146" s="4">
        <f t="shared" si="10"/>
        <v>18.498578124312768</v>
      </c>
      <c r="W146" s="4" t="str">
        <f>"rps-6"</f>
        <v>rps-6</v>
      </c>
      <c r="X146" s="4">
        <v>18.5007842964947</v>
      </c>
      <c r="Y146" s="4">
        <v>18.738235475397499</v>
      </c>
      <c r="Z146" s="4">
        <v>18.734540828950799</v>
      </c>
      <c r="AA146" s="4">
        <f t="shared" si="11"/>
        <v>18.657853533614333</v>
      </c>
      <c r="AH146" s="28" t="s">
        <v>3567</v>
      </c>
      <c r="AJ146" s="4" t="s">
        <v>3250</v>
      </c>
      <c r="AQ146" s="6"/>
      <c r="AR146" s="6"/>
      <c r="AS146" s="6"/>
    </row>
    <row r="147" spans="2:46" x14ac:dyDescent="0.2">
      <c r="B147" s="4" t="s">
        <v>3222</v>
      </c>
      <c r="C147" s="4">
        <v>18.664300000000001</v>
      </c>
      <c r="D147" s="4">
        <v>17.918600000000001</v>
      </c>
      <c r="E147" s="4">
        <v>19.234100000000002</v>
      </c>
      <c r="F147" s="4">
        <f t="shared" si="8"/>
        <v>18.605666666666668</v>
      </c>
      <c r="I147" s="4" t="s">
        <v>1425</v>
      </c>
      <c r="J147" s="4">
        <v>18.686399999999999</v>
      </c>
      <c r="K147" s="4">
        <v>18.159500000000001</v>
      </c>
      <c r="L147" s="4">
        <v>19.253399999999999</v>
      </c>
      <c r="M147" s="4">
        <f t="shared" si="9"/>
        <v>18.699766666666665</v>
      </c>
      <c r="P147" s="4" t="str">
        <f>"ogdh-1"</f>
        <v>ogdh-1</v>
      </c>
      <c r="Q147" s="4">
        <v>19.119804342174898</v>
      </c>
      <c r="R147" s="4">
        <v>18.1136546549989</v>
      </c>
      <c r="S147" s="4">
        <v>18.254243443003102</v>
      </c>
      <c r="T147" s="4">
        <f t="shared" si="10"/>
        <v>18.4959008133923</v>
      </c>
      <c r="W147" s="4" t="str">
        <f>"ola-1"</f>
        <v>ola-1</v>
      </c>
      <c r="X147" s="4">
        <v>18.672111809650101</v>
      </c>
      <c r="Y147" s="4">
        <v>18.712017864794099</v>
      </c>
      <c r="Z147" s="4">
        <v>18.588433726730401</v>
      </c>
      <c r="AA147" s="4">
        <f t="shared" si="11"/>
        <v>18.657521133724867</v>
      </c>
      <c r="AH147" s="28" t="s">
        <v>4834</v>
      </c>
      <c r="AJ147" s="4" t="s">
        <v>1185</v>
      </c>
      <c r="AQ147" s="6"/>
      <c r="AR147" s="6"/>
      <c r="AS147" s="6"/>
    </row>
    <row r="148" spans="2:46" x14ac:dyDescent="0.2">
      <c r="B148" s="4" t="s">
        <v>1377</v>
      </c>
      <c r="C148" s="4">
        <v>18.4847</v>
      </c>
      <c r="D148" s="4">
        <v>18.390999999999998</v>
      </c>
      <c r="E148" s="4">
        <v>18.891400000000001</v>
      </c>
      <c r="F148" s="4">
        <f t="shared" si="8"/>
        <v>18.589033333333333</v>
      </c>
      <c r="I148" s="4" t="s">
        <v>600</v>
      </c>
      <c r="J148" s="4">
        <v>18.684000000000001</v>
      </c>
      <c r="K148" s="4">
        <v>18.984100000000002</v>
      </c>
      <c r="L148" s="4">
        <v>18.313800000000001</v>
      </c>
      <c r="M148" s="4">
        <f t="shared" si="9"/>
        <v>18.660633333333333</v>
      </c>
      <c r="P148" s="4" t="str">
        <f>"ucr-11"</f>
        <v>ucr-11</v>
      </c>
      <c r="Q148" s="4">
        <v>18.612974323239701</v>
      </c>
      <c r="R148" s="4">
        <v>18.4407662435143</v>
      </c>
      <c r="S148" s="4">
        <v>18.431616930142301</v>
      </c>
      <c r="T148" s="4">
        <f t="shared" si="10"/>
        <v>18.495119165632101</v>
      </c>
      <c r="W148" s="4" t="str">
        <f>"ifb-2"</f>
        <v>ifb-2</v>
      </c>
      <c r="X148" s="4">
        <v>17.982475082779501</v>
      </c>
      <c r="Y148" s="4">
        <v>18.737172426959599</v>
      </c>
      <c r="Z148" s="4">
        <v>19.2074813812984</v>
      </c>
      <c r="AA148" s="4">
        <f t="shared" si="11"/>
        <v>18.6423762970125</v>
      </c>
      <c r="AH148" s="28" t="s">
        <v>4640</v>
      </c>
      <c r="AJ148" s="4" t="s">
        <v>4230</v>
      </c>
      <c r="AQ148" s="6"/>
      <c r="AR148" s="6"/>
      <c r="AS148" s="6"/>
    </row>
    <row r="149" spans="2:46" x14ac:dyDescent="0.2">
      <c r="B149" s="4" t="s">
        <v>2278</v>
      </c>
      <c r="C149" s="4">
        <v>18.1858</v>
      </c>
      <c r="D149" s="4">
        <v>18.434100000000001</v>
      </c>
      <c r="E149" s="4">
        <v>19.145600000000002</v>
      </c>
      <c r="F149" s="4">
        <f t="shared" si="8"/>
        <v>18.5885</v>
      </c>
      <c r="I149" s="4" t="s">
        <v>2367</v>
      </c>
      <c r="J149" s="4">
        <v>19.060400000000001</v>
      </c>
      <c r="K149" s="4">
        <v>18.720199999999998</v>
      </c>
      <c r="L149" s="4">
        <v>18.125299999999999</v>
      </c>
      <c r="M149" s="4">
        <f t="shared" si="9"/>
        <v>18.635300000000001</v>
      </c>
      <c r="P149" s="4" t="str">
        <f>"fasn-1"</f>
        <v>fasn-1</v>
      </c>
      <c r="Q149" s="4">
        <v>18.5159322802009</v>
      </c>
      <c r="R149" s="4">
        <v>18.473395985897099</v>
      </c>
      <c r="S149" s="4">
        <v>18.469629045857999</v>
      </c>
      <c r="T149" s="4">
        <f t="shared" si="10"/>
        <v>18.486319103985334</v>
      </c>
      <c r="W149" s="4" t="str">
        <f>"rps-5"</f>
        <v>rps-5</v>
      </c>
      <c r="X149" s="4">
        <v>18.561827335537998</v>
      </c>
      <c r="Y149" s="4">
        <v>18.697922926076501</v>
      </c>
      <c r="Z149" s="4">
        <v>18.660421200900998</v>
      </c>
      <c r="AA149" s="4">
        <f t="shared" si="11"/>
        <v>18.640057154171831</v>
      </c>
      <c r="AH149" s="28" t="s">
        <v>2962</v>
      </c>
      <c r="AJ149" s="4" t="s">
        <v>4583</v>
      </c>
      <c r="AQ149" s="6"/>
      <c r="AR149" s="6"/>
      <c r="AS149" s="6"/>
    </row>
    <row r="150" spans="2:46" x14ac:dyDescent="0.2">
      <c r="B150" s="4" t="s">
        <v>2412</v>
      </c>
      <c r="C150" s="4">
        <v>18.358499999999999</v>
      </c>
      <c r="D150" s="4">
        <v>18.321000000000002</v>
      </c>
      <c r="E150" s="4">
        <v>19.077000000000002</v>
      </c>
      <c r="F150" s="4">
        <f t="shared" si="8"/>
        <v>18.5855</v>
      </c>
      <c r="I150" s="4" t="s">
        <v>3127</v>
      </c>
      <c r="J150" s="4">
        <v>18.7318</v>
      </c>
      <c r="K150" s="4">
        <v>18.8553</v>
      </c>
      <c r="L150" s="4">
        <v>18.277200000000001</v>
      </c>
      <c r="M150" s="4">
        <f t="shared" si="9"/>
        <v>18.621433333333332</v>
      </c>
      <c r="P150" s="4" t="str">
        <f>"cgh-1"</f>
        <v>cgh-1</v>
      </c>
      <c r="Q150" s="4">
        <v>18.320490041013102</v>
      </c>
      <c r="R150" s="4">
        <v>18.4137279210575</v>
      </c>
      <c r="S150" s="4">
        <v>18.6229928459585</v>
      </c>
      <c r="T150" s="4">
        <f t="shared" si="10"/>
        <v>18.452403602676366</v>
      </c>
      <c r="W150" s="4" t="str">
        <f>"pab-1"</f>
        <v>pab-1</v>
      </c>
      <c r="X150" s="4">
        <v>18.653251974130601</v>
      </c>
      <c r="Y150" s="4">
        <v>18.745653714838099</v>
      </c>
      <c r="Z150" s="4">
        <v>18.504564916493599</v>
      </c>
      <c r="AA150" s="4">
        <f t="shared" si="11"/>
        <v>18.634490201820764</v>
      </c>
      <c r="AH150" s="28" t="s">
        <v>4750</v>
      </c>
      <c r="AJ150" s="4" t="s">
        <v>83</v>
      </c>
      <c r="AQ150" s="6"/>
      <c r="AR150" s="6"/>
      <c r="AS150" s="6"/>
    </row>
    <row r="151" spans="2:46" x14ac:dyDescent="0.2">
      <c r="B151" s="4" t="s">
        <v>734</v>
      </c>
      <c r="C151" s="4">
        <v>18.469100000000001</v>
      </c>
      <c r="D151" s="4">
        <v>18.826599999999999</v>
      </c>
      <c r="E151" s="4">
        <v>18.437899999999999</v>
      </c>
      <c r="F151" s="4">
        <f t="shared" si="8"/>
        <v>18.577866666666665</v>
      </c>
      <c r="I151" s="4" t="s">
        <v>1702</v>
      </c>
      <c r="J151" s="4">
        <v>18.4543</v>
      </c>
      <c r="K151" s="4">
        <v>18.468800000000002</v>
      </c>
      <c r="L151" s="4">
        <v>18.8733</v>
      </c>
      <c r="M151" s="4">
        <f t="shared" si="9"/>
        <v>18.598800000000001</v>
      </c>
      <c r="P151" s="4" t="str">
        <f>"idha-1"</f>
        <v>idha-1</v>
      </c>
      <c r="Q151" s="4">
        <v>18.715527680600701</v>
      </c>
      <c r="R151" s="4">
        <v>18.249015809979898</v>
      </c>
      <c r="S151" s="4">
        <v>18.374392267448201</v>
      </c>
      <c r="T151" s="4">
        <f t="shared" si="10"/>
        <v>18.446311919342932</v>
      </c>
      <c r="W151" s="4" t="str">
        <f>"rpt-2"</f>
        <v>rpt-2</v>
      </c>
      <c r="X151" s="4">
        <v>18.540290667842001</v>
      </c>
      <c r="Y151" s="4">
        <v>18.7310805314006</v>
      </c>
      <c r="Z151" s="4">
        <v>18.620419345038702</v>
      </c>
      <c r="AA151" s="4">
        <f t="shared" si="11"/>
        <v>18.63059684809377</v>
      </c>
      <c r="AH151" s="28" t="s">
        <v>4744</v>
      </c>
      <c r="AJ151" s="4" t="s">
        <v>1279</v>
      </c>
    </row>
    <row r="152" spans="2:46" x14ac:dyDescent="0.2">
      <c r="B152" s="4" t="s">
        <v>2282</v>
      </c>
      <c r="C152" s="4">
        <v>18.278700000000001</v>
      </c>
      <c r="D152" s="4">
        <v>18.438700000000001</v>
      </c>
      <c r="E152" s="4">
        <v>18.8931</v>
      </c>
      <c r="F152" s="4">
        <f t="shared" si="8"/>
        <v>18.536833333333334</v>
      </c>
      <c r="I152" s="4" t="s">
        <v>2412</v>
      </c>
      <c r="J152" s="4">
        <v>18.459399999999999</v>
      </c>
      <c r="K152" s="4">
        <v>18.9146</v>
      </c>
      <c r="L152" s="4">
        <v>18.4041</v>
      </c>
      <c r="M152" s="4">
        <f t="shared" si="9"/>
        <v>18.592699999999997</v>
      </c>
      <c r="P152" s="4" t="str">
        <f>"rsp-2"</f>
        <v>rsp-2</v>
      </c>
      <c r="Q152" s="4">
        <v>18.604728839446501</v>
      </c>
      <c r="R152" s="4">
        <v>18.319070711150498</v>
      </c>
      <c r="S152" s="4">
        <v>18.404331008289699</v>
      </c>
      <c r="T152" s="4">
        <f t="shared" si="10"/>
        <v>18.442710186295567</v>
      </c>
      <c r="W152" s="4" t="str">
        <f>"hel-1"</f>
        <v>hel-1</v>
      </c>
      <c r="X152" s="4">
        <v>18.6582238640604</v>
      </c>
      <c r="Y152" s="4">
        <v>18.685575115743699</v>
      </c>
      <c r="Z152" s="4">
        <v>18.546634198469601</v>
      </c>
      <c r="AA152" s="4">
        <f t="shared" si="11"/>
        <v>18.630144392757899</v>
      </c>
      <c r="AH152" s="28" t="s">
        <v>4266</v>
      </c>
      <c r="AJ152" s="4" t="s">
        <v>863</v>
      </c>
      <c r="AQ152" s="6"/>
      <c r="AR152" s="6"/>
      <c r="AS152" s="6"/>
    </row>
    <row r="153" spans="2:46" x14ac:dyDescent="0.2">
      <c r="B153" s="4" t="s">
        <v>3061</v>
      </c>
      <c r="C153" s="4">
        <v>18.663</v>
      </c>
      <c r="D153" s="4">
        <v>18.427399999999999</v>
      </c>
      <c r="E153" s="4">
        <v>18.493400000000001</v>
      </c>
      <c r="F153" s="4">
        <f t="shared" si="8"/>
        <v>18.527933333333333</v>
      </c>
      <c r="I153" s="4" t="s">
        <v>3208</v>
      </c>
      <c r="J153" s="4">
        <v>18.694900000000001</v>
      </c>
      <c r="K153" s="4">
        <v>18.182600000000001</v>
      </c>
      <c r="L153" s="4">
        <v>18.843299999999999</v>
      </c>
      <c r="M153" s="4">
        <f t="shared" si="9"/>
        <v>18.573599999999999</v>
      </c>
      <c r="P153" s="4" t="str">
        <f>"kin-2"</f>
        <v>kin-2</v>
      </c>
      <c r="Q153" s="4">
        <v>18.5660568934086</v>
      </c>
      <c r="R153" s="4">
        <v>18.284916847104501</v>
      </c>
      <c r="S153" s="4">
        <v>18.4134354271043</v>
      </c>
      <c r="T153" s="4">
        <f t="shared" si="10"/>
        <v>18.421469722539133</v>
      </c>
      <c r="W153" s="4" t="str">
        <f>"rpl-39"</f>
        <v>rpl-39</v>
      </c>
      <c r="X153" s="4">
        <v>18.555382694027099</v>
      </c>
      <c r="Y153" s="4">
        <v>18.4895349260774</v>
      </c>
      <c r="Z153" s="4">
        <v>18.821491968337899</v>
      </c>
      <c r="AA153" s="4">
        <f t="shared" si="11"/>
        <v>18.622136529480798</v>
      </c>
      <c r="AH153" s="28" t="s">
        <v>2611</v>
      </c>
      <c r="AJ153" s="4" t="s">
        <v>3912</v>
      </c>
      <c r="AQ153" s="6"/>
      <c r="AR153" s="6"/>
      <c r="AS153" s="6"/>
    </row>
    <row r="154" spans="2:46" x14ac:dyDescent="0.2">
      <c r="B154" s="4" t="s">
        <v>1247</v>
      </c>
      <c r="C154" s="4">
        <v>18.260300000000001</v>
      </c>
      <c r="D154" s="4">
        <v>18.5777</v>
      </c>
      <c r="E154" s="4">
        <v>18.646799999999999</v>
      </c>
      <c r="F154" s="4">
        <f t="shared" si="8"/>
        <v>18.494933333333332</v>
      </c>
      <c r="I154" s="4" t="s">
        <v>73</v>
      </c>
      <c r="J154" s="4">
        <v>18.659500000000001</v>
      </c>
      <c r="K154" s="4">
        <v>18.773099999999999</v>
      </c>
      <c r="L154" s="4">
        <v>18.227799999999998</v>
      </c>
      <c r="M154" s="4">
        <f t="shared" si="9"/>
        <v>18.553466666666665</v>
      </c>
      <c r="P154" s="4" t="str">
        <f>"pck-2"</f>
        <v>pck-2</v>
      </c>
      <c r="Q154" s="4">
        <v>18.680198258072799</v>
      </c>
      <c r="R154" s="4">
        <v>18.279464650459602</v>
      </c>
      <c r="S154" s="4">
        <v>18.252047486283701</v>
      </c>
      <c r="T154" s="4">
        <f t="shared" si="10"/>
        <v>18.403903464938701</v>
      </c>
      <c r="W154" s="4" t="str">
        <f>"glh-1"</f>
        <v>glh-1</v>
      </c>
      <c r="X154" s="4">
        <v>18.724118125591701</v>
      </c>
      <c r="Y154" s="4">
        <v>18.625071832593601</v>
      </c>
      <c r="Z154" s="4">
        <v>18.467829464024302</v>
      </c>
      <c r="AA154" s="4">
        <f t="shared" si="11"/>
        <v>18.605673140736538</v>
      </c>
      <c r="AH154" s="28" t="s">
        <v>3030</v>
      </c>
      <c r="AJ154" s="4" t="s">
        <v>1869</v>
      </c>
      <c r="AQ154" s="6"/>
      <c r="AR154" s="6"/>
      <c r="AS154" s="6"/>
    </row>
    <row r="155" spans="2:46" x14ac:dyDescent="0.2">
      <c r="B155" s="4" t="s">
        <v>2598</v>
      </c>
      <c r="C155" s="4">
        <v>18.266200000000001</v>
      </c>
      <c r="D155" s="4">
        <v>17.9678</v>
      </c>
      <c r="E155" s="4">
        <v>19.145099999999999</v>
      </c>
      <c r="F155" s="4">
        <f t="shared" si="8"/>
        <v>18.459700000000002</v>
      </c>
      <c r="I155" s="4" t="s">
        <v>3061</v>
      </c>
      <c r="J155" s="4">
        <v>18.641999999999999</v>
      </c>
      <c r="K155" s="4">
        <v>18.697199999999999</v>
      </c>
      <c r="L155" s="4">
        <v>18.250599999999999</v>
      </c>
      <c r="M155" s="4">
        <f t="shared" si="9"/>
        <v>18.529933333333332</v>
      </c>
      <c r="P155" s="4" t="str">
        <f>"idhb-1"</f>
        <v>idhb-1</v>
      </c>
      <c r="Q155" s="4">
        <v>18.581173265109701</v>
      </c>
      <c r="R155" s="4">
        <v>18.234602503395699</v>
      </c>
      <c r="S155" s="4">
        <v>18.382819265599402</v>
      </c>
      <c r="T155" s="4">
        <f t="shared" si="10"/>
        <v>18.399531678034936</v>
      </c>
      <c r="W155" s="4" t="str">
        <f>"gcn-1"</f>
        <v>gcn-1</v>
      </c>
      <c r="X155" s="4">
        <v>18.501649709923701</v>
      </c>
      <c r="Y155" s="4">
        <v>18.685655026412199</v>
      </c>
      <c r="Z155" s="4">
        <v>18.528247074989402</v>
      </c>
      <c r="AA155" s="4">
        <f t="shared" si="11"/>
        <v>18.571850603775101</v>
      </c>
      <c r="AH155" s="28" t="s">
        <v>2039</v>
      </c>
      <c r="AJ155" s="4" t="s">
        <v>4115</v>
      </c>
      <c r="AQ155" s="6"/>
      <c r="AR155" s="6"/>
      <c r="AS155" s="6"/>
    </row>
    <row r="156" spans="2:46" x14ac:dyDescent="0.2">
      <c r="B156" s="4" t="s">
        <v>2844</v>
      </c>
      <c r="C156" s="4">
        <v>18.475000000000001</v>
      </c>
      <c r="D156" s="4">
        <v>18.4848</v>
      </c>
      <c r="E156" s="4">
        <v>18.3444</v>
      </c>
      <c r="F156" s="4">
        <f t="shared" si="8"/>
        <v>18.434733333333334</v>
      </c>
      <c r="I156" s="4" t="s">
        <v>1223</v>
      </c>
      <c r="J156" s="4">
        <v>18.627300000000002</v>
      </c>
      <c r="K156" s="4">
        <v>18.561699999999998</v>
      </c>
      <c r="L156" s="4">
        <v>18.2761</v>
      </c>
      <c r="M156" s="4">
        <f t="shared" si="9"/>
        <v>18.488366666666668</v>
      </c>
      <c r="P156" s="4" t="str">
        <f>"acdh-12"</f>
        <v>acdh-12</v>
      </c>
      <c r="Q156" s="4">
        <v>18.557862697243699</v>
      </c>
      <c r="R156" s="4">
        <v>18.2624917687282</v>
      </c>
      <c r="S156" s="4">
        <v>18.360602354832199</v>
      </c>
      <c r="T156" s="4">
        <f t="shared" si="10"/>
        <v>18.393652273601365</v>
      </c>
      <c r="W156" s="4" t="str">
        <f>"acdh-7"</f>
        <v>acdh-7</v>
      </c>
      <c r="X156" s="4">
        <v>18.605335694630799</v>
      </c>
      <c r="Y156" s="4">
        <v>18.5371544388709</v>
      </c>
      <c r="Z156" s="4">
        <v>18.5176603487687</v>
      </c>
      <c r="AA156" s="4">
        <f t="shared" si="11"/>
        <v>18.553383494090131</v>
      </c>
      <c r="AH156" s="28" t="s">
        <v>1455</v>
      </c>
      <c r="AJ156" s="4" t="s">
        <v>865</v>
      </c>
      <c r="AQ156" s="6"/>
      <c r="AR156" s="6"/>
      <c r="AS156" s="6"/>
    </row>
    <row r="157" spans="2:46" x14ac:dyDescent="0.2">
      <c r="B157" s="4" t="s">
        <v>3198</v>
      </c>
      <c r="C157" s="4">
        <v>18.432400000000001</v>
      </c>
      <c r="D157" s="4">
        <v>18.2453</v>
      </c>
      <c r="E157" s="4">
        <v>18.616199999999999</v>
      </c>
      <c r="F157" s="4">
        <f t="shared" si="8"/>
        <v>18.4313</v>
      </c>
      <c r="I157" s="4" t="s">
        <v>3222</v>
      </c>
      <c r="J157" s="4">
        <v>18.865600000000001</v>
      </c>
      <c r="K157" s="4">
        <v>18.742699999999999</v>
      </c>
      <c r="L157" s="4">
        <v>17.842199999999998</v>
      </c>
      <c r="M157" s="4">
        <f t="shared" si="9"/>
        <v>18.483499999999999</v>
      </c>
      <c r="P157" s="4" t="str">
        <f>"rpt-3"</f>
        <v>rpt-3</v>
      </c>
      <c r="Q157" s="4">
        <v>18.576441928727899</v>
      </c>
      <c r="R157" s="4">
        <v>18.2905468033047</v>
      </c>
      <c r="S157" s="4">
        <v>18.3136664223609</v>
      </c>
      <c r="T157" s="4">
        <f t="shared" si="10"/>
        <v>18.393551718131164</v>
      </c>
      <c r="W157" s="4" t="str">
        <f>"pfk-1.1"</f>
        <v>pfk-1.1</v>
      </c>
      <c r="X157" s="4">
        <v>18.4276482362663</v>
      </c>
      <c r="Y157" s="4">
        <v>18.577365822274601</v>
      </c>
      <c r="Z157" s="4">
        <v>18.554554368279199</v>
      </c>
      <c r="AA157" s="4">
        <f t="shared" si="11"/>
        <v>18.519856142273365</v>
      </c>
      <c r="AH157" s="28" t="s">
        <v>471</v>
      </c>
      <c r="AJ157" s="4" t="s">
        <v>4098</v>
      </c>
      <c r="AQ157" s="6"/>
      <c r="AR157" s="6"/>
      <c r="AS157" s="6"/>
      <c r="AT157" s="6"/>
    </row>
    <row r="158" spans="2:46" x14ac:dyDescent="0.2">
      <c r="B158" s="4" t="s">
        <v>1826</v>
      </c>
      <c r="C158" s="4">
        <v>18.2592</v>
      </c>
      <c r="D158" s="4">
        <v>18.743500000000001</v>
      </c>
      <c r="E158" s="4">
        <v>18.267499999999998</v>
      </c>
      <c r="F158" s="4">
        <f t="shared" si="8"/>
        <v>18.423400000000001</v>
      </c>
      <c r="I158" s="4" t="s">
        <v>241</v>
      </c>
      <c r="J158" s="4">
        <v>18.6754</v>
      </c>
      <c r="K158" s="4">
        <v>19.145</v>
      </c>
      <c r="L158" s="4">
        <v>17.627700000000001</v>
      </c>
      <c r="M158" s="4">
        <f t="shared" si="9"/>
        <v>18.482699999999998</v>
      </c>
      <c r="P158" s="4" t="str">
        <f>"R53.4"</f>
        <v>R53.4</v>
      </c>
      <c r="Q158" s="4">
        <v>18.432909769660199</v>
      </c>
      <c r="R158" s="4">
        <v>18.2456653741963</v>
      </c>
      <c r="S158" s="4">
        <v>18.4769822100921</v>
      </c>
      <c r="T158" s="4">
        <f t="shared" si="10"/>
        <v>18.385185784649533</v>
      </c>
      <c r="W158" s="4" t="str">
        <f>"idhb-1"</f>
        <v>idhb-1</v>
      </c>
      <c r="X158" s="4">
        <v>18.431803786348802</v>
      </c>
      <c r="Y158" s="4">
        <v>18.5479843253406</v>
      </c>
      <c r="Z158" s="4">
        <v>18.5362020830425</v>
      </c>
      <c r="AA158" s="4">
        <f t="shared" si="11"/>
        <v>18.505330064910634</v>
      </c>
      <c r="AH158" s="28" t="s">
        <v>4731</v>
      </c>
      <c r="AJ158" s="4" t="s">
        <v>3057</v>
      </c>
      <c r="AT158" s="6"/>
    </row>
    <row r="159" spans="2:46" x14ac:dyDescent="0.2">
      <c r="B159" s="4" t="s">
        <v>2788</v>
      </c>
      <c r="C159" s="4">
        <v>18.322700000000001</v>
      </c>
      <c r="D159" s="4">
        <v>18.2029</v>
      </c>
      <c r="E159" s="4">
        <v>18.7178</v>
      </c>
      <c r="F159" s="4">
        <f t="shared" si="8"/>
        <v>18.414466666666666</v>
      </c>
      <c r="I159" s="4" t="s">
        <v>2278</v>
      </c>
      <c r="J159" s="4">
        <v>18.6555</v>
      </c>
      <c r="K159" s="4">
        <v>18.387899999999998</v>
      </c>
      <c r="L159" s="4">
        <v>18.350999999999999</v>
      </c>
      <c r="M159" s="4">
        <f t="shared" si="9"/>
        <v>18.4648</v>
      </c>
      <c r="P159" s="4" t="str">
        <f>"cct-3"</f>
        <v>cct-3</v>
      </c>
      <c r="Q159" s="4">
        <v>18.134932059937299</v>
      </c>
      <c r="R159" s="4">
        <v>18.620571264164798</v>
      </c>
      <c r="S159" s="4">
        <v>18.387371385155198</v>
      </c>
      <c r="T159" s="4">
        <f t="shared" si="10"/>
        <v>18.380958236419097</v>
      </c>
      <c r="W159" s="4" t="str">
        <f>"fars-3"</f>
        <v>fars-3</v>
      </c>
      <c r="X159" s="4">
        <v>18.512478313333698</v>
      </c>
      <c r="Y159" s="4">
        <v>18.6596125427711</v>
      </c>
      <c r="Z159" s="4">
        <v>18.3216703699958</v>
      </c>
      <c r="AA159" s="4">
        <f t="shared" si="11"/>
        <v>18.4979204087002</v>
      </c>
      <c r="AH159" s="28" t="s">
        <v>4643</v>
      </c>
      <c r="AJ159" s="4" t="s">
        <v>1343</v>
      </c>
      <c r="AQ159" s="6"/>
      <c r="AR159" s="6"/>
      <c r="AS159" s="6"/>
      <c r="AT159" s="6"/>
    </row>
    <row r="160" spans="2:46" x14ac:dyDescent="0.2">
      <c r="B160" s="4" t="s">
        <v>3491</v>
      </c>
      <c r="C160" s="4">
        <v>18.571100000000001</v>
      </c>
      <c r="D160" s="4">
        <v>18.162700000000001</v>
      </c>
      <c r="E160" s="4">
        <v>18.444500000000001</v>
      </c>
      <c r="F160" s="4">
        <f t="shared" si="8"/>
        <v>18.39276666666667</v>
      </c>
      <c r="I160" s="4" t="s">
        <v>760</v>
      </c>
      <c r="J160" s="4">
        <v>18.579999999999998</v>
      </c>
      <c r="K160" s="4">
        <v>18.186399999999999</v>
      </c>
      <c r="L160" s="4">
        <v>18.622299999999999</v>
      </c>
      <c r="M160" s="4">
        <f t="shared" si="9"/>
        <v>18.462900000000001</v>
      </c>
      <c r="P160" s="4" t="str">
        <f>"rpl-36.A"</f>
        <v>rpl-36.A</v>
      </c>
      <c r="Q160" s="4">
        <v>18.4297342883143</v>
      </c>
      <c r="R160" s="4">
        <v>18.4087154021069</v>
      </c>
      <c r="S160" s="4">
        <v>18.298933026059601</v>
      </c>
      <c r="T160" s="4">
        <f t="shared" si="10"/>
        <v>18.379127572160268</v>
      </c>
      <c r="W160" s="4" t="str">
        <f>"tba-9"</f>
        <v>tba-9</v>
      </c>
      <c r="X160" s="4">
        <v>18.5884998668073</v>
      </c>
      <c r="Y160" s="4">
        <v>18.3526361922281</v>
      </c>
      <c r="Z160" s="4">
        <v>18.547855987334799</v>
      </c>
      <c r="AA160" s="4">
        <f t="shared" si="11"/>
        <v>18.4963306821234</v>
      </c>
      <c r="AH160" s="28" t="s">
        <v>1965</v>
      </c>
      <c r="AJ160" s="4" t="s">
        <v>1505</v>
      </c>
      <c r="AT160" s="6"/>
    </row>
    <row r="161" spans="2:46" x14ac:dyDescent="0.2">
      <c r="B161" s="4" t="s">
        <v>3769</v>
      </c>
      <c r="C161" s="4">
        <v>18.399000000000001</v>
      </c>
      <c r="D161" s="4">
        <v>18.089300000000001</v>
      </c>
      <c r="E161" s="4">
        <v>18.6435</v>
      </c>
      <c r="F161" s="4">
        <f t="shared" si="8"/>
        <v>18.377266666666667</v>
      </c>
      <c r="I161" s="4" t="s">
        <v>2404</v>
      </c>
      <c r="J161" s="4">
        <v>18.627300000000002</v>
      </c>
      <c r="K161" s="4">
        <v>18.466899999999999</v>
      </c>
      <c r="L161" s="4">
        <v>18.237300000000001</v>
      </c>
      <c r="M161" s="4">
        <f t="shared" si="9"/>
        <v>18.443833333333334</v>
      </c>
      <c r="P161" s="4" t="str">
        <f>"nog-1"</f>
        <v>nog-1</v>
      </c>
      <c r="Q161" s="4">
        <v>18.527178079303201</v>
      </c>
      <c r="R161" s="4">
        <v>18.384455964091998</v>
      </c>
      <c r="S161" s="4">
        <v>18.2004376000131</v>
      </c>
      <c r="T161" s="4">
        <f t="shared" si="10"/>
        <v>18.370690547802766</v>
      </c>
      <c r="W161" s="4" t="str">
        <f>"cpl-1"</f>
        <v>cpl-1</v>
      </c>
      <c r="X161" s="4">
        <v>18.457241705781001</v>
      </c>
      <c r="Y161" s="4">
        <v>18.518903873141898</v>
      </c>
      <c r="Z161" s="4">
        <v>18.5102276437166</v>
      </c>
      <c r="AA161" s="4">
        <f t="shared" si="11"/>
        <v>18.495457740879832</v>
      </c>
      <c r="AH161" s="28" t="s">
        <v>2988</v>
      </c>
      <c r="AJ161" s="4" t="s">
        <v>1750</v>
      </c>
      <c r="AQ161" s="6"/>
      <c r="AR161" s="6"/>
      <c r="AS161" s="6"/>
      <c r="AT161" s="6"/>
    </row>
    <row r="162" spans="2:46" x14ac:dyDescent="0.2">
      <c r="B162" s="4" t="s">
        <v>3516</v>
      </c>
      <c r="C162" s="4">
        <v>18.473800000000001</v>
      </c>
      <c r="D162" s="4">
        <v>17.942299999999999</v>
      </c>
      <c r="E162" s="4">
        <v>18.686</v>
      </c>
      <c r="F162" s="4">
        <f t="shared" si="8"/>
        <v>18.367366666666666</v>
      </c>
      <c r="I162" s="4" t="s">
        <v>662</v>
      </c>
      <c r="J162" s="4">
        <v>18.024999999999999</v>
      </c>
      <c r="K162" s="4">
        <v>18.3383</v>
      </c>
      <c r="L162" s="4">
        <v>18.965599999999998</v>
      </c>
      <c r="M162" s="4">
        <f t="shared" si="9"/>
        <v>18.442966666666663</v>
      </c>
      <c r="P162" s="4" t="str">
        <f>"gpd-2"</f>
        <v>gpd-2</v>
      </c>
      <c r="Q162" s="4">
        <v>18.5167950774118</v>
      </c>
      <c r="R162" s="4">
        <v>18.137324925692699</v>
      </c>
      <c r="S162" s="4">
        <v>18.419020106763298</v>
      </c>
      <c r="T162" s="4">
        <f t="shared" si="10"/>
        <v>18.357713369955931</v>
      </c>
      <c r="W162" s="4" t="str">
        <f>"fln-1"</f>
        <v>fln-1</v>
      </c>
      <c r="X162" s="4">
        <v>18.374847885276399</v>
      </c>
      <c r="Y162" s="4">
        <v>18.619431681629798</v>
      </c>
      <c r="Z162" s="4">
        <v>18.4531371824323</v>
      </c>
      <c r="AA162" s="4">
        <f t="shared" si="11"/>
        <v>18.482472249779502</v>
      </c>
      <c r="AH162" s="28" t="s">
        <v>343</v>
      </c>
      <c r="AJ162" s="4" t="s">
        <v>1419</v>
      </c>
      <c r="AQ162" s="6"/>
      <c r="AR162" s="6"/>
      <c r="AS162" s="6"/>
      <c r="AT162" s="6"/>
    </row>
    <row r="163" spans="2:46" x14ac:dyDescent="0.2">
      <c r="B163" s="4" t="s">
        <v>3355</v>
      </c>
      <c r="C163" s="4">
        <v>18.5672</v>
      </c>
      <c r="D163" s="4">
        <v>18.3583</v>
      </c>
      <c r="E163" s="4">
        <v>18.136600000000001</v>
      </c>
      <c r="F163" s="4">
        <f t="shared" si="8"/>
        <v>18.354033333333334</v>
      </c>
      <c r="I163" s="4" t="s">
        <v>729</v>
      </c>
      <c r="J163" s="4">
        <v>18.388500000000001</v>
      </c>
      <c r="K163" s="4">
        <v>18.750599999999999</v>
      </c>
      <c r="L163" s="4">
        <v>18.179600000000001</v>
      </c>
      <c r="M163" s="4">
        <f t="shared" si="9"/>
        <v>18.439566666666668</v>
      </c>
      <c r="P163" s="4" t="str">
        <f>"gfm-1"</f>
        <v>gfm-1</v>
      </c>
      <c r="Q163" s="4">
        <v>18.578794406986798</v>
      </c>
      <c r="R163" s="4">
        <v>18.118321171114601</v>
      </c>
      <c r="S163" s="4">
        <v>18.3743273022076</v>
      </c>
      <c r="T163" s="4">
        <f t="shared" si="10"/>
        <v>18.35714762676967</v>
      </c>
      <c r="W163" s="4" t="str">
        <f>"abcf-2"</f>
        <v>abcf-2</v>
      </c>
      <c r="X163" s="4">
        <v>18.475739320912901</v>
      </c>
      <c r="Y163" s="4">
        <v>18.541632454492799</v>
      </c>
      <c r="Z163" s="4">
        <v>18.420855592891101</v>
      </c>
      <c r="AA163" s="4">
        <f t="shared" si="11"/>
        <v>18.479409122765599</v>
      </c>
      <c r="AH163" s="28" t="s">
        <v>3429</v>
      </c>
      <c r="AJ163" s="4" t="s">
        <v>3818</v>
      </c>
      <c r="AQ163" s="6"/>
      <c r="AR163" s="6"/>
      <c r="AS163" s="6"/>
      <c r="AT163" s="6"/>
    </row>
    <row r="164" spans="2:46" x14ac:dyDescent="0.2">
      <c r="B164" s="4" t="s">
        <v>2622</v>
      </c>
      <c r="C164" s="4">
        <v>18.322900000000001</v>
      </c>
      <c r="D164" s="4">
        <v>18.4405</v>
      </c>
      <c r="E164" s="4">
        <v>18.294</v>
      </c>
      <c r="F164" s="4">
        <f t="shared" si="8"/>
        <v>18.352466666666668</v>
      </c>
      <c r="I164" s="4" t="s">
        <v>2945</v>
      </c>
      <c r="J164" s="4">
        <v>18.1265</v>
      </c>
      <c r="K164" s="4">
        <v>17.469799999999999</v>
      </c>
      <c r="L164" s="4">
        <v>19.684699999999999</v>
      </c>
      <c r="M164" s="4">
        <f t="shared" si="9"/>
        <v>18.427</v>
      </c>
      <c r="P164" s="4" t="str">
        <f>"rps-15"</f>
        <v>rps-15</v>
      </c>
      <c r="Q164" s="4">
        <v>18.515870972684201</v>
      </c>
      <c r="R164" s="4">
        <v>18.281674100913001</v>
      </c>
      <c r="S164" s="4">
        <v>18.246267081813901</v>
      </c>
      <c r="T164" s="4">
        <f t="shared" si="10"/>
        <v>18.347937385137033</v>
      </c>
      <c r="W164" s="4" t="str">
        <f>"car-1"</f>
        <v>car-1</v>
      </c>
      <c r="X164" s="4">
        <v>18.577077766906999</v>
      </c>
      <c r="Y164" s="4">
        <v>18.520251655002198</v>
      </c>
      <c r="Z164" s="4">
        <v>18.335485210911301</v>
      </c>
      <c r="AA164" s="4">
        <f t="shared" si="11"/>
        <v>18.477604877606833</v>
      </c>
      <c r="AH164" s="28" t="s">
        <v>3518</v>
      </c>
      <c r="AJ164" s="4" t="s">
        <v>3094</v>
      </c>
      <c r="AQ164" s="6"/>
      <c r="AR164" s="6"/>
      <c r="AS164" s="6"/>
      <c r="AT164" s="6"/>
    </row>
    <row r="165" spans="2:46" x14ac:dyDescent="0.2">
      <c r="B165" s="4" t="s">
        <v>3362</v>
      </c>
      <c r="C165" s="4">
        <v>18.171099999999999</v>
      </c>
      <c r="D165" s="4">
        <v>17.876999999999999</v>
      </c>
      <c r="E165" s="4">
        <v>18.941299999999998</v>
      </c>
      <c r="F165" s="4">
        <f t="shared" si="8"/>
        <v>18.329799999999999</v>
      </c>
      <c r="I165" s="4" t="s">
        <v>2788</v>
      </c>
      <c r="J165" s="4">
        <v>18.4145</v>
      </c>
      <c r="K165" s="4">
        <v>18.490400000000001</v>
      </c>
      <c r="L165" s="4">
        <v>18.366700000000002</v>
      </c>
      <c r="M165" s="4">
        <f t="shared" si="9"/>
        <v>18.423866666666665</v>
      </c>
      <c r="P165" s="4" t="str">
        <f>"top-2"</f>
        <v>top-2</v>
      </c>
      <c r="Q165" s="4">
        <v>18.310639376669599</v>
      </c>
      <c r="R165" s="4">
        <v>18.316330852465398</v>
      </c>
      <c r="S165" s="4">
        <v>18.3841431865463</v>
      </c>
      <c r="T165" s="4">
        <f t="shared" si="10"/>
        <v>18.337037805227098</v>
      </c>
      <c r="W165" s="4" t="str">
        <f>"acp-1"</f>
        <v>acp-1</v>
      </c>
      <c r="X165" s="4">
        <v>18.459776163452698</v>
      </c>
      <c r="Y165" s="4">
        <v>18.768834809044701</v>
      </c>
      <c r="Z165" s="4">
        <v>18.166585702310801</v>
      </c>
      <c r="AA165" s="4">
        <f t="shared" si="11"/>
        <v>18.465065558269401</v>
      </c>
      <c r="AH165" s="28" t="s">
        <v>4854</v>
      </c>
      <c r="AJ165" s="4" t="s">
        <v>4134</v>
      </c>
      <c r="AT165" s="6"/>
    </row>
    <row r="166" spans="2:46" x14ac:dyDescent="0.2">
      <c r="B166" s="4" t="s">
        <v>2404</v>
      </c>
      <c r="C166" s="4">
        <v>18.553599999999999</v>
      </c>
      <c r="D166" s="4">
        <v>18.3491</v>
      </c>
      <c r="E166" s="4">
        <v>18.068000000000001</v>
      </c>
      <c r="F166" s="4">
        <f t="shared" si="8"/>
        <v>18.323566666666665</v>
      </c>
      <c r="I166" s="4" t="s">
        <v>173</v>
      </c>
      <c r="J166" s="4">
        <v>18.587399999999999</v>
      </c>
      <c r="K166" s="4">
        <v>18.491700000000002</v>
      </c>
      <c r="L166" s="4">
        <v>18.183299999999999</v>
      </c>
      <c r="M166" s="4">
        <f t="shared" si="9"/>
        <v>18.4208</v>
      </c>
      <c r="P166" s="4" t="str">
        <f>"ech-5"</f>
        <v>ech-5</v>
      </c>
      <c r="Q166" s="4">
        <v>18.4993967795928</v>
      </c>
      <c r="R166" s="4">
        <v>18.063049834777601</v>
      </c>
      <c r="S166" s="4">
        <v>18.431210406416099</v>
      </c>
      <c r="T166" s="4">
        <f t="shared" si="10"/>
        <v>18.331219006928833</v>
      </c>
      <c r="W166" s="4" t="str">
        <f>"ucr-1"</f>
        <v>ucr-1</v>
      </c>
      <c r="X166" s="4">
        <v>18.625469053915602</v>
      </c>
      <c r="Y166" s="4">
        <v>18.252571648006001</v>
      </c>
      <c r="Z166" s="4">
        <v>18.4832098261179</v>
      </c>
      <c r="AA166" s="4">
        <f t="shared" si="11"/>
        <v>18.45375017601317</v>
      </c>
      <c r="AH166" s="28" t="s">
        <v>4671</v>
      </c>
      <c r="AJ166" s="4" t="s">
        <v>120</v>
      </c>
      <c r="AQ166" s="6"/>
      <c r="AR166" s="6"/>
      <c r="AS166" s="6"/>
    </row>
    <row r="167" spans="2:46" x14ac:dyDescent="0.2">
      <c r="B167" s="4" t="s">
        <v>2852</v>
      </c>
      <c r="C167" s="4">
        <v>18.4739</v>
      </c>
      <c r="D167" s="4">
        <v>18.3414</v>
      </c>
      <c r="E167" s="4">
        <v>18.1266</v>
      </c>
      <c r="F167" s="4">
        <f t="shared" si="8"/>
        <v>18.313966666666669</v>
      </c>
      <c r="I167" s="4" t="s">
        <v>734</v>
      </c>
      <c r="J167" s="4">
        <v>18.3704</v>
      </c>
      <c r="K167" s="4">
        <v>18.593599999999999</v>
      </c>
      <c r="L167" s="4">
        <v>18.2425</v>
      </c>
      <c r="M167" s="4">
        <f t="shared" si="9"/>
        <v>18.402166666666666</v>
      </c>
      <c r="P167" s="4" t="str">
        <f>"gcn-1"</f>
        <v>gcn-1</v>
      </c>
      <c r="Q167" s="4">
        <v>18.4680091757442</v>
      </c>
      <c r="R167" s="4">
        <v>18.273764643706599</v>
      </c>
      <c r="S167" s="4">
        <v>18.115249815766798</v>
      </c>
      <c r="T167" s="4">
        <f t="shared" si="10"/>
        <v>18.285674545072535</v>
      </c>
      <c r="W167" s="4" t="str">
        <f>"gfat-2"</f>
        <v>gfat-2</v>
      </c>
      <c r="X167" s="4">
        <v>18.5114255487434</v>
      </c>
      <c r="Y167" s="4">
        <v>18.4513992220792</v>
      </c>
      <c r="Z167" s="4">
        <v>18.3877847947861</v>
      </c>
      <c r="AA167" s="4">
        <f t="shared" si="11"/>
        <v>18.450203188536232</v>
      </c>
      <c r="AH167" s="28" t="s">
        <v>1134</v>
      </c>
      <c r="AJ167" s="4" t="s">
        <v>206</v>
      </c>
    </row>
    <row r="168" spans="2:46" x14ac:dyDescent="0.2">
      <c r="B168" s="4" t="s">
        <v>2529</v>
      </c>
      <c r="C168" s="4">
        <v>18.263100000000001</v>
      </c>
      <c r="D168" s="4">
        <v>18.295500000000001</v>
      </c>
      <c r="E168" s="4">
        <v>18.311499999999999</v>
      </c>
      <c r="F168" s="4">
        <f t="shared" si="8"/>
        <v>18.29003333333333</v>
      </c>
      <c r="I168" s="4" t="s">
        <v>785</v>
      </c>
      <c r="J168" s="4">
        <v>17.882200000000001</v>
      </c>
      <c r="K168" s="4">
        <v>18.263300000000001</v>
      </c>
      <c r="L168" s="4">
        <v>19.009799999999998</v>
      </c>
      <c r="M168" s="4">
        <f t="shared" si="9"/>
        <v>18.385099999999998</v>
      </c>
      <c r="P168" s="4" t="str">
        <f>"ucr-1"</f>
        <v>ucr-1</v>
      </c>
      <c r="Q168" s="4">
        <v>18.463161582849299</v>
      </c>
      <c r="R168" s="4">
        <v>18.0772993797823</v>
      </c>
      <c r="S168" s="4">
        <v>18.308127430425099</v>
      </c>
      <c r="T168" s="4">
        <f t="shared" si="10"/>
        <v>18.282862797685567</v>
      </c>
      <c r="W168" s="4" t="str">
        <f>"iff-1"</f>
        <v>iff-1</v>
      </c>
      <c r="X168" s="4">
        <v>18.794013926307102</v>
      </c>
      <c r="Y168" s="4">
        <v>18.357957968608901</v>
      </c>
      <c r="Z168" s="4">
        <v>18.162126993167799</v>
      </c>
      <c r="AA168" s="4">
        <f t="shared" si="11"/>
        <v>18.438032962694603</v>
      </c>
      <c r="AH168" s="28" t="s">
        <v>4708</v>
      </c>
      <c r="AJ168" s="4" t="s">
        <v>3766</v>
      </c>
      <c r="AQ168" s="6"/>
      <c r="AR168" s="6"/>
      <c r="AS168" s="6"/>
    </row>
    <row r="169" spans="2:46" x14ac:dyDescent="0.2">
      <c r="B169" s="4" t="s">
        <v>2322</v>
      </c>
      <c r="C169" s="4">
        <v>18.316800000000001</v>
      </c>
      <c r="D169" s="4">
        <v>18.268000000000001</v>
      </c>
      <c r="E169" s="4">
        <v>18.2605</v>
      </c>
      <c r="F169" s="4">
        <f t="shared" si="8"/>
        <v>18.281766666666666</v>
      </c>
      <c r="I169" s="4" t="s">
        <v>1335</v>
      </c>
      <c r="J169" s="4">
        <v>18.4316</v>
      </c>
      <c r="K169" s="4">
        <v>18.313600000000001</v>
      </c>
      <c r="L169" s="4">
        <v>18.4024</v>
      </c>
      <c r="M169" s="4">
        <f t="shared" si="9"/>
        <v>18.382533333333331</v>
      </c>
      <c r="P169" s="4" t="str">
        <f>"rpl-33"</f>
        <v>rpl-33</v>
      </c>
      <c r="Q169" s="4">
        <v>18.039421841127101</v>
      </c>
      <c r="R169" s="4">
        <v>18.427563749931501</v>
      </c>
      <c r="S169" s="4">
        <v>18.378696205524001</v>
      </c>
      <c r="T169" s="4">
        <f t="shared" si="10"/>
        <v>18.281893932194201</v>
      </c>
      <c r="W169" s="4" t="str">
        <f>"nduf-9"</f>
        <v>nduf-9</v>
      </c>
      <c r="X169" s="4">
        <v>18.111364537987999</v>
      </c>
      <c r="Y169" s="4">
        <v>18.4391252597845</v>
      </c>
      <c r="Z169" s="4">
        <v>18.693099516954099</v>
      </c>
      <c r="AA169" s="4">
        <f t="shared" si="11"/>
        <v>18.414529771575534</v>
      </c>
      <c r="AH169" s="28" t="s">
        <v>3508</v>
      </c>
      <c r="AJ169" s="4" t="s">
        <v>4231</v>
      </c>
      <c r="AQ169" s="6"/>
      <c r="AR169" s="6"/>
      <c r="AS169" s="6"/>
      <c r="AT169" s="6"/>
    </row>
    <row r="170" spans="2:46" x14ac:dyDescent="0.2">
      <c r="B170" s="4" t="s">
        <v>3982</v>
      </c>
      <c r="C170" s="4">
        <v>18.4404</v>
      </c>
      <c r="D170" s="4">
        <v>17.953099999999999</v>
      </c>
      <c r="E170" s="4">
        <v>18.4056</v>
      </c>
      <c r="F170" s="4">
        <f t="shared" si="8"/>
        <v>18.266366666666666</v>
      </c>
      <c r="I170" s="4" t="s">
        <v>55</v>
      </c>
      <c r="J170" s="4">
        <v>18.4939</v>
      </c>
      <c r="K170" s="4">
        <v>18.3993</v>
      </c>
      <c r="L170" s="4">
        <v>18.248999999999999</v>
      </c>
      <c r="M170" s="4">
        <f t="shared" si="9"/>
        <v>18.380733333333335</v>
      </c>
      <c r="P170" s="4" t="str">
        <f>"acs-2"</f>
        <v>acs-2</v>
      </c>
      <c r="Q170" s="4">
        <v>18.5882174607016</v>
      </c>
      <c r="R170" s="4">
        <v>18.161601444477</v>
      </c>
      <c r="S170" s="4">
        <v>18.057546753646101</v>
      </c>
      <c r="T170" s="4">
        <f t="shared" si="10"/>
        <v>18.269121886274899</v>
      </c>
      <c r="W170" s="4" t="str">
        <f>"tufm-2"</f>
        <v>tufm-2</v>
      </c>
      <c r="X170" s="4">
        <v>18.181650355837998</v>
      </c>
      <c r="Y170" s="4">
        <v>18.371967637417502</v>
      </c>
      <c r="Z170" s="4">
        <v>18.688213886303</v>
      </c>
      <c r="AA170" s="4">
        <f t="shared" si="11"/>
        <v>18.413943959852833</v>
      </c>
      <c r="AH170" s="28" t="s">
        <v>4807</v>
      </c>
      <c r="AJ170" s="4" t="s">
        <v>2090</v>
      </c>
      <c r="AQ170" s="6"/>
      <c r="AR170" s="6"/>
      <c r="AS170" s="6"/>
    </row>
    <row r="171" spans="2:46" x14ac:dyDescent="0.2">
      <c r="B171" s="4" t="s">
        <v>3805</v>
      </c>
      <c r="C171" s="4">
        <v>18.0624</v>
      </c>
      <c r="D171" s="4">
        <v>18.260899999999999</v>
      </c>
      <c r="E171" s="4">
        <v>18.454499999999999</v>
      </c>
      <c r="F171" s="4">
        <f t="shared" si="8"/>
        <v>18.259266666666665</v>
      </c>
      <c r="I171" s="4" t="s">
        <v>4025</v>
      </c>
      <c r="J171" s="4">
        <v>18.386800000000001</v>
      </c>
      <c r="K171" s="4">
        <v>18.5261</v>
      </c>
      <c r="L171" s="4">
        <v>18.213799999999999</v>
      </c>
      <c r="M171" s="4">
        <f t="shared" si="9"/>
        <v>18.375566666666668</v>
      </c>
      <c r="P171" s="4" t="str">
        <f>"abcf-2"</f>
        <v>abcf-2</v>
      </c>
      <c r="Q171" s="4">
        <v>18.440603238708601</v>
      </c>
      <c r="R171" s="4">
        <v>18.225435676700101</v>
      </c>
      <c r="S171" s="4">
        <v>18.118438693376302</v>
      </c>
      <c r="T171" s="4">
        <f t="shared" si="10"/>
        <v>18.26149253626167</v>
      </c>
      <c r="W171" s="4" t="str">
        <f>"ucr-11"</f>
        <v>ucr-11</v>
      </c>
      <c r="X171" s="4">
        <v>18.612199841525399</v>
      </c>
      <c r="Y171" s="4">
        <v>18.3162306153469</v>
      </c>
      <c r="Z171" s="4">
        <v>18.234869611007099</v>
      </c>
      <c r="AA171" s="4">
        <f t="shared" si="11"/>
        <v>18.387766689293134</v>
      </c>
      <c r="AH171" s="28" t="s">
        <v>4724</v>
      </c>
      <c r="AJ171" s="4" t="s">
        <v>1794</v>
      </c>
      <c r="AQ171" s="6"/>
      <c r="AR171" s="6"/>
      <c r="AS171" s="6"/>
      <c r="AT171" s="6"/>
    </row>
    <row r="172" spans="2:46" x14ac:dyDescent="0.2">
      <c r="B172" s="4" t="s">
        <v>729</v>
      </c>
      <c r="C172" s="4">
        <v>18.216100000000001</v>
      </c>
      <c r="D172" s="4">
        <v>18.193200000000001</v>
      </c>
      <c r="E172" s="4">
        <v>18.361999999999998</v>
      </c>
      <c r="F172" s="4">
        <f t="shared" si="8"/>
        <v>18.257099999999998</v>
      </c>
      <c r="I172" s="4" t="s">
        <v>2188</v>
      </c>
      <c r="J172" s="4">
        <v>18.197299999999998</v>
      </c>
      <c r="K172" s="4">
        <v>18.5748</v>
      </c>
      <c r="L172" s="4">
        <v>18.331099999999999</v>
      </c>
      <c r="M172" s="4">
        <f t="shared" si="9"/>
        <v>18.36773333333333</v>
      </c>
      <c r="P172" s="4" t="str">
        <f>"rpt-2"</f>
        <v>rpt-2</v>
      </c>
      <c r="Q172" s="4">
        <v>18.450382595098201</v>
      </c>
      <c r="R172" s="4">
        <v>18.0836321801605</v>
      </c>
      <c r="S172" s="4">
        <v>18.1979665479661</v>
      </c>
      <c r="T172" s="4">
        <f t="shared" si="10"/>
        <v>18.243993774408267</v>
      </c>
      <c r="W172" s="4" t="str">
        <f>"icl-1"</f>
        <v>icl-1</v>
      </c>
      <c r="X172" s="4">
        <v>18.018932646099</v>
      </c>
      <c r="Y172" s="4">
        <v>18.408292251644301</v>
      </c>
      <c r="Z172" s="4">
        <v>18.712858261911201</v>
      </c>
      <c r="AA172" s="4">
        <f t="shared" si="11"/>
        <v>18.380027719884833</v>
      </c>
      <c r="AH172" s="28" t="s">
        <v>3352</v>
      </c>
      <c r="AJ172" s="4" t="s">
        <v>1275</v>
      </c>
      <c r="AQ172" s="6"/>
      <c r="AR172" s="6"/>
      <c r="AS172" s="6"/>
    </row>
    <row r="173" spans="2:46" x14ac:dyDescent="0.2">
      <c r="B173" s="4" t="s">
        <v>960</v>
      </c>
      <c r="C173" s="4">
        <v>18.322900000000001</v>
      </c>
      <c r="D173" s="4">
        <v>18.061599999999999</v>
      </c>
      <c r="E173" s="4">
        <v>18.37</v>
      </c>
      <c r="F173" s="4">
        <f t="shared" si="8"/>
        <v>18.251500000000004</v>
      </c>
      <c r="I173" s="4" t="s">
        <v>3769</v>
      </c>
      <c r="J173" s="4">
        <v>18.443200000000001</v>
      </c>
      <c r="K173" s="4">
        <v>18.519200000000001</v>
      </c>
      <c r="L173" s="4">
        <v>18.133400000000002</v>
      </c>
      <c r="M173" s="4">
        <f t="shared" si="9"/>
        <v>18.365266666666667</v>
      </c>
      <c r="P173" s="4" t="str">
        <f>"pab-1"</f>
        <v>pab-1</v>
      </c>
      <c r="Q173" s="4">
        <v>18.156011557680898</v>
      </c>
      <c r="R173" s="4">
        <v>18.2136920569103</v>
      </c>
      <c r="S173" s="4">
        <v>18.360834452367399</v>
      </c>
      <c r="T173" s="4">
        <f t="shared" si="10"/>
        <v>18.2435126889862</v>
      </c>
      <c r="W173" s="4" t="str">
        <f>"rpt-5"</f>
        <v>rpt-5</v>
      </c>
      <c r="X173" s="4">
        <v>18.336065954354101</v>
      </c>
      <c r="Y173" s="4">
        <v>18.447685246284198</v>
      </c>
      <c r="Z173" s="4">
        <v>18.353600559177298</v>
      </c>
      <c r="AA173" s="4">
        <f t="shared" si="11"/>
        <v>18.379117253271868</v>
      </c>
      <c r="AH173" s="28" t="s">
        <v>1410</v>
      </c>
      <c r="AJ173" s="4" t="s">
        <v>4344</v>
      </c>
      <c r="AQ173" s="6"/>
      <c r="AR173" s="6"/>
      <c r="AS173" s="6"/>
      <c r="AT173" s="6"/>
    </row>
    <row r="174" spans="2:46" x14ac:dyDescent="0.2">
      <c r="B174" s="4" t="s">
        <v>4395</v>
      </c>
      <c r="C174" s="4">
        <v>18.176500000000001</v>
      </c>
      <c r="D174" s="4">
        <v>18.023299999999999</v>
      </c>
      <c r="E174" s="4">
        <v>18.527100000000001</v>
      </c>
      <c r="F174" s="4">
        <f t="shared" si="8"/>
        <v>18.2423</v>
      </c>
      <c r="I174" s="4" t="s">
        <v>1064</v>
      </c>
      <c r="J174" s="4">
        <v>17.756900000000002</v>
      </c>
      <c r="K174" s="4">
        <v>18.324999999999999</v>
      </c>
      <c r="L174" s="4">
        <v>18.998899999999999</v>
      </c>
      <c r="M174" s="4">
        <f t="shared" si="9"/>
        <v>18.360266666666668</v>
      </c>
      <c r="P174" s="4" t="str">
        <f>"bckd-1A"</f>
        <v>bckd-1A</v>
      </c>
      <c r="Q174" s="4">
        <v>18.3883685776132</v>
      </c>
      <c r="R174" s="4">
        <v>18.0887381041683</v>
      </c>
      <c r="S174" s="4">
        <v>18.166850275016401</v>
      </c>
      <c r="T174" s="4">
        <f t="shared" si="10"/>
        <v>18.214652318932632</v>
      </c>
      <c r="W174" s="4" t="str">
        <f>"rpt-1"</f>
        <v>rpt-1</v>
      </c>
      <c r="X174" s="4">
        <v>18.2661397772087</v>
      </c>
      <c r="Y174" s="4">
        <v>18.4649367558468</v>
      </c>
      <c r="Z174" s="4">
        <v>18.377255094641299</v>
      </c>
      <c r="AA174" s="4">
        <f t="shared" si="11"/>
        <v>18.369443875898934</v>
      </c>
      <c r="AH174" s="28" t="s">
        <v>4839</v>
      </c>
      <c r="AJ174" s="4" t="s">
        <v>2775</v>
      </c>
    </row>
    <row r="175" spans="2:46" x14ac:dyDescent="0.2">
      <c r="B175" s="4" t="s">
        <v>164</v>
      </c>
      <c r="C175" s="4">
        <v>18.852699999999999</v>
      </c>
      <c r="D175" s="4">
        <v>17.793600000000001</v>
      </c>
      <c r="E175" s="4">
        <v>18.074999999999999</v>
      </c>
      <c r="F175" s="4">
        <f t="shared" si="8"/>
        <v>18.240433333333332</v>
      </c>
      <c r="I175" s="4" t="s">
        <v>647</v>
      </c>
      <c r="J175" s="4">
        <v>18.6952</v>
      </c>
      <c r="K175" s="4">
        <v>18.427199999999999</v>
      </c>
      <c r="L175" s="4">
        <v>17.907599999999999</v>
      </c>
      <c r="M175" s="4">
        <f t="shared" si="9"/>
        <v>18.343333333333334</v>
      </c>
      <c r="P175" s="4" t="str">
        <f>"acdh-10"</f>
        <v>acdh-10</v>
      </c>
      <c r="Q175" s="4">
        <v>18.311977457586998</v>
      </c>
      <c r="R175" s="4">
        <v>18.120882752346699</v>
      </c>
      <c r="S175" s="4">
        <v>18.203102791118599</v>
      </c>
      <c r="T175" s="4">
        <f t="shared" si="10"/>
        <v>18.211987667017429</v>
      </c>
      <c r="W175" s="4" t="str">
        <f>"R53.4"</f>
        <v>R53.4</v>
      </c>
      <c r="X175" s="4">
        <v>18.5348014205086</v>
      </c>
      <c r="Y175" s="4">
        <v>18.4979199954481</v>
      </c>
      <c r="Z175" s="4">
        <v>18.0598644875882</v>
      </c>
      <c r="AA175" s="4">
        <f t="shared" si="11"/>
        <v>18.364195301181635</v>
      </c>
      <c r="AH175" s="28" t="s">
        <v>1482</v>
      </c>
      <c r="AJ175" s="4" t="s">
        <v>2481</v>
      </c>
      <c r="AT175" s="6"/>
    </row>
    <row r="176" spans="2:46" x14ac:dyDescent="0.2">
      <c r="B176" s="4" t="s">
        <v>746</v>
      </c>
      <c r="C176" s="4">
        <v>18.346</v>
      </c>
      <c r="D176" s="4">
        <v>18.543800000000001</v>
      </c>
      <c r="E176" s="4">
        <v>17.8141</v>
      </c>
      <c r="F176" s="4">
        <f t="shared" si="8"/>
        <v>18.234633333333335</v>
      </c>
      <c r="I176" s="4" t="s">
        <v>746</v>
      </c>
      <c r="J176" s="4">
        <v>18.2227</v>
      </c>
      <c r="K176" s="4">
        <v>18.3996</v>
      </c>
      <c r="L176" s="4">
        <v>18.3689</v>
      </c>
      <c r="M176" s="4">
        <f t="shared" si="9"/>
        <v>18.330399999999997</v>
      </c>
      <c r="P176" s="4" t="str">
        <f>"mec-12"</f>
        <v>mec-12</v>
      </c>
      <c r="Q176" s="4">
        <v>18.540031387076201</v>
      </c>
      <c r="R176" s="4">
        <v>18.190960156979902</v>
      </c>
      <c r="S176" s="4">
        <v>17.879035191900702</v>
      </c>
      <c r="T176" s="4">
        <f t="shared" si="10"/>
        <v>18.203342245318936</v>
      </c>
      <c r="W176" s="4" t="str">
        <f>"acs-4"</f>
        <v>acs-4</v>
      </c>
      <c r="X176" s="4">
        <v>18.4027156652188</v>
      </c>
      <c r="Y176" s="4">
        <v>18.4160817485309</v>
      </c>
      <c r="Z176" s="4">
        <v>18.2320359167209</v>
      </c>
      <c r="AA176" s="4">
        <f t="shared" si="11"/>
        <v>18.350277776823532</v>
      </c>
      <c r="AH176" s="28" t="s">
        <v>4111</v>
      </c>
      <c r="AJ176" s="4" t="s">
        <v>4364</v>
      </c>
      <c r="AQ176" s="6"/>
      <c r="AR176" s="6"/>
      <c r="AS176" s="6"/>
    </row>
    <row r="177" spans="2:46" x14ac:dyDescent="0.2">
      <c r="B177" s="4" t="s">
        <v>1510</v>
      </c>
      <c r="C177" s="4">
        <v>17.183499999999999</v>
      </c>
      <c r="D177" s="4">
        <v>18.979099999999999</v>
      </c>
      <c r="E177" s="4">
        <v>18.500599999999999</v>
      </c>
      <c r="F177" s="4">
        <f t="shared" si="8"/>
        <v>18.221066666666665</v>
      </c>
      <c r="I177" s="4" t="s">
        <v>2144</v>
      </c>
      <c r="J177" s="4">
        <v>18.2942</v>
      </c>
      <c r="K177" s="4">
        <v>18.321400000000001</v>
      </c>
      <c r="L177" s="4">
        <v>18.372699999999998</v>
      </c>
      <c r="M177" s="4">
        <f t="shared" si="9"/>
        <v>18.329433333333331</v>
      </c>
      <c r="P177" s="4" t="str">
        <f>"sams-3"</f>
        <v>sams-3</v>
      </c>
      <c r="Q177" s="4">
        <v>18.300262431713399</v>
      </c>
      <c r="R177" s="4">
        <v>18.218049047539299</v>
      </c>
      <c r="S177" s="4">
        <v>18.0800792225142</v>
      </c>
      <c r="T177" s="4">
        <f t="shared" si="10"/>
        <v>18.199463567255634</v>
      </c>
      <c r="W177" s="4" t="str">
        <f>"R13H4.2"</f>
        <v>R13H4.2</v>
      </c>
      <c r="X177" s="4">
        <v>17.7898714293962</v>
      </c>
      <c r="Y177" s="4">
        <v>18.361364928772002</v>
      </c>
      <c r="Z177" s="4">
        <v>18.850724423563101</v>
      </c>
      <c r="AA177" s="4">
        <f t="shared" si="11"/>
        <v>18.333986927243767</v>
      </c>
      <c r="AH177" s="28" t="s">
        <v>4315</v>
      </c>
      <c r="AJ177" s="4" t="s">
        <v>3197</v>
      </c>
      <c r="AQ177" s="6"/>
      <c r="AR177" s="6"/>
      <c r="AS177" s="6"/>
      <c r="AT177" s="6"/>
    </row>
    <row r="178" spans="2:46" x14ac:dyDescent="0.2">
      <c r="B178" s="4" t="s">
        <v>2796</v>
      </c>
      <c r="C178" s="4">
        <v>18.2879</v>
      </c>
      <c r="D178" s="4">
        <v>18.3203</v>
      </c>
      <c r="E178" s="4">
        <v>18.0121</v>
      </c>
      <c r="F178" s="4">
        <f t="shared" si="8"/>
        <v>18.206766666666667</v>
      </c>
      <c r="I178" s="4" t="s">
        <v>2871</v>
      </c>
      <c r="J178" s="4">
        <v>18.003</v>
      </c>
      <c r="K178" s="4">
        <v>18.0852</v>
      </c>
      <c r="L178" s="4">
        <v>18.889900000000001</v>
      </c>
      <c r="M178" s="4">
        <f t="shared" si="9"/>
        <v>18.326033333333331</v>
      </c>
      <c r="P178" s="4" t="str">
        <f>"dhs-24"</f>
        <v>dhs-24</v>
      </c>
      <c r="Q178" s="4">
        <v>18.370338504973201</v>
      </c>
      <c r="R178" s="4">
        <v>18.072020343355</v>
      </c>
      <c r="S178" s="4">
        <v>18.1511879199508</v>
      </c>
      <c r="T178" s="4">
        <f t="shared" si="10"/>
        <v>18.197848922759665</v>
      </c>
      <c r="W178" s="4" t="str">
        <f>"rps-15"</f>
        <v>rps-15</v>
      </c>
      <c r="X178" s="4">
        <v>18.626063233685901</v>
      </c>
      <c r="Y178" s="4">
        <v>18.2254266301317</v>
      </c>
      <c r="Z178" s="4">
        <v>18.1484415633943</v>
      </c>
      <c r="AA178" s="4">
        <f t="shared" si="11"/>
        <v>18.333310475737303</v>
      </c>
      <c r="AH178" s="28" t="s">
        <v>4655</v>
      </c>
      <c r="AJ178" s="4" t="s">
        <v>3759</v>
      </c>
      <c r="AQ178" s="6"/>
      <c r="AR178" s="6"/>
      <c r="AS178" s="6"/>
      <c r="AT178" s="6"/>
    </row>
    <row r="179" spans="2:46" x14ac:dyDescent="0.2">
      <c r="B179" s="4" t="s">
        <v>1702</v>
      </c>
      <c r="C179" s="4">
        <v>18.0396</v>
      </c>
      <c r="D179" s="4">
        <v>18.465800000000002</v>
      </c>
      <c r="E179" s="4">
        <v>18.106999999999999</v>
      </c>
      <c r="F179" s="4">
        <f t="shared" si="8"/>
        <v>18.204133333333335</v>
      </c>
      <c r="I179" s="4" t="s">
        <v>3805</v>
      </c>
      <c r="J179" s="4">
        <v>18.043299999999999</v>
      </c>
      <c r="K179" s="4">
        <v>18.336400000000001</v>
      </c>
      <c r="L179" s="4">
        <v>18.516500000000001</v>
      </c>
      <c r="M179" s="4">
        <f t="shared" si="9"/>
        <v>18.298733333333335</v>
      </c>
      <c r="P179" s="4" t="str">
        <f>"F45D11.15"</f>
        <v>F45D11.15</v>
      </c>
      <c r="Q179" s="4">
        <v>18.151162293202699</v>
      </c>
      <c r="R179" s="4">
        <v>18.1346140849008</v>
      </c>
      <c r="S179" s="4">
        <v>18.302171607704199</v>
      </c>
      <c r="T179" s="4">
        <f t="shared" si="10"/>
        <v>18.195982661935901</v>
      </c>
      <c r="W179" s="4" t="str">
        <f>"cct-7"</f>
        <v>cct-7</v>
      </c>
      <c r="X179" s="4">
        <v>18.320486738416601</v>
      </c>
      <c r="Y179" s="4">
        <v>18.568115650224598</v>
      </c>
      <c r="Z179" s="4">
        <v>18.1099598514344</v>
      </c>
      <c r="AA179" s="4">
        <f t="shared" si="11"/>
        <v>18.3328540800252</v>
      </c>
      <c r="AH179" s="28" t="s">
        <v>2370</v>
      </c>
      <c r="AJ179" s="4" t="s">
        <v>2975</v>
      </c>
      <c r="AT179" s="6"/>
    </row>
    <row r="180" spans="2:46" x14ac:dyDescent="0.2">
      <c r="B180" s="4" t="s">
        <v>1335</v>
      </c>
      <c r="C180" s="4">
        <v>18.180599999999998</v>
      </c>
      <c r="D180" s="4">
        <v>18.339600000000001</v>
      </c>
      <c r="E180" s="4">
        <v>18.081600000000002</v>
      </c>
      <c r="F180" s="4">
        <f t="shared" si="8"/>
        <v>18.200600000000001</v>
      </c>
      <c r="I180" s="4" t="s">
        <v>3516</v>
      </c>
      <c r="J180" s="4">
        <v>18.431100000000001</v>
      </c>
      <c r="K180" s="4">
        <v>18.269200000000001</v>
      </c>
      <c r="L180" s="4">
        <v>18.132999999999999</v>
      </c>
      <c r="M180" s="4">
        <f t="shared" si="9"/>
        <v>18.277766666666665</v>
      </c>
      <c r="P180" s="4" t="str">
        <f>"B0379.1"</f>
        <v>B0379.1</v>
      </c>
      <c r="Q180" s="4">
        <v>18.445412222028299</v>
      </c>
      <c r="R180" s="4">
        <v>17.956793593992</v>
      </c>
      <c r="S180" s="4">
        <v>18.165365958967701</v>
      </c>
      <c r="T180" s="4">
        <f t="shared" si="10"/>
        <v>18.189190591662665</v>
      </c>
      <c r="W180" s="4" t="str">
        <f>"hrpr-1"</f>
        <v>hrpr-1</v>
      </c>
      <c r="X180" s="4">
        <v>18.259290462848899</v>
      </c>
      <c r="Y180" s="4">
        <v>18.4097221849159</v>
      </c>
      <c r="Z180" s="4">
        <v>18.241815063419601</v>
      </c>
      <c r="AA180" s="4">
        <f t="shared" si="11"/>
        <v>18.303609237061469</v>
      </c>
      <c r="AH180" s="28" t="s">
        <v>2509</v>
      </c>
      <c r="AJ180" s="4" t="s">
        <v>4612</v>
      </c>
      <c r="AQ180" s="6"/>
      <c r="AR180" s="6"/>
      <c r="AS180" s="6"/>
      <c r="AT180" s="6"/>
    </row>
    <row r="181" spans="2:46" x14ac:dyDescent="0.2">
      <c r="B181" s="4" t="s">
        <v>2721</v>
      </c>
      <c r="C181" s="4">
        <v>18.317499999999999</v>
      </c>
      <c r="D181" s="4">
        <v>18.235299999999999</v>
      </c>
      <c r="E181" s="4">
        <v>18.027899999999999</v>
      </c>
      <c r="F181" s="4">
        <f t="shared" si="8"/>
        <v>18.193566666666666</v>
      </c>
      <c r="I181" s="4" t="s">
        <v>3723</v>
      </c>
      <c r="J181" s="4">
        <v>18.2818</v>
      </c>
      <c r="K181" s="4">
        <v>18.325500000000002</v>
      </c>
      <c r="L181" s="4">
        <v>18.2255</v>
      </c>
      <c r="M181" s="4">
        <f t="shared" si="9"/>
        <v>18.277600000000003</v>
      </c>
      <c r="P181" s="4" t="str">
        <f>"ola-1"</f>
        <v>ola-1</v>
      </c>
      <c r="Q181" s="4">
        <v>18.076649395645301</v>
      </c>
      <c r="R181" s="4">
        <v>18.204162781612599</v>
      </c>
      <c r="S181" s="4">
        <v>18.2542096133852</v>
      </c>
      <c r="T181" s="4">
        <f t="shared" si="10"/>
        <v>18.178340596881032</v>
      </c>
      <c r="W181" s="4" t="str">
        <f>"T05H10.6"</f>
        <v>T05H10.6</v>
      </c>
      <c r="X181" s="4">
        <v>17.952312999245699</v>
      </c>
      <c r="Y181" s="4">
        <v>18.504662924278101</v>
      </c>
      <c r="Z181" s="4">
        <v>18.434885252261299</v>
      </c>
      <c r="AA181" s="4">
        <f t="shared" si="11"/>
        <v>18.297287058595032</v>
      </c>
      <c r="AH181" s="28" t="s">
        <v>4027</v>
      </c>
      <c r="AJ181" s="4" t="s">
        <v>4044</v>
      </c>
      <c r="AQ181" s="6"/>
      <c r="AR181" s="6"/>
      <c r="AS181" s="6"/>
      <c r="AT181" s="6"/>
    </row>
    <row r="182" spans="2:46" x14ac:dyDescent="0.2">
      <c r="B182" s="4" t="s">
        <v>2054</v>
      </c>
      <c r="C182" s="4">
        <v>18.3508</v>
      </c>
      <c r="D182" s="4">
        <v>17.918600000000001</v>
      </c>
      <c r="E182" s="4">
        <v>18.292300000000001</v>
      </c>
      <c r="F182" s="4">
        <f t="shared" si="8"/>
        <v>18.187233333333335</v>
      </c>
      <c r="I182" s="4" t="s">
        <v>164</v>
      </c>
      <c r="J182" s="4">
        <v>18.646799999999999</v>
      </c>
      <c r="K182" s="4">
        <v>18.579599999999999</v>
      </c>
      <c r="L182" s="4">
        <v>17.5703</v>
      </c>
      <c r="M182" s="4">
        <f t="shared" si="9"/>
        <v>18.265566666666668</v>
      </c>
      <c r="P182" s="4" t="str">
        <f>"sec-61.a"</f>
        <v>sec-61.a</v>
      </c>
      <c r="Q182" s="4">
        <v>18.068289992742098</v>
      </c>
      <c r="R182" s="4">
        <v>18.225379259579299</v>
      </c>
      <c r="S182" s="4">
        <v>18.236931291226799</v>
      </c>
      <c r="T182" s="4">
        <f t="shared" si="10"/>
        <v>18.176866847849396</v>
      </c>
      <c r="W182" s="4" t="str">
        <f>"rpl-33"</f>
        <v>rpl-33</v>
      </c>
      <c r="X182" s="4">
        <v>18.045742740653399</v>
      </c>
      <c r="Y182" s="4">
        <v>18.298148316600599</v>
      </c>
      <c r="Z182" s="4">
        <v>18.469180987860302</v>
      </c>
      <c r="AA182" s="4">
        <f t="shared" si="11"/>
        <v>18.271024015038098</v>
      </c>
      <c r="AH182" s="28" t="s">
        <v>4528</v>
      </c>
      <c r="AJ182" s="4" t="s">
        <v>1348</v>
      </c>
      <c r="AQ182" s="6"/>
      <c r="AR182" s="6"/>
      <c r="AS182" s="6"/>
      <c r="AT182" s="6"/>
    </row>
    <row r="183" spans="2:46" x14ac:dyDescent="0.2">
      <c r="B183" s="4" t="s">
        <v>1719</v>
      </c>
      <c r="C183" s="4">
        <v>17.9023</v>
      </c>
      <c r="D183" s="4">
        <v>18.493600000000001</v>
      </c>
      <c r="E183" s="4">
        <v>18.131599999999999</v>
      </c>
      <c r="F183" s="4">
        <f t="shared" si="8"/>
        <v>18.175833333333333</v>
      </c>
      <c r="I183" s="4" t="s">
        <v>3362</v>
      </c>
      <c r="J183" s="4">
        <v>18.326699999999999</v>
      </c>
      <c r="K183" s="4">
        <v>18.394200000000001</v>
      </c>
      <c r="L183" s="4">
        <v>18.052099999999999</v>
      </c>
      <c r="M183" s="4">
        <f t="shared" si="9"/>
        <v>18.257666666666665</v>
      </c>
      <c r="P183" s="4" t="str">
        <f>"akt-1"</f>
        <v>akt-1</v>
      </c>
      <c r="Q183" s="4">
        <v>18.242558612662201</v>
      </c>
      <c r="R183" s="4">
        <v>18.095173566528299</v>
      </c>
      <c r="S183" s="4">
        <v>18.0542171522907</v>
      </c>
      <c r="T183" s="4">
        <f t="shared" si="10"/>
        <v>18.1306497771604</v>
      </c>
      <c r="W183" s="4" t="str">
        <f>"pfn-1"</f>
        <v>pfn-1</v>
      </c>
      <c r="X183" s="4">
        <v>18.6005073632899</v>
      </c>
      <c r="Y183" s="4">
        <v>18.2196460709417</v>
      </c>
      <c r="Z183" s="4">
        <v>17.976557146451398</v>
      </c>
      <c r="AA183" s="4">
        <f t="shared" si="11"/>
        <v>18.265570193561</v>
      </c>
      <c r="AH183" s="28" t="s">
        <v>1474</v>
      </c>
      <c r="AJ183" s="4" t="s">
        <v>4288</v>
      </c>
      <c r="AQ183" s="6"/>
      <c r="AR183" s="6"/>
      <c r="AS183" s="6"/>
      <c r="AT183" s="6"/>
    </row>
    <row r="184" spans="2:46" x14ac:dyDescent="0.2">
      <c r="B184" s="4" t="s">
        <v>1378</v>
      </c>
      <c r="C184" s="4">
        <v>18.201799999999999</v>
      </c>
      <c r="D184" s="4">
        <v>18.0306</v>
      </c>
      <c r="E184" s="4">
        <v>18.261299999999999</v>
      </c>
      <c r="F184" s="4">
        <f t="shared" si="8"/>
        <v>18.164566666666666</v>
      </c>
      <c r="I184" s="4" t="s">
        <v>587</v>
      </c>
      <c r="J184" s="4">
        <v>18.3386</v>
      </c>
      <c r="K184" s="4">
        <v>18.369199999999999</v>
      </c>
      <c r="L184" s="4">
        <v>18.045000000000002</v>
      </c>
      <c r="M184" s="4">
        <f t="shared" si="9"/>
        <v>18.250933333333332</v>
      </c>
      <c r="P184" s="4" t="str">
        <f>"pod-2"</f>
        <v>pod-2</v>
      </c>
      <c r="Q184" s="4">
        <v>18.286458879182199</v>
      </c>
      <c r="R184" s="4">
        <v>17.961488181843201</v>
      </c>
      <c r="S184" s="4">
        <v>18.140421708964499</v>
      </c>
      <c r="T184" s="4">
        <f t="shared" si="10"/>
        <v>18.1294562566633</v>
      </c>
      <c r="W184" s="4" t="str">
        <f>"B0250.5"</f>
        <v>B0250.5</v>
      </c>
      <c r="X184" s="4">
        <v>18.112645608834999</v>
      </c>
      <c r="Y184" s="4">
        <v>18.304351325765499</v>
      </c>
      <c r="Z184" s="4">
        <v>18.345590629474898</v>
      </c>
      <c r="AA184" s="4">
        <f t="shared" si="11"/>
        <v>18.254195854691798</v>
      </c>
      <c r="AH184" s="28" t="s">
        <v>1487</v>
      </c>
      <c r="AJ184" s="4" t="s">
        <v>4179</v>
      </c>
      <c r="AQ184" s="6"/>
      <c r="AR184" s="6"/>
      <c r="AS184" s="6"/>
      <c r="AT184" s="6"/>
    </row>
    <row r="185" spans="2:46" x14ac:dyDescent="0.2">
      <c r="B185" s="4" t="s">
        <v>2531</v>
      </c>
      <c r="C185" s="4">
        <v>18.327500000000001</v>
      </c>
      <c r="D185" s="4">
        <v>18.060199999999998</v>
      </c>
      <c r="E185" s="4">
        <v>18.0962</v>
      </c>
      <c r="F185" s="4">
        <f t="shared" si="8"/>
        <v>18.161299999999997</v>
      </c>
      <c r="I185" s="4" t="s">
        <v>1378</v>
      </c>
      <c r="J185" s="4">
        <v>18.254799999999999</v>
      </c>
      <c r="K185" s="4">
        <v>18.229500000000002</v>
      </c>
      <c r="L185" s="4">
        <v>18.261600000000001</v>
      </c>
      <c r="M185" s="4">
        <f t="shared" si="9"/>
        <v>18.248633333333334</v>
      </c>
      <c r="P185" s="4" t="str">
        <f>"cpl-1"</f>
        <v>cpl-1</v>
      </c>
      <c r="Q185" s="4">
        <v>18.0174316916846</v>
      </c>
      <c r="R185" s="4">
        <v>18.104486093282802</v>
      </c>
      <c r="S185" s="4">
        <v>18.2255293221972</v>
      </c>
      <c r="T185" s="4">
        <f t="shared" si="10"/>
        <v>18.1158157023882</v>
      </c>
      <c r="W185" s="4" t="str">
        <f>"pqn-52"</f>
        <v>pqn-52</v>
      </c>
      <c r="X185" s="4">
        <v>17.948139623559399</v>
      </c>
      <c r="Y185" s="4">
        <v>18.330646955089701</v>
      </c>
      <c r="Z185" s="4">
        <v>18.476200458720701</v>
      </c>
      <c r="AA185" s="4">
        <f t="shared" si="11"/>
        <v>18.251662345789935</v>
      </c>
      <c r="AH185" s="28" t="s">
        <v>4664</v>
      </c>
      <c r="AJ185" s="4" t="s">
        <v>2623</v>
      </c>
      <c r="AT185" s="6"/>
    </row>
    <row r="186" spans="2:46" x14ac:dyDescent="0.2">
      <c r="B186" s="4" t="s">
        <v>1833</v>
      </c>
      <c r="C186" s="4">
        <v>18.221</v>
      </c>
      <c r="D186" s="4">
        <v>18.2562</v>
      </c>
      <c r="E186" s="4">
        <v>18.005299999999998</v>
      </c>
      <c r="F186" s="4">
        <f t="shared" si="8"/>
        <v>18.160833333333333</v>
      </c>
      <c r="I186" s="4" t="s">
        <v>2622</v>
      </c>
      <c r="J186" s="4">
        <v>18.5365</v>
      </c>
      <c r="K186" s="4">
        <v>18.213899999999999</v>
      </c>
      <c r="L186" s="4">
        <v>17.962800000000001</v>
      </c>
      <c r="M186" s="4">
        <f t="shared" si="9"/>
        <v>18.237733333333335</v>
      </c>
      <c r="P186" s="4" t="str">
        <f>"cct-7"</f>
        <v>cct-7</v>
      </c>
      <c r="Q186" s="4">
        <v>17.9058172318597</v>
      </c>
      <c r="R186" s="4">
        <v>18.4313628309588</v>
      </c>
      <c r="S186" s="4">
        <v>17.863942637948899</v>
      </c>
      <c r="T186" s="4">
        <f t="shared" si="10"/>
        <v>18.067040900255801</v>
      </c>
      <c r="W186" s="4" t="str">
        <f>"C28H8.3"</f>
        <v>C28H8.3</v>
      </c>
      <c r="X186" s="4">
        <v>18.258518993583699</v>
      </c>
      <c r="Y186" s="4">
        <v>18.333096621302101</v>
      </c>
      <c r="Z186" s="4">
        <v>18.146818166395299</v>
      </c>
      <c r="AA186" s="4">
        <f t="shared" si="11"/>
        <v>18.246144593760366</v>
      </c>
      <c r="AH186" s="28" t="s">
        <v>2576</v>
      </c>
      <c r="AJ186" s="4" t="s">
        <v>4331</v>
      </c>
      <c r="AT186" s="6"/>
    </row>
    <row r="187" spans="2:46" x14ac:dyDescent="0.2">
      <c r="B187" s="4" t="s">
        <v>3848</v>
      </c>
      <c r="C187" s="4">
        <v>18.403400000000001</v>
      </c>
      <c r="D187" s="4">
        <v>18.105399999999999</v>
      </c>
      <c r="E187" s="4">
        <v>17.9588</v>
      </c>
      <c r="F187" s="4">
        <f t="shared" si="8"/>
        <v>18.155866666666668</v>
      </c>
      <c r="I187" s="4" t="s">
        <v>730</v>
      </c>
      <c r="J187" s="4">
        <v>17.939699999999998</v>
      </c>
      <c r="K187" s="4">
        <v>17.9953</v>
      </c>
      <c r="L187" s="4">
        <v>18.770099999999999</v>
      </c>
      <c r="M187" s="4">
        <f t="shared" si="9"/>
        <v>18.235033333333334</v>
      </c>
      <c r="P187" s="4" t="str">
        <f>"myo-1"</f>
        <v>myo-1</v>
      </c>
      <c r="Q187" s="4">
        <v>18.323905992471399</v>
      </c>
      <c r="R187" s="4">
        <v>17.665275146463902</v>
      </c>
      <c r="S187" s="4">
        <v>18.1929635786238</v>
      </c>
      <c r="T187" s="4">
        <f t="shared" si="10"/>
        <v>18.060714905853033</v>
      </c>
      <c r="W187" s="4" t="str">
        <f>"top-2"</f>
        <v>top-2</v>
      </c>
      <c r="X187" s="4">
        <v>18.154499778002702</v>
      </c>
      <c r="Y187" s="4">
        <v>18.229669871823301</v>
      </c>
      <c r="Z187" s="4">
        <v>18.3302922288437</v>
      </c>
      <c r="AA187" s="4">
        <f t="shared" si="11"/>
        <v>18.23815395955657</v>
      </c>
      <c r="AH187" s="28" t="s">
        <v>371</v>
      </c>
      <c r="AJ187" s="4" t="s">
        <v>291</v>
      </c>
      <c r="AT187" s="6"/>
    </row>
    <row r="188" spans="2:46" x14ac:dyDescent="0.2">
      <c r="B188" s="4" t="s">
        <v>20</v>
      </c>
      <c r="C188" s="4">
        <v>18.606000000000002</v>
      </c>
      <c r="D188" s="4">
        <v>17.890899999999998</v>
      </c>
      <c r="E188" s="4">
        <v>17.9663</v>
      </c>
      <c r="F188" s="4">
        <f t="shared" si="8"/>
        <v>18.154399999999999</v>
      </c>
      <c r="I188" s="4" t="s">
        <v>375</v>
      </c>
      <c r="J188" s="4">
        <v>18.2669</v>
      </c>
      <c r="K188" s="4">
        <v>18.165800000000001</v>
      </c>
      <c r="L188" s="4">
        <v>18.2499</v>
      </c>
      <c r="M188" s="4">
        <f t="shared" si="9"/>
        <v>18.22753333333333</v>
      </c>
      <c r="P188" s="4" t="str">
        <f>"fln-1"</f>
        <v>fln-1</v>
      </c>
      <c r="Q188" s="4">
        <v>18.207742109671099</v>
      </c>
      <c r="R188" s="4">
        <v>17.9050324594402</v>
      </c>
      <c r="S188" s="4">
        <v>18.066693282964899</v>
      </c>
      <c r="T188" s="4">
        <f t="shared" si="10"/>
        <v>18.05982261735873</v>
      </c>
      <c r="W188" s="4" t="str">
        <f>"mpc-2"</f>
        <v>mpc-2</v>
      </c>
      <c r="X188" s="4">
        <v>17.890026486718501</v>
      </c>
      <c r="Y188" s="4">
        <v>18.469648288366901</v>
      </c>
      <c r="Z188" s="4">
        <v>18.352754262014699</v>
      </c>
      <c r="AA188" s="4">
        <f t="shared" si="11"/>
        <v>18.237476345700035</v>
      </c>
      <c r="AH188" s="28" t="s">
        <v>4814</v>
      </c>
      <c r="AJ188" s="4" t="s">
        <v>4253</v>
      </c>
      <c r="AT188" s="6"/>
    </row>
    <row r="189" spans="2:46" x14ac:dyDescent="0.2">
      <c r="B189" s="4" t="s">
        <v>1176</v>
      </c>
      <c r="C189" s="4">
        <v>18.058700000000002</v>
      </c>
      <c r="D189" s="4">
        <v>18.226099999999999</v>
      </c>
      <c r="E189" s="4">
        <v>18.1692</v>
      </c>
      <c r="F189" s="4">
        <f t="shared" si="8"/>
        <v>18.151333333333337</v>
      </c>
      <c r="I189" s="4" t="s">
        <v>1377</v>
      </c>
      <c r="J189" s="4">
        <v>18.676300000000001</v>
      </c>
      <c r="K189" s="4">
        <v>18.719100000000001</v>
      </c>
      <c r="L189" s="4">
        <v>17.244499999999999</v>
      </c>
      <c r="M189" s="4">
        <f t="shared" si="9"/>
        <v>18.2133</v>
      </c>
      <c r="P189" s="4" t="str">
        <f>"par-5"</f>
        <v>par-5</v>
      </c>
      <c r="Q189" s="4">
        <v>17.919106622434899</v>
      </c>
      <c r="R189" s="4">
        <v>17.9405162042098</v>
      </c>
      <c r="S189" s="4">
        <v>18.279588375320099</v>
      </c>
      <c r="T189" s="4">
        <f t="shared" si="10"/>
        <v>18.046403733988267</v>
      </c>
      <c r="W189" s="4" t="str">
        <f>"F02A9.10"</f>
        <v>F02A9.10</v>
      </c>
      <c r="X189" s="4">
        <v>18.670432170512299</v>
      </c>
      <c r="Y189" s="4">
        <v>17.948826392325198</v>
      </c>
      <c r="Z189" s="4">
        <v>18.085939183253998</v>
      </c>
      <c r="AA189" s="4">
        <f t="shared" si="11"/>
        <v>18.235065915363833</v>
      </c>
      <c r="AH189" s="28" t="s">
        <v>641</v>
      </c>
      <c r="AJ189" s="4" t="s">
        <v>1233</v>
      </c>
      <c r="AQ189" s="6"/>
      <c r="AR189" s="6"/>
      <c r="AS189" s="6"/>
      <c r="AT189" s="6"/>
    </row>
    <row r="190" spans="2:46" x14ac:dyDescent="0.2">
      <c r="B190" s="4" t="s">
        <v>1241</v>
      </c>
      <c r="C190" s="4">
        <v>18.168299999999999</v>
      </c>
      <c r="D190" s="4">
        <v>18.062200000000001</v>
      </c>
      <c r="E190" s="4">
        <v>18.1877</v>
      </c>
      <c r="F190" s="4">
        <f t="shared" si="8"/>
        <v>18.139399999999998</v>
      </c>
      <c r="I190" s="4" t="s">
        <v>3179</v>
      </c>
      <c r="J190" s="4">
        <v>17.952100000000002</v>
      </c>
      <c r="K190" s="4">
        <v>18.4526</v>
      </c>
      <c r="L190" s="4">
        <v>18.232500000000002</v>
      </c>
      <c r="M190" s="4">
        <f t="shared" si="9"/>
        <v>18.212400000000002</v>
      </c>
      <c r="P190" s="4" t="str">
        <f>"kin-19"</f>
        <v>kin-19</v>
      </c>
      <c r="Q190" s="4">
        <v>18.095613661282901</v>
      </c>
      <c r="R190" s="4">
        <v>17.9852073677447</v>
      </c>
      <c r="S190" s="4">
        <v>18.0462164339087</v>
      </c>
      <c r="T190" s="4">
        <f t="shared" si="10"/>
        <v>18.042345820978767</v>
      </c>
      <c r="W190" s="4" t="str">
        <f>"dhs-24"</f>
        <v>dhs-24</v>
      </c>
      <c r="X190" s="4">
        <v>17.966283286981898</v>
      </c>
      <c r="Y190" s="4">
        <v>18.264992672338099</v>
      </c>
      <c r="Z190" s="4">
        <v>18.4261353839997</v>
      </c>
      <c r="AA190" s="4">
        <f t="shared" si="11"/>
        <v>18.219137114439899</v>
      </c>
      <c r="AH190" s="28" t="s">
        <v>1827</v>
      </c>
      <c r="AJ190" s="4" t="s">
        <v>1593</v>
      </c>
      <c r="AT190" s="6"/>
    </row>
    <row r="191" spans="2:46" x14ac:dyDescent="0.2">
      <c r="B191" s="4" t="s">
        <v>3723</v>
      </c>
      <c r="C191" s="4">
        <v>17.8338</v>
      </c>
      <c r="D191" s="4">
        <v>17.906700000000001</v>
      </c>
      <c r="E191" s="4">
        <v>18.6082</v>
      </c>
      <c r="F191" s="4">
        <f t="shared" si="8"/>
        <v>18.11623333333333</v>
      </c>
      <c r="I191" s="4" t="s">
        <v>1826</v>
      </c>
      <c r="J191" s="4">
        <v>18.247900000000001</v>
      </c>
      <c r="K191" s="4">
        <v>18.2667</v>
      </c>
      <c r="L191" s="4">
        <v>18.090699999999998</v>
      </c>
      <c r="M191" s="4">
        <f t="shared" si="9"/>
        <v>18.201766666666668</v>
      </c>
      <c r="P191" s="4" t="str">
        <f>"nuo-5"</f>
        <v>nuo-5</v>
      </c>
      <c r="Q191" s="4">
        <v>18.341847077345999</v>
      </c>
      <c r="R191" s="4">
        <v>17.802210257502299</v>
      </c>
      <c r="S191" s="4">
        <v>17.943137926570301</v>
      </c>
      <c r="T191" s="4">
        <f t="shared" si="10"/>
        <v>18.029065087139532</v>
      </c>
      <c r="W191" s="4" t="str">
        <f>"bckd-1A"</f>
        <v>bckd-1A</v>
      </c>
      <c r="X191" s="4">
        <v>18.059600540502998</v>
      </c>
      <c r="Y191" s="4">
        <v>18.280611334097301</v>
      </c>
      <c r="Z191" s="4">
        <v>18.308570735088701</v>
      </c>
      <c r="AA191" s="4">
        <f t="shared" si="11"/>
        <v>18.216260869896335</v>
      </c>
      <c r="AH191" s="28" t="s">
        <v>1330</v>
      </c>
      <c r="AJ191" s="4" t="s">
        <v>4518</v>
      </c>
      <c r="AT191" s="6"/>
    </row>
    <row r="192" spans="2:46" x14ac:dyDescent="0.2">
      <c r="B192" s="4" t="s">
        <v>3268</v>
      </c>
      <c r="C192" s="4">
        <v>17.969000000000001</v>
      </c>
      <c r="D192" s="4">
        <v>18.1038</v>
      </c>
      <c r="E192" s="4">
        <v>18.146999999999998</v>
      </c>
      <c r="F192" s="4">
        <f t="shared" si="8"/>
        <v>18.073266666666665</v>
      </c>
      <c r="I192" s="4" t="s">
        <v>2844</v>
      </c>
      <c r="J192" s="4">
        <v>18.192299999999999</v>
      </c>
      <c r="K192" s="4">
        <v>18.195</v>
      </c>
      <c r="L192" s="4">
        <v>18.216899999999999</v>
      </c>
      <c r="M192" s="4">
        <f t="shared" si="9"/>
        <v>18.201399999999996</v>
      </c>
      <c r="P192" s="4" t="str">
        <f>"B0250.5"</f>
        <v>B0250.5</v>
      </c>
      <c r="Q192" s="4">
        <v>18.082248753067699</v>
      </c>
      <c r="R192" s="4">
        <v>17.981454459789699</v>
      </c>
      <c r="S192" s="4">
        <v>18.022836771021101</v>
      </c>
      <c r="T192" s="4">
        <f t="shared" si="10"/>
        <v>18.028846661292832</v>
      </c>
      <c r="W192" s="4" t="str">
        <f>"rpl-35"</f>
        <v>rpl-35</v>
      </c>
      <c r="X192" s="4">
        <v>18.0553411843328</v>
      </c>
      <c r="Y192" s="4">
        <v>18.258037017692899</v>
      </c>
      <c r="Z192" s="4">
        <v>18.2692578729004</v>
      </c>
      <c r="AA192" s="4">
        <f t="shared" si="11"/>
        <v>18.194212024975368</v>
      </c>
      <c r="AH192" s="28" t="s">
        <v>381</v>
      </c>
      <c r="AJ192" s="4" t="s">
        <v>4541</v>
      </c>
      <c r="AQ192" s="6"/>
      <c r="AR192" s="6"/>
      <c r="AS192" s="6"/>
      <c r="AT192" s="6"/>
    </row>
    <row r="193" spans="2:46" x14ac:dyDescent="0.2">
      <c r="B193" s="4" t="s">
        <v>2144</v>
      </c>
      <c r="C193" s="4">
        <v>18.2075</v>
      </c>
      <c r="D193" s="4">
        <v>18.016500000000001</v>
      </c>
      <c r="E193" s="4">
        <v>17.903199999999998</v>
      </c>
      <c r="F193" s="4">
        <f t="shared" si="8"/>
        <v>18.042400000000001</v>
      </c>
      <c r="I193" s="4" t="s">
        <v>1502</v>
      </c>
      <c r="J193" s="4">
        <v>18.0733</v>
      </c>
      <c r="K193" s="4">
        <v>17.8443</v>
      </c>
      <c r="L193" s="4">
        <v>18.632400000000001</v>
      </c>
      <c r="M193" s="4">
        <f t="shared" si="9"/>
        <v>18.183333333333334</v>
      </c>
      <c r="P193" s="4" t="str">
        <f>"rpn-3"</f>
        <v>rpn-3</v>
      </c>
      <c r="Q193" s="4">
        <v>18.0539975538642</v>
      </c>
      <c r="R193" s="4">
        <v>18.0408218200538</v>
      </c>
      <c r="S193" s="4">
        <v>17.974054805149699</v>
      </c>
      <c r="T193" s="4">
        <f t="shared" si="10"/>
        <v>18.022958059689234</v>
      </c>
      <c r="W193" s="4" t="str">
        <f>"pyr-1"</f>
        <v>pyr-1</v>
      </c>
      <c r="X193" s="4">
        <v>18.027376320354399</v>
      </c>
      <c r="Y193" s="4">
        <v>18.297609022623298</v>
      </c>
      <c r="Z193" s="4">
        <v>18.252135962594</v>
      </c>
      <c r="AA193" s="4">
        <f t="shared" si="11"/>
        <v>18.192373768523897</v>
      </c>
      <c r="AH193" s="28" t="s">
        <v>2274</v>
      </c>
      <c r="AJ193" s="4" t="s">
        <v>3499</v>
      </c>
      <c r="AQ193" s="6"/>
      <c r="AR193" s="6"/>
      <c r="AS193" s="6"/>
      <c r="AT193" s="6"/>
    </row>
    <row r="194" spans="2:46" x14ac:dyDescent="0.2">
      <c r="B194" s="4" t="s">
        <v>1323</v>
      </c>
      <c r="C194" s="4">
        <v>18.017900000000001</v>
      </c>
      <c r="D194" s="4">
        <v>18.04</v>
      </c>
      <c r="E194" s="4">
        <v>18.012499999999999</v>
      </c>
      <c r="F194" s="4">
        <f t="shared" ref="F194:F257" si="12">(C194+D194+E194)/3</f>
        <v>18.023466666666668</v>
      </c>
      <c r="I194" s="4" t="s">
        <v>284</v>
      </c>
      <c r="J194" s="4">
        <v>18.140499999999999</v>
      </c>
      <c r="K194" s="4">
        <v>18.3399</v>
      </c>
      <c r="L194" s="4">
        <v>18.05</v>
      </c>
      <c r="M194" s="4">
        <f t="shared" ref="M194:M257" si="13">(J194+K194+L194)/3</f>
        <v>18.1768</v>
      </c>
      <c r="P194" s="4" t="str">
        <f>"rpt-1"</f>
        <v>rpt-1</v>
      </c>
      <c r="Q194" s="4">
        <v>18.138196304533299</v>
      </c>
      <c r="R194" s="4">
        <v>17.929604446437899</v>
      </c>
      <c r="S194" s="4">
        <v>17.978810910445599</v>
      </c>
      <c r="T194" s="4">
        <f t="shared" ref="T194:T257" si="14">(Q194+R194+S194)/3</f>
        <v>18.015537220472268</v>
      </c>
      <c r="W194" s="4" t="str">
        <f>"arl-1"</f>
        <v>arl-1</v>
      </c>
      <c r="X194" s="4">
        <v>18.162294132850299</v>
      </c>
      <c r="Y194" s="4">
        <v>18.173419884413899</v>
      </c>
      <c r="Z194" s="4">
        <v>18.224828858786498</v>
      </c>
      <c r="AA194" s="4">
        <f t="shared" ref="AA194:AA257" si="15">(X194+Y194+Z194)/3</f>
        <v>18.186847625350229</v>
      </c>
      <c r="AH194" s="28" t="s">
        <v>405</v>
      </c>
      <c r="AJ194" s="4" t="s">
        <v>1168</v>
      </c>
      <c r="AQ194" s="6"/>
      <c r="AR194" s="6"/>
      <c r="AS194" s="6"/>
      <c r="AT194" s="6"/>
    </row>
    <row r="195" spans="2:46" x14ac:dyDescent="0.2">
      <c r="B195" s="4" t="s">
        <v>662</v>
      </c>
      <c r="C195" s="4">
        <v>18.130099999999999</v>
      </c>
      <c r="D195" s="4">
        <v>18.1416</v>
      </c>
      <c r="E195" s="4">
        <v>17.782399999999999</v>
      </c>
      <c r="F195" s="4">
        <f t="shared" si="12"/>
        <v>18.018033333333332</v>
      </c>
      <c r="I195" s="4" t="s">
        <v>664</v>
      </c>
      <c r="J195" s="4">
        <v>17.882100000000001</v>
      </c>
      <c r="K195" s="4">
        <v>18.0791</v>
      </c>
      <c r="L195" s="4">
        <v>18.5562</v>
      </c>
      <c r="M195" s="4">
        <f t="shared" si="13"/>
        <v>18.172466666666669</v>
      </c>
      <c r="P195" s="4" t="str">
        <f>"fars-3"</f>
        <v>fars-3</v>
      </c>
      <c r="Q195" s="4">
        <v>17.975216826778599</v>
      </c>
      <c r="R195" s="4">
        <v>18.095141650809701</v>
      </c>
      <c r="S195" s="4">
        <v>17.941693354958701</v>
      </c>
      <c r="T195" s="4">
        <f t="shared" si="14"/>
        <v>18.004017277515668</v>
      </c>
      <c r="W195" s="4" t="str">
        <f>"mdh-2"</f>
        <v>mdh-2</v>
      </c>
      <c r="X195" s="4">
        <v>18.295770950260302</v>
      </c>
      <c r="Y195" s="4">
        <v>18.0639292066911</v>
      </c>
      <c r="Z195" s="4">
        <v>18.142767516230101</v>
      </c>
      <c r="AA195" s="4">
        <f t="shared" si="15"/>
        <v>18.167489224393837</v>
      </c>
      <c r="AH195" s="28" t="s">
        <v>4632</v>
      </c>
      <c r="AJ195" s="4" t="s">
        <v>2407</v>
      </c>
      <c r="AT195" s="6"/>
    </row>
    <row r="196" spans="2:46" x14ac:dyDescent="0.2">
      <c r="B196" s="4" t="s">
        <v>589</v>
      </c>
      <c r="C196" s="4">
        <v>17.974699999999999</v>
      </c>
      <c r="D196" s="4">
        <v>18.146100000000001</v>
      </c>
      <c r="E196" s="4">
        <v>17.916699999999999</v>
      </c>
      <c r="F196" s="4">
        <f t="shared" si="12"/>
        <v>18.012499999999999</v>
      </c>
      <c r="I196" s="4" t="s">
        <v>1752</v>
      </c>
      <c r="J196" s="4">
        <v>18.266200000000001</v>
      </c>
      <c r="K196" s="4">
        <v>18.1997</v>
      </c>
      <c r="L196" s="4">
        <v>17.950600000000001</v>
      </c>
      <c r="M196" s="4">
        <f t="shared" si="13"/>
        <v>18.138833333333334</v>
      </c>
      <c r="P196" s="4" t="str">
        <f>"arl-1"</f>
        <v>arl-1</v>
      </c>
      <c r="Q196" s="4">
        <v>18.174047880180801</v>
      </c>
      <c r="R196" s="4">
        <v>17.9021762774859</v>
      </c>
      <c r="S196" s="4">
        <v>17.885717313239802</v>
      </c>
      <c r="T196" s="4">
        <f t="shared" si="14"/>
        <v>17.9873138236355</v>
      </c>
      <c r="W196" s="4" t="str">
        <f>"kin-19"</f>
        <v>kin-19</v>
      </c>
      <c r="X196" s="4">
        <v>18.043809416357</v>
      </c>
      <c r="Y196" s="4">
        <v>18.162525210250301</v>
      </c>
      <c r="Z196" s="4">
        <v>18.185192114355299</v>
      </c>
      <c r="AA196" s="4">
        <f t="shared" si="15"/>
        <v>18.1305089136542</v>
      </c>
      <c r="AH196" s="28" t="s">
        <v>2302</v>
      </c>
      <c r="AJ196" s="4" t="s">
        <v>2100</v>
      </c>
      <c r="AQ196" s="6"/>
      <c r="AR196" s="6"/>
      <c r="AS196" s="6"/>
      <c r="AT196" s="6"/>
    </row>
    <row r="197" spans="2:46" x14ac:dyDescent="0.2">
      <c r="B197" s="4" t="s">
        <v>370</v>
      </c>
      <c r="C197" s="4">
        <v>17.9496</v>
      </c>
      <c r="D197" s="4">
        <v>18.1555</v>
      </c>
      <c r="E197" s="4">
        <v>17.914300000000001</v>
      </c>
      <c r="F197" s="4">
        <f t="shared" si="12"/>
        <v>18.006466666666668</v>
      </c>
      <c r="I197" s="4" t="s">
        <v>2282</v>
      </c>
      <c r="J197" s="4">
        <v>18.283200000000001</v>
      </c>
      <c r="K197" s="4">
        <v>18.094799999999999</v>
      </c>
      <c r="L197" s="4">
        <v>18.032</v>
      </c>
      <c r="M197" s="4">
        <f t="shared" si="13"/>
        <v>18.136666666666667</v>
      </c>
      <c r="P197" s="4" t="str">
        <f>"gpa-4"</f>
        <v>gpa-4</v>
      </c>
      <c r="Q197" s="4">
        <v>18.0463366171799</v>
      </c>
      <c r="R197" s="4">
        <v>17.821246012437101</v>
      </c>
      <c r="S197" s="4">
        <v>17.979008799793501</v>
      </c>
      <c r="T197" s="4">
        <f t="shared" si="14"/>
        <v>17.948863809803502</v>
      </c>
      <c r="W197" s="4" t="str">
        <f>"ubl-1"</f>
        <v>ubl-1</v>
      </c>
      <c r="X197" s="4">
        <v>18.556057826255898</v>
      </c>
      <c r="Y197" s="4">
        <v>18.113917000888801</v>
      </c>
      <c r="Z197" s="4">
        <v>17.721288627285698</v>
      </c>
      <c r="AA197" s="4">
        <f t="shared" si="15"/>
        <v>18.130421151476799</v>
      </c>
      <c r="AH197" s="28" t="s">
        <v>4649</v>
      </c>
      <c r="AJ197" s="4" t="s">
        <v>3334</v>
      </c>
      <c r="AQ197" s="6"/>
      <c r="AR197" s="6"/>
      <c r="AS197" s="6"/>
      <c r="AT197" s="6"/>
    </row>
    <row r="198" spans="2:46" x14ac:dyDescent="0.2">
      <c r="B198" s="4" t="s">
        <v>375</v>
      </c>
      <c r="C198" s="4">
        <v>18.0198</v>
      </c>
      <c r="D198" s="4">
        <v>18.413900000000002</v>
      </c>
      <c r="E198" s="4">
        <v>17.575299999999999</v>
      </c>
      <c r="F198" s="4">
        <f t="shared" si="12"/>
        <v>18.003</v>
      </c>
      <c r="I198" s="4" t="s">
        <v>2435</v>
      </c>
      <c r="J198" s="4">
        <v>18.755500000000001</v>
      </c>
      <c r="K198" s="4">
        <v>17.2883</v>
      </c>
      <c r="L198" s="4">
        <v>18.333200000000001</v>
      </c>
      <c r="M198" s="4">
        <f t="shared" si="13"/>
        <v>18.125666666666671</v>
      </c>
      <c r="P198" s="4" t="str">
        <f>"atad-3"</f>
        <v>atad-3</v>
      </c>
      <c r="Q198" s="4">
        <v>18.184088585002801</v>
      </c>
      <c r="R198" s="4">
        <v>17.801118906695098</v>
      </c>
      <c r="S198" s="4">
        <v>17.860517936207401</v>
      </c>
      <c r="T198" s="4">
        <f t="shared" si="14"/>
        <v>17.9485751426351</v>
      </c>
      <c r="W198" s="4" t="str">
        <f>"tsn-1"</f>
        <v>tsn-1</v>
      </c>
      <c r="X198" s="4">
        <v>18.283121148305099</v>
      </c>
      <c r="Y198" s="4">
        <v>18.142163730216499</v>
      </c>
      <c r="Z198" s="4">
        <v>17.933287933083299</v>
      </c>
      <c r="AA198" s="4">
        <f t="shared" si="15"/>
        <v>18.119524270534964</v>
      </c>
      <c r="AH198" s="28" t="s">
        <v>4717</v>
      </c>
      <c r="AJ198" s="4" t="s">
        <v>3158</v>
      </c>
      <c r="AT198" s="6"/>
    </row>
    <row r="199" spans="2:46" x14ac:dyDescent="0.2">
      <c r="B199" s="4" t="s">
        <v>2698</v>
      </c>
      <c r="C199" s="4">
        <v>18.157699999999998</v>
      </c>
      <c r="D199" s="4">
        <v>17.849499999999999</v>
      </c>
      <c r="E199" s="4">
        <v>17.915099999999999</v>
      </c>
      <c r="F199" s="4">
        <f t="shared" si="12"/>
        <v>17.974099999999996</v>
      </c>
      <c r="I199" s="4" t="s">
        <v>1176</v>
      </c>
      <c r="J199" s="4">
        <v>18.114699999999999</v>
      </c>
      <c r="K199" s="4">
        <v>18.054400000000001</v>
      </c>
      <c r="L199" s="4">
        <v>18.163799999999998</v>
      </c>
      <c r="M199" s="4">
        <f t="shared" si="13"/>
        <v>18.110966666666666</v>
      </c>
      <c r="P199" s="4" t="str">
        <f>"ivd-1"</f>
        <v>ivd-1</v>
      </c>
      <c r="Q199" s="4">
        <v>17.980192407709701</v>
      </c>
      <c r="R199" s="4">
        <v>18.001508799920199</v>
      </c>
      <c r="S199" s="4">
        <v>17.854036260121202</v>
      </c>
      <c r="T199" s="4">
        <f t="shared" si="14"/>
        <v>17.945245822583701</v>
      </c>
      <c r="W199" s="4" t="str">
        <f>"eif-2alpha"</f>
        <v>eif-2alpha</v>
      </c>
      <c r="X199" s="4">
        <v>18.060584675890901</v>
      </c>
      <c r="Y199" s="4">
        <v>18.192304533229901</v>
      </c>
      <c r="Z199" s="4">
        <v>18.044233232308201</v>
      </c>
      <c r="AA199" s="4">
        <f t="shared" si="15"/>
        <v>18.099040813809669</v>
      </c>
      <c r="AH199" s="28" t="s">
        <v>2238</v>
      </c>
      <c r="AJ199" s="4" t="s">
        <v>2250</v>
      </c>
      <c r="AQ199" s="6"/>
      <c r="AR199" s="6"/>
      <c r="AS199" s="6"/>
      <c r="AT199" s="6"/>
    </row>
    <row r="200" spans="2:46" x14ac:dyDescent="0.2">
      <c r="B200" s="4" t="s">
        <v>2881</v>
      </c>
      <c r="C200" s="4">
        <v>18.403099999999998</v>
      </c>
      <c r="D200" s="4">
        <v>17.226600000000001</v>
      </c>
      <c r="E200" s="4">
        <v>18.280100000000001</v>
      </c>
      <c r="F200" s="4">
        <f t="shared" si="12"/>
        <v>17.969933333333334</v>
      </c>
      <c r="I200" s="4" t="s">
        <v>1833</v>
      </c>
      <c r="J200" s="4">
        <v>18.187799999999999</v>
      </c>
      <c r="K200" s="4">
        <v>18.251100000000001</v>
      </c>
      <c r="L200" s="4">
        <v>17.8705</v>
      </c>
      <c r="M200" s="4">
        <f t="shared" si="13"/>
        <v>18.103133333333336</v>
      </c>
      <c r="P200" s="4" t="str">
        <f>"arf-3"</f>
        <v>arf-3</v>
      </c>
      <c r="Q200" s="4">
        <v>17.9637369823593</v>
      </c>
      <c r="R200" s="4">
        <v>17.857144752473602</v>
      </c>
      <c r="S200" s="4">
        <v>18.001769951734399</v>
      </c>
      <c r="T200" s="4">
        <f t="shared" si="14"/>
        <v>17.940883895522433</v>
      </c>
      <c r="W200" s="4" t="str">
        <f>"sip-1"</f>
        <v>sip-1</v>
      </c>
      <c r="X200" s="4">
        <v>18.251167524419301</v>
      </c>
      <c r="Y200" s="4">
        <v>18.0561809772408</v>
      </c>
      <c r="Z200" s="4">
        <v>17.9547641054602</v>
      </c>
      <c r="AA200" s="4">
        <f t="shared" si="15"/>
        <v>18.0873708690401</v>
      </c>
      <c r="AH200" s="28" t="s">
        <v>1926</v>
      </c>
      <c r="AJ200" s="4" t="s">
        <v>4063</v>
      </c>
      <c r="AT200" s="6"/>
    </row>
    <row r="201" spans="2:46" x14ac:dyDescent="0.2">
      <c r="B201" s="4" t="s">
        <v>748</v>
      </c>
      <c r="C201" s="4">
        <v>17.925799999999999</v>
      </c>
      <c r="D201" s="4">
        <v>17.751799999999999</v>
      </c>
      <c r="E201" s="4">
        <v>18.214600000000001</v>
      </c>
      <c r="F201" s="4">
        <f t="shared" si="12"/>
        <v>17.964066666666668</v>
      </c>
      <c r="I201" s="4" t="s">
        <v>1323</v>
      </c>
      <c r="J201" s="4">
        <v>18.147400000000001</v>
      </c>
      <c r="K201" s="4">
        <v>18.2012</v>
      </c>
      <c r="L201" s="4">
        <v>17.9283</v>
      </c>
      <c r="M201" s="4">
        <f t="shared" si="13"/>
        <v>18.092300000000002</v>
      </c>
      <c r="P201" s="4" t="str">
        <f>"dyn-1"</f>
        <v>dyn-1</v>
      </c>
      <c r="Q201" s="4">
        <v>17.994679183068602</v>
      </c>
      <c r="R201" s="4">
        <v>17.9936993727597</v>
      </c>
      <c r="S201" s="4">
        <v>17.828177594028201</v>
      </c>
      <c r="T201" s="4">
        <f t="shared" si="14"/>
        <v>17.938852049952171</v>
      </c>
      <c r="W201" s="4" t="str">
        <f>"rpn-3"</f>
        <v>rpn-3</v>
      </c>
      <c r="X201" s="4">
        <v>18.141485479271498</v>
      </c>
      <c r="Y201" s="4">
        <v>18.200724546162</v>
      </c>
      <c r="Z201" s="4">
        <v>17.919628359015501</v>
      </c>
      <c r="AA201" s="4">
        <f t="shared" si="15"/>
        <v>18.087279461483003</v>
      </c>
      <c r="AH201" s="28" t="s">
        <v>4052</v>
      </c>
      <c r="AJ201" s="4" t="s">
        <v>3749</v>
      </c>
      <c r="AQ201" s="6"/>
      <c r="AR201" s="6"/>
      <c r="AS201" s="6"/>
      <c r="AT201" s="6"/>
    </row>
    <row r="202" spans="2:46" x14ac:dyDescent="0.2">
      <c r="B202" s="4" t="s">
        <v>587</v>
      </c>
      <c r="C202" s="4">
        <v>17.9374</v>
      </c>
      <c r="D202" s="4">
        <v>17.805299999999999</v>
      </c>
      <c r="E202" s="4">
        <v>18.098800000000001</v>
      </c>
      <c r="F202" s="4">
        <f t="shared" si="12"/>
        <v>17.947166666666664</v>
      </c>
      <c r="I202" s="4" t="s">
        <v>4026</v>
      </c>
      <c r="J202" s="4">
        <v>18.050699999999999</v>
      </c>
      <c r="K202" s="4">
        <v>18.2575</v>
      </c>
      <c r="L202" s="4">
        <v>17.956399999999999</v>
      </c>
      <c r="M202" s="4">
        <f t="shared" si="13"/>
        <v>18.088200000000001</v>
      </c>
      <c r="P202" s="4" t="str">
        <f>"T09B4.5"</f>
        <v>T09B4.5</v>
      </c>
      <c r="Q202" s="4">
        <v>18.475389865765401</v>
      </c>
      <c r="R202" s="4">
        <v>17.610930252461699</v>
      </c>
      <c r="S202" s="4">
        <v>17.711637590578199</v>
      </c>
      <c r="T202" s="4">
        <f t="shared" si="14"/>
        <v>17.932652569601768</v>
      </c>
      <c r="W202" s="4" t="str">
        <f>"mec-12"</f>
        <v>mec-12</v>
      </c>
      <c r="X202" s="4">
        <v>17.913562715752001</v>
      </c>
      <c r="Y202" s="4">
        <v>18.056144315967799</v>
      </c>
      <c r="Z202" s="4">
        <v>18.174642324973199</v>
      </c>
      <c r="AA202" s="4">
        <f t="shared" si="15"/>
        <v>18.048116452231</v>
      </c>
      <c r="AH202" s="28" t="s">
        <v>3448</v>
      </c>
      <c r="AJ202" s="4" t="s">
        <v>2961</v>
      </c>
      <c r="AQ202" s="6"/>
      <c r="AR202" s="6"/>
      <c r="AS202" s="6"/>
      <c r="AT202" s="6"/>
    </row>
    <row r="203" spans="2:46" x14ac:dyDescent="0.2">
      <c r="B203" s="4" t="s">
        <v>2735</v>
      </c>
      <c r="C203" s="4">
        <v>17.656099999999999</v>
      </c>
      <c r="D203" s="4">
        <v>18.130099999999999</v>
      </c>
      <c r="E203" s="4">
        <v>18.038599999999999</v>
      </c>
      <c r="F203" s="4">
        <f t="shared" si="12"/>
        <v>17.941599999999998</v>
      </c>
      <c r="I203" s="4" t="s">
        <v>374</v>
      </c>
      <c r="J203" s="4">
        <v>18.000299999999999</v>
      </c>
      <c r="K203" s="4">
        <v>18.046900000000001</v>
      </c>
      <c r="L203" s="4">
        <v>18.2041</v>
      </c>
      <c r="M203" s="4">
        <f t="shared" si="13"/>
        <v>18.083766666666666</v>
      </c>
      <c r="P203" s="4" t="str">
        <f>"rpt-5"</f>
        <v>rpt-5</v>
      </c>
      <c r="Q203" s="4">
        <v>18.1081266132372</v>
      </c>
      <c r="R203" s="4">
        <v>17.8569044033556</v>
      </c>
      <c r="S203" s="4">
        <v>17.826411039568601</v>
      </c>
      <c r="T203" s="4">
        <f t="shared" si="14"/>
        <v>17.930480685387135</v>
      </c>
      <c r="W203" s="4" t="str">
        <f>"ldp-1"</f>
        <v>ldp-1</v>
      </c>
      <c r="X203" s="4">
        <v>17.9478732818284</v>
      </c>
      <c r="Y203" s="4">
        <v>18.086359660237001</v>
      </c>
      <c r="Z203" s="4">
        <v>18.0902404834594</v>
      </c>
      <c r="AA203" s="4">
        <f t="shared" si="15"/>
        <v>18.0414911418416</v>
      </c>
      <c r="AH203" s="28" t="s">
        <v>4753</v>
      </c>
      <c r="AJ203" s="4" t="s">
        <v>304</v>
      </c>
      <c r="AQ203" s="6"/>
      <c r="AR203" s="6"/>
      <c r="AS203" s="6"/>
      <c r="AT203" s="6"/>
    </row>
    <row r="204" spans="2:46" x14ac:dyDescent="0.2">
      <c r="B204" s="4" t="s">
        <v>4026</v>
      </c>
      <c r="C204" s="4">
        <v>18.188800000000001</v>
      </c>
      <c r="D204" s="4">
        <v>17.956900000000001</v>
      </c>
      <c r="E204" s="4">
        <v>17.658899999999999</v>
      </c>
      <c r="F204" s="4">
        <f t="shared" si="12"/>
        <v>17.934866666666668</v>
      </c>
      <c r="I204" s="4" t="s">
        <v>1241</v>
      </c>
      <c r="J204" s="4">
        <v>18.256</v>
      </c>
      <c r="K204" s="4">
        <v>18.263300000000001</v>
      </c>
      <c r="L204" s="4">
        <v>17.722999999999999</v>
      </c>
      <c r="M204" s="4">
        <f t="shared" si="13"/>
        <v>18.080766666666666</v>
      </c>
      <c r="P204" s="4" t="str">
        <f>"iff-1"</f>
        <v>iff-1</v>
      </c>
      <c r="Q204" s="4">
        <v>17.980070051650198</v>
      </c>
      <c r="R204" s="4">
        <v>17.7911657252582</v>
      </c>
      <c r="S204" s="4">
        <v>18.013267082174401</v>
      </c>
      <c r="T204" s="4">
        <f t="shared" si="14"/>
        <v>17.928167619694268</v>
      </c>
      <c r="W204" s="4" t="str">
        <f>"ddx-17"</f>
        <v>ddx-17</v>
      </c>
      <c r="X204" s="4">
        <v>17.978414423181999</v>
      </c>
      <c r="Y204" s="4">
        <v>18.099586156931402</v>
      </c>
      <c r="Z204" s="4">
        <v>18.019634211756902</v>
      </c>
      <c r="AA204" s="4">
        <f t="shared" si="15"/>
        <v>18.032544930623434</v>
      </c>
      <c r="AH204" s="28" t="s">
        <v>1391</v>
      </c>
      <c r="AJ204" s="4" t="s">
        <v>3234</v>
      </c>
      <c r="AQ204" s="6"/>
      <c r="AR204" s="6"/>
      <c r="AS204" s="6"/>
    </row>
    <row r="205" spans="2:46" x14ac:dyDescent="0.2">
      <c r="B205" s="4" t="s">
        <v>1662</v>
      </c>
      <c r="C205" s="4">
        <v>17.8094</v>
      </c>
      <c r="D205" s="4">
        <v>17.848500000000001</v>
      </c>
      <c r="E205" s="4">
        <v>18.128599999999999</v>
      </c>
      <c r="F205" s="4">
        <f t="shared" si="12"/>
        <v>17.928833333333333</v>
      </c>
      <c r="I205" s="4" t="s">
        <v>2529</v>
      </c>
      <c r="J205" s="4">
        <v>18.165299999999998</v>
      </c>
      <c r="K205" s="4">
        <v>18.0869</v>
      </c>
      <c r="L205" s="4">
        <v>17.913599999999999</v>
      </c>
      <c r="M205" s="4">
        <f t="shared" si="13"/>
        <v>18.055266666666668</v>
      </c>
      <c r="P205" s="4" t="str">
        <f>"rpl-12"</f>
        <v>rpl-12</v>
      </c>
      <c r="Q205" s="4">
        <v>18.247882578321899</v>
      </c>
      <c r="R205" s="4">
        <v>17.497162728865099</v>
      </c>
      <c r="S205" s="4">
        <v>18.037802066274899</v>
      </c>
      <c r="T205" s="4">
        <f t="shared" si="14"/>
        <v>17.927615791153965</v>
      </c>
      <c r="W205" s="4" t="str">
        <f>"ech-5"</f>
        <v>ech-5</v>
      </c>
      <c r="X205" s="4">
        <v>17.7607861883365</v>
      </c>
      <c r="Y205" s="4">
        <v>18.0368360059846</v>
      </c>
      <c r="Z205" s="4">
        <v>18.230707848117699</v>
      </c>
      <c r="AA205" s="4">
        <f t="shared" si="15"/>
        <v>18.0094433474796</v>
      </c>
      <c r="AH205" s="28" t="s">
        <v>437</v>
      </c>
      <c r="AJ205" s="4" t="s">
        <v>3682</v>
      </c>
      <c r="AQ205" s="6"/>
      <c r="AR205" s="6"/>
      <c r="AS205" s="6"/>
      <c r="AT205" s="6"/>
    </row>
    <row r="206" spans="2:46" x14ac:dyDescent="0.2">
      <c r="B206" s="4" t="s">
        <v>2188</v>
      </c>
      <c r="C206" s="4">
        <v>17.7545</v>
      </c>
      <c r="D206" s="4">
        <v>18.074400000000001</v>
      </c>
      <c r="E206" s="4">
        <v>17.9175</v>
      </c>
      <c r="F206" s="4">
        <f t="shared" si="12"/>
        <v>17.915466666666671</v>
      </c>
      <c r="I206" s="4" t="s">
        <v>20</v>
      </c>
      <c r="J206" s="4">
        <v>18.043099999999999</v>
      </c>
      <c r="K206" s="4">
        <v>17.677900000000001</v>
      </c>
      <c r="L206" s="4">
        <v>18.422000000000001</v>
      </c>
      <c r="M206" s="4">
        <f t="shared" si="13"/>
        <v>18.047666666666668</v>
      </c>
      <c r="P206" s="4" t="str">
        <f>"snrp-200"</f>
        <v>snrp-200</v>
      </c>
      <c r="Q206" s="4">
        <v>17.846781898398699</v>
      </c>
      <c r="R206" s="4">
        <v>18.072780560380298</v>
      </c>
      <c r="S206" s="4">
        <v>17.842942381658801</v>
      </c>
      <c r="T206" s="4">
        <f t="shared" si="14"/>
        <v>17.920834946812601</v>
      </c>
      <c r="W206" s="4" t="str">
        <f>"arf-3"</f>
        <v>arf-3</v>
      </c>
      <c r="X206" s="4">
        <v>18.114625816186201</v>
      </c>
      <c r="Y206" s="4">
        <v>18.0197010285166</v>
      </c>
      <c r="Z206" s="4">
        <v>17.876374452193399</v>
      </c>
      <c r="AA206" s="4">
        <f t="shared" si="15"/>
        <v>18.003567098965402</v>
      </c>
      <c r="AH206" s="28" t="s">
        <v>1389</v>
      </c>
      <c r="AJ206" s="4" t="s">
        <v>3696</v>
      </c>
      <c r="AQ206" s="6"/>
      <c r="AR206" s="6"/>
      <c r="AS206" s="6"/>
      <c r="AT206" s="6"/>
    </row>
    <row r="207" spans="2:46" x14ac:dyDescent="0.2">
      <c r="B207" s="4" t="s">
        <v>1709</v>
      </c>
      <c r="C207" s="4">
        <v>17.947199999999999</v>
      </c>
      <c r="D207" s="4">
        <v>17.873100000000001</v>
      </c>
      <c r="E207" s="4">
        <v>17.8688</v>
      </c>
      <c r="F207" s="4">
        <f t="shared" si="12"/>
        <v>17.896366666666669</v>
      </c>
      <c r="I207" s="4" t="s">
        <v>1058</v>
      </c>
      <c r="J207" s="4">
        <v>17.5641</v>
      </c>
      <c r="K207" s="4">
        <v>17.795200000000001</v>
      </c>
      <c r="L207" s="4">
        <v>18.721299999999999</v>
      </c>
      <c r="M207" s="4">
        <f t="shared" si="13"/>
        <v>18.026866666666667</v>
      </c>
      <c r="P207" s="4" t="str">
        <f>"myo-2"</f>
        <v>myo-2</v>
      </c>
      <c r="Q207" s="4">
        <v>18.1700726205043</v>
      </c>
      <c r="R207" s="4">
        <v>17.532539247521601</v>
      </c>
      <c r="S207" s="4">
        <v>18.042463628650001</v>
      </c>
      <c r="T207" s="4">
        <f t="shared" si="14"/>
        <v>17.915025165558632</v>
      </c>
      <c r="W207" s="4" t="str">
        <f>"nuo-5"</f>
        <v>nuo-5</v>
      </c>
      <c r="X207" s="4">
        <v>17.799581508019799</v>
      </c>
      <c r="Y207" s="4">
        <v>18.016363413255899</v>
      </c>
      <c r="Z207" s="4">
        <v>18.132487878433899</v>
      </c>
      <c r="AA207" s="4">
        <f t="shared" si="15"/>
        <v>17.982810933236532</v>
      </c>
      <c r="AH207" s="28" t="s">
        <v>1460</v>
      </c>
      <c r="AJ207" s="4" t="s">
        <v>72</v>
      </c>
      <c r="AQ207" s="6"/>
      <c r="AR207" s="6"/>
      <c r="AS207" s="6"/>
      <c r="AT207" s="6"/>
    </row>
    <row r="208" spans="2:46" x14ac:dyDescent="0.2">
      <c r="B208" s="4" t="s">
        <v>1642</v>
      </c>
      <c r="C208" s="4">
        <v>17.879100000000001</v>
      </c>
      <c r="D208" s="4">
        <v>18.113600000000002</v>
      </c>
      <c r="E208" s="4">
        <v>17.688600000000001</v>
      </c>
      <c r="F208" s="4">
        <f t="shared" si="12"/>
        <v>17.893766666666668</v>
      </c>
      <c r="I208" s="4" t="s">
        <v>2322</v>
      </c>
      <c r="J208" s="4">
        <v>18.2684</v>
      </c>
      <c r="K208" s="4">
        <v>17.855</v>
      </c>
      <c r="L208" s="4">
        <v>17.949300000000001</v>
      </c>
      <c r="M208" s="4">
        <f t="shared" si="13"/>
        <v>18.024233333333335</v>
      </c>
      <c r="P208" s="4" t="str">
        <f>"rpl-35"</f>
        <v>rpl-35</v>
      </c>
      <c r="Q208" s="4">
        <v>17.705194687807499</v>
      </c>
      <c r="R208" s="4">
        <v>17.839757396592098</v>
      </c>
      <c r="S208" s="4">
        <v>18.198504996712401</v>
      </c>
      <c r="T208" s="4">
        <f t="shared" si="14"/>
        <v>17.914485693703998</v>
      </c>
      <c r="W208" s="4" t="str">
        <f>"nnt-1"</f>
        <v>nnt-1</v>
      </c>
      <c r="X208" s="4">
        <v>17.612675230152199</v>
      </c>
      <c r="Y208" s="4">
        <v>18.054840558713298</v>
      </c>
      <c r="Z208" s="4">
        <v>18.248872149148099</v>
      </c>
      <c r="AA208" s="4">
        <f t="shared" si="15"/>
        <v>17.9721293126712</v>
      </c>
      <c r="AH208" s="28" t="s">
        <v>4766</v>
      </c>
      <c r="AJ208" s="4" t="s">
        <v>3270</v>
      </c>
      <c r="AQ208" s="6"/>
      <c r="AR208" s="6"/>
      <c r="AS208" s="6"/>
      <c r="AT208" s="6"/>
    </row>
    <row r="209" spans="2:46" x14ac:dyDescent="0.2">
      <c r="B209" s="4" t="s">
        <v>1936</v>
      </c>
      <c r="C209" s="4">
        <v>17.7974</v>
      </c>
      <c r="D209" s="4">
        <v>17.8704</v>
      </c>
      <c r="E209" s="4">
        <v>17.999400000000001</v>
      </c>
      <c r="F209" s="4">
        <f t="shared" si="12"/>
        <v>17.889066666666668</v>
      </c>
      <c r="I209" s="4" t="s">
        <v>1903</v>
      </c>
      <c r="J209" s="4">
        <v>17.979199999999999</v>
      </c>
      <c r="K209" s="4">
        <v>17.947900000000001</v>
      </c>
      <c r="L209" s="4">
        <v>18.1403</v>
      </c>
      <c r="M209" s="4">
        <f t="shared" si="13"/>
        <v>18.022466666666663</v>
      </c>
      <c r="P209" s="4" t="str">
        <f>"unc-18"</f>
        <v>unc-18</v>
      </c>
      <c r="Q209" s="4">
        <v>17.896416216031401</v>
      </c>
      <c r="R209" s="4">
        <v>17.949450034473799</v>
      </c>
      <c r="S209" s="4">
        <v>17.887422428891099</v>
      </c>
      <c r="T209" s="4">
        <f t="shared" si="14"/>
        <v>17.911096226465432</v>
      </c>
      <c r="W209" s="4" t="str">
        <f>"C18B2.3"</f>
        <v>C18B2.3</v>
      </c>
      <c r="X209" s="4">
        <v>17.712116684492202</v>
      </c>
      <c r="Y209" s="4">
        <v>18.018580514239101</v>
      </c>
      <c r="Z209" s="4">
        <v>18.156877984603799</v>
      </c>
      <c r="AA209" s="4">
        <f t="shared" si="15"/>
        <v>17.962525061111702</v>
      </c>
      <c r="AH209" s="28" t="s">
        <v>1395</v>
      </c>
      <c r="AJ209" s="4" t="s">
        <v>4547</v>
      </c>
      <c r="AQ209" s="6"/>
      <c r="AR209" s="6"/>
      <c r="AS209" s="6"/>
      <c r="AT209" s="6"/>
    </row>
    <row r="210" spans="2:46" x14ac:dyDescent="0.2">
      <c r="B210" s="4" t="s">
        <v>2871</v>
      </c>
      <c r="C210" s="4">
        <v>17.6053</v>
      </c>
      <c r="D210" s="4">
        <v>17.944900000000001</v>
      </c>
      <c r="E210" s="4">
        <v>18.025200000000002</v>
      </c>
      <c r="F210" s="4">
        <f t="shared" si="12"/>
        <v>17.858466666666668</v>
      </c>
      <c r="I210" s="4" t="s">
        <v>748</v>
      </c>
      <c r="J210" s="4">
        <v>17.9956</v>
      </c>
      <c r="K210" s="4">
        <v>18.194299999999998</v>
      </c>
      <c r="L210" s="4">
        <v>17.861899999999999</v>
      </c>
      <c r="M210" s="4">
        <f t="shared" si="13"/>
        <v>18.017266666666664</v>
      </c>
      <c r="P210" s="4" t="str">
        <f>"hsp-3"</f>
        <v>hsp-3</v>
      </c>
      <c r="Q210" s="4">
        <v>18.004489612228699</v>
      </c>
      <c r="R210" s="4">
        <v>17.674106537476099</v>
      </c>
      <c r="S210" s="4">
        <v>18.002289470838299</v>
      </c>
      <c r="T210" s="4">
        <f t="shared" si="14"/>
        <v>17.893628540181034</v>
      </c>
      <c r="W210" s="4" t="str">
        <f>"ppk-3"</f>
        <v>ppk-3</v>
      </c>
      <c r="X210" s="4">
        <v>17.969885948443899</v>
      </c>
      <c r="Y210" s="4">
        <v>17.785886789364199</v>
      </c>
      <c r="Z210" s="4">
        <v>18.037559935357599</v>
      </c>
      <c r="AA210" s="4">
        <f t="shared" si="15"/>
        <v>17.931110891055233</v>
      </c>
      <c r="AH210" s="28" t="s">
        <v>4775</v>
      </c>
      <c r="AJ210" s="4" t="s">
        <v>4393</v>
      </c>
      <c r="AQ210" s="6"/>
      <c r="AR210" s="6"/>
      <c r="AS210" s="6"/>
      <c r="AT210" s="6"/>
    </row>
    <row r="211" spans="2:46" x14ac:dyDescent="0.2">
      <c r="B211" s="4" t="s">
        <v>664</v>
      </c>
      <c r="C211" s="4">
        <v>17.663900000000002</v>
      </c>
      <c r="D211" s="4">
        <v>17.954599999999999</v>
      </c>
      <c r="E211" s="4">
        <v>17.902999999999999</v>
      </c>
      <c r="F211" s="4">
        <f t="shared" si="12"/>
        <v>17.840499999999999</v>
      </c>
      <c r="I211" s="4" t="s">
        <v>3355</v>
      </c>
      <c r="J211" s="4">
        <v>18.104800000000001</v>
      </c>
      <c r="K211" s="4">
        <v>18.018000000000001</v>
      </c>
      <c r="L211" s="4">
        <v>17.922699999999999</v>
      </c>
      <c r="M211" s="4">
        <f t="shared" si="13"/>
        <v>18.015166666666666</v>
      </c>
      <c r="P211" s="4" t="str">
        <f>"alh-8"</f>
        <v>alh-8</v>
      </c>
      <c r="Q211" s="4">
        <v>17.985724804253</v>
      </c>
      <c r="R211" s="4">
        <v>17.838498214922399</v>
      </c>
      <c r="S211" s="4">
        <v>17.844553245596899</v>
      </c>
      <c r="T211" s="4">
        <f t="shared" si="14"/>
        <v>17.889592088257434</v>
      </c>
      <c r="W211" s="4" t="str">
        <f>"eif-3.C"</f>
        <v>eif-3.C</v>
      </c>
      <c r="X211" s="4">
        <v>17.992436603763601</v>
      </c>
      <c r="Y211" s="4">
        <v>17.800181268751601</v>
      </c>
      <c r="Z211" s="4">
        <v>17.9845329098628</v>
      </c>
      <c r="AA211" s="4">
        <f t="shared" si="15"/>
        <v>17.925716927459334</v>
      </c>
      <c r="AH211" s="28" t="s">
        <v>4813</v>
      </c>
      <c r="AJ211" s="4" t="s">
        <v>2079</v>
      </c>
      <c r="AQ211" s="6"/>
      <c r="AR211" s="6"/>
      <c r="AS211" s="6"/>
      <c r="AT211" s="6"/>
    </row>
    <row r="212" spans="2:46" x14ac:dyDescent="0.2">
      <c r="B212" s="4" t="s">
        <v>481</v>
      </c>
      <c r="C212" s="4">
        <v>17.7882</v>
      </c>
      <c r="D212" s="4">
        <v>17.7819</v>
      </c>
      <c r="E212" s="4">
        <v>17.927700000000002</v>
      </c>
      <c r="F212" s="4">
        <f t="shared" si="12"/>
        <v>17.832599999999999</v>
      </c>
      <c r="I212" s="4" t="s">
        <v>2054</v>
      </c>
      <c r="J212" s="4">
        <v>18.344799999999999</v>
      </c>
      <c r="K212" s="4">
        <v>17.909300000000002</v>
      </c>
      <c r="L212" s="4">
        <v>17.7699</v>
      </c>
      <c r="M212" s="4">
        <f t="shared" si="13"/>
        <v>18.007999999999999</v>
      </c>
      <c r="P212" s="4" t="str">
        <f>"pyk-1"</f>
        <v>pyk-1</v>
      </c>
      <c r="Q212" s="4">
        <v>17.931859884688802</v>
      </c>
      <c r="R212" s="4">
        <v>17.653807057896302</v>
      </c>
      <c r="S212" s="4">
        <v>18.0010775284305</v>
      </c>
      <c r="T212" s="4">
        <f t="shared" si="14"/>
        <v>17.862248157005201</v>
      </c>
      <c r="W212" s="4" t="str">
        <f>"rsp-2"</f>
        <v>rsp-2</v>
      </c>
      <c r="X212" s="4">
        <v>17.843740911826298</v>
      </c>
      <c r="Y212" s="4">
        <v>17.836756193084899</v>
      </c>
      <c r="Z212" s="4">
        <v>18.090055205073199</v>
      </c>
      <c r="AA212" s="4">
        <f t="shared" si="15"/>
        <v>17.923517436661466</v>
      </c>
      <c r="AH212" s="28" t="s">
        <v>4705</v>
      </c>
      <c r="AJ212" s="4" t="s">
        <v>1941</v>
      </c>
      <c r="AQ212" s="6"/>
      <c r="AR212" s="6"/>
      <c r="AS212" s="6"/>
      <c r="AT212" s="6"/>
    </row>
    <row r="213" spans="2:46" x14ac:dyDescent="0.2">
      <c r="B213" s="4" t="s">
        <v>1502</v>
      </c>
      <c r="C213" s="4">
        <v>17.941800000000001</v>
      </c>
      <c r="D213" s="4">
        <v>17.867599999999999</v>
      </c>
      <c r="E213" s="4">
        <v>17.682099999999998</v>
      </c>
      <c r="F213" s="4">
        <f t="shared" si="12"/>
        <v>17.830499999999997</v>
      </c>
      <c r="I213" s="4" t="s">
        <v>2721</v>
      </c>
      <c r="J213" s="4">
        <v>18.117000000000001</v>
      </c>
      <c r="K213" s="4">
        <v>17.820799999999998</v>
      </c>
      <c r="L213" s="4">
        <v>18.006599999999999</v>
      </c>
      <c r="M213" s="4">
        <f t="shared" si="13"/>
        <v>17.981466666666666</v>
      </c>
      <c r="P213" s="4" t="str">
        <f>"glh-1"</f>
        <v>glh-1</v>
      </c>
      <c r="Q213" s="4">
        <v>17.6706075389021</v>
      </c>
      <c r="R213" s="4">
        <v>17.990973992465701</v>
      </c>
      <c r="S213" s="4">
        <v>17.9042230375066</v>
      </c>
      <c r="T213" s="4">
        <f t="shared" si="14"/>
        <v>17.855268189624798</v>
      </c>
      <c r="W213" s="4" t="str">
        <f>"rpn-7"</f>
        <v>rpn-7</v>
      </c>
      <c r="X213" s="4">
        <v>18.056372811716699</v>
      </c>
      <c r="Y213" s="4">
        <v>17.9888851882456</v>
      </c>
      <c r="Z213" s="4">
        <v>17.713964847062801</v>
      </c>
      <c r="AA213" s="4">
        <f t="shared" si="15"/>
        <v>17.919740949008368</v>
      </c>
      <c r="AH213" s="28" t="s">
        <v>2928</v>
      </c>
      <c r="AJ213" s="4" t="s">
        <v>862</v>
      </c>
      <c r="AQ213" s="6"/>
      <c r="AR213" s="6"/>
      <c r="AS213" s="6"/>
      <c r="AT213" s="6"/>
    </row>
    <row r="214" spans="2:46" x14ac:dyDescent="0.2">
      <c r="B214" s="4" t="s">
        <v>1566</v>
      </c>
      <c r="C214" s="4">
        <v>18.1295</v>
      </c>
      <c r="D214" s="4">
        <v>17.497299999999999</v>
      </c>
      <c r="E214" s="4">
        <v>17.857800000000001</v>
      </c>
      <c r="F214" s="4">
        <f t="shared" si="12"/>
        <v>17.828199999999999</v>
      </c>
      <c r="I214" s="4" t="s">
        <v>1895</v>
      </c>
      <c r="J214" s="4">
        <v>18.0092</v>
      </c>
      <c r="K214" s="4">
        <v>17.8688</v>
      </c>
      <c r="L214" s="4">
        <v>18.035</v>
      </c>
      <c r="M214" s="4">
        <f t="shared" si="13"/>
        <v>17.971</v>
      </c>
      <c r="P214" s="4" t="str">
        <f>"mdh-2"</f>
        <v>mdh-2</v>
      </c>
      <c r="Q214" s="4">
        <v>18.061456460190499</v>
      </c>
      <c r="R214" s="4">
        <v>17.6858189868986</v>
      </c>
      <c r="S214" s="4">
        <v>17.805973660772999</v>
      </c>
      <c r="T214" s="4">
        <f t="shared" si="14"/>
        <v>17.85108303595403</v>
      </c>
      <c r="W214" s="4" t="str">
        <f>"gfm-1"</f>
        <v>gfm-1</v>
      </c>
      <c r="X214" s="4">
        <v>17.8072691407721</v>
      </c>
      <c r="Y214" s="4">
        <v>17.814899757300601</v>
      </c>
      <c r="Z214" s="4">
        <v>18.135758954652701</v>
      </c>
      <c r="AA214" s="4">
        <f t="shared" si="15"/>
        <v>17.919309284241802</v>
      </c>
      <c r="AH214" s="28" t="s">
        <v>4718</v>
      </c>
      <c r="AJ214" s="4" t="s">
        <v>1397</v>
      </c>
      <c r="AQ214" s="6"/>
      <c r="AR214" s="6"/>
      <c r="AS214" s="6"/>
      <c r="AT214" s="6"/>
    </row>
    <row r="215" spans="2:46" x14ac:dyDescent="0.2">
      <c r="B215" s="4" t="s">
        <v>2066</v>
      </c>
      <c r="C215" s="4">
        <v>17.833500000000001</v>
      </c>
      <c r="D215" s="4">
        <v>17.6753</v>
      </c>
      <c r="E215" s="4">
        <v>17.9617</v>
      </c>
      <c r="F215" s="4">
        <f t="shared" si="12"/>
        <v>17.823499999999999</v>
      </c>
      <c r="I215" s="4" t="s">
        <v>3268</v>
      </c>
      <c r="J215" s="4">
        <v>18.011600000000001</v>
      </c>
      <c r="K215" s="4">
        <v>17.981999999999999</v>
      </c>
      <c r="L215" s="4">
        <v>17.9084</v>
      </c>
      <c r="M215" s="4">
        <f t="shared" si="13"/>
        <v>17.967333333333332</v>
      </c>
      <c r="P215" s="4" t="str">
        <f>"acdh-3"</f>
        <v>acdh-3</v>
      </c>
      <c r="Q215" s="4">
        <v>17.863260246446799</v>
      </c>
      <c r="R215" s="4">
        <v>17.866268011590801</v>
      </c>
      <c r="S215" s="4">
        <v>17.7875251825768</v>
      </c>
      <c r="T215" s="4">
        <f t="shared" si="14"/>
        <v>17.839017813538135</v>
      </c>
      <c r="W215" s="4" t="str">
        <f>"gas-1"</f>
        <v>gas-1</v>
      </c>
      <c r="X215" s="4">
        <v>17.767737581137599</v>
      </c>
      <c r="Y215" s="4">
        <v>17.839222933235501</v>
      </c>
      <c r="Z215" s="4">
        <v>18.119455061739899</v>
      </c>
      <c r="AA215" s="4">
        <f t="shared" si="15"/>
        <v>17.908805192037665</v>
      </c>
      <c r="AH215" s="28" t="s">
        <v>3582</v>
      </c>
      <c r="AJ215" s="4" t="s">
        <v>4309</v>
      </c>
      <c r="AQ215" s="6"/>
      <c r="AR215" s="6"/>
      <c r="AS215" s="6"/>
    </row>
    <row r="216" spans="2:46" x14ac:dyDescent="0.2">
      <c r="B216" s="4" t="s">
        <v>3631</v>
      </c>
      <c r="C216" s="4">
        <v>17.889700000000001</v>
      </c>
      <c r="D216" s="4">
        <v>17.859300000000001</v>
      </c>
      <c r="E216" s="4">
        <v>17.6568</v>
      </c>
      <c r="F216" s="4">
        <f t="shared" si="12"/>
        <v>17.801933333333334</v>
      </c>
      <c r="I216" s="4" t="s">
        <v>2047</v>
      </c>
      <c r="J216" s="4">
        <v>18.158300000000001</v>
      </c>
      <c r="K216" s="4">
        <v>18.294</v>
      </c>
      <c r="L216" s="4">
        <v>17.412299999999998</v>
      </c>
      <c r="M216" s="4">
        <f t="shared" si="13"/>
        <v>17.954866666666664</v>
      </c>
      <c r="P216" s="4" t="str">
        <f>"acdh-7"</f>
        <v>acdh-7</v>
      </c>
      <c r="Q216" s="4">
        <v>17.919183267785002</v>
      </c>
      <c r="R216" s="4">
        <v>17.642240622347899</v>
      </c>
      <c r="S216" s="4">
        <v>17.949854240784301</v>
      </c>
      <c r="T216" s="4">
        <f t="shared" si="14"/>
        <v>17.837092710305736</v>
      </c>
      <c r="W216" s="4" t="str">
        <f>"vsra-1"</f>
        <v>vsra-1</v>
      </c>
      <c r="X216" s="4">
        <v>17.7279538003189</v>
      </c>
      <c r="Y216" s="4">
        <v>18.0298927321194</v>
      </c>
      <c r="Z216" s="4">
        <v>17.8622976101829</v>
      </c>
      <c r="AA216" s="4">
        <f t="shared" si="15"/>
        <v>17.873381380873735</v>
      </c>
      <c r="AH216" s="28" t="s">
        <v>4663</v>
      </c>
      <c r="AJ216" s="4" t="s">
        <v>4398</v>
      </c>
      <c r="AQ216" s="6"/>
      <c r="AR216" s="6"/>
      <c r="AS216" s="6"/>
    </row>
    <row r="217" spans="2:46" x14ac:dyDescent="0.2">
      <c r="B217" s="4" t="s">
        <v>1665</v>
      </c>
      <c r="C217" s="4">
        <v>17.904199999999999</v>
      </c>
      <c r="D217" s="4">
        <v>17.731100000000001</v>
      </c>
      <c r="E217" s="4">
        <v>17.758900000000001</v>
      </c>
      <c r="F217" s="4">
        <f t="shared" si="12"/>
        <v>17.798066666666667</v>
      </c>
      <c r="I217" s="4" t="s">
        <v>1936</v>
      </c>
      <c r="J217" s="4">
        <v>17.843499999999999</v>
      </c>
      <c r="K217" s="4">
        <v>18.041699999999999</v>
      </c>
      <c r="L217" s="4">
        <v>17.9419</v>
      </c>
      <c r="M217" s="4">
        <f t="shared" si="13"/>
        <v>17.942366666666668</v>
      </c>
      <c r="P217" s="4" t="str">
        <f>"phb-2"</f>
        <v>phb-2</v>
      </c>
      <c r="Q217" s="4">
        <v>17.914876269298599</v>
      </c>
      <c r="R217" s="4">
        <v>17.861914080356001</v>
      </c>
      <c r="S217" s="4">
        <v>17.7301692765665</v>
      </c>
      <c r="T217" s="4">
        <f t="shared" si="14"/>
        <v>17.835653208740368</v>
      </c>
      <c r="W217" s="4" t="str">
        <f>"B0379.1"</f>
        <v>B0379.1</v>
      </c>
      <c r="X217" s="4">
        <v>17.519036754953099</v>
      </c>
      <c r="Y217" s="4">
        <v>17.959895530671599</v>
      </c>
      <c r="Z217" s="4">
        <v>18.121130197075601</v>
      </c>
      <c r="AA217" s="4">
        <f t="shared" si="15"/>
        <v>17.866687494233432</v>
      </c>
      <c r="AH217" s="28" t="s">
        <v>4802</v>
      </c>
      <c r="AJ217" s="4" t="s">
        <v>4579</v>
      </c>
      <c r="AT217" s="6"/>
    </row>
    <row r="218" spans="2:46" x14ac:dyDescent="0.2">
      <c r="B218" s="4" t="s">
        <v>961</v>
      </c>
      <c r="C218" s="4">
        <v>17.8233</v>
      </c>
      <c r="D218" s="4">
        <v>17.679600000000001</v>
      </c>
      <c r="E218" s="4">
        <v>17.8902</v>
      </c>
      <c r="F218" s="4">
        <f t="shared" si="12"/>
        <v>17.797699999999999</v>
      </c>
      <c r="I218" s="4" t="s">
        <v>1719</v>
      </c>
      <c r="J218" s="4">
        <v>18.023900000000001</v>
      </c>
      <c r="K218" s="4">
        <v>17.794499999999999</v>
      </c>
      <c r="L218" s="4">
        <v>17.902899999999999</v>
      </c>
      <c r="M218" s="4">
        <f t="shared" si="13"/>
        <v>17.9071</v>
      </c>
      <c r="P218" s="4" t="str">
        <f>"ddx-17"</f>
        <v>ddx-17</v>
      </c>
      <c r="Q218" s="4">
        <v>17.866256098937001</v>
      </c>
      <c r="R218" s="4">
        <v>17.761090947158898</v>
      </c>
      <c r="S218" s="4">
        <v>17.858319303628299</v>
      </c>
      <c r="T218" s="4">
        <f t="shared" si="14"/>
        <v>17.828555449908066</v>
      </c>
      <c r="W218" s="4" t="str">
        <f>"snrp-200"</f>
        <v>snrp-200</v>
      </c>
      <c r="X218" s="4">
        <v>17.812628379306801</v>
      </c>
      <c r="Y218" s="4">
        <v>17.928714773424399</v>
      </c>
      <c r="Z218" s="4">
        <v>17.769988038667702</v>
      </c>
      <c r="AA218" s="4">
        <f t="shared" si="15"/>
        <v>17.837110397132971</v>
      </c>
      <c r="AH218" s="28" t="s">
        <v>2292</v>
      </c>
      <c r="AJ218" s="4" t="s">
        <v>3781</v>
      </c>
      <c r="AQ218" s="6"/>
      <c r="AR218" s="6"/>
      <c r="AS218" s="6"/>
      <c r="AT218" s="6"/>
    </row>
    <row r="219" spans="2:46" x14ac:dyDescent="0.2">
      <c r="B219" s="4" t="s">
        <v>4297</v>
      </c>
      <c r="C219" s="4">
        <v>17.880299999999998</v>
      </c>
      <c r="D219" s="4">
        <v>17.8414</v>
      </c>
      <c r="E219" s="4">
        <v>17.666</v>
      </c>
      <c r="F219" s="4">
        <f t="shared" si="12"/>
        <v>17.7959</v>
      </c>
      <c r="I219" s="4" t="s">
        <v>1464</v>
      </c>
      <c r="J219" s="4">
        <v>17.518899999999999</v>
      </c>
      <c r="K219" s="4">
        <v>17.659700000000001</v>
      </c>
      <c r="L219" s="4">
        <v>18.526900000000001</v>
      </c>
      <c r="M219" s="4">
        <f t="shared" si="13"/>
        <v>17.901833333333332</v>
      </c>
      <c r="P219" s="4" t="str">
        <f>"csr-1"</f>
        <v>csr-1</v>
      </c>
      <c r="Q219" s="4">
        <v>17.7649843978744</v>
      </c>
      <c r="R219" s="4">
        <v>17.8117621337387</v>
      </c>
      <c r="S219" s="4">
        <v>17.856361471340399</v>
      </c>
      <c r="T219" s="4">
        <f t="shared" si="14"/>
        <v>17.811036000984497</v>
      </c>
      <c r="W219" s="4" t="str">
        <f>"tba-4"</f>
        <v>tba-4</v>
      </c>
      <c r="X219" s="4">
        <v>17.6199326617939</v>
      </c>
      <c r="Y219" s="4">
        <v>17.932531428843198</v>
      </c>
      <c r="Z219" s="4">
        <v>17.952061809457199</v>
      </c>
      <c r="AA219" s="4">
        <f t="shared" si="15"/>
        <v>17.8348419666981</v>
      </c>
      <c r="AH219" s="28" t="s">
        <v>3163</v>
      </c>
      <c r="AJ219" s="4" t="s">
        <v>2379</v>
      </c>
      <c r="AQ219" s="6"/>
      <c r="AR219" s="6"/>
      <c r="AS219" s="6"/>
    </row>
    <row r="220" spans="2:46" x14ac:dyDescent="0.2">
      <c r="B220" s="4" t="s">
        <v>1679</v>
      </c>
      <c r="C220" s="4">
        <v>17.676500000000001</v>
      </c>
      <c r="D220" s="4">
        <v>17.765699999999999</v>
      </c>
      <c r="E220" s="4">
        <v>17.934000000000001</v>
      </c>
      <c r="F220" s="4">
        <f t="shared" si="12"/>
        <v>17.792066666666667</v>
      </c>
      <c r="I220" s="4" t="s">
        <v>589</v>
      </c>
      <c r="J220" s="4">
        <v>18.125900000000001</v>
      </c>
      <c r="K220" s="4">
        <v>17.9316</v>
      </c>
      <c r="L220" s="4">
        <v>17.645199999999999</v>
      </c>
      <c r="M220" s="4">
        <f t="shared" si="13"/>
        <v>17.900900000000004</v>
      </c>
      <c r="P220" s="4" t="str">
        <f>"copd-1"</f>
        <v>copd-1</v>
      </c>
      <c r="Q220" s="4">
        <v>18.078559219460999</v>
      </c>
      <c r="R220" s="4">
        <v>17.672932617611099</v>
      </c>
      <c r="S220" s="4">
        <v>17.667869822830401</v>
      </c>
      <c r="T220" s="4">
        <f t="shared" si="14"/>
        <v>17.806453886634163</v>
      </c>
      <c r="W220" s="4" t="str">
        <f>"drp-1"</f>
        <v>drp-1</v>
      </c>
      <c r="X220" s="4">
        <v>17.697549860067198</v>
      </c>
      <c r="Y220" s="4">
        <v>17.918457914543399</v>
      </c>
      <c r="Z220" s="4">
        <v>17.815395346827099</v>
      </c>
      <c r="AA220" s="4">
        <f t="shared" si="15"/>
        <v>17.8104677071459</v>
      </c>
      <c r="AH220" s="28" t="s">
        <v>4758</v>
      </c>
      <c r="AJ220" s="4" t="s">
        <v>3760</v>
      </c>
      <c r="AQ220" s="6"/>
      <c r="AR220" s="6"/>
      <c r="AS220" s="6"/>
      <c r="AT220" s="6"/>
    </row>
    <row r="221" spans="2:46" x14ac:dyDescent="0.2">
      <c r="B221" s="4" t="s">
        <v>1903</v>
      </c>
      <c r="C221" s="4">
        <v>18.105899999999998</v>
      </c>
      <c r="D221" s="4">
        <v>17.485900000000001</v>
      </c>
      <c r="E221" s="4">
        <v>17.776399999999999</v>
      </c>
      <c r="F221" s="4">
        <f t="shared" si="12"/>
        <v>17.789400000000001</v>
      </c>
      <c r="I221" s="4" t="s">
        <v>4297</v>
      </c>
      <c r="J221" s="4">
        <v>17.9207</v>
      </c>
      <c r="K221" s="4">
        <v>17.729299999999999</v>
      </c>
      <c r="L221" s="4">
        <v>17.953399999999998</v>
      </c>
      <c r="M221" s="4">
        <f t="shared" si="13"/>
        <v>17.867799999999999</v>
      </c>
      <c r="P221" s="4" t="str">
        <f>"rpl-13"</f>
        <v>rpl-13</v>
      </c>
      <c r="Q221" s="4">
        <v>17.745722889347</v>
      </c>
      <c r="R221" s="4">
        <v>17.816110552314001</v>
      </c>
      <c r="S221" s="4">
        <v>17.817912798157</v>
      </c>
      <c r="T221" s="4">
        <f t="shared" si="14"/>
        <v>17.793248746606</v>
      </c>
      <c r="W221" s="4" t="str">
        <f>"acp-6"</f>
        <v>acp-6</v>
      </c>
      <c r="X221" s="4">
        <v>17.5134415584034</v>
      </c>
      <c r="Y221" s="4">
        <v>18.069594625710199</v>
      </c>
      <c r="Z221" s="4">
        <v>17.801752768369099</v>
      </c>
      <c r="AA221" s="4">
        <f t="shared" si="15"/>
        <v>17.794929650827566</v>
      </c>
      <c r="AH221" s="28" t="s">
        <v>4679</v>
      </c>
      <c r="AJ221" s="4" t="s">
        <v>4263</v>
      </c>
      <c r="AQ221" s="6"/>
      <c r="AR221" s="6"/>
      <c r="AS221" s="6"/>
      <c r="AT221" s="6"/>
    </row>
    <row r="222" spans="2:46" x14ac:dyDescent="0.2">
      <c r="B222" s="4" t="s">
        <v>1169</v>
      </c>
      <c r="C222" s="4">
        <v>17.972999999999999</v>
      </c>
      <c r="D222" s="4">
        <v>17.296099999999999</v>
      </c>
      <c r="E222" s="4">
        <v>18.087199999999999</v>
      </c>
      <c r="F222" s="4">
        <f t="shared" si="12"/>
        <v>17.78543333333333</v>
      </c>
      <c r="I222" s="4" t="s">
        <v>570</v>
      </c>
      <c r="J222" s="4">
        <v>18.060400000000001</v>
      </c>
      <c r="K222" s="4">
        <v>17.460599999999999</v>
      </c>
      <c r="L222" s="4">
        <v>18.074000000000002</v>
      </c>
      <c r="M222" s="4">
        <f t="shared" si="13"/>
        <v>17.864999999999998</v>
      </c>
      <c r="P222" s="4" t="str">
        <f>"mec-7"</f>
        <v>mec-7</v>
      </c>
      <c r="Q222" s="4">
        <v>18.113552687275298</v>
      </c>
      <c r="R222" s="4">
        <v>17.7114452355206</v>
      </c>
      <c r="S222" s="4">
        <v>17.5532502407161</v>
      </c>
      <c r="T222" s="4">
        <f t="shared" si="14"/>
        <v>17.792749387837333</v>
      </c>
      <c r="W222" s="4" t="str">
        <f>"gars-1"</f>
        <v>gars-1</v>
      </c>
      <c r="X222" s="4">
        <v>17.887125159635499</v>
      </c>
      <c r="Y222" s="4">
        <v>17.7920531643577</v>
      </c>
      <c r="Z222" s="4">
        <v>17.689679443296502</v>
      </c>
      <c r="AA222" s="4">
        <f t="shared" si="15"/>
        <v>17.789619255763231</v>
      </c>
      <c r="AH222" s="28" t="s">
        <v>4761</v>
      </c>
      <c r="AJ222" s="4" t="s">
        <v>4620</v>
      </c>
      <c r="AQ222" s="6"/>
      <c r="AR222" s="6"/>
      <c r="AS222" s="6"/>
      <c r="AT222" s="6"/>
    </row>
    <row r="223" spans="2:46" x14ac:dyDescent="0.2">
      <c r="B223" s="4" t="s">
        <v>4025</v>
      </c>
      <c r="C223" s="4">
        <v>17.965</v>
      </c>
      <c r="D223" s="4">
        <v>17.4846</v>
      </c>
      <c r="E223" s="4">
        <v>17.849599999999999</v>
      </c>
      <c r="F223" s="4">
        <f t="shared" si="12"/>
        <v>17.766400000000001</v>
      </c>
      <c r="I223" s="4" t="s">
        <v>1709</v>
      </c>
      <c r="J223" s="4">
        <v>17.945599999999999</v>
      </c>
      <c r="K223" s="4">
        <v>17.8904</v>
      </c>
      <c r="L223" s="4">
        <v>17.715</v>
      </c>
      <c r="M223" s="4">
        <f t="shared" si="13"/>
        <v>17.850333333333335</v>
      </c>
      <c r="P223" s="4" t="str">
        <f>"C28H8.3"</f>
        <v>C28H8.3</v>
      </c>
      <c r="Q223" s="4">
        <v>17.777788843235999</v>
      </c>
      <c r="R223" s="4">
        <v>17.839657241906298</v>
      </c>
      <c r="S223" s="4">
        <v>17.749102423663899</v>
      </c>
      <c r="T223" s="4">
        <f t="shared" si="14"/>
        <v>17.788849502935399</v>
      </c>
      <c r="W223" s="4" t="str">
        <f>"kin-2"</f>
        <v>kin-2</v>
      </c>
      <c r="X223" s="4">
        <v>17.489614692924999</v>
      </c>
      <c r="Y223" s="4">
        <v>18.0199029977618</v>
      </c>
      <c r="Z223" s="4">
        <v>17.825877257967701</v>
      </c>
      <c r="AA223" s="4">
        <f t="shared" si="15"/>
        <v>17.778464982884831</v>
      </c>
      <c r="AH223" s="28" t="s">
        <v>3261</v>
      </c>
      <c r="AJ223" s="4" t="s">
        <v>4503</v>
      </c>
      <c r="AQ223" s="6"/>
      <c r="AR223" s="6"/>
      <c r="AS223" s="6"/>
      <c r="AT223" s="6"/>
    </row>
    <row r="224" spans="2:46" x14ac:dyDescent="0.2">
      <c r="B224" s="4" t="s">
        <v>1565</v>
      </c>
      <c r="C224" s="4">
        <v>17.803000000000001</v>
      </c>
      <c r="D224" s="4">
        <v>17.708300000000001</v>
      </c>
      <c r="E224" s="4">
        <v>17.780899999999999</v>
      </c>
      <c r="F224" s="4">
        <f t="shared" si="12"/>
        <v>17.764066666666668</v>
      </c>
      <c r="I224" s="4" t="s">
        <v>2378</v>
      </c>
      <c r="J224" s="4">
        <v>17.567</v>
      </c>
      <c r="K224" s="4">
        <v>17.839500000000001</v>
      </c>
      <c r="L224" s="4">
        <v>18.0763</v>
      </c>
      <c r="M224" s="4">
        <f t="shared" si="13"/>
        <v>17.8276</v>
      </c>
      <c r="P224" s="4" t="str">
        <f>"dlat-2"</f>
        <v>dlat-2</v>
      </c>
      <c r="Q224" s="4">
        <v>18.186549986447002</v>
      </c>
      <c r="R224" s="4">
        <v>17.482695814951398</v>
      </c>
      <c r="S224" s="4">
        <v>17.690596013156298</v>
      </c>
      <c r="T224" s="4">
        <f t="shared" si="14"/>
        <v>17.7866139381849</v>
      </c>
      <c r="W224" s="4" t="str">
        <f>"cpn-3"</f>
        <v>cpn-3</v>
      </c>
      <c r="X224" s="4">
        <v>17.900056350935799</v>
      </c>
      <c r="Y224" s="4">
        <v>17.872547230549198</v>
      </c>
      <c r="Z224" s="4">
        <v>17.533250888441099</v>
      </c>
      <c r="AA224" s="4">
        <f t="shared" si="15"/>
        <v>17.768618156642034</v>
      </c>
      <c r="AH224" s="28" t="s">
        <v>2581</v>
      </c>
      <c r="AJ224" s="4" t="s">
        <v>127</v>
      </c>
      <c r="AQ224" s="6"/>
      <c r="AR224" s="6"/>
      <c r="AS224" s="6"/>
    </row>
    <row r="225" spans="2:46" x14ac:dyDescent="0.2">
      <c r="B225" s="4" t="s">
        <v>2010</v>
      </c>
      <c r="C225" s="4">
        <v>18.018799999999999</v>
      </c>
      <c r="D225" s="4">
        <v>17.4955</v>
      </c>
      <c r="E225" s="4">
        <v>17.712399999999999</v>
      </c>
      <c r="F225" s="4">
        <f t="shared" si="12"/>
        <v>17.742233333333331</v>
      </c>
      <c r="I225" s="4" t="s">
        <v>3350</v>
      </c>
      <c r="J225" s="4">
        <v>17.772400000000001</v>
      </c>
      <c r="K225" s="4">
        <v>17.542100000000001</v>
      </c>
      <c r="L225" s="4">
        <v>18.150300000000001</v>
      </c>
      <c r="M225" s="4">
        <f t="shared" si="13"/>
        <v>17.8216</v>
      </c>
      <c r="P225" s="4" t="str">
        <f>"nsf-1"</f>
        <v>nsf-1</v>
      </c>
      <c r="Q225" s="4">
        <v>17.925236908793899</v>
      </c>
      <c r="R225" s="4">
        <v>17.7665707066888</v>
      </c>
      <c r="S225" s="4">
        <v>17.663886563882802</v>
      </c>
      <c r="T225" s="4">
        <f t="shared" si="14"/>
        <v>17.785231393121833</v>
      </c>
      <c r="W225" s="4" t="str">
        <f>"copd-1"</f>
        <v>copd-1</v>
      </c>
      <c r="X225" s="4">
        <v>17.727860349604398</v>
      </c>
      <c r="Y225" s="4">
        <v>17.864650519179801</v>
      </c>
      <c r="Z225" s="4">
        <v>17.668023696320802</v>
      </c>
      <c r="AA225" s="4">
        <f t="shared" si="15"/>
        <v>17.753511521701668</v>
      </c>
      <c r="AH225" s="28" t="s">
        <v>250</v>
      </c>
      <c r="AJ225" s="4" t="s">
        <v>945</v>
      </c>
      <c r="AQ225" s="6"/>
      <c r="AR225" s="6"/>
      <c r="AS225" s="6"/>
      <c r="AT225" s="6"/>
    </row>
    <row r="226" spans="2:46" x14ac:dyDescent="0.2">
      <c r="B226" s="4" t="s">
        <v>284</v>
      </c>
      <c r="C226" s="4">
        <v>17.7041</v>
      </c>
      <c r="D226" s="4">
        <v>17.882200000000001</v>
      </c>
      <c r="E226" s="4">
        <v>17.604900000000001</v>
      </c>
      <c r="F226" s="4">
        <f t="shared" si="12"/>
        <v>17.730399999999999</v>
      </c>
      <c r="I226" s="4" t="s">
        <v>1711</v>
      </c>
      <c r="J226" s="4">
        <v>18.015499999999999</v>
      </c>
      <c r="K226" s="4">
        <v>17.579799999999999</v>
      </c>
      <c r="L226" s="4">
        <v>17.867000000000001</v>
      </c>
      <c r="M226" s="4">
        <f t="shared" si="13"/>
        <v>17.820766666666668</v>
      </c>
      <c r="P226" s="4" t="str">
        <f>"gldc-1"</f>
        <v>gldc-1</v>
      </c>
      <c r="Q226" s="4">
        <v>17.948054101249699</v>
      </c>
      <c r="R226" s="4">
        <v>17.702307728980699</v>
      </c>
      <c r="S226" s="4">
        <v>17.698070501151001</v>
      </c>
      <c r="T226" s="4">
        <f t="shared" si="14"/>
        <v>17.782810777127132</v>
      </c>
      <c r="W226" s="4" t="str">
        <f>"cct-6"</f>
        <v>cct-6</v>
      </c>
      <c r="X226" s="4">
        <v>17.737534318472001</v>
      </c>
      <c r="Y226" s="4">
        <v>17.956535649210199</v>
      </c>
      <c r="Z226" s="4">
        <v>17.559672527822801</v>
      </c>
      <c r="AA226" s="4">
        <f t="shared" si="15"/>
        <v>17.751247498501666</v>
      </c>
      <c r="AH226" s="28" t="s">
        <v>4736</v>
      </c>
      <c r="AJ226" s="4" t="s">
        <v>272</v>
      </c>
      <c r="AQ226" s="6"/>
      <c r="AR226" s="6"/>
      <c r="AS226" s="6"/>
    </row>
    <row r="227" spans="2:46" x14ac:dyDescent="0.2">
      <c r="B227" s="4" t="s">
        <v>2609</v>
      </c>
      <c r="C227" s="4">
        <v>17.723099999999999</v>
      </c>
      <c r="D227" s="4">
        <v>17.7547</v>
      </c>
      <c r="E227" s="4">
        <v>17.681100000000001</v>
      </c>
      <c r="F227" s="4">
        <f t="shared" si="12"/>
        <v>17.719633333333334</v>
      </c>
      <c r="I227" s="4" t="s">
        <v>1901</v>
      </c>
      <c r="J227" s="4">
        <v>17.966999999999999</v>
      </c>
      <c r="K227" s="4">
        <v>17.978899999999999</v>
      </c>
      <c r="L227" s="4">
        <v>17.4437</v>
      </c>
      <c r="M227" s="4">
        <f t="shared" si="13"/>
        <v>17.796533333333333</v>
      </c>
      <c r="P227" s="4" t="str">
        <f>"mpc-2"</f>
        <v>mpc-2</v>
      </c>
      <c r="Q227" s="4">
        <v>17.7550592246889</v>
      </c>
      <c r="R227" s="4">
        <v>17.709836967681799</v>
      </c>
      <c r="S227" s="4">
        <v>17.865288130563801</v>
      </c>
      <c r="T227" s="4">
        <f t="shared" si="14"/>
        <v>17.776728107644832</v>
      </c>
      <c r="W227" s="4" t="str">
        <f>"phb-2"</f>
        <v>phb-2</v>
      </c>
      <c r="X227" s="4">
        <v>17.682279434894401</v>
      </c>
      <c r="Y227" s="4">
        <v>17.808826222679599</v>
      </c>
      <c r="Z227" s="4">
        <v>17.743410101292</v>
      </c>
      <c r="AA227" s="4">
        <f t="shared" si="15"/>
        <v>17.744838586288665</v>
      </c>
      <c r="AH227" s="28" t="s">
        <v>88</v>
      </c>
      <c r="AJ227" s="4" t="s">
        <v>4402</v>
      </c>
      <c r="AT227" s="6"/>
    </row>
    <row r="228" spans="2:46" x14ac:dyDescent="0.2">
      <c r="B228" s="4" t="s">
        <v>65</v>
      </c>
      <c r="C228" s="4">
        <v>18.490600000000001</v>
      </c>
      <c r="D228" s="4">
        <v>17.117699999999999</v>
      </c>
      <c r="E228" s="4">
        <v>17.535799999999998</v>
      </c>
      <c r="F228" s="4">
        <f t="shared" si="12"/>
        <v>17.714699999999997</v>
      </c>
      <c r="I228" s="4" t="s">
        <v>2280</v>
      </c>
      <c r="J228" s="4">
        <v>18.030799999999999</v>
      </c>
      <c r="K228" s="4">
        <v>17.6709</v>
      </c>
      <c r="L228" s="4">
        <v>17.658999999999999</v>
      </c>
      <c r="M228" s="4">
        <f t="shared" si="13"/>
        <v>17.786899999999999</v>
      </c>
      <c r="P228" s="4" t="str">
        <f>"car-1"</f>
        <v>car-1</v>
      </c>
      <c r="Q228" s="4">
        <v>17.959847514061501</v>
      </c>
      <c r="R228" s="4">
        <v>17.576227408550601</v>
      </c>
      <c r="S228" s="4">
        <v>17.7632286525639</v>
      </c>
      <c r="T228" s="4">
        <f t="shared" si="14"/>
        <v>17.766434525058667</v>
      </c>
      <c r="W228" s="4" t="str">
        <f>"alh-1"</f>
        <v>alh-1</v>
      </c>
      <c r="X228" s="4">
        <v>17.4377017038174</v>
      </c>
      <c r="Y228" s="4">
        <v>17.721185317150798</v>
      </c>
      <c r="Z228" s="4">
        <v>18.047075715613801</v>
      </c>
      <c r="AA228" s="4">
        <f t="shared" si="15"/>
        <v>17.735320912193998</v>
      </c>
      <c r="AH228" s="28" t="s">
        <v>1026</v>
      </c>
      <c r="AJ228" s="4" t="s">
        <v>4165</v>
      </c>
      <c r="AT228" s="6"/>
    </row>
    <row r="229" spans="2:46" x14ac:dyDescent="0.2">
      <c r="B229" s="4" t="s">
        <v>3179</v>
      </c>
      <c r="C229" s="4">
        <v>17.582599999999999</v>
      </c>
      <c r="D229" s="4">
        <v>18.082799999999999</v>
      </c>
      <c r="E229" s="4">
        <v>17.474699999999999</v>
      </c>
      <c r="F229" s="4">
        <f t="shared" si="12"/>
        <v>17.713366666666666</v>
      </c>
      <c r="I229" s="4" t="s">
        <v>2881</v>
      </c>
      <c r="J229" s="4">
        <v>18.023499999999999</v>
      </c>
      <c r="K229" s="4">
        <v>17.574300000000001</v>
      </c>
      <c r="L229" s="4">
        <v>17.759899999999998</v>
      </c>
      <c r="M229" s="4">
        <f t="shared" si="13"/>
        <v>17.785899999999998</v>
      </c>
      <c r="P229" s="4" t="str">
        <f>"nduf-7"</f>
        <v>nduf-7</v>
      </c>
      <c r="Q229" s="4">
        <v>18.1757780020992</v>
      </c>
      <c r="R229" s="4">
        <v>17.583112524293298</v>
      </c>
      <c r="S229" s="4">
        <v>17.5311359477022</v>
      </c>
      <c r="T229" s="4">
        <f t="shared" si="14"/>
        <v>17.763342158031566</v>
      </c>
      <c r="W229" s="4" t="str">
        <f>"acdh-3"</f>
        <v>acdh-3</v>
      </c>
      <c r="X229" s="4">
        <v>17.557756265282499</v>
      </c>
      <c r="Y229" s="4">
        <v>17.832044914610801</v>
      </c>
      <c r="Z229" s="4">
        <v>17.7774965223214</v>
      </c>
      <c r="AA229" s="4">
        <f t="shared" si="15"/>
        <v>17.722432567404898</v>
      </c>
      <c r="AH229" s="28" t="s">
        <v>4700</v>
      </c>
      <c r="AJ229" s="4" t="s">
        <v>4405</v>
      </c>
      <c r="AT229" s="6"/>
    </row>
    <row r="230" spans="2:46" x14ac:dyDescent="0.2">
      <c r="B230" s="4" t="s">
        <v>2280</v>
      </c>
      <c r="C230" s="4">
        <v>17.914999999999999</v>
      </c>
      <c r="D230" s="4">
        <v>17.6218</v>
      </c>
      <c r="E230" s="4">
        <v>17.603200000000001</v>
      </c>
      <c r="F230" s="4">
        <f t="shared" si="12"/>
        <v>17.713333333333335</v>
      </c>
      <c r="I230" s="4" t="s">
        <v>2963</v>
      </c>
      <c r="J230" s="4">
        <v>17.963899999999999</v>
      </c>
      <c r="K230" s="4">
        <v>17.628399999999999</v>
      </c>
      <c r="L230" s="4">
        <v>17.7348</v>
      </c>
      <c r="M230" s="4">
        <f t="shared" si="13"/>
        <v>17.775699999999997</v>
      </c>
      <c r="P230" s="4" t="str">
        <f>"pfn-1"</f>
        <v>pfn-1</v>
      </c>
      <c r="Q230" s="4">
        <v>17.9283340763422</v>
      </c>
      <c r="R230" s="4">
        <v>17.5913820342581</v>
      </c>
      <c r="S230" s="4">
        <v>17.739561645680698</v>
      </c>
      <c r="T230" s="4">
        <f t="shared" si="14"/>
        <v>17.753092585426998</v>
      </c>
      <c r="W230" s="4" t="str">
        <f>"ppk-2"</f>
        <v>ppk-2</v>
      </c>
      <c r="X230" s="4">
        <v>17.4627491767714</v>
      </c>
      <c r="Y230" s="4">
        <v>17.865144526524499</v>
      </c>
      <c r="Z230" s="4">
        <v>17.828665916387799</v>
      </c>
      <c r="AA230" s="4">
        <f t="shared" si="15"/>
        <v>17.718853206561231</v>
      </c>
      <c r="AH230" s="28" t="s">
        <v>3774</v>
      </c>
      <c r="AJ230" s="4" t="s">
        <v>1225</v>
      </c>
      <c r="AT230" s="6"/>
    </row>
    <row r="231" spans="2:46" x14ac:dyDescent="0.2">
      <c r="B231" s="4" t="s">
        <v>2385</v>
      </c>
      <c r="C231" s="4">
        <v>17.837700000000002</v>
      </c>
      <c r="D231" s="4">
        <v>17.715299999999999</v>
      </c>
      <c r="E231" s="4">
        <v>17.5593</v>
      </c>
      <c r="F231" s="4">
        <f t="shared" si="12"/>
        <v>17.7041</v>
      </c>
      <c r="I231" s="4" t="s">
        <v>2609</v>
      </c>
      <c r="J231" s="4">
        <v>17.699100000000001</v>
      </c>
      <c r="K231" s="4">
        <v>17.832699999999999</v>
      </c>
      <c r="L231" s="4">
        <v>17.790600000000001</v>
      </c>
      <c r="M231" s="4">
        <f t="shared" si="13"/>
        <v>17.774133333333335</v>
      </c>
      <c r="P231" s="4" t="str">
        <f>"drp-1"</f>
        <v>drp-1</v>
      </c>
      <c r="Q231" s="4">
        <v>17.826654644235202</v>
      </c>
      <c r="R231" s="4">
        <v>17.765719840039399</v>
      </c>
      <c r="S231" s="4">
        <v>17.658118260189202</v>
      </c>
      <c r="T231" s="4">
        <f t="shared" si="14"/>
        <v>17.750164248154601</v>
      </c>
      <c r="W231" s="4" t="str">
        <f>"vit-1"</f>
        <v>vit-1</v>
      </c>
      <c r="X231" s="4">
        <v>17.8425214981146</v>
      </c>
      <c r="Y231" s="4">
        <v>17.8796170857545</v>
      </c>
      <c r="Z231" s="4">
        <v>17.416900883342599</v>
      </c>
      <c r="AA231" s="4">
        <f t="shared" si="15"/>
        <v>17.713013155737233</v>
      </c>
      <c r="AH231" s="28" t="s">
        <v>2703</v>
      </c>
      <c r="AJ231" s="4" t="s">
        <v>319</v>
      </c>
      <c r="AT231" s="6"/>
    </row>
    <row r="232" spans="2:46" x14ac:dyDescent="0.2">
      <c r="B232" s="4" t="s">
        <v>3058</v>
      </c>
      <c r="C232" s="4">
        <v>17.5685</v>
      </c>
      <c r="D232" s="4">
        <v>17.265899999999998</v>
      </c>
      <c r="E232" s="4">
        <v>18.275300000000001</v>
      </c>
      <c r="F232" s="4">
        <f t="shared" si="12"/>
        <v>17.703233333333333</v>
      </c>
      <c r="I232" s="4" t="s">
        <v>1466</v>
      </c>
      <c r="J232" s="4">
        <v>17.493099999999998</v>
      </c>
      <c r="K232" s="4">
        <v>17.524000000000001</v>
      </c>
      <c r="L232" s="4">
        <v>18.294799999999999</v>
      </c>
      <c r="M232" s="4">
        <f t="shared" si="13"/>
        <v>17.770633333333333</v>
      </c>
      <c r="P232" s="4" t="str">
        <f>"ech-1.1"</f>
        <v>ech-1.1</v>
      </c>
      <c r="Q232" s="4">
        <v>18.1710593738939</v>
      </c>
      <c r="R232" s="4">
        <v>17.375986943831901</v>
      </c>
      <c r="S232" s="4">
        <v>17.678192941611002</v>
      </c>
      <c r="T232" s="4">
        <f t="shared" si="14"/>
        <v>17.741746419778934</v>
      </c>
      <c r="W232" s="4" t="str">
        <f>"egl-45"</f>
        <v>egl-45</v>
      </c>
      <c r="X232" s="4">
        <v>17.721378431949901</v>
      </c>
      <c r="Y232" s="4">
        <v>17.733799876996599</v>
      </c>
      <c r="Z232" s="4">
        <v>17.612957857388899</v>
      </c>
      <c r="AA232" s="4">
        <f t="shared" si="15"/>
        <v>17.689378722111801</v>
      </c>
      <c r="AH232" s="28" t="s">
        <v>4661</v>
      </c>
      <c r="AJ232" s="4" t="s">
        <v>4348</v>
      </c>
      <c r="AT232" s="6"/>
    </row>
    <row r="233" spans="2:46" x14ac:dyDescent="0.2">
      <c r="B233" s="4" t="s">
        <v>2438</v>
      </c>
      <c r="C233" s="4">
        <v>17.8948</v>
      </c>
      <c r="D233" s="4">
        <v>17.684999999999999</v>
      </c>
      <c r="E233" s="4">
        <v>17.4693</v>
      </c>
      <c r="F233" s="4">
        <f t="shared" si="12"/>
        <v>17.683033333333331</v>
      </c>
      <c r="I233" s="4" t="s">
        <v>2066</v>
      </c>
      <c r="J233" s="4">
        <v>17.723500000000001</v>
      </c>
      <c r="K233" s="4">
        <v>17.7559</v>
      </c>
      <c r="L233" s="4">
        <v>17.8002</v>
      </c>
      <c r="M233" s="4">
        <f t="shared" si="13"/>
        <v>17.759866666666667</v>
      </c>
      <c r="P233" s="4" t="str">
        <f>"eat-3"</f>
        <v>eat-3</v>
      </c>
      <c r="Q233" s="4">
        <v>17.9581937560007</v>
      </c>
      <c r="R233" s="4">
        <v>17.652329101168799</v>
      </c>
      <c r="S233" s="4">
        <v>17.605604955183299</v>
      </c>
      <c r="T233" s="4">
        <f t="shared" si="14"/>
        <v>17.738709270784266</v>
      </c>
      <c r="W233" s="4" t="str">
        <f>"atad-3"</f>
        <v>atad-3</v>
      </c>
      <c r="X233" s="4">
        <v>17.178317610854599</v>
      </c>
      <c r="Y233" s="4">
        <v>17.979405022628299</v>
      </c>
      <c r="Z233" s="4">
        <v>17.905122536234401</v>
      </c>
      <c r="AA233" s="4">
        <f t="shared" si="15"/>
        <v>17.687615056572433</v>
      </c>
      <c r="AH233" s="28" t="s">
        <v>4722</v>
      </c>
      <c r="AJ233" s="4" t="s">
        <v>2569</v>
      </c>
      <c r="AT233" s="6"/>
    </row>
    <row r="234" spans="2:46" x14ac:dyDescent="0.2">
      <c r="B234" s="4" t="s">
        <v>2047</v>
      </c>
      <c r="C234" s="4">
        <v>17.818300000000001</v>
      </c>
      <c r="D234" s="4">
        <v>17.771100000000001</v>
      </c>
      <c r="E234" s="4">
        <v>17.380600000000001</v>
      </c>
      <c r="F234" s="4">
        <f t="shared" si="12"/>
        <v>17.656666666666666</v>
      </c>
      <c r="I234" s="4" t="s">
        <v>1642</v>
      </c>
      <c r="J234" s="4">
        <v>17.7394</v>
      </c>
      <c r="K234" s="4">
        <v>17.803899999999999</v>
      </c>
      <c r="L234" s="4">
        <v>17.7241</v>
      </c>
      <c r="M234" s="4">
        <f t="shared" si="13"/>
        <v>17.755800000000001</v>
      </c>
      <c r="P234" s="4" t="str">
        <f>"cpn-3"</f>
        <v>cpn-3</v>
      </c>
      <c r="Q234" s="4">
        <v>17.6828439860071</v>
      </c>
      <c r="R234" s="4">
        <v>17.718037930977999</v>
      </c>
      <c r="S234" s="4">
        <v>17.7842064065462</v>
      </c>
      <c r="T234" s="4">
        <f t="shared" si="14"/>
        <v>17.728362774510433</v>
      </c>
      <c r="W234" s="4" t="str">
        <f>"fbxa-39"</f>
        <v>fbxa-39</v>
      </c>
      <c r="X234" s="4">
        <v>17.348052932739002</v>
      </c>
      <c r="Y234" s="4">
        <v>17.661930700940601</v>
      </c>
      <c r="Z234" s="4">
        <v>18.0497013982921</v>
      </c>
      <c r="AA234" s="4">
        <f t="shared" si="15"/>
        <v>17.686561677323901</v>
      </c>
      <c r="AH234" s="28" t="s">
        <v>3389</v>
      </c>
      <c r="AJ234" s="4" t="s">
        <v>87</v>
      </c>
      <c r="AT234" s="6"/>
    </row>
    <row r="235" spans="2:46" x14ac:dyDescent="0.2">
      <c r="B235" s="4" t="s">
        <v>3512</v>
      </c>
      <c r="C235" s="4">
        <v>17.596699999999998</v>
      </c>
      <c r="D235" s="4">
        <v>17.785699999999999</v>
      </c>
      <c r="E235" s="4">
        <v>17.569099999999999</v>
      </c>
      <c r="F235" s="4">
        <f t="shared" si="12"/>
        <v>17.650499999999997</v>
      </c>
      <c r="I235" s="4" t="s">
        <v>3399</v>
      </c>
      <c r="J235" s="4">
        <v>17.555599999999998</v>
      </c>
      <c r="K235" s="4">
        <v>17.432400000000001</v>
      </c>
      <c r="L235" s="4">
        <v>18.269600000000001</v>
      </c>
      <c r="M235" s="4">
        <f t="shared" si="13"/>
        <v>17.752533333333332</v>
      </c>
      <c r="P235" s="4" t="str">
        <f>"fzo-1"</f>
        <v>fzo-1</v>
      </c>
      <c r="Q235" s="4">
        <v>17.910849522380701</v>
      </c>
      <c r="R235" s="4">
        <v>17.598426595608501</v>
      </c>
      <c r="S235" s="4">
        <v>17.622910751507799</v>
      </c>
      <c r="T235" s="4">
        <f t="shared" si="14"/>
        <v>17.710728956499</v>
      </c>
      <c r="W235" s="4" t="str">
        <f>"nars-1"</f>
        <v>nars-1</v>
      </c>
      <c r="X235" s="4">
        <v>17.829790858140601</v>
      </c>
      <c r="Y235" s="4">
        <v>17.7087516037653</v>
      </c>
      <c r="Z235" s="4">
        <v>17.519719840438299</v>
      </c>
      <c r="AA235" s="4">
        <f t="shared" si="15"/>
        <v>17.686087434114736</v>
      </c>
      <c r="AH235" s="28" t="s">
        <v>4734</v>
      </c>
      <c r="AJ235" s="4" t="s">
        <v>2151</v>
      </c>
    </row>
    <row r="236" spans="2:46" x14ac:dyDescent="0.2">
      <c r="B236" s="4" t="s">
        <v>2378</v>
      </c>
      <c r="C236" s="4">
        <v>17.395499999999998</v>
      </c>
      <c r="D236" s="4">
        <v>17.4345</v>
      </c>
      <c r="E236" s="4">
        <v>18.080500000000001</v>
      </c>
      <c r="F236" s="4">
        <f t="shared" si="12"/>
        <v>17.636833333333332</v>
      </c>
      <c r="I236" s="4" t="s">
        <v>2344</v>
      </c>
      <c r="J236" s="4">
        <v>17.650099999999998</v>
      </c>
      <c r="K236" s="4">
        <v>17.545400000000001</v>
      </c>
      <c r="L236" s="4">
        <v>18.053599999999999</v>
      </c>
      <c r="M236" s="4">
        <f t="shared" si="13"/>
        <v>17.749700000000001</v>
      </c>
      <c r="P236" s="4" t="str">
        <f>"ifc-2"</f>
        <v>ifc-2</v>
      </c>
      <c r="Q236" s="4">
        <v>18.0124407793719</v>
      </c>
      <c r="R236" s="4">
        <v>16.916165438322398</v>
      </c>
      <c r="S236" s="4">
        <v>18.187502392953999</v>
      </c>
      <c r="T236" s="4">
        <f t="shared" si="14"/>
        <v>17.705369536882767</v>
      </c>
      <c r="W236" s="4" t="str">
        <f>"eat-3"</f>
        <v>eat-3</v>
      </c>
      <c r="X236" s="4">
        <v>17.441651932260299</v>
      </c>
      <c r="Y236" s="4">
        <v>17.815250487206001</v>
      </c>
      <c r="Z236" s="4">
        <v>17.7771985219916</v>
      </c>
      <c r="AA236" s="4">
        <f t="shared" si="15"/>
        <v>17.678033647152635</v>
      </c>
      <c r="AH236" s="28" t="s">
        <v>2028</v>
      </c>
      <c r="AJ236" s="4" t="s">
        <v>3015</v>
      </c>
      <c r="AT236" s="6"/>
    </row>
    <row r="237" spans="2:46" x14ac:dyDescent="0.2">
      <c r="B237" s="4" t="s">
        <v>173</v>
      </c>
      <c r="C237" s="4">
        <v>17.298999999999999</v>
      </c>
      <c r="D237" s="4">
        <v>17.7728</v>
      </c>
      <c r="E237" s="4">
        <v>17.796700000000001</v>
      </c>
      <c r="F237" s="4">
        <f t="shared" si="12"/>
        <v>17.622833333333332</v>
      </c>
      <c r="I237" s="4" t="s">
        <v>1705</v>
      </c>
      <c r="J237" s="4">
        <v>17.659600000000001</v>
      </c>
      <c r="K237" s="4">
        <v>17.856100000000001</v>
      </c>
      <c r="L237" s="4">
        <v>17.691800000000001</v>
      </c>
      <c r="M237" s="4">
        <f t="shared" si="13"/>
        <v>17.735833333333336</v>
      </c>
      <c r="P237" s="4" t="str">
        <f>"fbxa-39"</f>
        <v>fbxa-39</v>
      </c>
      <c r="Q237" s="4">
        <v>17.284184715209499</v>
      </c>
      <c r="R237" s="4">
        <v>17.631285944677401</v>
      </c>
      <c r="S237" s="4">
        <v>18.154264780153699</v>
      </c>
      <c r="T237" s="4">
        <f t="shared" si="14"/>
        <v>17.689911813346868</v>
      </c>
      <c r="W237" s="4" t="str">
        <f>"nog-1"</f>
        <v>nog-1</v>
      </c>
      <c r="X237" s="4">
        <v>17.509354699841499</v>
      </c>
      <c r="Y237" s="4">
        <v>17.781707285649201</v>
      </c>
      <c r="Z237" s="4">
        <v>17.722070365417402</v>
      </c>
      <c r="AA237" s="4">
        <f t="shared" si="15"/>
        <v>17.671044116969366</v>
      </c>
      <c r="AH237" s="28" t="s">
        <v>4687</v>
      </c>
      <c r="AJ237" s="4" t="s">
        <v>4379</v>
      </c>
      <c r="AT237" s="6"/>
    </row>
    <row r="238" spans="2:46" x14ac:dyDescent="0.2">
      <c r="B238" s="4" t="s">
        <v>3233</v>
      </c>
      <c r="C238" s="4">
        <v>17.776800000000001</v>
      </c>
      <c r="D238" s="4">
        <v>17.666</v>
      </c>
      <c r="E238" s="4">
        <v>17.377099999999999</v>
      </c>
      <c r="F238" s="4">
        <f t="shared" si="12"/>
        <v>17.606633333333335</v>
      </c>
      <c r="I238" s="4" t="s">
        <v>1662</v>
      </c>
      <c r="J238" s="4">
        <v>17.809899999999999</v>
      </c>
      <c r="K238" s="4">
        <v>17.611799999999999</v>
      </c>
      <c r="L238" s="4">
        <v>17.781500000000001</v>
      </c>
      <c r="M238" s="4">
        <f t="shared" si="13"/>
        <v>17.734400000000001</v>
      </c>
      <c r="P238" s="4" t="str">
        <f>"gfat-2"</f>
        <v>gfat-2</v>
      </c>
      <c r="Q238" s="4">
        <v>17.741036278633999</v>
      </c>
      <c r="R238" s="4">
        <v>17.6747539808289</v>
      </c>
      <c r="S238" s="4">
        <v>17.633811610827401</v>
      </c>
      <c r="T238" s="4">
        <f t="shared" si="14"/>
        <v>17.6832006234301</v>
      </c>
      <c r="W238" s="4" t="str">
        <f>"vit-3"</f>
        <v>vit-3</v>
      </c>
      <c r="X238" s="4">
        <v>17.722650106941501</v>
      </c>
      <c r="Y238" s="4">
        <v>17.772081843494401</v>
      </c>
      <c r="Z238" s="4">
        <v>17.513715972227001</v>
      </c>
      <c r="AA238" s="4">
        <f t="shared" si="15"/>
        <v>17.669482640887637</v>
      </c>
      <c r="AH238" s="28" t="s">
        <v>2280</v>
      </c>
      <c r="AJ238" s="4" t="s">
        <v>1184</v>
      </c>
      <c r="AT238" s="6"/>
    </row>
    <row r="239" spans="2:46" x14ac:dyDescent="0.2">
      <c r="B239" s="4" t="s">
        <v>3024</v>
      </c>
      <c r="C239" s="4">
        <v>17.566800000000001</v>
      </c>
      <c r="D239" s="4">
        <v>17.633600000000001</v>
      </c>
      <c r="E239" s="4">
        <v>17.598099999999999</v>
      </c>
      <c r="F239" s="4">
        <f t="shared" si="12"/>
        <v>17.599500000000003</v>
      </c>
      <c r="I239" s="4" t="s">
        <v>2837</v>
      </c>
      <c r="J239" s="4">
        <v>17.8294</v>
      </c>
      <c r="K239" s="4">
        <v>17.7532</v>
      </c>
      <c r="L239" s="4">
        <v>17.591899999999999</v>
      </c>
      <c r="M239" s="4">
        <f t="shared" si="13"/>
        <v>17.724833333333333</v>
      </c>
      <c r="P239" s="4" t="str">
        <f>"ubl-1"</f>
        <v>ubl-1</v>
      </c>
      <c r="Q239" s="4">
        <v>17.854282701446301</v>
      </c>
      <c r="R239" s="4">
        <v>17.644117615614501</v>
      </c>
      <c r="S239" s="4">
        <v>17.536265645995901</v>
      </c>
      <c r="T239" s="4">
        <f t="shared" si="14"/>
        <v>17.678221987685564</v>
      </c>
      <c r="W239" s="4" t="str">
        <f>"dlat-2"</f>
        <v>dlat-2</v>
      </c>
      <c r="X239" s="4">
        <v>17.417472237224001</v>
      </c>
      <c r="Y239" s="4">
        <v>17.784891475980899</v>
      </c>
      <c r="Z239" s="4">
        <v>17.8052355430981</v>
      </c>
      <c r="AA239" s="4">
        <f t="shared" si="15"/>
        <v>17.669199752101001</v>
      </c>
      <c r="AH239" s="28" t="s">
        <v>4841</v>
      </c>
      <c r="AJ239" s="4" t="s">
        <v>4618</v>
      </c>
      <c r="AT239" s="6"/>
    </row>
    <row r="240" spans="2:46" x14ac:dyDescent="0.2">
      <c r="B240" s="4" t="s">
        <v>50</v>
      </c>
      <c r="C240" s="4">
        <v>18.0593</v>
      </c>
      <c r="D240" s="4">
        <v>17.039899999999999</v>
      </c>
      <c r="E240" s="4">
        <v>17.609400000000001</v>
      </c>
      <c r="F240" s="4">
        <f t="shared" si="12"/>
        <v>17.569533333333332</v>
      </c>
      <c r="I240" s="4" t="s">
        <v>1679</v>
      </c>
      <c r="J240" s="4">
        <v>17.662700000000001</v>
      </c>
      <c r="K240" s="4">
        <v>17.8127</v>
      </c>
      <c r="L240" s="4">
        <v>17.627099999999999</v>
      </c>
      <c r="M240" s="4">
        <f t="shared" si="13"/>
        <v>17.700833333333332</v>
      </c>
      <c r="P240" s="4" t="str">
        <f>"gars-1"</f>
        <v>gars-1</v>
      </c>
      <c r="Q240" s="4">
        <v>17.632959036435299</v>
      </c>
      <c r="R240" s="4">
        <v>17.871741215195598</v>
      </c>
      <c r="S240" s="4">
        <v>17.528786300916501</v>
      </c>
      <c r="T240" s="4">
        <f t="shared" si="14"/>
        <v>17.677828850849131</v>
      </c>
      <c r="W240" s="4" t="str">
        <f>"gpa-4"</f>
        <v>gpa-4</v>
      </c>
      <c r="X240" s="4">
        <v>17.811878631009101</v>
      </c>
      <c r="Y240" s="4">
        <v>17.555321941058398</v>
      </c>
      <c r="Z240" s="4">
        <v>17.640353435346199</v>
      </c>
      <c r="AA240" s="4">
        <f t="shared" si="15"/>
        <v>17.669184669137902</v>
      </c>
      <c r="AH240" s="28" t="s">
        <v>4804</v>
      </c>
      <c r="AJ240" s="4" t="s">
        <v>1921</v>
      </c>
      <c r="AT240" s="6"/>
    </row>
    <row r="241" spans="2:56" x14ac:dyDescent="0.2">
      <c r="B241" s="4" t="s">
        <v>2837</v>
      </c>
      <c r="C241" s="4">
        <v>17.5122</v>
      </c>
      <c r="D241" s="4">
        <v>17.4312</v>
      </c>
      <c r="E241" s="4">
        <v>17.761900000000001</v>
      </c>
      <c r="F241" s="4">
        <f t="shared" si="12"/>
        <v>17.568433333333331</v>
      </c>
      <c r="I241" s="4" t="s">
        <v>2796</v>
      </c>
      <c r="J241" s="4">
        <v>17.811800000000002</v>
      </c>
      <c r="K241" s="4">
        <v>17.653300000000002</v>
      </c>
      <c r="L241" s="4">
        <v>17.633400000000002</v>
      </c>
      <c r="M241" s="4">
        <f t="shared" si="13"/>
        <v>17.699500000000004</v>
      </c>
      <c r="P241" s="4" t="str">
        <f>"unc-52"</f>
        <v>unc-52</v>
      </c>
      <c r="Q241" s="4">
        <v>18.1618235552675</v>
      </c>
      <c r="R241" s="4">
        <v>16.902635553312599</v>
      </c>
      <c r="S241" s="4">
        <v>17.966705245292999</v>
      </c>
      <c r="T241" s="4">
        <f t="shared" si="14"/>
        <v>17.677054784624364</v>
      </c>
      <c r="W241" s="4" t="str">
        <f>"rars-1"</f>
        <v>rars-1</v>
      </c>
      <c r="X241" s="4">
        <v>17.693653399985902</v>
      </c>
      <c r="Y241" s="4">
        <v>17.729896490073799</v>
      </c>
      <c r="Z241" s="4">
        <v>17.581996915013601</v>
      </c>
      <c r="AA241" s="4">
        <f t="shared" si="15"/>
        <v>17.668515601691102</v>
      </c>
      <c r="AH241" s="28" t="s">
        <v>4416</v>
      </c>
      <c r="AJ241" s="4" t="s">
        <v>3975</v>
      </c>
      <c r="AT241" s="6"/>
    </row>
    <row r="242" spans="2:56" x14ac:dyDescent="0.2">
      <c r="B242" s="4" t="s">
        <v>1663</v>
      </c>
      <c r="C242" s="4">
        <v>17.429400000000001</v>
      </c>
      <c r="D242" s="4">
        <v>17.705500000000001</v>
      </c>
      <c r="E242" s="4">
        <v>17.532</v>
      </c>
      <c r="F242" s="4">
        <f t="shared" si="12"/>
        <v>17.555633333333333</v>
      </c>
      <c r="I242" s="4" t="s">
        <v>2735</v>
      </c>
      <c r="J242" s="4">
        <v>17.832599999999999</v>
      </c>
      <c r="K242" s="4">
        <v>17.71</v>
      </c>
      <c r="L242" s="4">
        <v>17.529399999999999</v>
      </c>
      <c r="M242" s="4">
        <f t="shared" si="13"/>
        <v>17.690666666666669</v>
      </c>
      <c r="P242" s="4" t="str">
        <f>"goa-1"</f>
        <v>goa-1</v>
      </c>
      <c r="Q242" s="4">
        <v>17.8134116520093</v>
      </c>
      <c r="R242" s="4">
        <v>17.843211943333099</v>
      </c>
      <c r="S242" s="4">
        <v>17.372917837033501</v>
      </c>
      <c r="T242" s="4">
        <f t="shared" si="14"/>
        <v>17.676513810791963</v>
      </c>
      <c r="W242" s="4" t="str">
        <f>"dyn-1"</f>
        <v>dyn-1</v>
      </c>
      <c r="X242" s="4">
        <v>17.558105296036501</v>
      </c>
      <c r="Y242" s="4">
        <v>17.8085369619942</v>
      </c>
      <c r="Z242" s="4">
        <v>17.6387053478947</v>
      </c>
      <c r="AA242" s="4">
        <f t="shared" si="15"/>
        <v>17.668449201975132</v>
      </c>
      <c r="AH242" s="28" t="s">
        <v>1441</v>
      </c>
      <c r="AJ242" s="4" t="s">
        <v>4413</v>
      </c>
    </row>
    <row r="243" spans="2:56" x14ac:dyDescent="0.2">
      <c r="B243" s="4" t="s">
        <v>4595</v>
      </c>
      <c r="C243" s="4">
        <v>17.25</v>
      </c>
      <c r="D243" s="4">
        <v>17.454599999999999</v>
      </c>
      <c r="E243" s="4">
        <v>17.942900000000002</v>
      </c>
      <c r="F243" s="4">
        <f t="shared" si="12"/>
        <v>17.549166666666668</v>
      </c>
      <c r="I243" s="4" t="s">
        <v>2425</v>
      </c>
      <c r="J243" s="4">
        <v>17.2883</v>
      </c>
      <c r="K243" s="4">
        <v>17.1007</v>
      </c>
      <c r="L243" s="4">
        <v>18.682500000000001</v>
      </c>
      <c r="M243" s="4">
        <f t="shared" si="13"/>
        <v>17.6905</v>
      </c>
      <c r="P243" s="4" t="str">
        <f>"aqp-2"</f>
        <v>aqp-2</v>
      </c>
      <c r="Q243" s="4">
        <v>17.8511749283794</v>
      </c>
      <c r="R243" s="4">
        <v>17.426764057675399</v>
      </c>
      <c r="S243" s="4">
        <v>17.748279428777298</v>
      </c>
      <c r="T243" s="4">
        <f t="shared" si="14"/>
        <v>17.675406138277367</v>
      </c>
      <c r="W243" s="4" t="str">
        <f>"R09F10.1"</f>
        <v>R09F10.1</v>
      </c>
      <c r="X243" s="4">
        <v>17.720854969485199</v>
      </c>
      <c r="Y243" s="4">
        <v>17.584203858239501</v>
      </c>
      <c r="Z243" s="4">
        <v>17.628955126158701</v>
      </c>
      <c r="AA243" s="4">
        <f t="shared" si="15"/>
        <v>17.644671317961134</v>
      </c>
      <c r="AH243" s="28" t="s">
        <v>3388</v>
      </c>
      <c r="AJ243" s="4" t="s">
        <v>2295</v>
      </c>
      <c r="AT243" s="6"/>
    </row>
    <row r="244" spans="2:56" x14ac:dyDescent="0.2">
      <c r="B244" s="4" t="s">
        <v>1676</v>
      </c>
      <c r="C244" s="4">
        <v>17.701699999999999</v>
      </c>
      <c r="D244" s="4">
        <v>17.384899999999998</v>
      </c>
      <c r="E244" s="4">
        <v>17.5609</v>
      </c>
      <c r="F244" s="4">
        <f t="shared" si="12"/>
        <v>17.549166666666665</v>
      </c>
      <c r="I244" s="4" t="s">
        <v>4595</v>
      </c>
      <c r="J244" s="4">
        <v>17.500299999999999</v>
      </c>
      <c r="K244" s="4">
        <v>17.760999999999999</v>
      </c>
      <c r="L244" s="4">
        <v>17.763400000000001</v>
      </c>
      <c r="M244" s="4">
        <f t="shared" si="13"/>
        <v>17.674899999999997</v>
      </c>
      <c r="P244" s="4" t="str">
        <f>"hxk-3"</f>
        <v>hxk-3</v>
      </c>
      <c r="Q244" s="4">
        <v>17.749412578382799</v>
      </c>
      <c r="R244" s="4">
        <v>17.697959639870099</v>
      </c>
      <c r="S244" s="4">
        <v>17.5712824588107</v>
      </c>
      <c r="T244" s="4">
        <f t="shared" si="14"/>
        <v>17.672884892354531</v>
      </c>
      <c r="W244" s="4" t="str">
        <f>"T10F2.2"</f>
        <v>T10F2.2</v>
      </c>
      <c r="X244" s="4">
        <v>17.449614896282</v>
      </c>
      <c r="Y244" s="4">
        <v>17.705173273892299</v>
      </c>
      <c r="Z244" s="4">
        <v>17.762113427214601</v>
      </c>
      <c r="AA244" s="4">
        <f t="shared" si="15"/>
        <v>17.638967199129635</v>
      </c>
      <c r="AH244" s="28" t="s">
        <v>4792</v>
      </c>
      <c r="AJ244" s="4" t="s">
        <v>2833</v>
      </c>
    </row>
    <row r="245" spans="2:56" x14ac:dyDescent="0.2">
      <c r="B245" s="4" t="s">
        <v>1690</v>
      </c>
      <c r="C245" s="4">
        <v>17.578800000000001</v>
      </c>
      <c r="D245" s="4">
        <v>17.5825</v>
      </c>
      <c r="E245" s="4">
        <v>17.476400000000002</v>
      </c>
      <c r="F245" s="4">
        <f t="shared" si="12"/>
        <v>17.5459</v>
      </c>
      <c r="I245" s="4" t="s">
        <v>2540</v>
      </c>
      <c r="J245" s="4">
        <v>17.2606</v>
      </c>
      <c r="K245" s="4">
        <v>17.564299999999999</v>
      </c>
      <c r="L245" s="4">
        <v>18.199100000000001</v>
      </c>
      <c r="M245" s="4">
        <f t="shared" si="13"/>
        <v>17.674666666666667</v>
      </c>
      <c r="P245" s="4" t="str">
        <f>"T10F2.2"</f>
        <v>T10F2.2</v>
      </c>
      <c r="Q245" s="4">
        <v>17.6122170331994</v>
      </c>
      <c r="R245" s="4">
        <v>17.736318628910201</v>
      </c>
      <c r="S245" s="4">
        <v>17.6646176855504</v>
      </c>
      <c r="T245" s="4">
        <f t="shared" si="14"/>
        <v>17.671051115886666</v>
      </c>
      <c r="W245" s="4" t="str">
        <f>"ech-6"</f>
        <v>ech-6</v>
      </c>
      <c r="X245" s="4">
        <v>17.408011052858502</v>
      </c>
      <c r="Y245" s="4">
        <v>17.629074561916799</v>
      </c>
      <c r="Z245" s="4">
        <v>17.8606608353223</v>
      </c>
      <c r="AA245" s="4">
        <f t="shared" si="15"/>
        <v>17.632582150032533</v>
      </c>
      <c r="AH245" s="28" t="s">
        <v>1000</v>
      </c>
      <c r="AJ245" s="4" t="s">
        <v>4617</v>
      </c>
      <c r="AT245" s="6"/>
    </row>
    <row r="246" spans="2:56" x14ac:dyDescent="0.2">
      <c r="B246" s="4" t="s">
        <v>2281</v>
      </c>
      <c r="C246" s="4">
        <v>17.393799999999999</v>
      </c>
      <c r="D246" s="4">
        <v>16.826000000000001</v>
      </c>
      <c r="E246" s="4">
        <v>18.404299999999999</v>
      </c>
      <c r="F246" s="4">
        <f t="shared" si="12"/>
        <v>17.541366666666665</v>
      </c>
      <c r="I246" s="4" t="s">
        <v>298</v>
      </c>
      <c r="J246" s="4">
        <v>17.686499999999999</v>
      </c>
      <c r="K246" s="4">
        <v>17.738600000000002</v>
      </c>
      <c r="L246" s="4">
        <v>17.589200000000002</v>
      </c>
      <c r="M246" s="4">
        <f t="shared" si="13"/>
        <v>17.671433333333336</v>
      </c>
      <c r="P246" s="4" t="str">
        <f>"ngp-1"</f>
        <v>ngp-1</v>
      </c>
      <c r="Q246" s="4">
        <v>17.731176421474501</v>
      </c>
      <c r="R246" s="4">
        <v>17.803666077629298</v>
      </c>
      <c r="S246" s="4">
        <v>17.476297036804599</v>
      </c>
      <c r="T246" s="4">
        <f t="shared" si="14"/>
        <v>17.670379845302801</v>
      </c>
      <c r="W246" s="4" t="str">
        <f>"hsp-3"</f>
        <v>hsp-3</v>
      </c>
      <c r="X246" s="4">
        <v>17.595363595145201</v>
      </c>
      <c r="Y246" s="4">
        <v>17.715814248036502</v>
      </c>
      <c r="Z246" s="4">
        <v>17.559783406521198</v>
      </c>
      <c r="AA246" s="4">
        <f t="shared" si="15"/>
        <v>17.623653749900967</v>
      </c>
      <c r="AH246" s="28" t="s">
        <v>4773</v>
      </c>
      <c r="AJ246" s="4" t="s">
        <v>1658</v>
      </c>
      <c r="AT246" s="6"/>
    </row>
    <row r="247" spans="2:56" x14ac:dyDescent="0.2">
      <c r="B247" s="4" t="s">
        <v>1546</v>
      </c>
      <c r="C247" s="4">
        <v>17.8339</v>
      </c>
      <c r="D247" s="4">
        <v>17.315300000000001</v>
      </c>
      <c r="E247" s="4">
        <v>17.435600000000001</v>
      </c>
      <c r="F247" s="4">
        <f t="shared" si="12"/>
        <v>17.528266666666667</v>
      </c>
      <c r="I247" s="4" t="s">
        <v>1690</v>
      </c>
      <c r="J247" s="4">
        <v>17.622199999999999</v>
      </c>
      <c r="K247" s="4">
        <v>17.397200000000002</v>
      </c>
      <c r="L247" s="4">
        <v>17.977399999999999</v>
      </c>
      <c r="M247" s="4">
        <f t="shared" si="13"/>
        <v>17.665600000000001</v>
      </c>
      <c r="P247" s="4" t="str">
        <f>"eif-2alpha"</f>
        <v>eif-2alpha</v>
      </c>
      <c r="Q247" s="4">
        <v>17.539861509687899</v>
      </c>
      <c r="R247" s="4">
        <v>17.712228031944999</v>
      </c>
      <c r="S247" s="4">
        <v>17.749945124775099</v>
      </c>
      <c r="T247" s="4">
        <f t="shared" si="14"/>
        <v>17.667344888802663</v>
      </c>
      <c r="W247" s="4" t="str">
        <f>"hsp-4"</f>
        <v>hsp-4</v>
      </c>
      <c r="X247" s="4">
        <v>17.6911610956431</v>
      </c>
      <c r="Y247" s="4">
        <v>17.715700186035999</v>
      </c>
      <c r="Z247" s="4">
        <v>17.462849776965601</v>
      </c>
      <c r="AA247" s="4">
        <f t="shared" si="15"/>
        <v>17.623237019548231</v>
      </c>
      <c r="AH247" s="28" t="s">
        <v>271</v>
      </c>
      <c r="AJ247" s="4" t="s">
        <v>3632</v>
      </c>
      <c r="AT247" s="6"/>
    </row>
    <row r="248" spans="2:56" x14ac:dyDescent="0.2">
      <c r="B248" s="4" t="s">
        <v>2187</v>
      </c>
      <c r="C248" s="4">
        <v>17.566600000000001</v>
      </c>
      <c r="D248" s="4">
        <v>17.486899999999999</v>
      </c>
      <c r="E248" s="4">
        <v>17.529900000000001</v>
      </c>
      <c r="F248" s="4">
        <f t="shared" si="12"/>
        <v>17.527799999999999</v>
      </c>
      <c r="I248" s="4" t="s">
        <v>657</v>
      </c>
      <c r="J248" s="4">
        <v>17.055599999999998</v>
      </c>
      <c r="K248" s="4">
        <v>17.250499999999999</v>
      </c>
      <c r="L248" s="4">
        <v>18.6797</v>
      </c>
      <c r="M248" s="4">
        <f t="shared" si="13"/>
        <v>17.661933333333334</v>
      </c>
      <c r="P248" s="4" t="str">
        <f>"tba-7"</f>
        <v>tba-7</v>
      </c>
      <c r="Q248" s="4">
        <v>17.9626502512636</v>
      </c>
      <c r="R248" s="4">
        <v>17.584653860811098</v>
      </c>
      <c r="S248" s="4">
        <v>17.418074998187599</v>
      </c>
      <c r="T248" s="4">
        <f t="shared" si="14"/>
        <v>17.655126370087434</v>
      </c>
      <c r="W248" s="4" t="str">
        <f>"F21D5.1"</f>
        <v>F21D5.1</v>
      </c>
      <c r="X248" s="4">
        <v>17.4917366499478</v>
      </c>
      <c r="Y248" s="4">
        <v>17.7443188433496</v>
      </c>
      <c r="Z248" s="4">
        <v>17.573462669872299</v>
      </c>
      <c r="AA248" s="4">
        <f t="shared" si="15"/>
        <v>17.603172721056566</v>
      </c>
      <c r="AH248" s="28" t="s">
        <v>4644</v>
      </c>
      <c r="AJ248" s="4" t="s">
        <v>3883</v>
      </c>
      <c r="AT248" s="6"/>
    </row>
    <row r="249" spans="2:56" x14ac:dyDescent="0.2">
      <c r="B249" s="4" t="s">
        <v>2244</v>
      </c>
      <c r="C249" s="4">
        <v>17.159700000000001</v>
      </c>
      <c r="D249" s="4">
        <v>17.538499999999999</v>
      </c>
      <c r="E249" s="4">
        <v>17.8674</v>
      </c>
      <c r="F249" s="4">
        <f t="shared" si="12"/>
        <v>17.521866666666668</v>
      </c>
      <c r="I249" s="4" t="s">
        <v>1663</v>
      </c>
      <c r="J249" s="4">
        <v>17.6677</v>
      </c>
      <c r="K249" s="4">
        <v>17.707599999999999</v>
      </c>
      <c r="L249" s="4">
        <v>17.595700000000001</v>
      </c>
      <c r="M249" s="4">
        <f t="shared" si="13"/>
        <v>17.657</v>
      </c>
      <c r="P249" s="4" t="str">
        <f>"rsks-1"</f>
        <v>rsks-1</v>
      </c>
      <c r="Q249" s="4">
        <v>17.854389375179998</v>
      </c>
      <c r="R249" s="4">
        <v>17.608015574669199</v>
      </c>
      <c r="S249" s="4">
        <v>17.487350538340898</v>
      </c>
      <c r="T249" s="4">
        <f t="shared" si="14"/>
        <v>17.649918496063368</v>
      </c>
      <c r="W249" s="4" t="str">
        <f>"fars-1"</f>
        <v>fars-1</v>
      </c>
      <c r="X249" s="4">
        <v>17.649684711676102</v>
      </c>
      <c r="Y249" s="4">
        <v>17.637432450520802</v>
      </c>
      <c r="Z249" s="4">
        <v>17.498753714985</v>
      </c>
      <c r="AA249" s="4">
        <f t="shared" si="15"/>
        <v>17.595290292393969</v>
      </c>
      <c r="AH249" s="28" t="s">
        <v>1103</v>
      </c>
      <c r="AJ249" s="4" t="s">
        <v>2506</v>
      </c>
    </row>
    <row r="250" spans="2:56" x14ac:dyDescent="0.2">
      <c r="B250" s="4" t="s">
        <v>909</v>
      </c>
      <c r="C250" s="4">
        <v>17.410499999999999</v>
      </c>
      <c r="D250" s="4">
        <v>17.252300000000002</v>
      </c>
      <c r="E250" s="4">
        <v>17.889900000000001</v>
      </c>
      <c r="F250" s="4">
        <f t="shared" si="12"/>
        <v>17.517566666666667</v>
      </c>
      <c r="I250" s="4" t="s">
        <v>3356</v>
      </c>
      <c r="J250" s="4">
        <v>17.4787</v>
      </c>
      <c r="K250" s="4">
        <v>17.698499999999999</v>
      </c>
      <c r="L250" s="4">
        <v>17.779800000000002</v>
      </c>
      <c r="M250" s="4">
        <f t="shared" si="13"/>
        <v>17.652333333333335</v>
      </c>
      <c r="P250" s="4" t="str">
        <f>"rop-1"</f>
        <v>rop-1</v>
      </c>
      <c r="Q250" s="4">
        <v>17.837760303755299</v>
      </c>
      <c r="R250" s="4">
        <v>17.5471881508123</v>
      </c>
      <c r="S250" s="4">
        <v>17.5156076355176</v>
      </c>
      <c r="T250" s="4">
        <f t="shared" si="14"/>
        <v>17.633518696695067</v>
      </c>
      <c r="W250" s="4" t="str">
        <f>"rpn-5"</f>
        <v>rpn-5</v>
      </c>
      <c r="X250" s="4">
        <v>17.6460900712182</v>
      </c>
      <c r="Y250" s="4">
        <v>17.6011154657728</v>
      </c>
      <c r="Z250" s="4">
        <v>17.525628783541698</v>
      </c>
      <c r="AA250" s="4">
        <f t="shared" si="15"/>
        <v>17.590944773510902</v>
      </c>
      <c r="AH250" s="28" t="s">
        <v>1688</v>
      </c>
      <c r="AJ250" s="4" t="s">
        <v>4076</v>
      </c>
      <c r="AT250" s="6"/>
    </row>
    <row r="251" spans="2:56" x14ac:dyDescent="0.2">
      <c r="B251" s="4" t="s">
        <v>1895</v>
      </c>
      <c r="C251" s="4">
        <v>17.343299999999999</v>
      </c>
      <c r="D251" s="4">
        <v>16.860099999999999</v>
      </c>
      <c r="E251" s="4">
        <v>18.348400000000002</v>
      </c>
      <c r="F251" s="4">
        <f t="shared" si="12"/>
        <v>17.517266666666668</v>
      </c>
      <c r="I251" s="4" t="s">
        <v>3971</v>
      </c>
      <c r="J251" s="4">
        <v>17.268599999999999</v>
      </c>
      <c r="K251" s="4">
        <v>17.3855</v>
      </c>
      <c r="L251" s="4">
        <v>18.299199999999999</v>
      </c>
      <c r="M251" s="4">
        <f t="shared" si="13"/>
        <v>17.6511</v>
      </c>
      <c r="P251" s="4" t="str">
        <f>"alh-12"</f>
        <v>alh-12</v>
      </c>
      <c r="Q251" s="4">
        <v>17.6932500318382</v>
      </c>
      <c r="R251" s="4">
        <v>17.616872183176401</v>
      </c>
      <c r="S251" s="4">
        <v>17.587968866526101</v>
      </c>
      <c r="T251" s="4">
        <f t="shared" si="14"/>
        <v>17.632697027180232</v>
      </c>
      <c r="W251" s="4" t="str">
        <f>"nduf-7"</f>
        <v>nduf-7</v>
      </c>
      <c r="X251" s="4">
        <v>17.345323952112</v>
      </c>
      <c r="Y251" s="4">
        <v>17.5421372897992</v>
      </c>
      <c r="Z251" s="4">
        <v>17.884810069554199</v>
      </c>
      <c r="AA251" s="4">
        <f t="shared" si="15"/>
        <v>17.590757103821797</v>
      </c>
      <c r="AH251" s="28" t="s">
        <v>1167</v>
      </c>
      <c r="AJ251" s="4" t="s">
        <v>4419</v>
      </c>
    </row>
    <row r="252" spans="2:56" x14ac:dyDescent="0.2">
      <c r="B252" s="4" t="s">
        <v>3205</v>
      </c>
      <c r="C252" s="4">
        <v>17.3962</v>
      </c>
      <c r="D252" s="4">
        <v>17.737400000000001</v>
      </c>
      <c r="E252" s="4">
        <v>17.404599999999999</v>
      </c>
      <c r="F252" s="4">
        <f t="shared" si="12"/>
        <v>17.512733333333333</v>
      </c>
      <c r="I252" s="4" t="s">
        <v>3024</v>
      </c>
      <c r="J252" s="4">
        <v>17.761399999999998</v>
      </c>
      <c r="K252" s="4">
        <v>17.7026</v>
      </c>
      <c r="L252" s="4">
        <v>17.462</v>
      </c>
      <c r="M252" s="4">
        <f t="shared" si="13"/>
        <v>17.641999999999999</v>
      </c>
      <c r="P252" s="4" t="str">
        <f>"gas-1"</f>
        <v>gas-1</v>
      </c>
      <c r="Q252" s="4">
        <v>17.963319912707199</v>
      </c>
      <c r="R252" s="4">
        <v>17.459345826789701</v>
      </c>
      <c r="S252" s="4">
        <v>17.453808709149499</v>
      </c>
      <c r="T252" s="4">
        <f t="shared" si="14"/>
        <v>17.625491482882133</v>
      </c>
      <c r="W252" s="4" t="str">
        <f>"dhs-28"</f>
        <v>dhs-28</v>
      </c>
      <c r="X252" s="4">
        <v>17.750830952968698</v>
      </c>
      <c r="Y252" s="4">
        <v>17.614522731316701</v>
      </c>
      <c r="Z252" s="4">
        <v>17.401615726394802</v>
      </c>
      <c r="AA252" s="4">
        <f t="shared" si="15"/>
        <v>17.588989803560064</v>
      </c>
      <c r="AH252" s="28" t="s">
        <v>3277</v>
      </c>
      <c r="AJ252" s="4" t="s">
        <v>2555</v>
      </c>
      <c r="AT252" s="6"/>
    </row>
    <row r="253" spans="2:56" x14ac:dyDescent="0.2">
      <c r="B253" s="4" t="s">
        <v>301</v>
      </c>
      <c r="C253" s="4">
        <v>17.999099999999999</v>
      </c>
      <c r="D253" s="4">
        <v>17.013300000000001</v>
      </c>
      <c r="E253" s="4">
        <v>17.510300000000001</v>
      </c>
      <c r="F253" s="4">
        <f t="shared" si="12"/>
        <v>17.507566666666666</v>
      </c>
      <c r="I253" s="4" t="s">
        <v>1665</v>
      </c>
      <c r="J253" s="4">
        <v>17.742000000000001</v>
      </c>
      <c r="K253" s="4">
        <v>17.551500000000001</v>
      </c>
      <c r="L253" s="4">
        <v>17.61</v>
      </c>
      <c r="M253" s="4">
        <f t="shared" si="13"/>
        <v>17.634499999999999</v>
      </c>
      <c r="P253" s="4" t="str">
        <f>"nars-1"</f>
        <v>nars-1</v>
      </c>
      <c r="Q253" s="4">
        <v>17.6784929122182</v>
      </c>
      <c r="R253" s="4">
        <v>17.553922948892101</v>
      </c>
      <c r="S253" s="4">
        <v>17.643196330018402</v>
      </c>
      <c r="T253" s="4">
        <f t="shared" si="14"/>
        <v>17.625204063709564</v>
      </c>
      <c r="W253" s="4" t="str">
        <f>"ketn-1"</f>
        <v>ketn-1</v>
      </c>
      <c r="X253" s="4">
        <v>16.546552211560901</v>
      </c>
      <c r="Y253" s="4">
        <v>17.426384873071399</v>
      </c>
      <c r="Z253" s="4">
        <v>18.789301392122301</v>
      </c>
      <c r="AA253" s="4">
        <f t="shared" si="15"/>
        <v>17.587412825584867</v>
      </c>
      <c r="AH253" s="28" t="s">
        <v>3924</v>
      </c>
      <c r="AJ253" s="4" t="s">
        <v>4153</v>
      </c>
      <c r="AT253" s="6"/>
    </row>
    <row r="254" spans="2:56" x14ac:dyDescent="0.2">
      <c r="B254" s="4" t="s">
        <v>3971</v>
      </c>
      <c r="C254" s="4">
        <v>17.360199999999999</v>
      </c>
      <c r="D254" s="4">
        <v>17.3582</v>
      </c>
      <c r="E254" s="4">
        <v>17.779</v>
      </c>
      <c r="F254" s="4">
        <f t="shared" si="12"/>
        <v>17.499133333333333</v>
      </c>
      <c r="I254" s="4" t="s">
        <v>481</v>
      </c>
      <c r="J254" s="4">
        <v>17.823599999999999</v>
      </c>
      <c r="K254" s="4">
        <v>17.61</v>
      </c>
      <c r="L254" s="4">
        <v>17.4648</v>
      </c>
      <c r="M254" s="4">
        <f t="shared" si="13"/>
        <v>17.6328</v>
      </c>
      <c r="P254" s="4" t="str">
        <f>"hsp-4"</f>
        <v>hsp-4</v>
      </c>
      <c r="Q254" s="4">
        <v>17.7663802143258</v>
      </c>
      <c r="R254" s="4">
        <v>17.405039896207398</v>
      </c>
      <c r="S254" s="4">
        <v>17.675693375697598</v>
      </c>
      <c r="T254" s="4">
        <f t="shared" si="14"/>
        <v>17.615704495410267</v>
      </c>
      <c r="W254" s="4" t="str">
        <f>"lars-1"</f>
        <v>lars-1</v>
      </c>
      <c r="X254" s="4">
        <v>17.786684327606999</v>
      </c>
      <c r="Y254" s="4">
        <v>17.5851341855216</v>
      </c>
      <c r="Z254" s="4">
        <v>17.375862932763901</v>
      </c>
      <c r="AA254" s="4">
        <f t="shared" si="15"/>
        <v>17.582560481964169</v>
      </c>
      <c r="AH254" s="28" t="s">
        <v>2275</v>
      </c>
      <c r="AJ254" s="4" t="s">
        <v>2700</v>
      </c>
      <c r="AT254" s="6"/>
    </row>
    <row r="255" spans="2:56" x14ac:dyDescent="0.2">
      <c r="B255" s="4" t="s">
        <v>1792</v>
      </c>
      <c r="C255" s="4">
        <v>17.343399999999999</v>
      </c>
      <c r="D255" s="4">
        <v>16.936</v>
      </c>
      <c r="E255" s="4">
        <v>18.202400000000001</v>
      </c>
      <c r="F255" s="4">
        <f t="shared" si="12"/>
        <v>17.493933333333331</v>
      </c>
      <c r="I255" s="4" t="s">
        <v>1368</v>
      </c>
      <c r="J255" s="4">
        <v>17.697399999999998</v>
      </c>
      <c r="K255" s="4">
        <v>17.7544</v>
      </c>
      <c r="L255" s="4">
        <v>17.3904</v>
      </c>
      <c r="M255" s="4">
        <f t="shared" si="13"/>
        <v>17.614066666666666</v>
      </c>
      <c r="P255" s="4" t="str">
        <f>"adk-1"</f>
        <v>adk-1</v>
      </c>
      <c r="Q255" s="4">
        <v>17.684285654040501</v>
      </c>
      <c r="R255" s="4">
        <v>17.492185068308199</v>
      </c>
      <c r="S255" s="4">
        <v>17.657768096873799</v>
      </c>
      <c r="T255" s="4">
        <f t="shared" si="14"/>
        <v>17.611412939740831</v>
      </c>
      <c r="W255" s="4" t="str">
        <f>"ubq-1"</f>
        <v>ubq-1</v>
      </c>
      <c r="X255" s="4">
        <v>17.9832867979176</v>
      </c>
      <c r="Y255" s="4">
        <v>17.4217353765127</v>
      </c>
      <c r="Z255" s="4">
        <v>17.3424601697944</v>
      </c>
      <c r="AA255" s="4">
        <f t="shared" si="15"/>
        <v>17.582494114741568</v>
      </c>
      <c r="AH255" s="28" t="s">
        <v>4781</v>
      </c>
      <c r="AJ255" s="4" t="s">
        <v>3380</v>
      </c>
      <c r="AT255" s="6"/>
    </row>
    <row r="256" spans="2:56" x14ac:dyDescent="0.2">
      <c r="B256" s="4" t="s">
        <v>3987</v>
      </c>
      <c r="C256" s="4">
        <v>17.217400000000001</v>
      </c>
      <c r="D256" s="4">
        <v>17.8566</v>
      </c>
      <c r="E256" s="4">
        <v>17.381799999999998</v>
      </c>
      <c r="F256" s="4">
        <f t="shared" si="12"/>
        <v>17.485266666666664</v>
      </c>
      <c r="I256" s="4" t="s">
        <v>964</v>
      </c>
      <c r="J256" s="4">
        <v>16.707599999999999</v>
      </c>
      <c r="K256" s="4">
        <v>17.430099999999999</v>
      </c>
      <c r="L256" s="4">
        <v>18.691199999999998</v>
      </c>
      <c r="M256" s="4">
        <f t="shared" si="13"/>
        <v>17.609633333333331</v>
      </c>
      <c r="P256" s="4" t="str">
        <f>"clu-1"</f>
        <v>clu-1</v>
      </c>
      <c r="Q256" s="4">
        <v>17.737711347122701</v>
      </c>
      <c r="R256" s="4">
        <v>17.5812153275395</v>
      </c>
      <c r="S256" s="4">
        <v>17.440565353794</v>
      </c>
      <c r="T256" s="4">
        <f t="shared" si="14"/>
        <v>17.586497342818735</v>
      </c>
      <c r="W256" s="4" t="str">
        <f>"top-1"</f>
        <v>top-1</v>
      </c>
      <c r="X256" s="4">
        <v>17.639900532283999</v>
      </c>
      <c r="Y256" s="4">
        <v>17.5747827111338</v>
      </c>
      <c r="Z256" s="4">
        <v>17.519268102935602</v>
      </c>
      <c r="AA256" s="4">
        <f t="shared" si="15"/>
        <v>17.577983782117798</v>
      </c>
      <c r="AH256" s="28" t="s">
        <v>3547</v>
      </c>
      <c r="AJ256" s="4" t="s">
        <v>4218</v>
      </c>
      <c r="AT256" s="6"/>
      <c r="BD256" s="44"/>
    </row>
    <row r="257" spans="2:46" x14ac:dyDescent="0.2">
      <c r="B257" s="4" t="s">
        <v>3223</v>
      </c>
      <c r="C257" s="4">
        <v>17.5442</v>
      </c>
      <c r="D257" s="4">
        <v>16.712</v>
      </c>
      <c r="E257" s="4">
        <v>18.190799999999999</v>
      </c>
      <c r="F257" s="4">
        <f t="shared" si="12"/>
        <v>17.482333333333333</v>
      </c>
      <c r="I257" s="4" t="s">
        <v>3223</v>
      </c>
      <c r="J257" s="4">
        <v>17.828299999999999</v>
      </c>
      <c r="K257" s="4">
        <v>17.720199999999998</v>
      </c>
      <c r="L257" s="4">
        <v>17.256699999999999</v>
      </c>
      <c r="M257" s="4">
        <f t="shared" si="13"/>
        <v>17.601733333333332</v>
      </c>
      <c r="P257" s="4" t="str">
        <f>"rars-1"</f>
        <v>rars-1</v>
      </c>
      <c r="Q257" s="4">
        <v>17.6742368413707</v>
      </c>
      <c r="R257" s="4">
        <v>17.563519298011901</v>
      </c>
      <c r="S257" s="4">
        <v>17.488042446764599</v>
      </c>
      <c r="T257" s="4">
        <f t="shared" si="14"/>
        <v>17.575266195382397</v>
      </c>
      <c r="W257" s="4" t="str">
        <f>"clu-1"</f>
        <v>clu-1</v>
      </c>
      <c r="X257" s="4">
        <v>17.450352319889198</v>
      </c>
      <c r="Y257" s="4">
        <v>17.724637845085699</v>
      </c>
      <c r="Z257" s="4">
        <v>17.542987817467999</v>
      </c>
      <c r="AA257" s="4">
        <f t="shared" si="15"/>
        <v>17.572659327480967</v>
      </c>
      <c r="AH257" s="28" t="s">
        <v>3036</v>
      </c>
      <c r="AJ257" s="4" t="s">
        <v>103</v>
      </c>
      <c r="AT257" s="6"/>
    </row>
    <row r="258" spans="2:46" x14ac:dyDescent="0.2">
      <c r="B258" s="4" t="s">
        <v>3221</v>
      </c>
      <c r="C258" s="4">
        <v>17.765799999999999</v>
      </c>
      <c r="D258" s="4">
        <v>17.553100000000001</v>
      </c>
      <c r="E258" s="4">
        <v>17.1187</v>
      </c>
      <c r="F258" s="4">
        <f t="shared" ref="F258:F321" si="16">(C258+D258+E258)/3</f>
        <v>17.479200000000002</v>
      </c>
      <c r="I258" s="4" t="s">
        <v>1169</v>
      </c>
      <c r="J258" s="4">
        <v>17.6905</v>
      </c>
      <c r="K258" s="4">
        <v>17.484000000000002</v>
      </c>
      <c r="L258" s="4">
        <v>17.611899999999999</v>
      </c>
      <c r="M258" s="4">
        <f t="shared" ref="M258:M321" si="17">(J258+K258+L258)/3</f>
        <v>17.595466666666667</v>
      </c>
      <c r="P258" s="4" t="str">
        <f>"hphd-1"</f>
        <v>hphd-1</v>
      </c>
      <c r="Q258" s="4">
        <v>17.835930074975199</v>
      </c>
      <c r="R258" s="4">
        <v>17.403331377599699</v>
      </c>
      <c r="S258" s="4">
        <v>17.477940498807101</v>
      </c>
      <c r="T258" s="4">
        <f t="shared" ref="T258:T321" si="18">(Q258+R258+S258)/3</f>
        <v>17.572400650460665</v>
      </c>
      <c r="W258" s="4" t="str">
        <f>"iffb-1"</f>
        <v>iffb-1</v>
      </c>
      <c r="X258" s="4">
        <v>17.831135796296401</v>
      </c>
      <c r="Y258" s="4">
        <v>17.369504584429102</v>
      </c>
      <c r="Z258" s="4">
        <v>17.512859535719201</v>
      </c>
      <c r="AA258" s="4">
        <f t="shared" ref="AA258:AA321" si="19">(X258+Y258+Z258)/3</f>
        <v>17.571166638814901</v>
      </c>
      <c r="AH258" s="28" t="s">
        <v>636</v>
      </c>
      <c r="AJ258" s="4" t="s">
        <v>4248</v>
      </c>
    </row>
    <row r="259" spans="2:46" x14ac:dyDescent="0.2">
      <c r="B259" s="4" t="s">
        <v>55</v>
      </c>
      <c r="C259" s="4">
        <v>17.215299999999999</v>
      </c>
      <c r="D259" s="4">
        <v>17.925799999999999</v>
      </c>
      <c r="E259" s="4">
        <v>17.293900000000001</v>
      </c>
      <c r="F259" s="4">
        <f t="shared" si="16"/>
        <v>17.478333333333332</v>
      </c>
      <c r="I259" s="4" t="s">
        <v>565</v>
      </c>
      <c r="J259" s="4">
        <v>17.523099999999999</v>
      </c>
      <c r="K259" s="4">
        <v>17.855</v>
      </c>
      <c r="L259" s="4">
        <v>17.3889</v>
      </c>
      <c r="M259" s="4">
        <f t="shared" si="17"/>
        <v>17.589000000000002</v>
      </c>
      <c r="P259" s="4" t="str">
        <f>"cey-4"</f>
        <v>cey-4</v>
      </c>
      <c r="Q259" s="4">
        <v>17.578565506636998</v>
      </c>
      <c r="R259" s="4">
        <v>17.6367296775034</v>
      </c>
      <c r="S259" s="4">
        <v>17.493850725926499</v>
      </c>
      <c r="T259" s="4">
        <f t="shared" si="18"/>
        <v>17.569715303355633</v>
      </c>
      <c r="W259" s="4" t="str">
        <f>"pars-1"</f>
        <v>pars-1</v>
      </c>
      <c r="X259" s="4">
        <v>17.706652716045799</v>
      </c>
      <c r="Y259" s="4">
        <v>17.614567967922799</v>
      </c>
      <c r="Z259" s="4">
        <v>17.374659476805</v>
      </c>
      <c r="AA259" s="4">
        <f t="shared" si="19"/>
        <v>17.565293386924534</v>
      </c>
      <c r="AH259" s="28" t="s">
        <v>3951</v>
      </c>
      <c r="AJ259" s="4" t="s">
        <v>332</v>
      </c>
    </row>
    <row r="260" spans="2:46" x14ac:dyDescent="0.2">
      <c r="B260" s="4" t="s">
        <v>1529</v>
      </c>
      <c r="C260" s="4">
        <v>16.9434</v>
      </c>
      <c r="D260" s="4">
        <v>18.0914</v>
      </c>
      <c r="E260" s="4">
        <v>17.3948</v>
      </c>
      <c r="F260" s="4">
        <f t="shared" si="16"/>
        <v>17.476533333333336</v>
      </c>
      <c r="I260" s="4" t="s">
        <v>695</v>
      </c>
      <c r="J260" s="4">
        <v>16.8765</v>
      </c>
      <c r="K260" s="4">
        <v>17.615400000000001</v>
      </c>
      <c r="L260" s="4">
        <v>18.246200000000002</v>
      </c>
      <c r="M260" s="4">
        <f t="shared" si="17"/>
        <v>17.579366666666669</v>
      </c>
      <c r="P260" s="4" t="str">
        <f>"ldp-1"</f>
        <v>ldp-1</v>
      </c>
      <c r="Q260" s="4">
        <v>17.473338208176202</v>
      </c>
      <c r="R260" s="4">
        <v>17.630615363122001</v>
      </c>
      <c r="S260" s="4">
        <v>17.579529977671999</v>
      </c>
      <c r="T260" s="4">
        <f t="shared" si="18"/>
        <v>17.561161182990066</v>
      </c>
      <c r="W260" s="4" t="str">
        <f>"akt-1"</f>
        <v>akt-1</v>
      </c>
      <c r="X260" s="4">
        <v>17.3429825824273</v>
      </c>
      <c r="Y260" s="4">
        <v>17.6545550445502</v>
      </c>
      <c r="Z260" s="4">
        <v>17.665445819677</v>
      </c>
      <c r="AA260" s="4">
        <f t="shared" si="19"/>
        <v>17.554327815551503</v>
      </c>
      <c r="AH260" s="28" t="s">
        <v>4083</v>
      </c>
      <c r="AJ260" s="4" t="s">
        <v>2463</v>
      </c>
      <c r="AT260" s="6"/>
    </row>
    <row r="261" spans="2:46" x14ac:dyDescent="0.2">
      <c r="B261" s="4" t="s">
        <v>4059</v>
      </c>
      <c r="C261" s="4">
        <v>17.870799999999999</v>
      </c>
      <c r="D261" s="4">
        <v>16.9711</v>
      </c>
      <c r="E261" s="4">
        <v>17.551100000000002</v>
      </c>
      <c r="F261" s="4">
        <f t="shared" si="16"/>
        <v>17.464333333333332</v>
      </c>
      <c r="I261" s="4" t="s">
        <v>3205</v>
      </c>
      <c r="J261" s="4">
        <v>17.5366</v>
      </c>
      <c r="K261" s="4">
        <v>17.7469</v>
      </c>
      <c r="L261" s="4">
        <v>17.444199999999999</v>
      </c>
      <c r="M261" s="4">
        <f t="shared" si="17"/>
        <v>17.575900000000001</v>
      </c>
      <c r="P261" s="4" t="str">
        <f>"ppk-3"</f>
        <v>ppk-3</v>
      </c>
      <c r="Q261" s="4">
        <v>17.955168840500999</v>
      </c>
      <c r="R261" s="4">
        <v>17.1628181968834</v>
      </c>
      <c r="S261" s="4">
        <v>17.553653366478098</v>
      </c>
      <c r="T261" s="4">
        <f t="shared" si="18"/>
        <v>17.557213467954167</v>
      </c>
      <c r="W261" s="4" t="str">
        <f>"cey-4"</f>
        <v>cey-4</v>
      </c>
      <c r="X261" s="4">
        <v>17.712517545121798</v>
      </c>
      <c r="Y261" s="4">
        <v>17.462301996566001</v>
      </c>
      <c r="Z261" s="4">
        <v>17.478800051005098</v>
      </c>
      <c r="AA261" s="4">
        <f t="shared" si="19"/>
        <v>17.55120653089763</v>
      </c>
      <c r="AH261" s="28" t="s">
        <v>4740</v>
      </c>
      <c r="AJ261" s="4" t="s">
        <v>3588</v>
      </c>
      <c r="AL261" s="28"/>
      <c r="AM261" s="28"/>
      <c r="AN261" s="28"/>
      <c r="AT261" s="6"/>
    </row>
    <row r="262" spans="2:46" x14ac:dyDescent="0.2">
      <c r="B262" s="4" t="s">
        <v>3579</v>
      </c>
      <c r="C262" s="4">
        <v>17.481000000000002</v>
      </c>
      <c r="D262" s="4">
        <v>17.608899999999998</v>
      </c>
      <c r="E262" s="4">
        <v>17.277100000000001</v>
      </c>
      <c r="F262" s="4">
        <f t="shared" si="16"/>
        <v>17.455666666666669</v>
      </c>
      <c r="I262" s="4" t="s">
        <v>725</v>
      </c>
      <c r="J262" s="4">
        <v>16.463899999999999</v>
      </c>
      <c r="K262" s="4">
        <v>17.4817</v>
      </c>
      <c r="L262" s="4">
        <v>18.772300000000001</v>
      </c>
      <c r="M262" s="4">
        <f t="shared" si="17"/>
        <v>17.572633333333332</v>
      </c>
      <c r="P262" s="4" t="str">
        <f>"sucl-1"</f>
        <v>sucl-1</v>
      </c>
      <c r="Q262" s="4">
        <v>17.749553481232699</v>
      </c>
      <c r="R262" s="4">
        <v>17.243236325608699</v>
      </c>
      <c r="S262" s="4">
        <v>17.628739028518002</v>
      </c>
      <c r="T262" s="4">
        <f t="shared" si="18"/>
        <v>17.540509611786465</v>
      </c>
      <c r="W262" s="4" t="str">
        <f>"sams-3"</f>
        <v>sams-3</v>
      </c>
      <c r="X262" s="4">
        <v>17.9456752830203</v>
      </c>
      <c r="Y262" s="4">
        <v>17.356039802773999</v>
      </c>
      <c r="Z262" s="4">
        <v>17.343223810456799</v>
      </c>
      <c r="AA262" s="4">
        <f t="shared" si="19"/>
        <v>17.548312965417033</v>
      </c>
      <c r="AH262" s="28" t="s">
        <v>2699</v>
      </c>
      <c r="AJ262" s="4" t="s">
        <v>1796</v>
      </c>
      <c r="AT262" s="6"/>
    </row>
    <row r="263" spans="2:46" x14ac:dyDescent="0.2">
      <c r="B263" s="4" t="s">
        <v>2963</v>
      </c>
      <c r="C263" s="4">
        <v>17.5534</v>
      </c>
      <c r="D263" s="4">
        <v>17.397600000000001</v>
      </c>
      <c r="E263" s="4">
        <v>17.396599999999999</v>
      </c>
      <c r="F263" s="4">
        <f t="shared" si="16"/>
        <v>17.449200000000001</v>
      </c>
      <c r="I263" s="4" t="s">
        <v>909</v>
      </c>
      <c r="J263" s="4">
        <v>17.3081</v>
      </c>
      <c r="K263" s="4">
        <v>17.388999999999999</v>
      </c>
      <c r="L263" s="4">
        <v>18.014399999999998</v>
      </c>
      <c r="M263" s="4">
        <f t="shared" si="17"/>
        <v>17.570499999999999</v>
      </c>
      <c r="P263" s="4" t="str">
        <f>"ral-1"</f>
        <v>ral-1</v>
      </c>
      <c r="Q263" s="4">
        <v>17.6500837044488</v>
      </c>
      <c r="R263" s="4">
        <v>17.450945991752601</v>
      </c>
      <c r="S263" s="4">
        <v>17.4747421064016</v>
      </c>
      <c r="T263" s="4">
        <f t="shared" si="18"/>
        <v>17.525257267534332</v>
      </c>
      <c r="W263" s="4" t="str">
        <f>"acs-2"</f>
        <v>acs-2</v>
      </c>
      <c r="X263" s="4">
        <v>17.267080484157098</v>
      </c>
      <c r="Y263" s="4">
        <v>17.6405711577736</v>
      </c>
      <c r="Z263" s="4">
        <v>17.726553903461699</v>
      </c>
      <c r="AA263" s="4">
        <f t="shared" si="19"/>
        <v>17.544735181797467</v>
      </c>
      <c r="AH263" s="28" t="s">
        <v>4657</v>
      </c>
      <c r="AJ263" s="4" t="s">
        <v>4427</v>
      </c>
    </row>
    <row r="264" spans="2:46" x14ac:dyDescent="0.2">
      <c r="B264" s="4" t="s">
        <v>1725</v>
      </c>
      <c r="C264" s="4">
        <v>17.3489</v>
      </c>
      <c r="D264" s="4">
        <v>17.6297</v>
      </c>
      <c r="E264" s="4">
        <v>17.3644</v>
      </c>
      <c r="F264" s="4">
        <f t="shared" si="16"/>
        <v>17.447666666666667</v>
      </c>
      <c r="I264" s="4" t="s">
        <v>3956</v>
      </c>
      <c r="J264" s="4">
        <v>17.4224</v>
      </c>
      <c r="K264" s="4">
        <v>17.5915</v>
      </c>
      <c r="L264" s="4">
        <v>17.690999999999999</v>
      </c>
      <c r="M264" s="4">
        <f t="shared" si="17"/>
        <v>17.568299999999997</v>
      </c>
      <c r="P264" s="4" t="str">
        <f>"mlc-1"</f>
        <v>mlc-1</v>
      </c>
      <c r="Q264" s="4">
        <v>17.6166625648208</v>
      </c>
      <c r="R264" s="4">
        <v>17.1756859921217</v>
      </c>
      <c r="S264" s="4">
        <v>17.762149758786599</v>
      </c>
      <c r="T264" s="4">
        <f t="shared" si="18"/>
        <v>17.518166105243033</v>
      </c>
      <c r="W264" s="4" t="str">
        <f>"alh-3"</f>
        <v>alh-3</v>
      </c>
      <c r="X264" s="4">
        <v>17.2048793425264</v>
      </c>
      <c r="Y264" s="4">
        <v>17.7511760785445</v>
      </c>
      <c r="Z264" s="4">
        <v>17.6587575870095</v>
      </c>
      <c r="AA264" s="4">
        <f t="shared" si="19"/>
        <v>17.538271002693467</v>
      </c>
      <c r="AH264" s="28" t="s">
        <v>4637</v>
      </c>
      <c r="AJ264" s="4" t="s">
        <v>4430</v>
      </c>
      <c r="AT264" s="6"/>
    </row>
    <row r="265" spans="2:46" x14ac:dyDescent="0.2">
      <c r="B265" s="4" t="s">
        <v>2129</v>
      </c>
      <c r="C265" s="4">
        <v>17.509499999999999</v>
      </c>
      <c r="D265" s="4">
        <v>17.4834</v>
      </c>
      <c r="E265" s="4">
        <v>17.346900000000002</v>
      </c>
      <c r="F265" s="4">
        <f t="shared" si="16"/>
        <v>17.4466</v>
      </c>
      <c r="I265" s="4" t="s">
        <v>1722</v>
      </c>
      <c r="J265" s="4">
        <v>17.5029</v>
      </c>
      <c r="K265" s="4">
        <v>17.590699999999998</v>
      </c>
      <c r="L265" s="4">
        <v>17.581399999999999</v>
      </c>
      <c r="M265" s="4">
        <f t="shared" si="17"/>
        <v>17.558333333333334</v>
      </c>
      <c r="P265" s="4" t="str">
        <f>"haf-4"</f>
        <v>haf-4</v>
      </c>
      <c r="Q265" s="4">
        <v>17.563481094074302</v>
      </c>
      <c r="R265" s="4">
        <v>17.545147868317802</v>
      </c>
      <c r="S265" s="4">
        <v>17.404594831522999</v>
      </c>
      <c r="T265" s="4">
        <f t="shared" si="18"/>
        <v>17.504407931305035</v>
      </c>
      <c r="W265" s="4" t="str">
        <f>"rpt-4"</f>
        <v>rpt-4</v>
      </c>
      <c r="X265" s="4">
        <v>17.400588819887201</v>
      </c>
      <c r="Y265" s="4">
        <v>17.628150798111701</v>
      </c>
      <c r="Z265" s="4">
        <v>17.544815149631098</v>
      </c>
      <c r="AA265" s="4">
        <f t="shared" si="19"/>
        <v>17.524518255876668</v>
      </c>
      <c r="AH265" s="28" t="s">
        <v>1520</v>
      </c>
      <c r="AJ265" s="4" t="s">
        <v>2572</v>
      </c>
      <c r="AT265" s="6"/>
    </row>
    <row r="266" spans="2:46" x14ac:dyDescent="0.2">
      <c r="B266" s="4" t="s">
        <v>1705</v>
      </c>
      <c r="C266" s="4">
        <v>17.405200000000001</v>
      </c>
      <c r="D266" s="4">
        <v>17.641400000000001</v>
      </c>
      <c r="E266" s="4">
        <v>17.282599999999999</v>
      </c>
      <c r="F266" s="4">
        <f t="shared" si="16"/>
        <v>17.443066666666667</v>
      </c>
      <c r="I266" s="4" t="s">
        <v>22</v>
      </c>
      <c r="J266" s="4">
        <v>17.396100000000001</v>
      </c>
      <c r="K266" s="4">
        <v>17.366499999999998</v>
      </c>
      <c r="L266" s="4">
        <v>17.8994</v>
      </c>
      <c r="M266" s="4">
        <f t="shared" si="17"/>
        <v>17.553999999999998</v>
      </c>
      <c r="P266" s="4" t="str">
        <f>"let-92"</f>
        <v>let-92</v>
      </c>
      <c r="Q266" s="4">
        <v>17.4141272731142</v>
      </c>
      <c r="R266" s="4">
        <v>17.477719221289099</v>
      </c>
      <c r="S266" s="4">
        <v>17.585283291164899</v>
      </c>
      <c r="T266" s="4">
        <f t="shared" si="18"/>
        <v>17.492376595189398</v>
      </c>
      <c r="W266" s="4" t="str">
        <f>"rab-18"</f>
        <v>rab-18</v>
      </c>
      <c r="X266" s="4">
        <v>17.520770683333598</v>
      </c>
      <c r="Y266" s="4">
        <v>17.6018830488884</v>
      </c>
      <c r="Z266" s="4">
        <v>17.444600801200501</v>
      </c>
      <c r="AA266" s="4">
        <f t="shared" si="19"/>
        <v>17.522418177807499</v>
      </c>
      <c r="AH266" s="28" t="s">
        <v>4647</v>
      </c>
      <c r="AJ266" s="4" t="s">
        <v>949</v>
      </c>
      <c r="AT266" s="6"/>
    </row>
    <row r="267" spans="2:46" x14ac:dyDescent="0.2">
      <c r="B267" s="4" t="s">
        <v>1063</v>
      </c>
      <c r="C267" s="4">
        <v>17.776599999999998</v>
      </c>
      <c r="D267" s="4">
        <v>17.3735</v>
      </c>
      <c r="E267" s="4">
        <v>17.121600000000001</v>
      </c>
      <c r="F267" s="4">
        <f t="shared" si="16"/>
        <v>17.4239</v>
      </c>
      <c r="I267" s="4" t="s">
        <v>2281</v>
      </c>
      <c r="J267" s="4">
        <v>17.315000000000001</v>
      </c>
      <c r="K267" s="4">
        <v>17.334700000000002</v>
      </c>
      <c r="L267" s="4">
        <v>17.994</v>
      </c>
      <c r="M267" s="4">
        <f t="shared" si="17"/>
        <v>17.547900000000002</v>
      </c>
      <c r="P267" s="4" t="str">
        <f>"T25B9.9"</f>
        <v>T25B9.9</v>
      </c>
      <c r="Q267" s="4">
        <v>17.390090879974402</v>
      </c>
      <c r="R267" s="4">
        <v>17.6704561900494</v>
      </c>
      <c r="S267" s="4">
        <v>17.416262684983799</v>
      </c>
      <c r="T267" s="4">
        <f t="shared" si="18"/>
        <v>17.492269918335868</v>
      </c>
      <c r="W267" s="4" t="str">
        <f>"dhc-1"</f>
        <v>dhc-1</v>
      </c>
      <c r="X267" s="4">
        <v>17.557567537712799</v>
      </c>
      <c r="Y267" s="4">
        <v>17.527193400378099</v>
      </c>
      <c r="Z267" s="4">
        <v>17.475802435373701</v>
      </c>
      <c r="AA267" s="4">
        <f t="shared" si="19"/>
        <v>17.520187791154864</v>
      </c>
      <c r="AH267" s="28" t="s">
        <v>1506</v>
      </c>
      <c r="AJ267" s="4" t="s">
        <v>4313</v>
      </c>
      <c r="AT267" s="6"/>
    </row>
    <row r="268" spans="2:46" x14ac:dyDescent="0.2">
      <c r="B268" s="4" t="s">
        <v>3925</v>
      </c>
      <c r="C268" s="4">
        <v>17.642399999999999</v>
      </c>
      <c r="D268" s="4">
        <v>17.3992</v>
      </c>
      <c r="E268" s="4">
        <v>17.158799999999999</v>
      </c>
      <c r="F268" s="4">
        <f t="shared" si="16"/>
        <v>17.400133333333333</v>
      </c>
      <c r="I268" s="4" t="s">
        <v>3058</v>
      </c>
      <c r="J268" s="4">
        <v>17.683499999999999</v>
      </c>
      <c r="K268" s="4">
        <v>17.566400000000002</v>
      </c>
      <c r="L268" s="4">
        <v>17.373100000000001</v>
      </c>
      <c r="M268" s="4">
        <f t="shared" si="17"/>
        <v>17.541</v>
      </c>
      <c r="P268" s="4" t="str">
        <f>"rpl-39"</f>
        <v>rpl-39</v>
      </c>
      <c r="Q268" s="4">
        <v>16.8181855784599</v>
      </c>
      <c r="R268" s="4">
        <v>17.365531993787702</v>
      </c>
      <c r="S268" s="4">
        <v>18.241530338485099</v>
      </c>
      <c r="T268" s="4">
        <f t="shared" si="18"/>
        <v>17.475082636910901</v>
      </c>
      <c r="W268" s="4" t="str">
        <f>"let-92"</f>
        <v>let-92</v>
      </c>
      <c r="X268" s="4">
        <v>17.716850680347001</v>
      </c>
      <c r="Y268" s="4">
        <v>17.555910657541201</v>
      </c>
      <c r="Z268" s="4">
        <v>17.277569677328501</v>
      </c>
      <c r="AA268" s="4">
        <f t="shared" si="19"/>
        <v>17.516777005072232</v>
      </c>
      <c r="AH268" s="28" t="s">
        <v>3792</v>
      </c>
      <c r="AJ268" s="4" t="s">
        <v>4241</v>
      </c>
      <c r="AT268" s="6"/>
    </row>
    <row r="269" spans="2:46" x14ac:dyDescent="0.2">
      <c r="B269" s="4" t="s">
        <v>1947</v>
      </c>
      <c r="C269" s="4">
        <v>17.032399999999999</v>
      </c>
      <c r="D269" s="4">
        <v>16.9833</v>
      </c>
      <c r="E269" s="4">
        <v>18.1662</v>
      </c>
      <c r="F269" s="4">
        <f t="shared" si="16"/>
        <v>17.393966666666667</v>
      </c>
      <c r="I269" s="4" t="s">
        <v>3579</v>
      </c>
      <c r="J269" s="4">
        <v>17.485299999999999</v>
      </c>
      <c r="K269" s="4">
        <v>17.650200000000002</v>
      </c>
      <c r="L269" s="4">
        <v>17.467400000000001</v>
      </c>
      <c r="M269" s="4">
        <f t="shared" si="17"/>
        <v>17.534300000000002</v>
      </c>
      <c r="P269" s="4" t="str">
        <f>"F21D5.1"</f>
        <v>F21D5.1</v>
      </c>
      <c r="Q269" s="4">
        <v>17.5469963565683</v>
      </c>
      <c r="R269" s="4">
        <v>17.450163459814402</v>
      </c>
      <c r="S269" s="4">
        <v>17.422743959803199</v>
      </c>
      <c r="T269" s="4">
        <f t="shared" si="18"/>
        <v>17.473301258728636</v>
      </c>
      <c r="W269" s="4" t="str">
        <f>"art-1"</f>
        <v>art-1</v>
      </c>
      <c r="X269" s="4">
        <v>17.527329675540901</v>
      </c>
      <c r="Y269" s="4">
        <v>17.6399609655533</v>
      </c>
      <c r="Z269" s="4">
        <v>17.375018490942001</v>
      </c>
      <c r="AA269" s="4">
        <f t="shared" si="19"/>
        <v>17.514103044012064</v>
      </c>
      <c r="AH269" s="28" t="s">
        <v>4719</v>
      </c>
      <c r="AJ269" s="4" t="s">
        <v>4378</v>
      </c>
    </row>
    <row r="270" spans="2:46" x14ac:dyDescent="0.2">
      <c r="B270" s="4" t="s">
        <v>374</v>
      </c>
      <c r="C270" s="4">
        <v>17.415400000000002</v>
      </c>
      <c r="D270" s="4">
        <v>17.259899999999998</v>
      </c>
      <c r="E270" s="4">
        <v>17.506</v>
      </c>
      <c r="F270" s="4">
        <f t="shared" si="16"/>
        <v>17.393766666666668</v>
      </c>
      <c r="I270" s="4" t="s">
        <v>3597</v>
      </c>
      <c r="J270" s="4">
        <v>17.505500000000001</v>
      </c>
      <c r="K270" s="4">
        <v>17.353400000000001</v>
      </c>
      <c r="L270" s="4">
        <v>17.7151</v>
      </c>
      <c r="M270" s="4">
        <f t="shared" si="17"/>
        <v>17.524666666666668</v>
      </c>
      <c r="P270" s="4" t="str">
        <f>"rpn-7"</f>
        <v>rpn-7</v>
      </c>
      <c r="Q270" s="4">
        <v>17.4156935078529</v>
      </c>
      <c r="R270" s="4">
        <v>17.347458102500401</v>
      </c>
      <c r="S270" s="4">
        <v>17.574940381454802</v>
      </c>
      <c r="T270" s="4">
        <f t="shared" si="18"/>
        <v>17.446030663936035</v>
      </c>
      <c r="W270" s="4" t="str">
        <f>"erfa-1"</f>
        <v>erfa-1</v>
      </c>
      <c r="X270" s="4">
        <v>17.6733309439594</v>
      </c>
      <c r="Y270" s="4">
        <v>17.495988208910099</v>
      </c>
      <c r="Z270" s="4">
        <v>17.3471356616854</v>
      </c>
      <c r="AA270" s="4">
        <f t="shared" si="19"/>
        <v>17.505484938184967</v>
      </c>
      <c r="AH270" s="28" t="s">
        <v>4345</v>
      </c>
      <c r="AJ270" s="4" t="s">
        <v>3200</v>
      </c>
    </row>
    <row r="271" spans="2:46" x14ac:dyDescent="0.2">
      <c r="B271" s="4" t="s">
        <v>654</v>
      </c>
      <c r="C271" s="4">
        <v>17.3279</v>
      </c>
      <c r="D271" s="4">
        <v>17.398099999999999</v>
      </c>
      <c r="E271" s="4">
        <v>17.416699999999999</v>
      </c>
      <c r="F271" s="4">
        <f t="shared" si="16"/>
        <v>17.3809</v>
      </c>
      <c r="I271" s="4" t="s">
        <v>128</v>
      </c>
      <c r="J271" s="4">
        <v>17.596900000000002</v>
      </c>
      <c r="K271" s="4">
        <v>17.4404</v>
      </c>
      <c r="L271" s="4">
        <v>17.509899999999998</v>
      </c>
      <c r="M271" s="4">
        <f t="shared" si="17"/>
        <v>17.515733333333333</v>
      </c>
      <c r="P271" s="4" t="str">
        <f>"rab-18"</f>
        <v>rab-18</v>
      </c>
      <c r="Q271" s="4">
        <v>17.5668415962487</v>
      </c>
      <c r="R271" s="4">
        <v>17.321999841390401</v>
      </c>
      <c r="S271" s="4">
        <v>17.422468813869099</v>
      </c>
      <c r="T271" s="4">
        <f t="shared" si="18"/>
        <v>17.4371034171694</v>
      </c>
      <c r="W271" s="4" t="str">
        <f>"vha-12"</f>
        <v>vha-12</v>
      </c>
      <c r="X271" s="4">
        <v>17.471229842902702</v>
      </c>
      <c r="Y271" s="4">
        <v>17.450187010464699</v>
      </c>
      <c r="Z271" s="4">
        <v>17.540286583618801</v>
      </c>
      <c r="AA271" s="4">
        <f t="shared" si="19"/>
        <v>17.487234478995401</v>
      </c>
      <c r="AH271" s="28" t="s">
        <v>2794</v>
      </c>
      <c r="AJ271" s="4" t="s">
        <v>851</v>
      </c>
      <c r="AO271" s="28"/>
    </row>
    <row r="272" spans="2:46" x14ac:dyDescent="0.2">
      <c r="B272" s="4" t="s">
        <v>1901</v>
      </c>
      <c r="C272" s="4">
        <v>17.542200000000001</v>
      </c>
      <c r="D272" s="4">
        <v>17.2638</v>
      </c>
      <c r="E272" s="4">
        <v>17.325700000000001</v>
      </c>
      <c r="F272" s="4">
        <f t="shared" si="16"/>
        <v>17.377233333333333</v>
      </c>
      <c r="I272" s="4" t="s">
        <v>2271</v>
      </c>
      <c r="J272" s="4">
        <v>17.5884</v>
      </c>
      <c r="K272" s="4">
        <v>17.5318</v>
      </c>
      <c r="L272" s="4">
        <v>17.420500000000001</v>
      </c>
      <c r="M272" s="4">
        <f t="shared" si="17"/>
        <v>17.513566666666666</v>
      </c>
      <c r="P272" s="4" t="str">
        <f>"ced-10"</f>
        <v>ced-10</v>
      </c>
      <c r="Q272" s="4">
        <v>17.496471234121</v>
      </c>
      <c r="R272" s="4">
        <v>17.267992296653102</v>
      </c>
      <c r="S272" s="4">
        <v>17.483115238691301</v>
      </c>
      <c r="T272" s="4">
        <f t="shared" si="18"/>
        <v>17.415859589821803</v>
      </c>
      <c r="W272" s="4" t="str">
        <f>"unc-116"</f>
        <v>unc-116</v>
      </c>
      <c r="X272" s="4">
        <v>17.4729997999458</v>
      </c>
      <c r="Y272" s="4">
        <v>17.568621647439201</v>
      </c>
      <c r="Z272" s="4">
        <v>17.387226260431</v>
      </c>
      <c r="AA272" s="4">
        <f t="shared" si="19"/>
        <v>17.476282569271998</v>
      </c>
      <c r="AH272" s="28" t="s">
        <v>4783</v>
      </c>
      <c r="AJ272" s="4" t="s">
        <v>837</v>
      </c>
    </row>
    <row r="273" spans="2:46" x14ac:dyDescent="0.2">
      <c r="B273" s="4" t="s">
        <v>3557</v>
      </c>
      <c r="C273" s="4">
        <v>17.192499999999999</v>
      </c>
      <c r="D273" s="4">
        <v>17.1068</v>
      </c>
      <c r="E273" s="4">
        <v>17.8065</v>
      </c>
      <c r="F273" s="4">
        <f t="shared" si="16"/>
        <v>17.368600000000001</v>
      </c>
      <c r="I273" s="4" t="s">
        <v>2244</v>
      </c>
      <c r="J273" s="4">
        <v>17.264299999999999</v>
      </c>
      <c r="K273" s="4">
        <v>17.403600000000001</v>
      </c>
      <c r="L273" s="4">
        <v>17.866900000000001</v>
      </c>
      <c r="M273" s="4">
        <f t="shared" si="17"/>
        <v>17.511600000000001</v>
      </c>
      <c r="P273" s="4" t="str">
        <f>"his-68"</f>
        <v>his-68</v>
      </c>
      <c r="Q273" s="4">
        <v>16.7630116913808</v>
      </c>
      <c r="R273" s="4">
        <v>17.8897562795601</v>
      </c>
      <c r="S273" s="4">
        <v>17.593495647067101</v>
      </c>
      <c r="T273" s="4">
        <f t="shared" si="18"/>
        <v>17.415421206002666</v>
      </c>
      <c r="W273" s="4" t="str">
        <f>"pck-2"</f>
        <v>pck-2</v>
      </c>
      <c r="X273" s="4">
        <v>17.169803468622501</v>
      </c>
      <c r="Y273" s="4">
        <v>17.670443851558801</v>
      </c>
      <c r="Z273" s="4">
        <v>17.5507089799457</v>
      </c>
      <c r="AA273" s="4">
        <f t="shared" si="19"/>
        <v>17.463652100042335</v>
      </c>
      <c r="AH273" s="28" t="s">
        <v>3625</v>
      </c>
      <c r="AJ273" s="4" t="s">
        <v>4285</v>
      </c>
      <c r="AT273" s="6"/>
    </row>
    <row r="274" spans="2:46" x14ac:dyDescent="0.2">
      <c r="B274" s="4" t="s">
        <v>2540</v>
      </c>
      <c r="C274" s="4">
        <v>16.8995</v>
      </c>
      <c r="D274" s="4">
        <v>17.178699999999999</v>
      </c>
      <c r="E274" s="4">
        <v>18.017199999999999</v>
      </c>
      <c r="F274" s="4">
        <f t="shared" si="16"/>
        <v>17.365133333333333</v>
      </c>
      <c r="I274" s="4" t="s">
        <v>2838</v>
      </c>
      <c r="J274" s="4">
        <v>17.643999999999998</v>
      </c>
      <c r="K274" s="4">
        <v>17.558599999999998</v>
      </c>
      <c r="L274" s="4">
        <v>17.3127</v>
      </c>
      <c r="M274" s="4">
        <f t="shared" si="17"/>
        <v>17.505099999999999</v>
      </c>
      <c r="P274" s="4" t="str">
        <f>"T22B7.7"</f>
        <v>T22B7.7</v>
      </c>
      <c r="Q274" s="4">
        <v>17.261819737439101</v>
      </c>
      <c r="R274" s="4">
        <v>17.246461554566501</v>
      </c>
      <c r="S274" s="4">
        <v>17.7226350007032</v>
      </c>
      <c r="T274" s="4">
        <f t="shared" si="18"/>
        <v>17.410305430902934</v>
      </c>
      <c r="W274" s="4" t="str">
        <f>"tba-7"</f>
        <v>tba-7</v>
      </c>
      <c r="X274" s="4">
        <v>17.382539695459801</v>
      </c>
      <c r="Y274" s="4">
        <v>17.546987774299399</v>
      </c>
      <c r="Z274" s="4">
        <v>17.452052787178499</v>
      </c>
      <c r="AA274" s="4">
        <f t="shared" si="19"/>
        <v>17.460526752312564</v>
      </c>
      <c r="AH274" s="28" t="s">
        <v>383</v>
      </c>
      <c r="AJ274" s="4" t="s">
        <v>4250</v>
      </c>
    </row>
    <row r="275" spans="2:46" x14ac:dyDescent="0.2">
      <c r="B275" s="4" t="s">
        <v>657</v>
      </c>
      <c r="C275" s="4">
        <v>17.234300000000001</v>
      </c>
      <c r="D275" s="4">
        <v>17.4771</v>
      </c>
      <c r="E275" s="4">
        <v>17.364799999999999</v>
      </c>
      <c r="F275" s="4">
        <f t="shared" si="16"/>
        <v>17.358733333333333</v>
      </c>
      <c r="I275" s="4" t="s">
        <v>1566</v>
      </c>
      <c r="J275" s="4">
        <v>17.593299999999999</v>
      </c>
      <c r="K275" s="4">
        <v>17.406400000000001</v>
      </c>
      <c r="L275" s="4">
        <v>17.504100000000001</v>
      </c>
      <c r="M275" s="4">
        <f t="shared" si="17"/>
        <v>17.50126666666667</v>
      </c>
      <c r="P275" s="4" t="str">
        <f>"cts-1"</f>
        <v>cts-1</v>
      </c>
      <c r="Q275" s="4">
        <v>17.667271003146599</v>
      </c>
      <c r="R275" s="4">
        <v>17.277275770892501</v>
      </c>
      <c r="S275" s="4">
        <v>17.278012107980899</v>
      </c>
      <c r="T275" s="4">
        <f t="shared" si="18"/>
        <v>17.407519627339997</v>
      </c>
      <c r="W275" s="4" t="str">
        <f>"ech-1.1"</f>
        <v>ech-1.1</v>
      </c>
      <c r="X275" s="4">
        <v>17.284101059050698</v>
      </c>
      <c r="Y275" s="4">
        <v>17.515255372929399</v>
      </c>
      <c r="Z275" s="4">
        <v>17.558974636706001</v>
      </c>
      <c r="AA275" s="4">
        <f t="shared" si="19"/>
        <v>17.452777022895365</v>
      </c>
      <c r="AH275" s="28" t="s">
        <v>3297</v>
      </c>
      <c r="AJ275" s="4" t="s">
        <v>4524</v>
      </c>
    </row>
    <row r="276" spans="2:46" x14ac:dyDescent="0.2">
      <c r="B276" s="4" t="s">
        <v>3789</v>
      </c>
      <c r="C276" s="4">
        <v>17.5154</v>
      </c>
      <c r="D276" s="4">
        <v>17.189800000000002</v>
      </c>
      <c r="E276" s="4">
        <v>17.369</v>
      </c>
      <c r="F276" s="4">
        <f t="shared" si="16"/>
        <v>17.358066666666669</v>
      </c>
      <c r="I276" s="4" t="s">
        <v>3233</v>
      </c>
      <c r="J276" s="4">
        <v>17.700299999999999</v>
      </c>
      <c r="K276" s="4">
        <v>17.594000000000001</v>
      </c>
      <c r="L276" s="4">
        <v>17.204699999999999</v>
      </c>
      <c r="M276" s="4">
        <f t="shared" si="17"/>
        <v>17.499666666666666</v>
      </c>
      <c r="P276" s="4" t="str">
        <f>"sup-46"</f>
        <v>sup-46</v>
      </c>
      <c r="Q276" s="4">
        <v>17.580384630991102</v>
      </c>
      <c r="R276" s="4">
        <v>17.266017349630499</v>
      </c>
      <c r="S276" s="4">
        <v>17.363431965525599</v>
      </c>
      <c r="T276" s="4">
        <f t="shared" si="18"/>
        <v>17.403277982049065</v>
      </c>
      <c r="W276" s="4" t="str">
        <f>"rpl-12"</f>
        <v>rpl-12</v>
      </c>
      <c r="X276" s="4">
        <v>17.2608498999045</v>
      </c>
      <c r="Y276" s="4">
        <v>17.595190541396398</v>
      </c>
      <c r="Z276" s="4">
        <v>17.4751328800096</v>
      </c>
      <c r="AA276" s="4">
        <f t="shared" si="19"/>
        <v>17.443724440436835</v>
      </c>
      <c r="AH276" s="28" t="s">
        <v>3606</v>
      </c>
      <c r="AJ276" s="4" t="s">
        <v>867</v>
      </c>
      <c r="AT276" s="6"/>
    </row>
    <row r="277" spans="2:46" x14ac:dyDescent="0.2">
      <c r="B277" s="4" t="s">
        <v>4632</v>
      </c>
      <c r="C277" s="4">
        <v>17.3203</v>
      </c>
      <c r="D277" s="4">
        <v>17.479500000000002</v>
      </c>
      <c r="E277" s="4">
        <v>17.271599999999999</v>
      </c>
      <c r="F277" s="4">
        <f t="shared" si="16"/>
        <v>17.357133333333334</v>
      </c>
      <c r="I277" s="4" t="s">
        <v>155</v>
      </c>
      <c r="J277" s="4">
        <v>17.571300000000001</v>
      </c>
      <c r="K277" s="4">
        <v>17.7806</v>
      </c>
      <c r="L277" s="4">
        <v>17.136900000000001</v>
      </c>
      <c r="M277" s="4">
        <f t="shared" si="17"/>
        <v>17.496266666666667</v>
      </c>
      <c r="P277" s="4" t="str">
        <f>"tps-1"</f>
        <v>tps-1</v>
      </c>
      <c r="Q277" s="4">
        <v>17.449121185038301</v>
      </c>
      <c r="R277" s="4">
        <v>17.445974831680299</v>
      </c>
      <c r="S277" s="4">
        <v>17.2902332821822</v>
      </c>
      <c r="T277" s="4">
        <f t="shared" si="18"/>
        <v>17.395109766300266</v>
      </c>
      <c r="W277" s="4" t="str">
        <f>"mec-7"</f>
        <v>mec-7</v>
      </c>
      <c r="X277" s="4">
        <v>17.307371396314899</v>
      </c>
      <c r="Y277" s="4">
        <v>17.405294370095401</v>
      </c>
      <c r="Z277" s="4">
        <v>17.604507854175601</v>
      </c>
      <c r="AA277" s="4">
        <f t="shared" si="19"/>
        <v>17.439057873528633</v>
      </c>
      <c r="AH277" s="28" t="s">
        <v>4638</v>
      </c>
      <c r="AJ277" s="4" t="s">
        <v>593</v>
      </c>
      <c r="AT277" s="6"/>
    </row>
    <row r="278" spans="2:46" x14ac:dyDescent="0.2">
      <c r="B278" s="4" t="s">
        <v>3938</v>
      </c>
      <c r="C278" s="4">
        <v>17.350899999999999</v>
      </c>
      <c r="D278" s="4">
        <v>17.370999999999999</v>
      </c>
      <c r="E278" s="4">
        <v>17.344200000000001</v>
      </c>
      <c r="F278" s="4">
        <f t="shared" si="16"/>
        <v>17.355366666666665</v>
      </c>
      <c r="I278" s="4" t="s">
        <v>2751</v>
      </c>
      <c r="J278" s="4">
        <v>17.524999999999999</v>
      </c>
      <c r="K278" s="4">
        <v>17.578900000000001</v>
      </c>
      <c r="L278" s="4">
        <v>17.377199999999998</v>
      </c>
      <c r="M278" s="4">
        <f t="shared" si="17"/>
        <v>17.4937</v>
      </c>
      <c r="P278" s="4" t="str">
        <f>"tsn-1"</f>
        <v>tsn-1</v>
      </c>
      <c r="Q278" s="4">
        <v>17.255816962870099</v>
      </c>
      <c r="R278" s="4">
        <v>17.391643782134</v>
      </c>
      <c r="S278" s="4">
        <v>17.531580191056399</v>
      </c>
      <c r="T278" s="4">
        <f t="shared" si="18"/>
        <v>17.393013645353498</v>
      </c>
      <c r="W278" s="4" t="str">
        <f>"hphd-1"</f>
        <v>hphd-1</v>
      </c>
      <c r="X278" s="4">
        <v>17.340983914252298</v>
      </c>
      <c r="Y278" s="4">
        <v>17.424786033845798</v>
      </c>
      <c r="Z278" s="4">
        <v>17.527679293351799</v>
      </c>
      <c r="AA278" s="4">
        <f t="shared" si="19"/>
        <v>17.431149747149963</v>
      </c>
      <c r="AH278" s="28" t="s">
        <v>2804</v>
      </c>
      <c r="AJ278" s="4" t="s">
        <v>3741</v>
      </c>
      <c r="AT278" s="6"/>
    </row>
    <row r="279" spans="2:46" x14ac:dyDescent="0.2">
      <c r="B279" s="4" t="s">
        <v>3750</v>
      </c>
      <c r="C279" s="4">
        <v>17.496099999999998</v>
      </c>
      <c r="D279" s="4">
        <v>17.210799999999999</v>
      </c>
      <c r="E279" s="4">
        <v>17.324000000000002</v>
      </c>
      <c r="F279" s="4">
        <f t="shared" si="16"/>
        <v>17.343633333333333</v>
      </c>
      <c r="I279" s="4" t="s">
        <v>2129</v>
      </c>
      <c r="J279" s="4">
        <v>17.4316</v>
      </c>
      <c r="K279" s="4">
        <v>17.391100000000002</v>
      </c>
      <c r="L279" s="4">
        <v>17.5855</v>
      </c>
      <c r="M279" s="4">
        <f t="shared" si="17"/>
        <v>17.469399999999997</v>
      </c>
      <c r="P279" s="4" t="str">
        <f>"ama-1"</f>
        <v>ama-1</v>
      </c>
      <c r="Q279" s="4">
        <v>17.5582379641593</v>
      </c>
      <c r="R279" s="4">
        <v>17.2910263005658</v>
      </c>
      <c r="S279" s="4">
        <v>17.3134704911871</v>
      </c>
      <c r="T279" s="4">
        <f t="shared" si="18"/>
        <v>17.387578251970734</v>
      </c>
      <c r="W279" s="4" t="str">
        <f>"rpl-13"</f>
        <v>rpl-13</v>
      </c>
      <c r="X279" s="4">
        <v>17.4038650369592</v>
      </c>
      <c r="Y279" s="4">
        <v>17.479561998516601</v>
      </c>
      <c r="Z279" s="4">
        <v>17.403884849396601</v>
      </c>
      <c r="AA279" s="4">
        <f t="shared" si="19"/>
        <v>17.429103961624136</v>
      </c>
      <c r="AH279" s="28" t="s">
        <v>4112</v>
      </c>
      <c r="AJ279" s="4" t="s">
        <v>4000</v>
      </c>
    </row>
    <row r="280" spans="2:46" x14ac:dyDescent="0.2">
      <c r="B280" s="4" t="s">
        <v>1235</v>
      </c>
      <c r="C280" s="4">
        <v>17.3917</v>
      </c>
      <c r="D280" s="4">
        <v>17.338799999999999</v>
      </c>
      <c r="E280" s="4">
        <v>17.281500000000001</v>
      </c>
      <c r="F280" s="4">
        <f t="shared" si="16"/>
        <v>17.337333333333333</v>
      </c>
      <c r="I280" s="4" t="s">
        <v>1725</v>
      </c>
      <c r="J280" s="4">
        <v>17.570599999999999</v>
      </c>
      <c r="K280" s="4">
        <v>17.606100000000001</v>
      </c>
      <c r="L280" s="4">
        <v>17.220600000000001</v>
      </c>
      <c r="M280" s="4">
        <f t="shared" si="17"/>
        <v>17.465766666666667</v>
      </c>
      <c r="P280" s="4" t="str">
        <f>"eif-3.C"</f>
        <v>eif-3.C</v>
      </c>
      <c r="Q280" s="4">
        <v>17.2171794381604</v>
      </c>
      <c r="R280" s="4">
        <v>17.492523020789001</v>
      </c>
      <c r="S280" s="4">
        <v>17.386139982638301</v>
      </c>
      <c r="T280" s="4">
        <f t="shared" si="18"/>
        <v>17.365280813862569</v>
      </c>
      <c r="W280" s="4" t="str">
        <f>"moma-1"</f>
        <v>moma-1</v>
      </c>
      <c r="X280" s="4">
        <v>17.425323785513701</v>
      </c>
      <c r="Y280" s="4">
        <v>17.668915844960502</v>
      </c>
      <c r="Z280" s="4">
        <v>17.1891359103595</v>
      </c>
      <c r="AA280" s="4">
        <f t="shared" si="19"/>
        <v>17.427791846944569</v>
      </c>
      <c r="AH280" s="28" t="s">
        <v>310</v>
      </c>
      <c r="AJ280" s="4" t="s">
        <v>3436</v>
      </c>
      <c r="AT280" s="6"/>
    </row>
    <row r="281" spans="2:46" x14ac:dyDescent="0.2">
      <c r="B281" s="4" t="s">
        <v>3597</v>
      </c>
      <c r="C281" s="4">
        <v>17.2117</v>
      </c>
      <c r="D281" s="4">
        <v>17.297899999999998</v>
      </c>
      <c r="E281" s="4">
        <v>17.469799999999999</v>
      </c>
      <c r="F281" s="4">
        <f t="shared" si="16"/>
        <v>17.326466666666665</v>
      </c>
      <c r="I281" s="4" t="s">
        <v>705</v>
      </c>
      <c r="J281" s="4">
        <v>17.0684</v>
      </c>
      <c r="K281" s="4">
        <v>17.332599999999999</v>
      </c>
      <c r="L281" s="4">
        <v>17.991199999999999</v>
      </c>
      <c r="M281" s="4">
        <f t="shared" si="17"/>
        <v>17.464066666666664</v>
      </c>
      <c r="P281" s="4" t="str">
        <f>"abts-1"</f>
        <v>abts-1</v>
      </c>
      <c r="Q281" s="4">
        <v>17.622816982832202</v>
      </c>
      <c r="R281" s="4">
        <v>17.195436457061</v>
      </c>
      <c r="S281" s="4">
        <v>17.275773034628699</v>
      </c>
      <c r="T281" s="4">
        <f t="shared" si="18"/>
        <v>17.364675491507299</v>
      </c>
      <c r="W281" s="4" t="str">
        <f>"vgln-1"</f>
        <v>vgln-1</v>
      </c>
      <c r="X281" s="4">
        <v>17.5118770378301</v>
      </c>
      <c r="Y281" s="4">
        <v>17.429382146857499</v>
      </c>
      <c r="Z281" s="4">
        <v>17.288906703473199</v>
      </c>
      <c r="AA281" s="4">
        <f t="shared" si="19"/>
        <v>17.410055296053599</v>
      </c>
      <c r="AH281" s="28" t="s">
        <v>4665</v>
      </c>
      <c r="AJ281" s="4" t="s">
        <v>2925</v>
      </c>
      <c r="AT281" s="6"/>
    </row>
    <row r="282" spans="2:46" x14ac:dyDescent="0.2">
      <c r="B282" s="4" t="s">
        <v>2377</v>
      </c>
      <c r="C282" s="4">
        <v>17.4465</v>
      </c>
      <c r="D282" s="4">
        <v>17.1327</v>
      </c>
      <c r="E282" s="4">
        <v>17.389299999999999</v>
      </c>
      <c r="F282" s="4">
        <f t="shared" si="16"/>
        <v>17.322833333333332</v>
      </c>
      <c r="I282" s="4" t="s">
        <v>1666</v>
      </c>
      <c r="J282" s="4">
        <v>17.746500000000001</v>
      </c>
      <c r="K282" s="4">
        <v>17.271100000000001</v>
      </c>
      <c r="L282" s="4">
        <v>17.371099999999998</v>
      </c>
      <c r="M282" s="4">
        <f t="shared" si="17"/>
        <v>17.462900000000001</v>
      </c>
      <c r="P282" s="4" t="str">
        <f>"ppk-2"</f>
        <v>ppk-2</v>
      </c>
      <c r="Q282" s="4">
        <v>17.5062282031972</v>
      </c>
      <c r="R282" s="4">
        <v>17.031833122210699</v>
      </c>
      <c r="S282" s="4">
        <v>17.547230797750899</v>
      </c>
      <c r="T282" s="4">
        <f t="shared" si="18"/>
        <v>17.361764041052933</v>
      </c>
      <c r="W282" s="4" t="str">
        <f>"nsf-1"</f>
        <v>nsf-1</v>
      </c>
      <c r="X282" s="4">
        <v>17.3104057166295</v>
      </c>
      <c r="Y282" s="4">
        <v>17.5745406685805</v>
      </c>
      <c r="Z282" s="4">
        <v>17.326673392458499</v>
      </c>
      <c r="AA282" s="4">
        <f t="shared" si="19"/>
        <v>17.403873259222834</v>
      </c>
      <c r="AH282" s="28" t="s">
        <v>313</v>
      </c>
      <c r="AJ282" s="4" t="s">
        <v>1499</v>
      </c>
    </row>
    <row r="283" spans="2:46" x14ac:dyDescent="0.2">
      <c r="B283" s="4" t="s">
        <v>2751</v>
      </c>
      <c r="C283" s="4">
        <v>17.5595</v>
      </c>
      <c r="D283" s="4">
        <v>16.9754</v>
      </c>
      <c r="E283" s="4">
        <v>17.428699999999999</v>
      </c>
      <c r="F283" s="4">
        <f t="shared" si="16"/>
        <v>17.321200000000001</v>
      </c>
      <c r="I283" s="4" t="s">
        <v>654</v>
      </c>
      <c r="J283" s="4">
        <v>17.214700000000001</v>
      </c>
      <c r="K283" s="4">
        <v>17.460599999999999</v>
      </c>
      <c r="L283" s="4">
        <v>17.679600000000001</v>
      </c>
      <c r="M283" s="4">
        <f t="shared" si="17"/>
        <v>17.451633333333334</v>
      </c>
      <c r="P283" s="4" t="str">
        <f>"kars-1"</f>
        <v>kars-1</v>
      </c>
      <c r="Q283" s="4">
        <v>17.517848819809998</v>
      </c>
      <c r="R283" s="4">
        <v>17.3049771523558</v>
      </c>
      <c r="S283" s="4">
        <v>17.2130491240376</v>
      </c>
      <c r="T283" s="4">
        <f t="shared" si="18"/>
        <v>17.345291698734467</v>
      </c>
      <c r="W283" s="4" t="str">
        <f>"cct-4"</f>
        <v>cct-4</v>
      </c>
      <c r="X283" s="4">
        <v>17.341817029182401</v>
      </c>
      <c r="Y283" s="4">
        <v>17.685502325167999</v>
      </c>
      <c r="Z283" s="4">
        <v>17.183392845603599</v>
      </c>
      <c r="AA283" s="4">
        <f t="shared" si="19"/>
        <v>17.403570733317999</v>
      </c>
      <c r="AH283" s="28" t="s">
        <v>4782</v>
      </c>
      <c r="AJ283" s="4" t="s">
        <v>131</v>
      </c>
      <c r="AT283" s="6"/>
    </row>
    <row r="284" spans="2:46" x14ac:dyDescent="0.2">
      <c r="B284" s="4" t="s">
        <v>3350</v>
      </c>
      <c r="C284" s="4">
        <v>17.252400000000002</v>
      </c>
      <c r="D284" s="4">
        <v>17.499400000000001</v>
      </c>
      <c r="E284" s="4">
        <v>17.2088</v>
      </c>
      <c r="F284" s="4">
        <f t="shared" si="16"/>
        <v>17.3202</v>
      </c>
      <c r="I284" s="4" t="s">
        <v>1947</v>
      </c>
      <c r="J284" s="4">
        <v>17.215499999999999</v>
      </c>
      <c r="K284" s="4">
        <v>16.679500000000001</v>
      </c>
      <c r="L284" s="4">
        <v>18.4405</v>
      </c>
      <c r="M284" s="4">
        <f t="shared" si="17"/>
        <v>17.445166666666665</v>
      </c>
      <c r="P284" s="4" t="str">
        <f>"pars-1"</f>
        <v>pars-1</v>
      </c>
      <c r="Q284" s="4">
        <v>17.192446126235399</v>
      </c>
      <c r="R284" s="4">
        <v>17.3206461925766</v>
      </c>
      <c r="S284" s="4">
        <v>17.498873746979999</v>
      </c>
      <c r="T284" s="4">
        <f t="shared" si="18"/>
        <v>17.337322021930664</v>
      </c>
      <c r="W284" s="4" t="str">
        <f>"rsks-1"</f>
        <v>rsks-1</v>
      </c>
      <c r="X284" s="4">
        <v>17.3144656857455</v>
      </c>
      <c r="Y284" s="4">
        <v>17.4435247967542</v>
      </c>
      <c r="Z284" s="4">
        <v>17.428185192783701</v>
      </c>
      <c r="AA284" s="4">
        <f t="shared" si="19"/>
        <v>17.395391891761133</v>
      </c>
      <c r="AH284" s="28" t="s">
        <v>3118</v>
      </c>
      <c r="AJ284" s="4" t="s">
        <v>1246</v>
      </c>
    </row>
    <row r="285" spans="2:46" x14ac:dyDescent="0.2">
      <c r="B285" s="4" t="s">
        <v>3184</v>
      </c>
      <c r="C285" s="4">
        <v>17.1417</v>
      </c>
      <c r="D285" s="4">
        <v>17.623699999999999</v>
      </c>
      <c r="E285" s="4">
        <v>17.190200000000001</v>
      </c>
      <c r="F285" s="4">
        <f t="shared" si="16"/>
        <v>17.318533333333335</v>
      </c>
      <c r="I285" s="4" t="s">
        <v>2385</v>
      </c>
      <c r="J285" s="4">
        <v>17.714700000000001</v>
      </c>
      <c r="K285" s="4">
        <v>17.174299999999999</v>
      </c>
      <c r="L285" s="4">
        <v>17.4328</v>
      </c>
      <c r="M285" s="4">
        <f t="shared" si="17"/>
        <v>17.4406</v>
      </c>
      <c r="P285" s="4" t="str">
        <f>"cct-6"</f>
        <v>cct-6</v>
      </c>
      <c r="Q285" s="4">
        <v>17.096890232230098</v>
      </c>
      <c r="R285" s="4">
        <v>17.628744348749599</v>
      </c>
      <c r="S285" s="4">
        <v>17.272747482641801</v>
      </c>
      <c r="T285" s="4">
        <f t="shared" si="18"/>
        <v>17.332794021207167</v>
      </c>
      <c r="W285" s="4" t="str">
        <f>"rpl-1"</f>
        <v>rpl-1</v>
      </c>
      <c r="X285" s="4">
        <v>17.488391339344201</v>
      </c>
      <c r="Y285" s="4">
        <v>17.4107057734211</v>
      </c>
      <c r="Z285" s="4">
        <v>17.280113319889601</v>
      </c>
      <c r="AA285" s="4">
        <f t="shared" si="19"/>
        <v>17.393070144218303</v>
      </c>
      <c r="AH285" s="28" t="s">
        <v>4809</v>
      </c>
      <c r="AJ285" s="4" t="s">
        <v>4211</v>
      </c>
      <c r="AT285" s="6"/>
    </row>
    <row r="286" spans="2:46" x14ac:dyDescent="0.2">
      <c r="B286" s="4" t="s">
        <v>3633</v>
      </c>
      <c r="C286" s="4">
        <v>17.126200000000001</v>
      </c>
      <c r="D286" s="4">
        <v>17.5686</v>
      </c>
      <c r="E286" s="4">
        <v>17.235600000000002</v>
      </c>
      <c r="F286" s="4">
        <f t="shared" si="16"/>
        <v>17.310133333333336</v>
      </c>
      <c r="I286" s="4" t="s">
        <v>674</v>
      </c>
      <c r="J286" s="4">
        <v>16.464200000000002</v>
      </c>
      <c r="K286" s="4">
        <v>16.825399999999998</v>
      </c>
      <c r="L286" s="4">
        <v>19.027699999999999</v>
      </c>
      <c r="M286" s="4">
        <f t="shared" si="17"/>
        <v>17.4391</v>
      </c>
      <c r="P286" s="4" t="str">
        <f>"tba-4"</f>
        <v>tba-4</v>
      </c>
      <c r="Q286" s="4">
        <v>17.440663830240702</v>
      </c>
      <c r="R286" s="4">
        <v>17.3727459088859</v>
      </c>
      <c r="S286" s="4">
        <v>17.1810792415626</v>
      </c>
      <c r="T286" s="4">
        <f t="shared" si="18"/>
        <v>17.331496326896399</v>
      </c>
      <c r="W286" s="4" t="str">
        <f>"fzo-1"</f>
        <v>fzo-1</v>
      </c>
      <c r="X286" s="4">
        <v>17.3294198871418</v>
      </c>
      <c r="Y286" s="4">
        <v>17.4265283263558</v>
      </c>
      <c r="Z286" s="4">
        <v>17.393786726676499</v>
      </c>
      <c r="AA286" s="4">
        <f t="shared" si="19"/>
        <v>17.383244980058034</v>
      </c>
      <c r="AH286" s="28" t="s">
        <v>4818</v>
      </c>
      <c r="AJ286" s="4" t="s">
        <v>321</v>
      </c>
      <c r="AT286" s="6"/>
    </row>
    <row r="287" spans="2:46" x14ac:dyDescent="0.2">
      <c r="B287" s="4" t="s">
        <v>1760</v>
      </c>
      <c r="C287" s="4">
        <v>17.276299999999999</v>
      </c>
      <c r="D287" s="4">
        <v>17.284500000000001</v>
      </c>
      <c r="E287" s="4">
        <v>17.3462</v>
      </c>
      <c r="F287" s="4">
        <f t="shared" si="16"/>
        <v>17.302333333333333</v>
      </c>
      <c r="I287" s="4" t="s">
        <v>3512</v>
      </c>
      <c r="J287" s="4">
        <v>17.596800000000002</v>
      </c>
      <c r="K287" s="4">
        <v>17.289200000000001</v>
      </c>
      <c r="L287" s="4">
        <v>17.322299999999998</v>
      </c>
      <c r="M287" s="4">
        <f t="shared" si="17"/>
        <v>17.402766666666668</v>
      </c>
      <c r="P287" s="4" t="str">
        <f>"F36A2.7"</f>
        <v>F36A2.7</v>
      </c>
      <c r="Q287" s="4">
        <v>17.379631432200998</v>
      </c>
      <c r="R287" s="4">
        <v>17.362083885456101</v>
      </c>
      <c r="S287" s="4">
        <v>17.244371822944402</v>
      </c>
      <c r="T287" s="4">
        <f t="shared" si="18"/>
        <v>17.328695713533833</v>
      </c>
      <c r="W287" s="4" t="str">
        <f>"eif-2gamma"</f>
        <v>eif-2gamma</v>
      </c>
      <c r="X287" s="4">
        <v>17.521230190116299</v>
      </c>
      <c r="Y287" s="4">
        <v>17.436779133627098</v>
      </c>
      <c r="Z287" s="4">
        <v>17.174260090603799</v>
      </c>
      <c r="AA287" s="4">
        <f t="shared" si="19"/>
        <v>17.377423138115731</v>
      </c>
      <c r="AH287" s="28" t="s">
        <v>4737</v>
      </c>
      <c r="AJ287" s="4" t="s">
        <v>4351</v>
      </c>
      <c r="AT287" s="6"/>
    </row>
    <row r="288" spans="2:46" x14ac:dyDescent="0.2">
      <c r="B288" s="4" t="s">
        <v>2425</v>
      </c>
      <c r="C288" s="4">
        <v>17.4009</v>
      </c>
      <c r="D288" s="4">
        <v>17.386399999999998</v>
      </c>
      <c r="E288" s="4">
        <v>17.0901</v>
      </c>
      <c r="F288" s="4">
        <f t="shared" si="16"/>
        <v>17.292466666666666</v>
      </c>
      <c r="I288" s="4" t="s">
        <v>3649</v>
      </c>
      <c r="J288" s="4">
        <v>17.539000000000001</v>
      </c>
      <c r="K288" s="4">
        <v>17.3781</v>
      </c>
      <c r="L288" s="4">
        <v>17.276299999999999</v>
      </c>
      <c r="M288" s="4">
        <f t="shared" si="17"/>
        <v>17.3978</v>
      </c>
      <c r="P288" s="4" t="str">
        <f>"R09F10.1"</f>
        <v>R09F10.1</v>
      </c>
      <c r="Q288" s="4">
        <v>17.542279298154401</v>
      </c>
      <c r="R288" s="4">
        <v>17.188960868641999</v>
      </c>
      <c r="S288" s="4">
        <v>17.207408531778299</v>
      </c>
      <c r="T288" s="4">
        <f t="shared" si="18"/>
        <v>17.312882899524897</v>
      </c>
      <c r="W288" s="4" t="str">
        <f>"mcm-3"</f>
        <v>mcm-3</v>
      </c>
      <c r="X288" s="4">
        <v>17.429131881113801</v>
      </c>
      <c r="Y288" s="4">
        <v>17.498858842228099</v>
      </c>
      <c r="Z288" s="4">
        <v>17.197757578777299</v>
      </c>
      <c r="AA288" s="4">
        <f t="shared" si="19"/>
        <v>17.375249434039734</v>
      </c>
      <c r="AH288" s="28" t="s">
        <v>4795</v>
      </c>
      <c r="AJ288" s="4" t="s">
        <v>325</v>
      </c>
      <c r="AT288" s="6"/>
    </row>
    <row r="289" spans="2:46" x14ac:dyDescent="0.2">
      <c r="B289" s="4" t="s">
        <v>298</v>
      </c>
      <c r="C289" s="4">
        <v>17.409099999999999</v>
      </c>
      <c r="D289" s="4">
        <v>17.3233</v>
      </c>
      <c r="E289" s="4">
        <v>17.140699999999999</v>
      </c>
      <c r="F289" s="4">
        <f t="shared" si="16"/>
        <v>17.291033333333331</v>
      </c>
      <c r="I289" s="4" t="s">
        <v>1235</v>
      </c>
      <c r="J289" s="4">
        <v>17.281300000000002</v>
      </c>
      <c r="K289" s="4">
        <v>17.622</v>
      </c>
      <c r="L289" s="4">
        <v>17.279800000000002</v>
      </c>
      <c r="M289" s="4">
        <f t="shared" si="17"/>
        <v>17.394366666666667</v>
      </c>
      <c r="P289" s="4" t="str">
        <f>"myo-3"</f>
        <v>myo-3</v>
      </c>
      <c r="Q289" s="4">
        <v>17.636513882619401</v>
      </c>
      <c r="R289" s="4">
        <v>16.816252522131101</v>
      </c>
      <c r="S289" s="4">
        <v>17.485548908490902</v>
      </c>
      <c r="T289" s="4">
        <f t="shared" si="18"/>
        <v>17.312771771080467</v>
      </c>
      <c r="W289" s="4" t="str">
        <f>"col-8"</f>
        <v>col-8</v>
      </c>
      <c r="X289" s="4">
        <v>16.694113319166998</v>
      </c>
      <c r="Y289" s="4">
        <v>17.1804970425516</v>
      </c>
      <c r="Z289" s="4">
        <v>18.2184892094795</v>
      </c>
      <c r="AA289" s="4">
        <f t="shared" si="19"/>
        <v>17.364366523732699</v>
      </c>
      <c r="AH289" s="28" t="s">
        <v>2945</v>
      </c>
      <c r="AJ289" s="4" t="s">
        <v>4521</v>
      </c>
      <c r="AT289" s="6"/>
    </row>
    <row r="290" spans="2:46" x14ac:dyDescent="0.2">
      <c r="B290" s="4" t="s">
        <v>2838</v>
      </c>
      <c r="C290" s="4">
        <v>17.088799999999999</v>
      </c>
      <c r="D290" s="4">
        <v>17.015599999999999</v>
      </c>
      <c r="E290" s="4">
        <v>17.762499999999999</v>
      </c>
      <c r="F290" s="4">
        <f t="shared" si="16"/>
        <v>17.288966666666667</v>
      </c>
      <c r="I290" s="4" t="s">
        <v>1689</v>
      </c>
      <c r="J290" s="4">
        <v>17.385200000000001</v>
      </c>
      <c r="K290" s="4">
        <v>17.4678</v>
      </c>
      <c r="L290" s="4">
        <v>17.319400000000002</v>
      </c>
      <c r="M290" s="4">
        <f t="shared" si="17"/>
        <v>17.390800000000002</v>
      </c>
      <c r="P290" s="4" t="str">
        <f>"alh-1"</f>
        <v>alh-1</v>
      </c>
      <c r="Q290" s="4">
        <v>17.708704031946699</v>
      </c>
      <c r="R290" s="4">
        <v>17.0075806884904</v>
      </c>
      <c r="S290" s="4">
        <v>17.193483152863699</v>
      </c>
      <c r="T290" s="4">
        <f t="shared" si="18"/>
        <v>17.303255957766932</v>
      </c>
      <c r="W290" s="4" t="str">
        <f>"emb-9"</f>
        <v>emb-9</v>
      </c>
      <c r="X290" s="4">
        <v>17.0331417205492</v>
      </c>
      <c r="Y290" s="4">
        <v>17.343128266834199</v>
      </c>
      <c r="Z290" s="4">
        <v>17.664727726255499</v>
      </c>
      <c r="AA290" s="4">
        <f t="shared" si="19"/>
        <v>17.346999237879633</v>
      </c>
      <c r="AH290" s="28" t="s">
        <v>3184</v>
      </c>
      <c r="AJ290" s="4" t="s">
        <v>4440</v>
      </c>
      <c r="AT290" s="6"/>
    </row>
    <row r="291" spans="2:46" x14ac:dyDescent="0.2">
      <c r="B291" s="4" t="s">
        <v>1244</v>
      </c>
      <c r="C291" s="4">
        <v>17.246700000000001</v>
      </c>
      <c r="D291" s="4">
        <v>17.499199999999998</v>
      </c>
      <c r="E291" s="4">
        <v>17.119199999999999</v>
      </c>
      <c r="F291" s="4">
        <f t="shared" si="16"/>
        <v>17.288366666666665</v>
      </c>
      <c r="I291" s="4" t="s">
        <v>478</v>
      </c>
      <c r="J291" s="4">
        <v>17.362400000000001</v>
      </c>
      <c r="K291" s="4">
        <v>17.404800000000002</v>
      </c>
      <c r="L291" s="4">
        <v>17.369599999999998</v>
      </c>
      <c r="M291" s="4">
        <f t="shared" si="17"/>
        <v>17.378933333333332</v>
      </c>
      <c r="P291" s="4" t="str">
        <f>"C35A5.8"</f>
        <v>C35A5.8</v>
      </c>
      <c r="Q291" s="4">
        <v>17.392524655946001</v>
      </c>
      <c r="R291" s="4">
        <v>17.295538172807799</v>
      </c>
      <c r="S291" s="4">
        <v>17.217018487878999</v>
      </c>
      <c r="T291" s="4">
        <f t="shared" si="18"/>
        <v>17.301693772210935</v>
      </c>
      <c r="W291" s="4" t="str">
        <f>"his-24"</f>
        <v>his-24</v>
      </c>
      <c r="X291" s="4">
        <v>16.601511737246</v>
      </c>
      <c r="Y291" s="4">
        <v>17.590833063086301</v>
      </c>
      <c r="Z291" s="4">
        <v>17.848000391622399</v>
      </c>
      <c r="AA291" s="4">
        <f t="shared" si="19"/>
        <v>17.346781730651568</v>
      </c>
      <c r="AH291" s="28" t="s">
        <v>3653</v>
      </c>
      <c r="AJ291" s="4" t="s">
        <v>109</v>
      </c>
      <c r="AT291" s="6"/>
    </row>
    <row r="292" spans="2:46" x14ac:dyDescent="0.2">
      <c r="B292" s="4" t="s">
        <v>1202</v>
      </c>
      <c r="C292" s="4">
        <v>17.071100000000001</v>
      </c>
      <c r="D292" s="4">
        <v>17.000699999999998</v>
      </c>
      <c r="E292" s="4">
        <v>17.7822</v>
      </c>
      <c r="F292" s="4">
        <f t="shared" si="16"/>
        <v>17.284666666666666</v>
      </c>
      <c r="I292" s="4" t="s">
        <v>100</v>
      </c>
      <c r="J292" s="4">
        <v>17.209399999999999</v>
      </c>
      <c r="K292" s="4">
        <v>17.110499999999998</v>
      </c>
      <c r="L292" s="4">
        <v>17.8142</v>
      </c>
      <c r="M292" s="4">
        <f t="shared" si="17"/>
        <v>17.378033333333331</v>
      </c>
      <c r="P292" s="4" t="str">
        <f>"sams-1"</f>
        <v>sams-1</v>
      </c>
      <c r="Q292" s="4">
        <v>17.220678645742598</v>
      </c>
      <c r="R292" s="4">
        <v>17.305497774626399</v>
      </c>
      <c r="S292" s="4">
        <v>17.377026704585401</v>
      </c>
      <c r="T292" s="4">
        <f t="shared" si="18"/>
        <v>17.301067708318133</v>
      </c>
      <c r="W292" s="4" t="str">
        <f>"alh-8"</f>
        <v>alh-8</v>
      </c>
      <c r="X292" s="4">
        <v>17.191502565770801</v>
      </c>
      <c r="Y292" s="4">
        <v>17.497425885938501</v>
      </c>
      <c r="Z292" s="4">
        <v>17.323940460152102</v>
      </c>
      <c r="AA292" s="4">
        <f t="shared" si="19"/>
        <v>17.337622970620469</v>
      </c>
      <c r="AH292" s="28" t="s">
        <v>4770</v>
      </c>
      <c r="AJ292" s="4" t="s">
        <v>948</v>
      </c>
      <c r="AT292" s="6"/>
    </row>
    <row r="293" spans="2:46" x14ac:dyDescent="0.2">
      <c r="B293" s="4" t="s">
        <v>2425</v>
      </c>
      <c r="C293" s="4">
        <v>17.353000000000002</v>
      </c>
      <c r="D293" s="4">
        <v>16.8353</v>
      </c>
      <c r="E293" s="4">
        <v>17.657699999999998</v>
      </c>
      <c r="F293" s="4">
        <f t="shared" si="16"/>
        <v>17.282</v>
      </c>
      <c r="I293" s="4" t="s">
        <v>2438</v>
      </c>
      <c r="J293" s="4">
        <v>17.564800000000002</v>
      </c>
      <c r="K293" s="4">
        <v>17.207899999999999</v>
      </c>
      <c r="L293" s="4">
        <v>17.359000000000002</v>
      </c>
      <c r="M293" s="4">
        <f t="shared" si="17"/>
        <v>17.377233333333333</v>
      </c>
      <c r="P293" s="4" t="str">
        <f>"pck-1"</f>
        <v>pck-1</v>
      </c>
      <c r="Q293" s="4">
        <v>17.509265056163599</v>
      </c>
      <c r="R293" s="4">
        <v>17.183541719880299</v>
      </c>
      <c r="S293" s="4">
        <v>17.197841003546099</v>
      </c>
      <c r="T293" s="4">
        <f t="shared" si="18"/>
        <v>17.296882593196667</v>
      </c>
      <c r="W293" s="4" t="str">
        <f>"ama-1"</f>
        <v>ama-1</v>
      </c>
      <c r="X293" s="4">
        <v>17.2794420266838</v>
      </c>
      <c r="Y293" s="4">
        <v>17.3688595780126</v>
      </c>
      <c r="Z293" s="4">
        <v>17.342353351014001</v>
      </c>
      <c r="AA293" s="4">
        <f t="shared" si="19"/>
        <v>17.330218318570132</v>
      </c>
      <c r="AH293" s="28" t="s">
        <v>4704</v>
      </c>
      <c r="AJ293" s="4" t="s">
        <v>2849</v>
      </c>
      <c r="AT293" s="6"/>
    </row>
    <row r="294" spans="2:46" x14ac:dyDescent="0.2">
      <c r="B294" s="4" t="s">
        <v>1666</v>
      </c>
      <c r="C294" s="4">
        <v>17.324100000000001</v>
      </c>
      <c r="D294" s="4">
        <v>17.514500000000002</v>
      </c>
      <c r="E294" s="4">
        <v>16.983499999999999</v>
      </c>
      <c r="F294" s="4">
        <f t="shared" si="16"/>
        <v>17.274033333333332</v>
      </c>
      <c r="I294" s="4" t="s">
        <v>3987</v>
      </c>
      <c r="J294" s="4">
        <v>17.5579</v>
      </c>
      <c r="K294" s="4">
        <v>17.3582</v>
      </c>
      <c r="L294" s="4">
        <v>17.189299999999999</v>
      </c>
      <c r="M294" s="4">
        <f t="shared" si="17"/>
        <v>17.368466666666666</v>
      </c>
      <c r="P294" s="4" t="str">
        <f>"coq-8"</f>
        <v>coq-8</v>
      </c>
      <c r="Q294" s="4">
        <v>17.544767425228599</v>
      </c>
      <c r="R294" s="4">
        <v>17.211238178435401</v>
      </c>
      <c r="S294" s="4">
        <v>17.1177572233881</v>
      </c>
      <c r="T294" s="4">
        <f t="shared" si="18"/>
        <v>17.291254275684036</v>
      </c>
      <c r="W294" s="4" t="str">
        <f>"gldc-1"</f>
        <v>gldc-1</v>
      </c>
      <c r="X294" s="4">
        <v>17.1886173471846</v>
      </c>
      <c r="Y294" s="4">
        <v>17.486448972594602</v>
      </c>
      <c r="Z294" s="4">
        <v>17.279281578572999</v>
      </c>
      <c r="AA294" s="4">
        <f t="shared" si="19"/>
        <v>17.3181159661174</v>
      </c>
      <c r="AH294" s="28" t="s">
        <v>4832</v>
      </c>
      <c r="AJ294" s="4" t="s">
        <v>1403</v>
      </c>
      <c r="AT294" s="6"/>
    </row>
    <row r="295" spans="2:46" x14ac:dyDescent="0.2">
      <c r="B295" s="4" t="s">
        <v>1689</v>
      </c>
      <c r="C295" s="4">
        <v>17.34</v>
      </c>
      <c r="D295" s="4">
        <v>17.223800000000001</v>
      </c>
      <c r="E295" s="4">
        <v>17.252800000000001</v>
      </c>
      <c r="F295" s="4">
        <f t="shared" si="16"/>
        <v>17.272200000000002</v>
      </c>
      <c r="I295" s="4" t="s">
        <v>1760</v>
      </c>
      <c r="J295" s="4">
        <v>17.451499999999999</v>
      </c>
      <c r="K295" s="4">
        <v>17.420400000000001</v>
      </c>
      <c r="L295" s="4">
        <v>17.1691</v>
      </c>
      <c r="M295" s="4">
        <f t="shared" si="17"/>
        <v>17.346999999999998</v>
      </c>
      <c r="P295" s="4" t="str">
        <f>"pyr-1"</f>
        <v>pyr-1</v>
      </c>
      <c r="Q295" s="4">
        <v>17.477633543346901</v>
      </c>
      <c r="R295" s="4">
        <v>17.211510170497601</v>
      </c>
      <c r="S295" s="4">
        <v>17.1417822648074</v>
      </c>
      <c r="T295" s="4">
        <f t="shared" si="18"/>
        <v>17.2769753262173</v>
      </c>
      <c r="W295" s="4" t="str">
        <f>"pdhk-2"</f>
        <v>pdhk-2</v>
      </c>
      <c r="X295" s="4">
        <v>17.321921307609301</v>
      </c>
      <c r="Y295" s="4">
        <v>17.335034477946898</v>
      </c>
      <c r="Z295" s="4">
        <v>17.2948673946666</v>
      </c>
      <c r="AA295" s="4">
        <f t="shared" si="19"/>
        <v>17.317274393407601</v>
      </c>
      <c r="AH295" s="28" t="s">
        <v>706</v>
      </c>
      <c r="AJ295" s="4" t="s">
        <v>3265</v>
      </c>
      <c r="AT295" s="6"/>
    </row>
    <row r="296" spans="2:46" x14ac:dyDescent="0.2">
      <c r="B296" s="4" t="s">
        <v>1368</v>
      </c>
      <c r="C296" s="4">
        <v>17.235299999999999</v>
      </c>
      <c r="D296" s="4">
        <v>17.386399999999998</v>
      </c>
      <c r="E296" s="4">
        <v>17.193000000000001</v>
      </c>
      <c r="F296" s="4">
        <f t="shared" si="16"/>
        <v>17.271566666666669</v>
      </c>
      <c r="I296" s="4" t="s">
        <v>2642</v>
      </c>
      <c r="J296" s="4">
        <v>17.609100000000002</v>
      </c>
      <c r="K296" s="4">
        <v>17.5947</v>
      </c>
      <c r="L296" s="4">
        <v>16.814499999999999</v>
      </c>
      <c r="M296" s="4">
        <f t="shared" si="17"/>
        <v>17.339433333333332</v>
      </c>
      <c r="P296" s="4" t="str">
        <f>"mca-3"</f>
        <v>mca-3</v>
      </c>
      <c r="Q296" s="4">
        <v>17.123350710328001</v>
      </c>
      <c r="R296" s="4">
        <v>17.259426310739599</v>
      </c>
      <c r="S296" s="4">
        <v>17.445633951309901</v>
      </c>
      <c r="T296" s="4">
        <f t="shared" si="18"/>
        <v>17.276136990792498</v>
      </c>
      <c r="W296" s="4" t="str">
        <f>"sucl-1"</f>
        <v>sucl-1</v>
      </c>
      <c r="X296" s="4">
        <v>17.060763989368802</v>
      </c>
      <c r="Y296" s="4">
        <v>17.3809707108799</v>
      </c>
      <c r="Z296" s="4">
        <v>17.502413772814599</v>
      </c>
      <c r="AA296" s="4">
        <f t="shared" si="19"/>
        <v>17.314716157687766</v>
      </c>
      <c r="AH296" s="28" t="s">
        <v>1114</v>
      </c>
      <c r="AJ296" s="4" t="s">
        <v>4591</v>
      </c>
      <c r="AT296" s="6"/>
    </row>
    <row r="297" spans="2:46" x14ac:dyDescent="0.2">
      <c r="B297" s="4" t="s">
        <v>3793</v>
      </c>
      <c r="C297" s="4">
        <v>17.0947</v>
      </c>
      <c r="D297" s="4">
        <v>17.006</v>
      </c>
      <c r="E297" s="4">
        <v>17.6922</v>
      </c>
      <c r="F297" s="4">
        <f t="shared" si="16"/>
        <v>17.264300000000002</v>
      </c>
      <c r="I297" s="4" t="s">
        <v>2187</v>
      </c>
      <c r="J297" s="4">
        <v>17.424600000000002</v>
      </c>
      <c r="K297" s="4">
        <v>17.1736</v>
      </c>
      <c r="L297" s="4">
        <v>17.4041</v>
      </c>
      <c r="M297" s="4">
        <f t="shared" si="17"/>
        <v>17.334100000000003</v>
      </c>
      <c r="P297" s="4" t="str">
        <f>"hach-1"</f>
        <v>hach-1</v>
      </c>
      <c r="Q297" s="4">
        <v>17.2628415079527</v>
      </c>
      <c r="R297" s="4">
        <v>17.1755920170812</v>
      </c>
      <c r="S297" s="4">
        <v>17.354963876185401</v>
      </c>
      <c r="T297" s="4">
        <f t="shared" si="18"/>
        <v>17.264465800406434</v>
      </c>
      <c r="W297" s="4" t="str">
        <f>"cct-2"</f>
        <v>cct-2</v>
      </c>
      <c r="X297" s="4">
        <v>17.284613657248499</v>
      </c>
      <c r="Y297" s="4">
        <v>17.550343440712599</v>
      </c>
      <c r="Z297" s="4">
        <v>17.098380179767702</v>
      </c>
      <c r="AA297" s="4">
        <f t="shared" si="19"/>
        <v>17.311112425909599</v>
      </c>
      <c r="AH297" s="28" t="s">
        <v>3871</v>
      </c>
      <c r="AJ297" s="4" t="s">
        <v>4506</v>
      </c>
      <c r="AT297" s="6"/>
    </row>
    <row r="298" spans="2:46" x14ac:dyDescent="0.2">
      <c r="B298" s="4" t="s">
        <v>781</v>
      </c>
      <c r="C298" s="4">
        <v>17.2166</v>
      </c>
      <c r="D298" s="4">
        <v>17.046600000000002</v>
      </c>
      <c r="E298" s="4">
        <v>17.501000000000001</v>
      </c>
      <c r="F298" s="4">
        <f t="shared" si="16"/>
        <v>17.254733333333334</v>
      </c>
      <c r="I298" s="4" t="s">
        <v>2126</v>
      </c>
      <c r="J298" s="4">
        <v>17.373000000000001</v>
      </c>
      <c r="K298" s="4">
        <v>17.064699999999998</v>
      </c>
      <c r="L298" s="4">
        <v>17.5304</v>
      </c>
      <c r="M298" s="4">
        <f t="shared" si="17"/>
        <v>17.322700000000001</v>
      </c>
      <c r="P298" s="4" t="str">
        <f>"ctsa-1.1"</f>
        <v>ctsa-1.1</v>
      </c>
      <c r="Q298" s="4">
        <v>17.1315273362566</v>
      </c>
      <c r="R298" s="4">
        <v>17.273798157971299</v>
      </c>
      <c r="S298" s="4">
        <v>17.383135451724499</v>
      </c>
      <c r="T298" s="4">
        <f t="shared" si="18"/>
        <v>17.262820315317466</v>
      </c>
      <c r="W298" s="4" t="str">
        <f>"rpl-30"</f>
        <v>rpl-30</v>
      </c>
      <c r="X298" s="4">
        <v>17.434324385835701</v>
      </c>
      <c r="Y298" s="4">
        <v>17.4448067020205</v>
      </c>
      <c r="Z298" s="4">
        <v>17.045248732192899</v>
      </c>
      <c r="AA298" s="4">
        <f t="shared" si="19"/>
        <v>17.308126606683032</v>
      </c>
      <c r="AH298" s="28" t="s">
        <v>4653</v>
      </c>
      <c r="AJ298" s="4" t="s">
        <v>186</v>
      </c>
      <c r="AT298" s="6"/>
    </row>
    <row r="299" spans="2:46" x14ac:dyDescent="0.2">
      <c r="B299" s="4" t="s">
        <v>2899</v>
      </c>
      <c r="C299" s="4">
        <v>17.565300000000001</v>
      </c>
      <c r="D299" s="4">
        <v>17.071899999999999</v>
      </c>
      <c r="E299" s="4">
        <v>17.109100000000002</v>
      </c>
      <c r="F299" s="4">
        <f t="shared" si="16"/>
        <v>17.248766666666668</v>
      </c>
      <c r="I299" s="4" t="s">
        <v>2914</v>
      </c>
      <c r="J299" s="4">
        <v>17.3384</v>
      </c>
      <c r="K299" s="4">
        <v>17.3156</v>
      </c>
      <c r="L299" s="4">
        <v>17.309699999999999</v>
      </c>
      <c r="M299" s="4">
        <f t="shared" si="17"/>
        <v>17.321233333333332</v>
      </c>
      <c r="P299" s="4" t="str">
        <f>"unc-116"</f>
        <v>unc-116</v>
      </c>
      <c r="Q299" s="4">
        <v>17.457778767691401</v>
      </c>
      <c r="R299" s="4">
        <v>17.150545195986599</v>
      </c>
      <c r="S299" s="4">
        <v>17.155196549840301</v>
      </c>
      <c r="T299" s="4">
        <f t="shared" si="18"/>
        <v>17.254506837839433</v>
      </c>
      <c r="W299" s="4" t="str">
        <f>"unc-18"</f>
        <v>unc-18</v>
      </c>
      <c r="X299" s="4">
        <v>17.1914200769593</v>
      </c>
      <c r="Y299" s="4">
        <v>17.4343920708999</v>
      </c>
      <c r="Z299" s="4">
        <v>17.287201448190999</v>
      </c>
      <c r="AA299" s="4">
        <f t="shared" si="19"/>
        <v>17.304337865350067</v>
      </c>
      <c r="AH299" s="28" t="s">
        <v>4676</v>
      </c>
      <c r="AJ299" s="4" t="s">
        <v>4564</v>
      </c>
      <c r="AT299" s="6"/>
    </row>
    <row r="300" spans="2:46" x14ac:dyDescent="0.2">
      <c r="B300" s="4" t="s">
        <v>1722</v>
      </c>
      <c r="C300" s="4">
        <v>17.146799999999999</v>
      </c>
      <c r="D300" s="4">
        <v>17.345700000000001</v>
      </c>
      <c r="E300" s="4">
        <v>17.2516</v>
      </c>
      <c r="F300" s="4">
        <f t="shared" si="16"/>
        <v>17.248033333333336</v>
      </c>
      <c r="I300" s="4" t="s">
        <v>3084</v>
      </c>
      <c r="J300" s="4">
        <v>17.426200000000001</v>
      </c>
      <c r="K300" s="4">
        <v>17.354199999999999</v>
      </c>
      <c r="L300" s="4">
        <v>17.1816</v>
      </c>
      <c r="M300" s="4">
        <f t="shared" si="17"/>
        <v>17.320666666666668</v>
      </c>
      <c r="P300" s="4" t="str">
        <f>"moma-1"</f>
        <v>moma-1</v>
      </c>
      <c r="Q300" s="4">
        <v>17.2637382699528</v>
      </c>
      <c r="R300" s="4">
        <v>17.146503175509601</v>
      </c>
      <c r="S300" s="4">
        <v>17.244436331901799</v>
      </c>
      <c r="T300" s="4">
        <f t="shared" si="18"/>
        <v>17.218225925788065</v>
      </c>
      <c r="W300" s="4" t="str">
        <f>"fusm-2"</f>
        <v>fusm-2</v>
      </c>
      <c r="X300" s="4">
        <v>17.088027012955902</v>
      </c>
      <c r="Y300" s="4">
        <v>17.2540268437929</v>
      </c>
      <c r="Z300" s="4">
        <v>17.5687144331905</v>
      </c>
      <c r="AA300" s="4">
        <f t="shared" si="19"/>
        <v>17.30358942997977</v>
      </c>
      <c r="AH300" s="28" t="s">
        <v>3137</v>
      </c>
      <c r="AJ300" s="4" t="s">
        <v>4484</v>
      </c>
      <c r="AT300" s="6"/>
    </row>
    <row r="301" spans="2:46" x14ac:dyDescent="0.2">
      <c r="B301" s="4" t="s">
        <v>713</v>
      </c>
      <c r="C301" s="4">
        <v>17.224</v>
      </c>
      <c r="D301" s="4">
        <v>17.4711</v>
      </c>
      <c r="E301" s="4">
        <v>17.021799999999999</v>
      </c>
      <c r="F301" s="4">
        <f t="shared" si="16"/>
        <v>17.238966666666666</v>
      </c>
      <c r="I301" s="4" t="s">
        <v>3184</v>
      </c>
      <c r="J301" s="4">
        <v>17.301400000000001</v>
      </c>
      <c r="K301" s="4">
        <v>17.217600000000001</v>
      </c>
      <c r="L301" s="4">
        <v>17.425899999999999</v>
      </c>
      <c r="M301" s="4">
        <f t="shared" si="17"/>
        <v>17.314966666666667</v>
      </c>
      <c r="P301" s="4" t="str">
        <f>"egl-45"</f>
        <v>egl-45</v>
      </c>
      <c r="Q301" s="4">
        <v>17.0277230724829</v>
      </c>
      <c r="R301" s="4">
        <v>17.392150659625401</v>
      </c>
      <c r="S301" s="4">
        <v>17.232737290735301</v>
      </c>
      <c r="T301" s="4">
        <f t="shared" si="18"/>
        <v>17.217537007614535</v>
      </c>
      <c r="W301" s="4" t="str">
        <f>"mlc-1"</f>
        <v>mlc-1</v>
      </c>
      <c r="X301" s="4">
        <v>17.544687570669002</v>
      </c>
      <c r="Y301" s="4">
        <v>17.248639450181699</v>
      </c>
      <c r="Z301" s="4">
        <v>17.116942094514101</v>
      </c>
      <c r="AA301" s="4">
        <f t="shared" si="19"/>
        <v>17.303423038454934</v>
      </c>
      <c r="AH301" s="28" t="s">
        <v>4668</v>
      </c>
      <c r="AJ301" s="4" t="s">
        <v>2439</v>
      </c>
    </row>
    <row r="302" spans="2:46" x14ac:dyDescent="0.2">
      <c r="B302" s="4" t="s">
        <v>2060</v>
      </c>
      <c r="C302" s="4">
        <v>17.232199999999999</v>
      </c>
      <c r="D302" s="4">
        <v>17.404800000000002</v>
      </c>
      <c r="E302" s="4">
        <v>17.071200000000001</v>
      </c>
      <c r="F302" s="4">
        <f t="shared" si="16"/>
        <v>17.23606666666667</v>
      </c>
      <c r="I302" s="4" t="s">
        <v>2851</v>
      </c>
      <c r="J302" s="4">
        <v>17.162099999999999</v>
      </c>
      <c r="K302" s="4">
        <v>17.402200000000001</v>
      </c>
      <c r="L302" s="4">
        <v>17.380400000000002</v>
      </c>
      <c r="M302" s="4">
        <f t="shared" si="17"/>
        <v>17.314900000000002</v>
      </c>
      <c r="P302" s="4" t="str">
        <f>"rpl-30"</f>
        <v>rpl-30</v>
      </c>
      <c r="Q302" s="4">
        <v>16.909429886216198</v>
      </c>
      <c r="R302" s="4">
        <v>17.166753253058001</v>
      </c>
      <c r="S302" s="4">
        <v>17.5742628551357</v>
      </c>
      <c r="T302" s="4">
        <f t="shared" si="18"/>
        <v>17.216815331469967</v>
      </c>
      <c r="W302" s="4" t="str">
        <f>"nra-2"</f>
        <v>nra-2</v>
      </c>
      <c r="X302" s="4">
        <v>17.408105287675301</v>
      </c>
      <c r="Y302" s="4">
        <v>17.2124448536572</v>
      </c>
      <c r="Z302" s="4">
        <v>17.252288645325599</v>
      </c>
      <c r="AA302" s="4">
        <f t="shared" si="19"/>
        <v>17.290946262219368</v>
      </c>
      <c r="AH302" s="28" t="s">
        <v>327</v>
      </c>
      <c r="AJ302" s="4" t="s">
        <v>357</v>
      </c>
      <c r="AT302" s="6"/>
    </row>
    <row r="303" spans="2:46" x14ac:dyDescent="0.2">
      <c r="B303" s="4" t="s">
        <v>3084</v>
      </c>
      <c r="C303" s="4">
        <v>17.2379</v>
      </c>
      <c r="D303" s="4">
        <v>17.287600000000001</v>
      </c>
      <c r="E303" s="4">
        <v>17.177800000000001</v>
      </c>
      <c r="F303" s="4">
        <f t="shared" si="16"/>
        <v>17.234433333333332</v>
      </c>
      <c r="I303" s="4" t="s">
        <v>979</v>
      </c>
      <c r="J303" s="4">
        <v>17.294</v>
      </c>
      <c r="K303" s="4">
        <v>17.203700000000001</v>
      </c>
      <c r="L303" s="4">
        <v>17.4389</v>
      </c>
      <c r="M303" s="4">
        <f t="shared" si="17"/>
        <v>17.312200000000001</v>
      </c>
      <c r="P303" s="4" t="str">
        <f>"F14D2.11"</f>
        <v>F14D2.11</v>
      </c>
      <c r="Q303" s="4">
        <v>17.242011039841898</v>
      </c>
      <c r="R303" s="4">
        <v>17.333437057682701</v>
      </c>
      <c r="S303" s="4">
        <v>17.066594015603702</v>
      </c>
      <c r="T303" s="4">
        <f t="shared" si="18"/>
        <v>17.214014037709433</v>
      </c>
      <c r="W303" s="4" t="str">
        <f>"sars-1"</f>
        <v>sars-1</v>
      </c>
      <c r="X303" s="4">
        <v>17.530823294789901</v>
      </c>
      <c r="Y303" s="4">
        <v>17.3712635026742</v>
      </c>
      <c r="Z303" s="4">
        <v>16.9665077475962</v>
      </c>
      <c r="AA303" s="4">
        <f t="shared" si="19"/>
        <v>17.289531515020101</v>
      </c>
      <c r="AH303" s="28" t="s">
        <v>714</v>
      </c>
      <c r="AJ303" s="4" t="s">
        <v>2819</v>
      </c>
      <c r="AK303" s="28"/>
      <c r="AT303" s="6"/>
    </row>
    <row r="304" spans="2:46" x14ac:dyDescent="0.2">
      <c r="B304" s="4" t="s">
        <v>42</v>
      </c>
      <c r="C304" s="4">
        <v>17.508600000000001</v>
      </c>
      <c r="D304" s="4">
        <v>16.612100000000002</v>
      </c>
      <c r="E304" s="4">
        <v>17.573499999999999</v>
      </c>
      <c r="F304" s="4">
        <f t="shared" si="16"/>
        <v>17.231399999999997</v>
      </c>
      <c r="I304" s="4" t="s">
        <v>2160</v>
      </c>
      <c r="J304" s="4">
        <v>17.3477</v>
      </c>
      <c r="K304" s="4">
        <v>17.3794</v>
      </c>
      <c r="L304" s="4">
        <v>17.204899999999999</v>
      </c>
      <c r="M304" s="4">
        <f t="shared" si="17"/>
        <v>17.310666666666666</v>
      </c>
      <c r="P304" s="4" t="str">
        <f>"wars-1"</f>
        <v>wars-1</v>
      </c>
      <c r="Q304" s="4">
        <v>17.474379414533001</v>
      </c>
      <c r="R304" s="4">
        <v>17.0886389357923</v>
      </c>
      <c r="S304" s="4">
        <v>17.064399589738201</v>
      </c>
      <c r="T304" s="4">
        <f t="shared" si="18"/>
        <v>17.209139313354502</v>
      </c>
      <c r="W304" s="4" t="str">
        <f>"hach-1"</f>
        <v>hach-1</v>
      </c>
      <c r="X304" s="4">
        <v>17.3004842716641</v>
      </c>
      <c r="Y304" s="4">
        <v>17.225676754843299</v>
      </c>
      <c r="Z304" s="4">
        <v>17.3112707197667</v>
      </c>
      <c r="AA304" s="4">
        <f t="shared" si="19"/>
        <v>17.279143915424697</v>
      </c>
      <c r="AH304" s="28" t="s">
        <v>2753</v>
      </c>
      <c r="AJ304" s="4" t="s">
        <v>2733</v>
      </c>
      <c r="AT304" s="6"/>
    </row>
    <row r="305" spans="2:46" x14ac:dyDescent="0.2">
      <c r="B305" s="4" t="s">
        <v>3956</v>
      </c>
      <c r="C305" s="4">
        <v>17.1296</v>
      </c>
      <c r="D305" s="4">
        <v>16.602699999999999</v>
      </c>
      <c r="E305" s="4">
        <v>17.921399999999998</v>
      </c>
      <c r="F305" s="4">
        <f t="shared" si="16"/>
        <v>17.217899999999997</v>
      </c>
      <c r="I305" s="4" t="s">
        <v>2255</v>
      </c>
      <c r="J305" s="4">
        <v>15.978</v>
      </c>
      <c r="K305" s="4">
        <v>17.240500000000001</v>
      </c>
      <c r="L305" s="4">
        <v>18.6691</v>
      </c>
      <c r="M305" s="4">
        <f t="shared" si="17"/>
        <v>17.295866666666665</v>
      </c>
      <c r="P305" s="4" t="str">
        <f>"rpt-4"</f>
        <v>rpt-4</v>
      </c>
      <c r="Q305" s="4">
        <v>17.361305386409899</v>
      </c>
      <c r="R305" s="4">
        <v>17.133883298650002</v>
      </c>
      <c r="S305" s="4">
        <v>17.100029529296201</v>
      </c>
      <c r="T305" s="4">
        <f t="shared" si="18"/>
        <v>17.198406071452034</v>
      </c>
      <c r="W305" s="4" t="str">
        <f>"let-767"</f>
        <v>let-767</v>
      </c>
      <c r="X305" s="4">
        <v>17.333138117838001</v>
      </c>
      <c r="Y305" s="4">
        <v>17.230421459396499</v>
      </c>
      <c r="Z305" s="4">
        <v>17.2420226863109</v>
      </c>
      <c r="AA305" s="4">
        <f t="shared" si="19"/>
        <v>17.268527421181801</v>
      </c>
      <c r="AH305" s="28" t="s">
        <v>4823</v>
      </c>
      <c r="AJ305" s="4" t="s">
        <v>3914</v>
      </c>
      <c r="AT305" s="6"/>
    </row>
    <row r="306" spans="2:46" x14ac:dyDescent="0.2">
      <c r="B306" s="4" t="s">
        <v>3785</v>
      </c>
      <c r="C306" s="4">
        <v>17.342700000000001</v>
      </c>
      <c r="D306" s="4">
        <v>17.244599999999998</v>
      </c>
      <c r="E306" s="4">
        <v>17.0532</v>
      </c>
      <c r="F306" s="4">
        <f t="shared" si="16"/>
        <v>17.2135</v>
      </c>
      <c r="I306" s="4" t="s">
        <v>1244</v>
      </c>
      <c r="J306" s="4">
        <v>17.305</v>
      </c>
      <c r="K306" s="4">
        <v>17.605599999999999</v>
      </c>
      <c r="L306" s="4">
        <v>16.970199999999998</v>
      </c>
      <c r="M306" s="4">
        <f t="shared" si="17"/>
        <v>17.293600000000001</v>
      </c>
      <c r="P306" s="4" t="str">
        <f>"lars-1"</f>
        <v>lars-1</v>
      </c>
      <c r="Q306" s="4">
        <v>17.096050900559199</v>
      </c>
      <c r="R306" s="4">
        <v>17.2584916167886</v>
      </c>
      <c r="S306" s="4">
        <v>17.229864016191101</v>
      </c>
      <c r="T306" s="4">
        <f t="shared" si="18"/>
        <v>17.194802177846299</v>
      </c>
      <c r="W306" s="4" t="str">
        <f>"vha-13"</f>
        <v>vha-13</v>
      </c>
      <c r="X306" s="4">
        <v>17.247325923038201</v>
      </c>
      <c r="Y306" s="4">
        <v>17.2888900676069</v>
      </c>
      <c r="Z306" s="4">
        <v>17.208831307271801</v>
      </c>
      <c r="AA306" s="4">
        <f t="shared" si="19"/>
        <v>17.248349099305635</v>
      </c>
      <c r="AH306" s="28" t="s">
        <v>1453</v>
      </c>
      <c r="AJ306" s="4" t="s">
        <v>3566</v>
      </c>
      <c r="AT306" s="6"/>
    </row>
    <row r="307" spans="2:46" x14ac:dyDescent="0.2">
      <c r="B307" s="4" t="s">
        <v>3342</v>
      </c>
      <c r="C307" s="4">
        <v>17.421099999999999</v>
      </c>
      <c r="D307" s="4">
        <v>17.312100000000001</v>
      </c>
      <c r="E307" s="4">
        <v>16.905999999999999</v>
      </c>
      <c r="F307" s="4">
        <f t="shared" si="16"/>
        <v>17.213066666666666</v>
      </c>
      <c r="I307" s="4" t="s">
        <v>3793</v>
      </c>
      <c r="J307" s="4">
        <v>17.398800000000001</v>
      </c>
      <c r="K307" s="4">
        <v>17.090800000000002</v>
      </c>
      <c r="L307" s="4">
        <v>17.373699999999999</v>
      </c>
      <c r="M307" s="4">
        <f t="shared" si="17"/>
        <v>17.287766666666666</v>
      </c>
      <c r="P307" s="4" t="str">
        <f>"dhc-1"</f>
        <v>dhc-1</v>
      </c>
      <c r="Q307" s="4">
        <v>17.134672861088401</v>
      </c>
      <c r="R307" s="4">
        <v>17.249886697679301</v>
      </c>
      <c r="S307" s="4">
        <v>17.1996024242912</v>
      </c>
      <c r="T307" s="4">
        <f t="shared" si="18"/>
        <v>17.194720661019634</v>
      </c>
      <c r="W307" s="4" t="str">
        <f>"pyk-1"</f>
        <v>pyk-1</v>
      </c>
      <c r="X307" s="4">
        <v>17.042529114692499</v>
      </c>
      <c r="Y307" s="4">
        <v>17.401126141245001</v>
      </c>
      <c r="Z307" s="4">
        <v>17.294194538627</v>
      </c>
      <c r="AA307" s="4">
        <f t="shared" si="19"/>
        <v>17.245949931521498</v>
      </c>
      <c r="AH307" s="28" t="s">
        <v>3422</v>
      </c>
      <c r="AJ307" s="4" t="s">
        <v>4325</v>
      </c>
      <c r="AT307" s="6"/>
    </row>
    <row r="308" spans="2:46" x14ac:dyDescent="0.2">
      <c r="B308" s="4" t="s">
        <v>3508</v>
      </c>
      <c r="C308" s="4">
        <v>17.291799999999999</v>
      </c>
      <c r="D308" s="4">
        <v>17.181699999999999</v>
      </c>
      <c r="E308" s="4">
        <v>17.1646</v>
      </c>
      <c r="F308" s="4">
        <f t="shared" si="16"/>
        <v>17.212700000000002</v>
      </c>
      <c r="I308" s="4" t="s">
        <v>3633</v>
      </c>
      <c r="J308" s="4">
        <v>17.2637</v>
      </c>
      <c r="K308" s="4">
        <v>17.345600000000001</v>
      </c>
      <c r="L308" s="4">
        <v>17.2515</v>
      </c>
      <c r="M308" s="4">
        <f t="shared" si="17"/>
        <v>17.286933333333334</v>
      </c>
      <c r="P308" s="4" t="str">
        <f>"acdh-13"</f>
        <v>acdh-13</v>
      </c>
      <c r="Q308" s="4">
        <v>17.475079488300899</v>
      </c>
      <c r="R308" s="4">
        <v>17.0371638374451</v>
      </c>
      <c r="S308" s="4">
        <v>17.057180850878598</v>
      </c>
      <c r="T308" s="4">
        <f t="shared" si="18"/>
        <v>17.189808058874863</v>
      </c>
      <c r="W308" s="4" t="str">
        <f>"myo-1"</f>
        <v>myo-1</v>
      </c>
      <c r="X308" s="4">
        <v>16.931897978007601</v>
      </c>
      <c r="Y308" s="4">
        <v>17.172006375245399</v>
      </c>
      <c r="Z308" s="4">
        <v>17.631275257575201</v>
      </c>
      <c r="AA308" s="4">
        <f t="shared" si="19"/>
        <v>17.245059870276066</v>
      </c>
      <c r="AH308" s="28" t="s">
        <v>4800</v>
      </c>
      <c r="AJ308" s="4" t="s">
        <v>1583</v>
      </c>
      <c r="AT308" s="6"/>
    </row>
    <row r="309" spans="2:46" x14ac:dyDescent="0.2">
      <c r="B309" s="4" t="s">
        <v>2787</v>
      </c>
      <c r="C309" s="4">
        <v>16.896100000000001</v>
      </c>
      <c r="D309" s="4">
        <v>17.3995</v>
      </c>
      <c r="E309" s="4">
        <v>17.271999999999998</v>
      </c>
      <c r="F309" s="4">
        <f t="shared" si="16"/>
        <v>17.1892</v>
      </c>
      <c r="I309" s="4" t="s">
        <v>2863</v>
      </c>
      <c r="J309" s="4">
        <v>17.158899999999999</v>
      </c>
      <c r="K309" s="4">
        <v>17.138500000000001</v>
      </c>
      <c r="L309" s="4">
        <v>17.553699999999999</v>
      </c>
      <c r="M309" s="4">
        <f t="shared" si="17"/>
        <v>17.2837</v>
      </c>
      <c r="P309" s="4" t="str">
        <f>"aass-1"</f>
        <v>aass-1</v>
      </c>
      <c r="Q309" s="4">
        <v>17.511350360810201</v>
      </c>
      <c r="R309" s="4">
        <v>17.022532172882201</v>
      </c>
      <c r="S309" s="4">
        <v>17.012135833694199</v>
      </c>
      <c r="T309" s="4">
        <f t="shared" si="18"/>
        <v>17.182006122462202</v>
      </c>
      <c r="W309" s="4" t="str">
        <f>"gdh-1"</f>
        <v>gdh-1</v>
      </c>
      <c r="X309" s="4">
        <v>16.869326307042702</v>
      </c>
      <c r="Y309" s="4">
        <v>17.2592627343986</v>
      </c>
      <c r="Z309" s="4">
        <v>17.605285132081899</v>
      </c>
      <c r="AA309" s="4">
        <f t="shared" si="19"/>
        <v>17.244624724507734</v>
      </c>
      <c r="AH309" s="28" t="s">
        <v>2260</v>
      </c>
      <c r="AJ309" s="4" t="s">
        <v>4538</v>
      </c>
      <c r="AT309" s="6"/>
    </row>
    <row r="310" spans="2:46" x14ac:dyDescent="0.2">
      <c r="B310" s="4" t="s">
        <v>305</v>
      </c>
      <c r="C310" s="4">
        <v>16.876899999999999</v>
      </c>
      <c r="D310" s="4">
        <v>17.390699999999999</v>
      </c>
      <c r="E310" s="4">
        <v>17.287199999999999</v>
      </c>
      <c r="F310" s="4">
        <f t="shared" si="16"/>
        <v>17.184933333333333</v>
      </c>
      <c r="I310" s="4" t="s">
        <v>3750</v>
      </c>
      <c r="J310" s="4">
        <v>17.175799999999999</v>
      </c>
      <c r="K310" s="4">
        <v>17.360499999999998</v>
      </c>
      <c r="L310" s="4">
        <v>17.3109</v>
      </c>
      <c r="M310" s="4">
        <f t="shared" si="17"/>
        <v>17.282399999999999</v>
      </c>
      <c r="P310" s="4" t="str">
        <f>"rpl-1"</f>
        <v>rpl-1</v>
      </c>
      <c r="Q310" s="4">
        <v>17.4113272249927</v>
      </c>
      <c r="R310" s="4">
        <v>16.965185892997901</v>
      </c>
      <c r="S310" s="4">
        <v>17.1658379382317</v>
      </c>
      <c r="T310" s="4">
        <f t="shared" si="18"/>
        <v>17.180783685407434</v>
      </c>
      <c r="W310" s="4" t="str">
        <f>"dlat-1"</f>
        <v>dlat-1</v>
      </c>
      <c r="X310" s="4">
        <v>17.1093949215661</v>
      </c>
      <c r="Y310" s="4">
        <v>17.3184025322693</v>
      </c>
      <c r="Z310" s="4">
        <v>17.2879298407749</v>
      </c>
      <c r="AA310" s="4">
        <f t="shared" si="19"/>
        <v>17.238575764870099</v>
      </c>
      <c r="AH310" s="28" t="s">
        <v>4702</v>
      </c>
      <c r="AJ310" s="4" t="s">
        <v>2897</v>
      </c>
      <c r="AT310" s="6"/>
    </row>
    <row r="311" spans="2:46" x14ac:dyDescent="0.2">
      <c r="B311" s="4" t="s">
        <v>3400</v>
      </c>
      <c r="C311" s="4">
        <v>17.275099999999998</v>
      </c>
      <c r="D311" s="4">
        <v>16.991099999999999</v>
      </c>
      <c r="E311" s="4">
        <v>17.274799999999999</v>
      </c>
      <c r="F311" s="4">
        <f t="shared" si="16"/>
        <v>17.180333333333333</v>
      </c>
      <c r="I311" s="4" t="s">
        <v>1517</v>
      </c>
      <c r="J311" s="4">
        <v>16.292300000000001</v>
      </c>
      <c r="K311" s="4">
        <v>16.980699999999999</v>
      </c>
      <c r="L311" s="4">
        <v>18.573699999999999</v>
      </c>
      <c r="M311" s="4">
        <f t="shared" si="17"/>
        <v>17.282233333333334</v>
      </c>
      <c r="P311" s="4" t="str">
        <f>"vha-12"</f>
        <v>vha-12</v>
      </c>
      <c r="Q311" s="4">
        <v>17.1245775848131</v>
      </c>
      <c r="R311" s="4">
        <v>17.136663182426101</v>
      </c>
      <c r="S311" s="4">
        <v>17.265647874599001</v>
      </c>
      <c r="T311" s="4">
        <f t="shared" si="18"/>
        <v>17.175629547279399</v>
      </c>
      <c r="W311" s="4" t="str">
        <f>"ucr-2.3"</f>
        <v>ucr-2.3</v>
      </c>
      <c r="X311" s="4">
        <v>17.527094116713901</v>
      </c>
      <c r="Y311" s="4">
        <v>17.204281897400399</v>
      </c>
      <c r="Z311" s="4">
        <v>16.956386219669401</v>
      </c>
      <c r="AA311" s="4">
        <f t="shared" si="19"/>
        <v>17.229254077927902</v>
      </c>
      <c r="AH311" s="28" t="s">
        <v>3122</v>
      </c>
      <c r="AJ311" s="4" t="s">
        <v>2154</v>
      </c>
    </row>
    <row r="312" spans="2:46" x14ac:dyDescent="0.2">
      <c r="B312" s="4" t="s">
        <v>785</v>
      </c>
      <c r="C312" s="4">
        <v>16.7516</v>
      </c>
      <c r="D312" s="4">
        <v>17.672799999999999</v>
      </c>
      <c r="E312" s="4">
        <v>17.111599999999999</v>
      </c>
      <c r="F312" s="4">
        <f t="shared" si="16"/>
        <v>17.178666666666668</v>
      </c>
      <c r="I312" s="4" t="s">
        <v>370</v>
      </c>
      <c r="J312" s="4">
        <v>16.5657</v>
      </c>
      <c r="K312" s="4">
        <v>16.7544</v>
      </c>
      <c r="L312" s="4">
        <v>18.5229</v>
      </c>
      <c r="M312" s="4">
        <f t="shared" si="17"/>
        <v>17.280999999999999</v>
      </c>
      <c r="P312" s="4" t="str">
        <f>"C53C9.2"</f>
        <v>C53C9.2</v>
      </c>
      <c r="Q312" s="4">
        <v>17.471257894550799</v>
      </c>
      <c r="R312" s="4">
        <v>16.861736138800801</v>
      </c>
      <c r="S312" s="4">
        <v>17.1851905209476</v>
      </c>
      <c r="T312" s="4">
        <f t="shared" si="18"/>
        <v>17.172728184766399</v>
      </c>
      <c r="W312" s="4" t="str">
        <f>"ucr-2.1"</f>
        <v>ucr-2.1</v>
      </c>
      <c r="X312" s="4">
        <v>17.615478912258599</v>
      </c>
      <c r="Y312" s="4">
        <v>17.050520052641598</v>
      </c>
      <c r="Z312" s="4">
        <v>17.0099993649333</v>
      </c>
      <c r="AA312" s="4">
        <f t="shared" si="19"/>
        <v>17.225332776611165</v>
      </c>
      <c r="AH312" s="28" t="s">
        <v>2011</v>
      </c>
      <c r="AJ312" s="4" t="s">
        <v>1521</v>
      </c>
    </row>
    <row r="313" spans="2:46" x14ac:dyDescent="0.2">
      <c r="B313" s="4" t="s">
        <v>1771</v>
      </c>
      <c r="C313" s="4">
        <v>17.290600000000001</v>
      </c>
      <c r="D313" s="4">
        <v>17.1356</v>
      </c>
      <c r="E313" s="4">
        <v>17.081700000000001</v>
      </c>
      <c r="F313" s="4">
        <f t="shared" si="16"/>
        <v>17.169300000000003</v>
      </c>
      <c r="I313" s="4" t="s">
        <v>1654</v>
      </c>
      <c r="J313" s="4">
        <v>17.720700000000001</v>
      </c>
      <c r="K313" s="4">
        <v>17.2028</v>
      </c>
      <c r="L313" s="4">
        <v>16.878399999999999</v>
      </c>
      <c r="M313" s="4">
        <f t="shared" si="17"/>
        <v>17.267300000000002</v>
      </c>
      <c r="P313" s="4" t="str">
        <f>"fusm-2"</f>
        <v>fusm-2</v>
      </c>
      <c r="Q313" s="4">
        <v>17.531135009768299</v>
      </c>
      <c r="R313" s="4">
        <v>16.856625953470701</v>
      </c>
      <c r="S313" s="4">
        <v>17.0940231113231</v>
      </c>
      <c r="T313" s="4">
        <f t="shared" si="18"/>
        <v>17.1605946915207</v>
      </c>
      <c r="W313" s="4" t="str">
        <f>"T25B9.9"</f>
        <v>T25B9.9</v>
      </c>
      <c r="X313" s="4">
        <v>17.019485433084299</v>
      </c>
      <c r="Y313" s="4">
        <v>17.3912513200559</v>
      </c>
      <c r="Z313" s="4">
        <v>17.262075402483902</v>
      </c>
      <c r="AA313" s="4">
        <f t="shared" si="19"/>
        <v>17.224270718541366</v>
      </c>
      <c r="AH313" s="28" t="s">
        <v>4789</v>
      </c>
      <c r="AJ313" s="4" t="s">
        <v>4485</v>
      </c>
    </row>
    <row r="314" spans="2:46" x14ac:dyDescent="0.2">
      <c r="B314" s="4" t="s">
        <v>1213</v>
      </c>
      <c r="C314" s="4">
        <v>17.174700000000001</v>
      </c>
      <c r="D314" s="4">
        <v>17.325900000000001</v>
      </c>
      <c r="E314" s="4">
        <v>16.991800000000001</v>
      </c>
      <c r="F314" s="4">
        <f t="shared" si="16"/>
        <v>17.164133333333336</v>
      </c>
      <c r="I314" s="4" t="s">
        <v>3070</v>
      </c>
      <c r="J314" s="4">
        <v>17.121400000000001</v>
      </c>
      <c r="K314" s="4">
        <v>17.575099999999999</v>
      </c>
      <c r="L314" s="4">
        <v>17.084399999999999</v>
      </c>
      <c r="M314" s="4">
        <f t="shared" si="17"/>
        <v>17.260300000000001</v>
      </c>
      <c r="P314" s="4" t="str">
        <f>"eif-2gamma"</f>
        <v>eif-2gamma</v>
      </c>
      <c r="Q314" s="4">
        <v>17.2490078903324</v>
      </c>
      <c r="R314" s="4">
        <v>17.144131440802699</v>
      </c>
      <c r="S314" s="4">
        <v>17.087209716653099</v>
      </c>
      <c r="T314" s="4">
        <f t="shared" si="18"/>
        <v>17.160116349262733</v>
      </c>
      <c r="W314" s="4" t="str">
        <f>"unc-60"</f>
        <v>unc-60</v>
      </c>
      <c r="X314" s="4">
        <v>17.441315859494299</v>
      </c>
      <c r="Y314" s="4">
        <v>17.2253581030661</v>
      </c>
      <c r="Z314" s="4">
        <v>16.980271236099899</v>
      </c>
      <c r="AA314" s="4">
        <f t="shared" si="19"/>
        <v>17.21564839955343</v>
      </c>
      <c r="AH314" s="28" t="s">
        <v>2432</v>
      </c>
      <c r="AJ314" s="4" t="s">
        <v>1252</v>
      </c>
    </row>
    <row r="315" spans="2:46" x14ac:dyDescent="0.2">
      <c r="B315" s="4" t="s">
        <v>128</v>
      </c>
      <c r="C315" s="4">
        <v>16.992899999999999</v>
      </c>
      <c r="D315" s="4">
        <v>17.594999999999999</v>
      </c>
      <c r="E315" s="4">
        <v>16.898800000000001</v>
      </c>
      <c r="F315" s="4">
        <f t="shared" si="16"/>
        <v>17.162233333333333</v>
      </c>
      <c r="I315" s="4" t="s">
        <v>4059</v>
      </c>
      <c r="J315" s="4">
        <v>17.032800000000002</v>
      </c>
      <c r="K315" s="4">
        <v>17.5763</v>
      </c>
      <c r="L315" s="4">
        <v>17.140699999999999</v>
      </c>
      <c r="M315" s="4">
        <f t="shared" si="17"/>
        <v>17.249933333333331</v>
      </c>
      <c r="P315" s="4" t="str">
        <f>"sip-1"</f>
        <v>sip-1</v>
      </c>
      <c r="Q315" s="4">
        <v>16.788730168923301</v>
      </c>
      <c r="R315" s="4">
        <v>17.055683576913601</v>
      </c>
      <c r="S315" s="4">
        <v>17.631681007706899</v>
      </c>
      <c r="T315" s="4">
        <f t="shared" si="18"/>
        <v>17.158698251181267</v>
      </c>
      <c r="W315" s="4" t="str">
        <f>"mca-3"</f>
        <v>mca-3</v>
      </c>
      <c r="X315" s="4">
        <v>17.2149250059087</v>
      </c>
      <c r="Y315" s="4">
        <v>17.200626622871599</v>
      </c>
      <c r="Z315" s="4">
        <v>17.1866776830432</v>
      </c>
      <c r="AA315" s="4">
        <f t="shared" si="19"/>
        <v>17.200743103941168</v>
      </c>
      <c r="AH315" s="28" t="s">
        <v>341</v>
      </c>
      <c r="AJ315" s="4" t="s">
        <v>1886</v>
      </c>
    </row>
    <row r="316" spans="2:46" x14ac:dyDescent="0.2">
      <c r="B316" s="4" t="s">
        <v>2160</v>
      </c>
      <c r="C316" s="4">
        <v>17.1083</v>
      </c>
      <c r="D316" s="4">
        <v>17.249300000000002</v>
      </c>
      <c r="E316" s="4">
        <v>17.109100000000002</v>
      </c>
      <c r="F316" s="4">
        <f t="shared" si="16"/>
        <v>17.155566666666669</v>
      </c>
      <c r="I316" s="4" t="s">
        <v>2425</v>
      </c>
      <c r="J316" s="4">
        <v>17.036100000000001</v>
      </c>
      <c r="K316" s="4">
        <v>16.96</v>
      </c>
      <c r="L316" s="4">
        <v>17.731400000000001</v>
      </c>
      <c r="M316" s="4">
        <f t="shared" si="17"/>
        <v>17.2425</v>
      </c>
      <c r="P316" s="4" t="str">
        <f>"ZK1058.9"</f>
        <v>ZK1058.9</v>
      </c>
      <c r="Q316" s="4">
        <v>17.273627275535599</v>
      </c>
      <c r="R316" s="4">
        <v>17.013984660166301</v>
      </c>
      <c r="S316" s="4">
        <v>17.153762425315001</v>
      </c>
      <c r="T316" s="4">
        <f t="shared" si="18"/>
        <v>17.147124787005634</v>
      </c>
      <c r="W316" s="4" t="str">
        <f>"haf-4"</f>
        <v>haf-4</v>
      </c>
      <c r="X316" s="4">
        <v>16.9779965699298</v>
      </c>
      <c r="Y316" s="4">
        <v>17.261285541076798</v>
      </c>
      <c r="Z316" s="4">
        <v>17.347590253845201</v>
      </c>
      <c r="AA316" s="4">
        <f t="shared" si="19"/>
        <v>17.195624121617268</v>
      </c>
      <c r="AH316" s="28" t="s">
        <v>3735</v>
      </c>
      <c r="AJ316" s="4" t="s">
        <v>4210</v>
      </c>
    </row>
    <row r="317" spans="2:46" x14ac:dyDescent="0.2">
      <c r="B317" s="4" t="s">
        <v>2642</v>
      </c>
      <c r="C317" s="4">
        <v>17.153099999999998</v>
      </c>
      <c r="D317" s="4">
        <v>16.8978</v>
      </c>
      <c r="E317" s="4">
        <v>17.4056</v>
      </c>
      <c r="F317" s="4">
        <f t="shared" si="16"/>
        <v>17.152166666666666</v>
      </c>
      <c r="I317" s="4" t="s">
        <v>3131</v>
      </c>
      <c r="J317" s="4">
        <v>16.8827</v>
      </c>
      <c r="K317" s="4">
        <v>17.2148</v>
      </c>
      <c r="L317" s="4">
        <v>17.6157</v>
      </c>
      <c r="M317" s="4">
        <f t="shared" si="17"/>
        <v>17.237733333333335</v>
      </c>
      <c r="P317" s="4" t="str">
        <f>"ppgn-1"</f>
        <v>ppgn-1</v>
      </c>
      <c r="Q317" s="4">
        <v>17.495015485404402</v>
      </c>
      <c r="R317" s="4">
        <v>16.8703964688128</v>
      </c>
      <c r="S317" s="4">
        <v>17.063484905542399</v>
      </c>
      <c r="T317" s="4">
        <f t="shared" si="18"/>
        <v>17.142965619919867</v>
      </c>
      <c r="W317" s="4" t="str">
        <f>"vps-35"</f>
        <v>vps-35</v>
      </c>
      <c r="X317" s="4">
        <v>17.663328084347501</v>
      </c>
      <c r="Y317" s="4">
        <v>16.991933750292301</v>
      </c>
      <c r="Z317" s="4">
        <v>16.930485992121401</v>
      </c>
      <c r="AA317" s="4">
        <f t="shared" si="19"/>
        <v>17.19524927558707</v>
      </c>
      <c r="AH317" s="28" t="s">
        <v>4639</v>
      </c>
      <c r="AJ317" s="4" t="s">
        <v>4141</v>
      </c>
    </row>
    <row r="318" spans="2:46" x14ac:dyDescent="0.2">
      <c r="B318" s="4" t="s">
        <v>2863</v>
      </c>
      <c r="C318" s="4">
        <v>17.232700000000001</v>
      </c>
      <c r="D318" s="4">
        <v>17.0959</v>
      </c>
      <c r="E318" s="4">
        <v>17.120799999999999</v>
      </c>
      <c r="F318" s="4">
        <f t="shared" si="16"/>
        <v>17.149799999999999</v>
      </c>
      <c r="I318" s="4" t="s">
        <v>3848</v>
      </c>
      <c r="J318" s="4">
        <v>17.447399999999998</v>
      </c>
      <c r="K318" s="4">
        <v>17.144400000000001</v>
      </c>
      <c r="L318" s="4">
        <v>17.112100000000002</v>
      </c>
      <c r="M318" s="4">
        <f t="shared" si="17"/>
        <v>17.234633333333335</v>
      </c>
      <c r="P318" s="4" t="str">
        <f>"msp-79"</f>
        <v>msp-79</v>
      </c>
      <c r="Q318" s="4">
        <v>16.950796000041699</v>
      </c>
      <c r="R318" s="4">
        <v>17.079600317639098</v>
      </c>
      <c r="S318" s="4">
        <v>17.3490353822624</v>
      </c>
      <c r="T318" s="4">
        <f t="shared" si="18"/>
        <v>17.1264772333144</v>
      </c>
      <c r="W318" s="4" t="str">
        <f>"goa-1"</f>
        <v>goa-1</v>
      </c>
      <c r="X318" s="4">
        <v>17.205836171093999</v>
      </c>
      <c r="Y318" s="4">
        <v>16.962879755508599</v>
      </c>
      <c r="Z318" s="4">
        <v>17.411228392549798</v>
      </c>
      <c r="AA318" s="4">
        <f t="shared" si="19"/>
        <v>17.193314773050801</v>
      </c>
      <c r="AH318" s="28" t="s">
        <v>4667</v>
      </c>
      <c r="AJ318" s="4" t="s">
        <v>2085</v>
      </c>
    </row>
    <row r="319" spans="2:46" x14ac:dyDescent="0.2">
      <c r="B319" s="4" t="s">
        <v>4011</v>
      </c>
      <c r="C319" s="4">
        <v>16.903099999999998</v>
      </c>
      <c r="D319" s="4">
        <v>17.236699999999999</v>
      </c>
      <c r="E319" s="4">
        <v>17.304500000000001</v>
      </c>
      <c r="F319" s="4">
        <f t="shared" si="16"/>
        <v>17.148099999999999</v>
      </c>
      <c r="I319" s="4" t="s">
        <v>2698</v>
      </c>
      <c r="J319" s="4">
        <v>17.432600000000001</v>
      </c>
      <c r="K319" s="4">
        <v>17.275099999999998</v>
      </c>
      <c r="L319" s="4">
        <v>16.9803</v>
      </c>
      <c r="M319" s="4">
        <f t="shared" si="17"/>
        <v>17.229333333333333</v>
      </c>
      <c r="P319" s="4" t="str">
        <f>"paa-1"</f>
        <v>paa-1</v>
      </c>
      <c r="Q319" s="4">
        <v>17.244944711346299</v>
      </c>
      <c r="R319" s="4">
        <v>17.242763235641</v>
      </c>
      <c r="S319" s="4">
        <v>16.886951881890301</v>
      </c>
      <c r="T319" s="4">
        <f t="shared" si="18"/>
        <v>17.124886609625865</v>
      </c>
      <c r="W319" s="4" t="str">
        <f>"cts-1"</f>
        <v>cts-1</v>
      </c>
      <c r="X319" s="4">
        <v>16.8804937593804</v>
      </c>
      <c r="Y319" s="4">
        <v>17.057002660587401</v>
      </c>
      <c r="Z319" s="4">
        <v>17.629240809921601</v>
      </c>
      <c r="AA319" s="4">
        <f t="shared" si="19"/>
        <v>17.188912409963134</v>
      </c>
      <c r="AH319" s="28" t="s">
        <v>4656</v>
      </c>
      <c r="AJ319" s="4" t="s">
        <v>2369</v>
      </c>
    </row>
    <row r="320" spans="2:46" x14ac:dyDescent="0.2">
      <c r="B320" s="4" t="s">
        <v>1884</v>
      </c>
      <c r="C320" s="4">
        <v>17.158000000000001</v>
      </c>
      <c r="D320" s="4">
        <v>16.5489</v>
      </c>
      <c r="E320" s="4">
        <v>17.730599999999999</v>
      </c>
      <c r="F320" s="4">
        <f t="shared" si="16"/>
        <v>17.145833333333332</v>
      </c>
      <c r="I320" s="4" t="s">
        <v>3400</v>
      </c>
      <c r="J320" s="4">
        <v>17.283899999999999</v>
      </c>
      <c r="K320" s="4">
        <v>17.1829</v>
      </c>
      <c r="L320" s="4">
        <v>17.219000000000001</v>
      </c>
      <c r="M320" s="4">
        <f t="shared" si="17"/>
        <v>17.2286</v>
      </c>
      <c r="P320" s="4" t="str">
        <f>"rsp-3"</f>
        <v>rsp-3</v>
      </c>
      <c r="Q320" s="4">
        <v>17.1179732788842</v>
      </c>
      <c r="R320" s="4">
        <v>16.9952869820325</v>
      </c>
      <c r="S320" s="4">
        <v>17.250263767023501</v>
      </c>
      <c r="T320" s="4">
        <f t="shared" si="18"/>
        <v>17.121174675980068</v>
      </c>
      <c r="W320" s="4" t="str">
        <f>"acdh-9"</f>
        <v>acdh-9</v>
      </c>
      <c r="X320" s="4">
        <v>17.090977213376998</v>
      </c>
      <c r="Y320" s="4">
        <v>17.268954120962</v>
      </c>
      <c r="Z320" s="4">
        <v>17.2020752659256</v>
      </c>
      <c r="AA320" s="4">
        <f t="shared" si="19"/>
        <v>17.187335533421532</v>
      </c>
      <c r="AH320" s="28" t="s">
        <v>4710</v>
      </c>
      <c r="AJ320" s="4" t="s">
        <v>2724</v>
      </c>
    </row>
    <row r="321" spans="2:36" x14ac:dyDescent="0.2">
      <c r="B321" s="4" t="s">
        <v>2342</v>
      </c>
      <c r="C321" s="4">
        <v>17.117599999999999</v>
      </c>
      <c r="D321" s="4">
        <v>17.290600000000001</v>
      </c>
      <c r="E321" s="4">
        <v>17.023</v>
      </c>
      <c r="F321" s="4">
        <f t="shared" si="16"/>
        <v>17.143733333333333</v>
      </c>
      <c r="I321" s="4" t="s">
        <v>3392</v>
      </c>
      <c r="J321" s="4">
        <v>17.105399999999999</v>
      </c>
      <c r="K321" s="4">
        <v>17.161000000000001</v>
      </c>
      <c r="L321" s="4">
        <v>17.3873</v>
      </c>
      <c r="M321" s="4">
        <f t="shared" si="17"/>
        <v>17.2179</v>
      </c>
      <c r="P321" s="4" t="str">
        <f>"lonp-1"</f>
        <v>lonp-1</v>
      </c>
      <c r="Q321" s="4">
        <v>17.2693263574931</v>
      </c>
      <c r="R321" s="4">
        <v>16.979337484400101</v>
      </c>
      <c r="S321" s="4">
        <v>17.075413630525599</v>
      </c>
      <c r="T321" s="4">
        <f t="shared" si="18"/>
        <v>17.108025824139602</v>
      </c>
      <c r="W321" s="4" t="str">
        <f>"mars-1"</f>
        <v>mars-1</v>
      </c>
      <c r="X321" s="4">
        <v>17.249950053128298</v>
      </c>
      <c r="Y321" s="4">
        <v>17.307308857527399</v>
      </c>
      <c r="Z321" s="4">
        <v>16.992332977695199</v>
      </c>
      <c r="AA321" s="4">
        <f t="shared" si="19"/>
        <v>17.183197296116965</v>
      </c>
      <c r="AH321" s="28" t="s">
        <v>1015</v>
      </c>
      <c r="AJ321" s="4" t="s">
        <v>3485</v>
      </c>
    </row>
    <row r="322" spans="2:36" x14ac:dyDescent="0.2">
      <c r="B322" s="4" t="s">
        <v>2485</v>
      </c>
      <c r="C322" s="4">
        <v>17.3706</v>
      </c>
      <c r="D322" s="4">
        <v>17.0349</v>
      </c>
      <c r="E322" s="4">
        <v>17.015000000000001</v>
      </c>
      <c r="F322" s="4">
        <f t="shared" ref="F322:F385" si="20">(C322+D322+E322)/3</f>
        <v>17.140166666666669</v>
      </c>
      <c r="I322" s="4" t="s">
        <v>167</v>
      </c>
      <c r="J322" s="4">
        <v>17.115300000000001</v>
      </c>
      <c r="K322" s="4">
        <v>17.176300000000001</v>
      </c>
      <c r="L322" s="4">
        <v>17.3246</v>
      </c>
      <c r="M322" s="4">
        <f t="shared" ref="M322:M385" si="21">(J322+K322+L322)/3</f>
        <v>17.205400000000001</v>
      </c>
      <c r="P322" s="4" t="str">
        <f>"dhs-28"</f>
        <v>dhs-28</v>
      </c>
      <c r="Q322" s="4">
        <v>16.864826747097101</v>
      </c>
      <c r="R322" s="4">
        <v>17.121973706394801</v>
      </c>
      <c r="S322" s="4">
        <v>17.327043479255199</v>
      </c>
      <c r="T322" s="4">
        <f t="shared" ref="T322:T385" si="22">(Q322+R322+S322)/3</f>
        <v>17.104614644249036</v>
      </c>
      <c r="W322" s="4" t="str">
        <f>"coq-8"</f>
        <v>coq-8</v>
      </c>
      <c r="X322" s="4">
        <v>17.0140350795293</v>
      </c>
      <c r="Y322" s="4">
        <v>17.240695625596999</v>
      </c>
      <c r="Z322" s="4">
        <v>17.290530037458399</v>
      </c>
      <c r="AA322" s="4">
        <f t="shared" ref="AA322:AA385" si="23">(X322+Y322+Z322)/3</f>
        <v>17.181753580861567</v>
      </c>
      <c r="AH322" s="28" t="s">
        <v>4693</v>
      </c>
      <c r="AJ322" s="4" t="s">
        <v>3471</v>
      </c>
    </row>
    <row r="323" spans="2:36" x14ac:dyDescent="0.2">
      <c r="B323" s="4" t="s">
        <v>2914</v>
      </c>
      <c r="C323" s="4">
        <v>17.203499999999998</v>
      </c>
      <c r="D323" s="4">
        <v>17.088000000000001</v>
      </c>
      <c r="E323" s="4">
        <v>17.127600000000001</v>
      </c>
      <c r="F323" s="4">
        <f t="shared" si="20"/>
        <v>17.139700000000001</v>
      </c>
      <c r="I323" s="4" t="s">
        <v>1721</v>
      </c>
      <c r="J323" s="4">
        <v>17.144600000000001</v>
      </c>
      <c r="K323" s="4">
        <v>17.2912</v>
      </c>
      <c r="L323" s="4">
        <v>17.158899999999999</v>
      </c>
      <c r="M323" s="4">
        <f t="shared" si="21"/>
        <v>17.198233333333334</v>
      </c>
      <c r="P323" s="4" t="str">
        <f>"nst-1"</f>
        <v>nst-1</v>
      </c>
      <c r="Q323" s="4">
        <v>17.235725759047099</v>
      </c>
      <c r="R323" s="4">
        <v>17.109493769977401</v>
      </c>
      <c r="S323" s="4">
        <v>16.963661368068902</v>
      </c>
      <c r="T323" s="4">
        <f t="shared" si="22"/>
        <v>17.102960299031135</v>
      </c>
      <c r="W323" s="4" t="str">
        <f>"ctps-1"</f>
        <v>ctps-1</v>
      </c>
      <c r="X323" s="4">
        <v>17.257702010807598</v>
      </c>
      <c r="Y323" s="4">
        <v>17.239142006055499</v>
      </c>
      <c r="Z323" s="4">
        <v>16.961233850607599</v>
      </c>
      <c r="AA323" s="4">
        <f t="shared" si="23"/>
        <v>17.152692622490232</v>
      </c>
      <c r="AH323" s="28" t="s">
        <v>4797</v>
      </c>
      <c r="AJ323" s="4" t="s">
        <v>2263</v>
      </c>
    </row>
    <row r="324" spans="2:36" x14ac:dyDescent="0.2">
      <c r="B324" s="4" t="s">
        <v>1803</v>
      </c>
      <c r="C324" s="4">
        <v>17.297000000000001</v>
      </c>
      <c r="D324" s="4">
        <v>17.141500000000001</v>
      </c>
      <c r="E324" s="4">
        <v>16.912400000000002</v>
      </c>
      <c r="F324" s="4">
        <f t="shared" si="20"/>
        <v>17.11696666666667</v>
      </c>
      <c r="I324" s="4" t="s">
        <v>582</v>
      </c>
      <c r="J324" s="4">
        <v>17.47</v>
      </c>
      <c r="K324" s="4">
        <v>16.751000000000001</v>
      </c>
      <c r="L324" s="4">
        <v>17.316700000000001</v>
      </c>
      <c r="M324" s="4">
        <f t="shared" si="21"/>
        <v>17.179233333333332</v>
      </c>
      <c r="P324" s="4" t="str">
        <f>"fars-1"</f>
        <v>fars-1</v>
      </c>
      <c r="Q324" s="4">
        <v>17.051550427898398</v>
      </c>
      <c r="R324" s="4">
        <v>17.086505517592599</v>
      </c>
      <c r="S324" s="4">
        <v>17.158257759987801</v>
      </c>
      <c r="T324" s="4">
        <f t="shared" si="22"/>
        <v>17.0987712351596</v>
      </c>
      <c r="W324" s="4" t="str">
        <f>"M04B2.4"</f>
        <v>M04B2.4</v>
      </c>
      <c r="X324" s="4">
        <v>16.9161465959134</v>
      </c>
      <c r="Y324" s="4">
        <v>17.162606567693398</v>
      </c>
      <c r="Z324" s="4">
        <v>17.339019095205799</v>
      </c>
      <c r="AA324" s="4">
        <f t="shared" si="23"/>
        <v>17.139257419604199</v>
      </c>
      <c r="AH324" s="28" t="s">
        <v>4791</v>
      </c>
      <c r="AJ324" s="4" t="s">
        <v>4294</v>
      </c>
    </row>
    <row r="325" spans="2:36" x14ac:dyDescent="0.2">
      <c r="B325" s="4" t="s">
        <v>3849</v>
      </c>
      <c r="C325" s="4">
        <v>17.087800000000001</v>
      </c>
      <c r="D325" s="4">
        <v>17.418199999999999</v>
      </c>
      <c r="E325" s="4">
        <v>16.8338</v>
      </c>
      <c r="F325" s="4">
        <f t="shared" si="20"/>
        <v>17.113266666666664</v>
      </c>
      <c r="I325" s="4" t="s">
        <v>1202</v>
      </c>
      <c r="J325" s="4">
        <v>17.063300000000002</v>
      </c>
      <c r="K325" s="4">
        <v>16.9313</v>
      </c>
      <c r="L325" s="4">
        <v>17.530999999999999</v>
      </c>
      <c r="M325" s="4">
        <f t="shared" si="21"/>
        <v>17.1752</v>
      </c>
      <c r="P325" s="4" t="str">
        <f>"gdh-1"</f>
        <v>gdh-1</v>
      </c>
      <c r="Q325" s="4">
        <v>17.489713649000301</v>
      </c>
      <c r="R325" s="4">
        <v>16.811265876667399</v>
      </c>
      <c r="S325" s="4">
        <v>16.900950982960602</v>
      </c>
      <c r="T325" s="4">
        <f t="shared" si="22"/>
        <v>17.067310169542768</v>
      </c>
      <c r="W325" s="4" t="str">
        <f>"mmaa-1"</f>
        <v>mmaa-1</v>
      </c>
      <c r="X325" s="4">
        <v>16.965799115667899</v>
      </c>
      <c r="Y325" s="4">
        <v>17.238006534436298</v>
      </c>
      <c r="Z325" s="4">
        <v>17.2092091263025</v>
      </c>
      <c r="AA325" s="4">
        <f t="shared" si="23"/>
        <v>17.137671592135565</v>
      </c>
      <c r="AH325" s="28" t="s">
        <v>2254</v>
      </c>
      <c r="AJ325" s="4" t="s">
        <v>4334</v>
      </c>
    </row>
    <row r="326" spans="2:36" x14ac:dyDescent="0.2">
      <c r="B326" s="4" t="s">
        <v>1361</v>
      </c>
      <c r="C326" s="4">
        <v>16.484300000000001</v>
      </c>
      <c r="D326" s="4">
        <v>17.459700000000002</v>
      </c>
      <c r="E326" s="4">
        <v>17.359500000000001</v>
      </c>
      <c r="F326" s="4">
        <f t="shared" si="20"/>
        <v>17.101166666666668</v>
      </c>
      <c r="I326" s="4" t="s">
        <v>3938</v>
      </c>
      <c r="J326" s="4">
        <v>17.202100000000002</v>
      </c>
      <c r="K326" s="4">
        <v>17.192499999999999</v>
      </c>
      <c r="L326" s="4">
        <v>17.127300000000002</v>
      </c>
      <c r="M326" s="4">
        <f t="shared" si="21"/>
        <v>17.173966666666669</v>
      </c>
      <c r="P326" s="4" t="str">
        <f>"mrps-18C"</f>
        <v>mrps-18C</v>
      </c>
      <c r="Q326" s="4">
        <v>17.293590653382999</v>
      </c>
      <c r="R326" s="4">
        <v>16.912226444725999</v>
      </c>
      <c r="S326" s="4">
        <v>16.9837703888345</v>
      </c>
      <c r="T326" s="4">
        <f t="shared" si="22"/>
        <v>17.063195828981165</v>
      </c>
      <c r="W326" s="4" t="str">
        <f>"ral-1"</f>
        <v>ral-1</v>
      </c>
      <c r="X326" s="4">
        <v>16.877575390182599</v>
      </c>
      <c r="Y326" s="4">
        <v>17.2654196400035</v>
      </c>
      <c r="Z326" s="4">
        <v>17.245753856942901</v>
      </c>
      <c r="AA326" s="4">
        <f t="shared" si="23"/>
        <v>17.129582962376332</v>
      </c>
      <c r="AH326" s="28" t="s">
        <v>351</v>
      </c>
      <c r="AJ326" s="4" t="s">
        <v>4295</v>
      </c>
    </row>
    <row r="327" spans="2:36" x14ac:dyDescent="0.2">
      <c r="B327" s="4" t="s">
        <v>1699</v>
      </c>
      <c r="C327" s="4">
        <v>17.107099999999999</v>
      </c>
      <c r="D327" s="4">
        <v>17.012499999999999</v>
      </c>
      <c r="E327" s="4">
        <v>17.140499999999999</v>
      </c>
      <c r="F327" s="4">
        <f t="shared" si="20"/>
        <v>17.086699999999997</v>
      </c>
      <c r="I327" s="4" t="s">
        <v>2010</v>
      </c>
      <c r="J327" s="4">
        <v>17.459399999999999</v>
      </c>
      <c r="K327" s="4">
        <v>17.114000000000001</v>
      </c>
      <c r="L327" s="4">
        <v>16.909800000000001</v>
      </c>
      <c r="M327" s="4">
        <f t="shared" si="21"/>
        <v>17.161066666666667</v>
      </c>
      <c r="P327" s="4" t="str">
        <f>"sars-1"</f>
        <v>sars-1</v>
      </c>
      <c r="Q327" s="4">
        <v>16.947309454103301</v>
      </c>
      <c r="R327" s="4">
        <v>16.970650633189699</v>
      </c>
      <c r="S327" s="4">
        <v>17.268973626326002</v>
      </c>
      <c r="T327" s="4">
        <f t="shared" si="22"/>
        <v>17.062311237873001</v>
      </c>
      <c r="W327" s="4" t="str">
        <f>"eif-3.G"</f>
        <v>eif-3.G</v>
      </c>
      <c r="X327" s="4">
        <v>17.152816670159101</v>
      </c>
      <c r="Y327" s="4">
        <v>17.1404473709336</v>
      </c>
      <c r="Z327" s="4">
        <v>17.063260275840999</v>
      </c>
      <c r="AA327" s="4">
        <f t="shared" si="23"/>
        <v>17.118841438977899</v>
      </c>
      <c r="AH327" s="28" t="s">
        <v>3285</v>
      </c>
      <c r="AJ327" s="4" t="s">
        <v>4507</v>
      </c>
    </row>
    <row r="328" spans="2:36" x14ac:dyDescent="0.2">
      <c r="B328" s="4" t="s">
        <v>4633</v>
      </c>
      <c r="C328" s="4">
        <v>17.2591</v>
      </c>
      <c r="D328" s="4">
        <v>16.866099999999999</v>
      </c>
      <c r="E328" s="4">
        <v>17.130099999999999</v>
      </c>
      <c r="F328" s="4">
        <f t="shared" si="20"/>
        <v>17.085100000000001</v>
      </c>
      <c r="I328" s="4" t="s">
        <v>1803</v>
      </c>
      <c r="J328" s="4">
        <v>17.389399999999998</v>
      </c>
      <c r="K328" s="4">
        <v>16.883900000000001</v>
      </c>
      <c r="L328" s="4">
        <v>17.190999999999999</v>
      </c>
      <c r="M328" s="4">
        <f t="shared" si="21"/>
        <v>17.154766666666664</v>
      </c>
      <c r="P328" s="4" t="str">
        <f>"xpo-2"</f>
        <v>xpo-2</v>
      </c>
      <c r="Q328" s="4">
        <v>17.0911133586802</v>
      </c>
      <c r="R328" s="4">
        <v>17.108579139279399</v>
      </c>
      <c r="S328" s="4">
        <v>16.984837259244099</v>
      </c>
      <c r="T328" s="4">
        <f t="shared" si="22"/>
        <v>17.061509919067902</v>
      </c>
      <c r="W328" s="4" t="str">
        <f>"oma-1"</f>
        <v>oma-1</v>
      </c>
      <c r="X328" s="4">
        <v>17.841515560801799</v>
      </c>
      <c r="Y328" s="4">
        <v>16.160658709228901</v>
      </c>
      <c r="Z328" s="4">
        <v>17.331373493999699</v>
      </c>
      <c r="AA328" s="4">
        <f t="shared" si="23"/>
        <v>17.111182588010134</v>
      </c>
      <c r="AH328" s="28" t="s">
        <v>4714</v>
      </c>
      <c r="AJ328" s="4" t="s">
        <v>2947</v>
      </c>
    </row>
    <row r="329" spans="2:36" x14ac:dyDescent="0.2">
      <c r="B329" s="4" t="s">
        <v>1721</v>
      </c>
      <c r="C329" s="4">
        <v>16.976700000000001</v>
      </c>
      <c r="D329" s="4">
        <v>17.188400000000001</v>
      </c>
      <c r="E329" s="4">
        <v>17.0883</v>
      </c>
      <c r="F329" s="4">
        <f t="shared" si="20"/>
        <v>17.084466666666668</v>
      </c>
      <c r="I329" s="4" t="s">
        <v>2342</v>
      </c>
      <c r="J329" s="4">
        <v>16.954699999999999</v>
      </c>
      <c r="K329" s="4">
        <v>17.209299999999999</v>
      </c>
      <c r="L329" s="4">
        <v>17.2913</v>
      </c>
      <c r="M329" s="4">
        <f t="shared" si="21"/>
        <v>17.151766666666667</v>
      </c>
      <c r="P329" s="4" t="str">
        <f>"F32A11.1"</f>
        <v>F32A11.1</v>
      </c>
      <c r="Q329" s="4">
        <v>16.973477653424801</v>
      </c>
      <c r="R329" s="4">
        <v>17.1886462498009</v>
      </c>
      <c r="S329" s="4">
        <v>17.021792042088499</v>
      </c>
      <c r="T329" s="4">
        <f t="shared" si="22"/>
        <v>17.061305315104736</v>
      </c>
      <c r="W329" s="4" t="str">
        <f>"sams-1"</f>
        <v>sams-1</v>
      </c>
      <c r="X329" s="4">
        <v>17.201737196087802</v>
      </c>
      <c r="Y329" s="4">
        <v>17.079982589458499</v>
      </c>
      <c r="Z329" s="4">
        <v>17.048009656189102</v>
      </c>
      <c r="AA329" s="4">
        <f t="shared" si="23"/>
        <v>17.109909813911802</v>
      </c>
      <c r="AH329" s="28" t="s">
        <v>4672</v>
      </c>
      <c r="AJ329" s="4" t="s">
        <v>3752</v>
      </c>
    </row>
    <row r="330" spans="2:36" x14ac:dyDescent="0.2">
      <c r="B330" s="4" t="s">
        <v>3267</v>
      </c>
      <c r="C330" s="4">
        <v>17.101600000000001</v>
      </c>
      <c r="D330" s="4">
        <v>17.214099999999998</v>
      </c>
      <c r="E330" s="4">
        <v>16.937100000000001</v>
      </c>
      <c r="F330" s="4">
        <f t="shared" si="20"/>
        <v>17.084266666666668</v>
      </c>
      <c r="I330" s="4" t="s">
        <v>42</v>
      </c>
      <c r="J330" s="4">
        <v>17.317799999999998</v>
      </c>
      <c r="K330" s="4">
        <v>16.605599999999999</v>
      </c>
      <c r="L330" s="4">
        <v>17.523099999999999</v>
      </c>
      <c r="M330" s="4">
        <f t="shared" si="21"/>
        <v>17.148833333333332</v>
      </c>
      <c r="P330" s="4" t="str">
        <f>"vit-4"</f>
        <v>vit-4</v>
      </c>
      <c r="Q330" s="4">
        <v>16.715936245654099</v>
      </c>
      <c r="R330" s="4">
        <v>17.1597401618892</v>
      </c>
      <c r="S330" s="4">
        <v>17.3076004519646</v>
      </c>
      <c r="T330" s="4">
        <f t="shared" si="22"/>
        <v>17.061092286502632</v>
      </c>
      <c r="W330" s="4" t="str">
        <f>"rsp-3"</f>
        <v>rsp-3</v>
      </c>
      <c r="X330" s="4">
        <v>16.9526157516027</v>
      </c>
      <c r="Y330" s="4">
        <v>17.160809633772399</v>
      </c>
      <c r="Z330" s="4">
        <v>17.214590329400298</v>
      </c>
      <c r="AA330" s="4">
        <f t="shared" si="23"/>
        <v>17.109338571591795</v>
      </c>
      <c r="AH330" s="28" t="s">
        <v>2272</v>
      </c>
      <c r="AJ330" s="4" t="s">
        <v>1961</v>
      </c>
    </row>
    <row r="331" spans="2:36" x14ac:dyDescent="0.2">
      <c r="B331" s="4" t="s">
        <v>167</v>
      </c>
      <c r="C331" s="4">
        <v>16.820599999999999</v>
      </c>
      <c r="D331" s="4">
        <v>16.915900000000001</v>
      </c>
      <c r="E331" s="4">
        <v>17.5154</v>
      </c>
      <c r="F331" s="4">
        <f t="shared" si="20"/>
        <v>17.083966666666665</v>
      </c>
      <c r="I331" s="4" t="s">
        <v>3704</v>
      </c>
      <c r="J331" s="4">
        <v>16.965699999999998</v>
      </c>
      <c r="K331" s="4">
        <v>16.945900000000002</v>
      </c>
      <c r="L331" s="4">
        <v>17.494900000000001</v>
      </c>
      <c r="M331" s="4">
        <f t="shared" si="21"/>
        <v>17.1355</v>
      </c>
      <c r="P331" s="4" t="str">
        <f>"rskn-2"</f>
        <v>rskn-2</v>
      </c>
      <c r="Q331" s="4">
        <v>17.241224774255301</v>
      </c>
      <c r="R331" s="4">
        <v>16.9922291845849</v>
      </c>
      <c r="S331" s="4">
        <v>16.939292950147799</v>
      </c>
      <c r="T331" s="4">
        <f t="shared" si="22"/>
        <v>17.057582302996</v>
      </c>
      <c r="W331" s="4" t="str">
        <f>"lonp-1"</f>
        <v>lonp-1</v>
      </c>
      <c r="X331" s="4">
        <v>16.925337400043698</v>
      </c>
      <c r="Y331" s="4">
        <v>17.1044604360414</v>
      </c>
      <c r="Z331" s="4">
        <v>17.293014911420801</v>
      </c>
      <c r="AA331" s="4">
        <f t="shared" si="23"/>
        <v>17.107604249168631</v>
      </c>
      <c r="AH331" s="28" t="s">
        <v>3042</v>
      </c>
      <c r="AJ331" s="4" t="s">
        <v>1452</v>
      </c>
    </row>
    <row r="332" spans="2:36" x14ac:dyDescent="0.2">
      <c r="B332" s="4" t="s">
        <v>730</v>
      </c>
      <c r="C332" s="4">
        <v>16.842700000000001</v>
      </c>
      <c r="D332" s="4">
        <v>17.225300000000001</v>
      </c>
      <c r="E332" s="4">
        <v>17.166799999999999</v>
      </c>
      <c r="F332" s="4">
        <f t="shared" si="20"/>
        <v>17.078266666666664</v>
      </c>
      <c r="I332" s="4" t="s">
        <v>684</v>
      </c>
      <c r="J332" s="4">
        <v>16.578399999999998</v>
      </c>
      <c r="K332" s="4">
        <v>17.0136</v>
      </c>
      <c r="L332" s="4">
        <v>17.808700000000002</v>
      </c>
      <c r="M332" s="4">
        <f t="shared" si="21"/>
        <v>17.133566666666667</v>
      </c>
      <c r="P332" s="4" t="str">
        <f>"pat-4"</f>
        <v>pat-4</v>
      </c>
      <c r="Q332" s="4">
        <v>16.998210193144502</v>
      </c>
      <c r="R332" s="4">
        <v>17.009100384851099</v>
      </c>
      <c r="S332" s="4">
        <v>17.157266402233201</v>
      </c>
      <c r="T332" s="4">
        <f t="shared" si="22"/>
        <v>17.054858993409599</v>
      </c>
      <c r="W332" s="4" t="str">
        <f>"acdh-13"</f>
        <v>acdh-13</v>
      </c>
      <c r="X332" s="4">
        <v>16.915295319549202</v>
      </c>
      <c r="Y332" s="4">
        <v>17.078150564524901</v>
      </c>
      <c r="Z332" s="4">
        <v>17.258678182320399</v>
      </c>
      <c r="AA332" s="4">
        <f t="shared" si="23"/>
        <v>17.084041355464834</v>
      </c>
      <c r="AH332" s="28" t="s">
        <v>4707</v>
      </c>
      <c r="AJ332" s="4" t="s">
        <v>2371</v>
      </c>
    </row>
    <row r="333" spans="2:36" x14ac:dyDescent="0.2">
      <c r="B333" s="4" t="s">
        <v>3191</v>
      </c>
      <c r="C333" s="4">
        <v>17.061599999999999</v>
      </c>
      <c r="D333" s="4">
        <v>17.028500000000001</v>
      </c>
      <c r="E333" s="4">
        <v>17.119</v>
      </c>
      <c r="F333" s="4">
        <f t="shared" si="20"/>
        <v>17.069700000000001</v>
      </c>
      <c r="I333" s="4" t="s">
        <v>2060</v>
      </c>
      <c r="J333" s="4">
        <v>17.290500000000002</v>
      </c>
      <c r="K333" s="4">
        <v>17.154800000000002</v>
      </c>
      <c r="L333" s="4">
        <v>16.9298</v>
      </c>
      <c r="M333" s="4">
        <f t="shared" si="21"/>
        <v>17.125033333333334</v>
      </c>
      <c r="P333" s="4" t="str">
        <f>"hpo-18"</f>
        <v>hpo-18</v>
      </c>
      <c r="Q333" s="4">
        <v>16.756139825908999</v>
      </c>
      <c r="R333" s="4">
        <v>17.1605988293501</v>
      </c>
      <c r="S333" s="4">
        <v>17.2125135711123</v>
      </c>
      <c r="T333" s="4">
        <f t="shared" si="22"/>
        <v>17.043084075457131</v>
      </c>
      <c r="W333" s="4" t="str">
        <f>"cct-8"</f>
        <v>cct-8</v>
      </c>
      <c r="X333" s="4">
        <v>16.983314647907601</v>
      </c>
      <c r="Y333" s="4">
        <v>17.348233964961999</v>
      </c>
      <c r="Z333" s="4">
        <v>16.911761432072801</v>
      </c>
      <c r="AA333" s="4">
        <f t="shared" si="23"/>
        <v>17.081103348314134</v>
      </c>
      <c r="AH333" s="28" t="s">
        <v>4651</v>
      </c>
      <c r="AJ333" s="4" t="s">
        <v>678</v>
      </c>
    </row>
    <row r="334" spans="2:36" x14ac:dyDescent="0.2">
      <c r="B334" s="4" t="s">
        <v>1964</v>
      </c>
      <c r="C334" s="4">
        <v>17.253299999999999</v>
      </c>
      <c r="D334" s="4">
        <v>17.1204</v>
      </c>
      <c r="E334" s="4">
        <v>16.832100000000001</v>
      </c>
      <c r="F334" s="4">
        <f t="shared" si="20"/>
        <v>17.0686</v>
      </c>
      <c r="I334" s="4" t="s">
        <v>2907</v>
      </c>
      <c r="J334" s="4">
        <v>17.0855</v>
      </c>
      <c r="K334" s="4">
        <v>17.2974</v>
      </c>
      <c r="L334" s="4">
        <v>16.978300000000001</v>
      </c>
      <c r="M334" s="4">
        <f t="shared" si="21"/>
        <v>17.1204</v>
      </c>
      <c r="P334" s="4" t="str">
        <f>"gspd-1"</f>
        <v>gspd-1</v>
      </c>
      <c r="Q334" s="4">
        <v>16.970186268284401</v>
      </c>
      <c r="R334" s="4">
        <v>17.0914987165309</v>
      </c>
      <c r="S334" s="4">
        <v>17.0305328802507</v>
      </c>
      <c r="T334" s="4">
        <f t="shared" si="22"/>
        <v>17.030739288355335</v>
      </c>
      <c r="W334" s="4" t="str">
        <f>"myo-2"</f>
        <v>myo-2</v>
      </c>
      <c r="X334" s="4">
        <v>16.792467803049199</v>
      </c>
      <c r="Y334" s="4">
        <v>17.006817452866699</v>
      </c>
      <c r="Z334" s="4">
        <v>17.4417227099716</v>
      </c>
      <c r="AA334" s="4">
        <f t="shared" si="23"/>
        <v>17.080335988629166</v>
      </c>
      <c r="AH334" s="28" t="s">
        <v>3794</v>
      </c>
      <c r="AJ334" s="4" t="s">
        <v>3918</v>
      </c>
    </row>
    <row r="335" spans="2:36" x14ac:dyDescent="0.2">
      <c r="B335" s="4" t="s">
        <v>1422</v>
      </c>
      <c r="C335" s="4">
        <v>17.0989</v>
      </c>
      <c r="D335" s="4">
        <v>17.0425</v>
      </c>
      <c r="E335" s="4">
        <v>17.058399999999999</v>
      </c>
      <c r="F335" s="4">
        <f t="shared" si="20"/>
        <v>17.066600000000001</v>
      </c>
      <c r="I335" s="4" t="s">
        <v>1695</v>
      </c>
      <c r="J335" s="4">
        <v>16.783000000000001</v>
      </c>
      <c r="K335" s="4">
        <v>17.054400000000001</v>
      </c>
      <c r="L335" s="4">
        <v>17.513000000000002</v>
      </c>
      <c r="M335" s="4">
        <f t="shared" si="21"/>
        <v>17.116800000000001</v>
      </c>
      <c r="P335" s="4" t="str">
        <f>"smc-3"</f>
        <v>smc-3</v>
      </c>
      <c r="Q335" s="4">
        <v>17.1286679925378</v>
      </c>
      <c r="R335" s="4">
        <v>16.970456691125602</v>
      </c>
      <c r="S335" s="4">
        <v>16.986680521013302</v>
      </c>
      <c r="T335" s="4">
        <f t="shared" si="22"/>
        <v>17.028601734892234</v>
      </c>
      <c r="W335" s="4" t="str">
        <f>"rop-1"</f>
        <v>rop-1</v>
      </c>
      <c r="X335" s="4">
        <v>17.0415133790985</v>
      </c>
      <c r="Y335" s="4">
        <v>17.209533203367901</v>
      </c>
      <c r="Z335" s="4">
        <v>16.988603687450102</v>
      </c>
      <c r="AA335" s="4">
        <f t="shared" si="23"/>
        <v>17.0798834233055</v>
      </c>
      <c r="AH335" s="28" t="s">
        <v>3109</v>
      </c>
      <c r="AJ335" s="4" t="s">
        <v>3327</v>
      </c>
    </row>
    <row r="336" spans="2:36" x14ac:dyDescent="0.2">
      <c r="B336" s="4" t="s">
        <v>3648</v>
      </c>
      <c r="C336" s="4">
        <v>17.126100000000001</v>
      </c>
      <c r="D336" s="4">
        <v>17.297000000000001</v>
      </c>
      <c r="E336" s="4">
        <v>16.769400000000001</v>
      </c>
      <c r="F336" s="4">
        <f t="shared" si="20"/>
        <v>17.064166666666669</v>
      </c>
      <c r="I336" s="4" t="s">
        <v>3157</v>
      </c>
      <c r="J336" s="4">
        <v>17.088000000000001</v>
      </c>
      <c r="K336" s="4">
        <v>17.032</v>
      </c>
      <c r="L336" s="4">
        <v>17.2058</v>
      </c>
      <c r="M336" s="4">
        <f t="shared" si="21"/>
        <v>17.108599999999999</v>
      </c>
      <c r="P336" s="4" t="str">
        <f>"acdh-9"</f>
        <v>acdh-9</v>
      </c>
      <c r="Q336" s="4">
        <v>17.114524085437399</v>
      </c>
      <c r="R336" s="4">
        <v>16.8440938810778</v>
      </c>
      <c r="S336" s="4">
        <v>17.1010309272109</v>
      </c>
      <c r="T336" s="4">
        <f t="shared" si="22"/>
        <v>17.019882964575366</v>
      </c>
      <c r="W336" s="4" t="str">
        <f>"hxk-3"</f>
        <v>hxk-3</v>
      </c>
      <c r="X336" s="4">
        <v>17.069381019526499</v>
      </c>
      <c r="Y336" s="4">
        <v>17.131165838202701</v>
      </c>
      <c r="Z336" s="4">
        <v>17.035347296719898</v>
      </c>
      <c r="AA336" s="4">
        <f t="shared" si="23"/>
        <v>17.078631384816365</v>
      </c>
      <c r="AH336" s="28" t="s">
        <v>3917</v>
      </c>
      <c r="AJ336" s="4" t="s">
        <v>4443</v>
      </c>
    </row>
    <row r="337" spans="2:36" x14ac:dyDescent="0.2">
      <c r="B337" s="4" t="s">
        <v>3392</v>
      </c>
      <c r="C337" s="4">
        <v>17.068200000000001</v>
      </c>
      <c r="D337" s="4">
        <v>16.872399999999999</v>
      </c>
      <c r="E337" s="4">
        <v>17.240500000000001</v>
      </c>
      <c r="F337" s="4">
        <f t="shared" si="20"/>
        <v>17.060366666666667</v>
      </c>
      <c r="I337" s="4" t="s">
        <v>1259</v>
      </c>
      <c r="J337" s="4">
        <v>17.0915</v>
      </c>
      <c r="K337" s="4">
        <v>17.340800000000002</v>
      </c>
      <c r="L337" s="4">
        <v>16.889700000000001</v>
      </c>
      <c r="M337" s="4">
        <f t="shared" si="21"/>
        <v>17.107333333333333</v>
      </c>
      <c r="P337" s="4" t="str">
        <f>"ruvb-2"</f>
        <v>ruvb-2</v>
      </c>
      <c r="Q337" s="4">
        <v>17.000614497769</v>
      </c>
      <c r="R337" s="4">
        <v>17.078739082267699</v>
      </c>
      <c r="S337" s="4">
        <v>16.9777161023354</v>
      </c>
      <c r="T337" s="4">
        <f t="shared" si="22"/>
        <v>17.019023227457364</v>
      </c>
      <c r="W337" s="4" t="str">
        <f>"ZK813.3"</f>
        <v>ZK813.3</v>
      </c>
      <c r="X337" s="4">
        <v>16.9193823415639</v>
      </c>
      <c r="Y337" s="4">
        <v>16.746910933830701</v>
      </c>
      <c r="Z337" s="4">
        <v>17.558231243021801</v>
      </c>
      <c r="AA337" s="4">
        <f t="shared" si="23"/>
        <v>17.074841506138799</v>
      </c>
      <c r="AH337" s="28" t="s">
        <v>4748</v>
      </c>
      <c r="AJ337" s="4" t="s">
        <v>391</v>
      </c>
    </row>
    <row r="338" spans="2:36" x14ac:dyDescent="0.2">
      <c r="B338" s="4" t="s">
        <v>570</v>
      </c>
      <c r="C338" s="4">
        <v>16.7835</v>
      </c>
      <c r="D338" s="4">
        <v>17.468</v>
      </c>
      <c r="E338" s="4">
        <v>16.9284</v>
      </c>
      <c r="F338" s="4">
        <f t="shared" si="20"/>
        <v>17.059966666666668</v>
      </c>
      <c r="I338" s="4" t="s">
        <v>2600</v>
      </c>
      <c r="J338" s="4">
        <v>17.102900000000002</v>
      </c>
      <c r="K338" s="4">
        <v>17.206299999999999</v>
      </c>
      <c r="L338" s="4">
        <v>17.0075</v>
      </c>
      <c r="M338" s="4">
        <f t="shared" si="21"/>
        <v>17.105566666666668</v>
      </c>
      <c r="P338" s="4" t="str">
        <f>"erfa-1"</f>
        <v>erfa-1</v>
      </c>
      <c r="Q338" s="4">
        <v>16.8755205490497</v>
      </c>
      <c r="R338" s="4">
        <v>17.0294099922532</v>
      </c>
      <c r="S338" s="4">
        <v>17.1492225824922</v>
      </c>
      <c r="T338" s="4">
        <f t="shared" si="22"/>
        <v>17.018051041265036</v>
      </c>
      <c r="W338" s="4" t="str">
        <f>"C35A5.8"</f>
        <v>C35A5.8</v>
      </c>
      <c r="X338" s="4">
        <v>16.915828759982301</v>
      </c>
      <c r="Y338" s="4">
        <v>17.229589751718098</v>
      </c>
      <c r="Z338" s="4">
        <v>17.0784759374082</v>
      </c>
      <c r="AA338" s="4">
        <f t="shared" si="23"/>
        <v>17.0746314830362</v>
      </c>
      <c r="AH338" s="28" t="s">
        <v>4835</v>
      </c>
      <c r="AJ338" s="4" t="s">
        <v>2999</v>
      </c>
    </row>
    <row r="339" spans="2:36" x14ac:dyDescent="0.2">
      <c r="B339" s="4" t="s">
        <v>3858</v>
      </c>
      <c r="C339" s="4">
        <v>17.291499999999999</v>
      </c>
      <c r="D339" s="4">
        <v>16.726900000000001</v>
      </c>
      <c r="E339" s="4">
        <v>17.070900000000002</v>
      </c>
      <c r="F339" s="4">
        <f t="shared" si="20"/>
        <v>17.029766666666667</v>
      </c>
      <c r="I339" s="4" t="s">
        <v>3851</v>
      </c>
      <c r="J339" s="4">
        <v>17.182300000000001</v>
      </c>
      <c r="K339" s="4">
        <v>17.3444</v>
      </c>
      <c r="L339" s="4">
        <v>16.788799999999998</v>
      </c>
      <c r="M339" s="4">
        <f t="shared" si="21"/>
        <v>17.105166666666666</v>
      </c>
      <c r="P339" s="4" t="str">
        <f>"raga-1"</f>
        <v>raga-1</v>
      </c>
      <c r="Q339" s="4">
        <v>17.067096223815099</v>
      </c>
      <c r="R339" s="4">
        <v>16.9952048211237</v>
      </c>
      <c r="S339" s="4">
        <v>16.984172663048799</v>
      </c>
      <c r="T339" s="4">
        <f t="shared" si="22"/>
        <v>17.015491235995867</v>
      </c>
      <c r="W339" s="4" t="str">
        <f>"F36A2.7"</f>
        <v>F36A2.7</v>
      </c>
      <c r="X339" s="4">
        <v>16.982363008892499</v>
      </c>
      <c r="Y339" s="4">
        <v>17.200883753235701</v>
      </c>
      <c r="Z339" s="4">
        <v>17.014175952582299</v>
      </c>
      <c r="AA339" s="4">
        <f t="shared" si="23"/>
        <v>17.065807571570165</v>
      </c>
      <c r="AH339" s="28" t="s">
        <v>4229</v>
      </c>
      <c r="AJ339" s="4" t="s">
        <v>2625</v>
      </c>
    </row>
    <row r="340" spans="2:36" x14ac:dyDescent="0.2">
      <c r="B340" s="4" t="s">
        <v>1624</v>
      </c>
      <c r="C340" s="4">
        <v>16.704899999999999</v>
      </c>
      <c r="D340" s="4">
        <v>17.328800000000001</v>
      </c>
      <c r="E340" s="4">
        <v>17.050899999999999</v>
      </c>
      <c r="F340" s="4">
        <f t="shared" si="20"/>
        <v>17.028199999999998</v>
      </c>
      <c r="I340" s="4" t="s">
        <v>1071</v>
      </c>
      <c r="J340" s="4">
        <v>16.5032</v>
      </c>
      <c r="K340" s="4">
        <v>17.464099999999998</v>
      </c>
      <c r="L340" s="4">
        <v>17.346399999999999</v>
      </c>
      <c r="M340" s="4">
        <f t="shared" si="21"/>
        <v>17.104566666666667</v>
      </c>
      <c r="P340" s="4" t="str">
        <f>"rps-19"</f>
        <v>rps-19</v>
      </c>
      <c r="Q340" s="4">
        <v>17.1717201155246</v>
      </c>
      <c r="R340" s="4">
        <v>16.828452934884599</v>
      </c>
      <c r="S340" s="4">
        <v>17.0449584529403</v>
      </c>
      <c r="T340" s="4">
        <f t="shared" si="22"/>
        <v>17.015043834449834</v>
      </c>
      <c r="W340" s="4" t="str">
        <f>"adk-1"</f>
        <v>adk-1</v>
      </c>
      <c r="X340" s="4">
        <v>17.066924963603501</v>
      </c>
      <c r="Y340" s="4">
        <v>17.010904103257001</v>
      </c>
      <c r="Z340" s="4">
        <v>17.117842593007101</v>
      </c>
      <c r="AA340" s="4">
        <f t="shared" si="23"/>
        <v>17.065223886622533</v>
      </c>
      <c r="AH340" s="28" t="s">
        <v>3507</v>
      </c>
      <c r="AJ340" s="4" t="s">
        <v>4008</v>
      </c>
    </row>
    <row r="341" spans="2:36" x14ac:dyDescent="0.2">
      <c r="B341" s="4" t="s">
        <v>1651</v>
      </c>
      <c r="C341" s="4">
        <v>17.016100000000002</v>
      </c>
      <c r="D341" s="4">
        <v>17.064399999999999</v>
      </c>
      <c r="E341" s="4">
        <v>16.994399999999999</v>
      </c>
      <c r="F341" s="4">
        <f t="shared" si="20"/>
        <v>17.024966666666668</v>
      </c>
      <c r="I341" s="4" t="s">
        <v>409</v>
      </c>
      <c r="J341" s="4">
        <v>16.6236</v>
      </c>
      <c r="K341" s="4">
        <v>16.810199999999998</v>
      </c>
      <c r="L341" s="4">
        <v>17.8704</v>
      </c>
      <c r="M341" s="4">
        <f t="shared" si="21"/>
        <v>17.101399999999998</v>
      </c>
      <c r="P341" s="4" t="str">
        <f>"ucr-2.1"</f>
        <v>ucr-2.1</v>
      </c>
      <c r="Q341" s="4">
        <v>17.141125374226199</v>
      </c>
      <c r="R341" s="4">
        <v>16.781800548903998</v>
      </c>
      <c r="S341" s="4">
        <v>17.094888162068901</v>
      </c>
      <c r="T341" s="4">
        <f t="shared" si="22"/>
        <v>17.005938028399697</v>
      </c>
      <c r="W341" s="4" t="str">
        <f>"dif-1"</f>
        <v>dif-1</v>
      </c>
      <c r="X341" s="4">
        <v>17.1851809483008</v>
      </c>
      <c r="Y341" s="4">
        <v>17.088208691918901</v>
      </c>
      <c r="Z341" s="4">
        <v>16.920314659110002</v>
      </c>
      <c r="AA341" s="4">
        <f t="shared" si="23"/>
        <v>17.064568099776569</v>
      </c>
      <c r="AH341" s="28" t="s">
        <v>3529</v>
      </c>
      <c r="AJ341" s="4" t="s">
        <v>216</v>
      </c>
    </row>
    <row r="342" spans="2:36" x14ac:dyDescent="0.2">
      <c r="B342" s="4" t="s">
        <v>2271</v>
      </c>
      <c r="C342" s="4">
        <v>16.902200000000001</v>
      </c>
      <c r="D342" s="4">
        <v>16.6816</v>
      </c>
      <c r="E342" s="4">
        <v>17.485700000000001</v>
      </c>
      <c r="F342" s="4">
        <f t="shared" si="20"/>
        <v>17.023166666666665</v>
      </c>
      <c r="I342" s="4" t="s">
        <v>906</v>
      </c>
      <c r="J342" s="4">
        <v>17.414400000000001</v>
      </c>
      <c r="K342" s="4">
        <v>16.422699999999999</v>
      </c>
      <c r="L342" s="4">
        <v>17.442399999999999</v>
      </c>
      <c r="M342" s="4">
        <f t="shared" si="21"/>
        <v>17.093166666666665</v>
      </c>
      <c r="P342" s="4" t="str">
        <f>"rpoa-2"</f>
        <v>rpoa-2</v>
      </c>
      <c r="Q342" s="4">
        <v>16.990076228591501</v>
      </c>
      <c r="R342" s="4">
        <v>17.065629183945301</v>
      </c>
      <c r="S342" s="4">
        <v>16.9284368446983</v>
      </c>
      <c r="T342" s="4">
        <f t="shared" si="22"/>
        <v>16.994714085745034</v>
      </c>
      <c r="W342" s="4" t="str">
        <f>"mcm-5"</f>
        <v>mcm-5</v>
      </c>
      <c r="X342" s="4">
        <v>17.074729299162001</v>
      </c>
      <c r="Y342" s="4">
        <v>17.1617288980414</v>
      </c>
      <c r="Z342" s="4">
        <v>16.9517821550535</v>
      </c>
      <c r="AA342" s="4">
        <f t="shared" si="23"/>
        <v>17.062746784085636</v>
      </c>
      <c r="AH342" s="28" t="s">
        <v>3820</v>
      </c>
      <c r="AJ342" s="4" t="s">
        <v>717</v>
      </c>
    </row>
    <row r="343" spans="2:36" x14ac:dyDescent="0.2">
      <c r="B343" s="4" t="s">
        <v>1253</v>
      </c>
      <c r="C343" s="4">
        <v>17.106300000000001</v>
      </c>
      <c r="D343" s="4">
        <v>17.1601</v>
      </c>
      <c r="E343" s="4">
        <v>16.794799999999999</v>
      </c>
      <c r="F343" s="4">
        <f t="shared" si="20"/>
        <v>17.020399999999999</v>
      </c>
      <c r="I343" s="4" t="s">
        <v>1422</v>
      </c>
      <c r="J343" s="4">
        <v>17.652000000000001</v>
      </c>
      <c r="K343" s="4">
        <v>16.967400000000001</v>
      </c>
      <c r="L343" s="4">
        <v>16.6541</v>
      </c>
      <c r="M343" s="4">
        <f t="shared" si="21"/>
        <v>17.091166666666666</v>
      </c>
      <c r="P343" s="4" t="str">
        <f>"vha-13"</f>
        <v>vha-13</v>
      </c>
      <c r="Q343" s="4">
        <v>16.973738751510101</v>
      </c>
      <c r="R343" s="4">
        <v>17.0208419363512</v>
      </c>
      <c r="S343" s="4">
        <v>16.971299584311399</v>
      </c>
      <c r="T343" s="4">
        <f t="shared" si="22"/>
        <v>16.9886267573909</v>
      </c>
      <c r="W343" s="4" t="str">
        <f>"F32A11.1"</f>
        <v>F32A11.1</v>
      </c>
      <c r="X343" s="4">
        <v>16.7856252978786</v>
      </c>
      <c r="Y343" s="4">
        <v>17.1825092722238</v>
      </c>
      <c r="Z343" s="4">
        <v>17.2200609929384</v>
      </c>
      <c r="AA343" s="4">
        <f t="shared" si="23"/>
        <v>17.062731854346932</v>
      </c>
      <c r="AH343" s="28" t="s">
        <v>4816</v>
      </c>
      <c r="AJ343" s="4" t="s">
        <v>794</v>
      </c>
    </row>
    <row r="344" spans="2:36" x14ac:dyDescent="0.2">
      <c r="B344" s="4" t="s">
        <v>3157</v>
      </c>
      <c r="C344" s="4">
        <v>16.918900000000001</v>
      </c>
      <c r="D344" s="4">
        <v>17.0184</v>
      </c>
      <c r="E344" s="4">
        <v>17.121099999999998</v>
      </c>
      <c r="F344" s="4">
        <f t="shared" si="20"/>
        <v>17.019466666666666</v>
      </c>
      <c r="I344" s="4" t="s">
        <v>916</v>
      </c>
      <c r="J344" s="4">
        <v>17.1464</v>
      </c>
      <c r="K344" s="4">
        <v>16.9389</v>
      </c>
      <c r="L344" s="4">
        <v>17.180800000000001</v>
      </c>
      <c r="M344" s="4">
        <f t="shared" si="21"/>
        <v>17.088700000000003</v>
      </c>
      <c r="P344" s="4" t="str">
        <f>"ubq-1"</f>
        <v>ubq-1</v>
      </c>
      <c r="Q344" s="4">
        <v>17.339037962121601</v>
      </c>
      <c r="R344" s="4">
        <v>16.676710525137899</v>
      </c>
      <c r="S344" s="4">
        <v>16.9394635017198</v>
      </c>
      <c r="T344" s="4">
        <f t="shared" si="22"/>
        <v>16.985070662993099</v>
      </c>
      <c r="W344" s="4" t="str">
        <f>"msp-79"</f>
        <v>msp-79</v>
      </c>
      <c r="X344" s="4">
        <v>17.133628262714701</v>
      </c>
      <c r="Y344" s="4">
        <v>17.0007523973742</v>
      </c>
      <c r="Z344" s="4">
        <v>17.031147453953601</v>
      </c>
      <c r="AA344" s="4">
        <f t="shared" si="23"/>
        <v>17.055176038014167</v>
      </c>
      <c r="AH344" s="28" t="s">
        <v>4749</v>
      </c>
      <c r="AJ344" s="4" t="s">
        <v>3995</v>
      </c>
    </row>
    <row r="345" spans="2:36" x14ac:dyDescent="0.2">
      <c r="B345" s="4" t="s">
        <v>3070</v>
      </c>
      <c r="C345" s="4">
        <v>17.012899999999998</v>
      </c>
      <c r="D345" s="4">
        <v>17.164200000000001</v>
      </c>
      <c r="E345" s="4">
        <v>16.880700000000001</v>
      </c>
      <c r="F345" s="4">
        <f t="shared" si="20"/>
        <v>17.019266666666667</v>
      </c>
      <c r="I345" s="4" t="s">
        <v>1676</v>
      </c>
      <c r="J345" s="4">
        <v>17.265899999999998</v>
      </c>
      <c r="K345" s="4">
        <v>16.879200000000001</v>
      </c>
      <c r="L345" s="4">
        <v>17.102399999999999</v>
      </c>
      <c r="M345" s="4">
        <f t="shared" si="21"/>
        <v>17.0825</v>
      </c>
      <c r="P345" s="4" t="str">
        <f>"mek-5"</f>
        <v>mek-5</v>
      </c>
      <c r="Q345" s="4">
        <v>17.122424545314701</v>
      </c>
      <c r="R345" s="4">
        <v>16.738650772340701</v>
      </c>
      <c r="S345" s="4">
        <v>17.0701195700703</v>
      </c>
      <c r="T345" s="4">
        <f t="shared" si="22"/>
        <v>16.977064962575238</v>
      </c>
      <c r="W345" s="4" t="str">
        <f>"R148.5"</f>
        <v>R148.5</v>
      </c>
      <c r="X345" s="4">
        <v>16.762577869625201</v>
      </c>
      <c r="Y345" s="4">
        <v>16.933459842723501</v>
      </c>
      <c r="Z345" s="4">
        <v>17.4492692103344</v>
      </c>
      <c r="AA345" s="4">
        <f t="shared" si="23"/>
        <v>17.048435640894365</v>
      </c>
      <c r="AH345" s="28" t="s">
        <v>4694</v>
      </c>
      <c r="AJ345" s="4" t="s">
        <v>4366</v>
      </c>
    </row>
    <row r="346" spans="2:36" x14ac:dyDescent="0.2">
      <c r="B346" s="4" t="s">
        <v>3947</v>
      </c>
      <c r="C346" s="4">
        <v>17.096699999999998</v>
      </c>
      <c r="D346" s="4">
        <v>17.144100000000002</v>
      </c>
      <c r="E346" s="4">
        <v>16.811499999999999</v>
      </c>
      <c r="F346" s="4">
        <f t="shared" si="20"/>
        <v>17.017433333333333</v>
      </c>
      <c r="I346" s="4" t="s">
        <v>758</v>
      </c>
      <c r="J346" s="4">
        <v>17.168099999999999</v>
      </c>
      <c r="K346" s="4">
        <v>17.037099999999999</v>
      </c>
      <c r="L346" s="4">
        <v>17.019100000000002</v>
      </c>
      <c r="M346" s="4">
        <f t="shared" si="21"/>
        <v>17.074766666666665</v>
      </c>
      <c r="P346" s="4" t="str">
        <f>"rpl-28"</f>
        <v>rpl-28</v>
      </c>
      <c r="Q346" s="4">
        <v>17.262149524703599</v>
      </c>
      <c r="R346" s="4">
        <v>17.075509810448501</v>
      </c>
      <c r="S346" s="4">
        <v>16.583013283770502</v>
      </c>
      <c r="T346" s="4">
        <f t="shared" si="22"/>
        <v>16.973557539640865</v>
      </c>
      <c r="W346" s="4" t="str">
        <f>"gspd-1"</f>
        <v>gspd-1</v>
      </c>
      <c r="X346" s="4">
        <v>17.0381351611151</v>
      </c>
      <c r="Y346" s="4">
        <v>17.168777943277899</v>
      </c>
      <c r="Z346" s="4">
        <v>16.906798675434001</v>
      </c>
      <c r="AA346" s="4">
        <f t="shared" si="23"/>
        <v>17.037903926609001</v>
      </c>
      <c r="AH346" s="28" t="s">
        <v>4683</v>
      </c>
      <c r="AJ346" s="4" t="s">
        <v>240</v>
      </c>
    </row>
    <row r="347" spans="2:36" x14ac:dyDescent="0.2">
      <c r="B347" s="4" t="s">
        <v>3771</v>
      </c>
      <c r="C347" s="4">
        <v>17.012</v>
      </c>
      <c r="D347" s="4">
        <v>17.034400000000002</v>
      </c>
      <c r="E347" s="4">
        <v>17.001000000000001</v>
      </c>
      <c r="F347" s="4">
        <f t="shared" si="20"/>
        <v>17.015800000000002</v>
      </c>
      <c r="I347" s="4" t="s">
        <v>4011</v>
      </c>
      <c r="J347" s="4">
        <v>17.045400000000001</v>
      </c>
      <c r="K347" s="4">
        <v>17.026900000000001</v>
      </c>
      <c r="L347" s="4">
        <v>17.1509</v>
      </c>
      <c r="M347" s="4">
        <f t="shared" si="21"/>
        <v>17.074400000000001</v>
      </c>
      <c r="P347" s="4" t="str">
        <f>"Y45G12B.3"</f>
        <v>Y45G12B.3</v>
      </c>
      <c r="Q347" s="4">
        <v>17.384469625692802</v>
      </c>
      <c r="R347" s="4">
        <v>16.691630657507002</v>
      </c>
      <c r="S347" s="4">
        <v>16.824192965721799</v>
      </c>
      <c r="T347" s="4">
        <f t="shared" si="22"/>
        <v>16.966764416307203</v>
      </c>
      <c r="W347" s="4" t="str">
        <f>"hpo-18"</f>
        <v>hpo-18</v>
      </c>
      <c r="X347" s="4">
        <v>17.030205836404001</v>
      </c>
      <c r="Y347" s="4">
        <v>16.935078444703301</v>
      </c>
      <c r="Z347" s="4">
        <v>17.107612836538401</v>
      </c>
      <c r="AA347" s="4">
        <f t="shared" si="23"/>
        <v>17.024299039215233</v>
      </c>
      <c r="AH347" s="28" t="s">
        <v>4084</v>
      </c>
      <c r="AJ347" s="4" t="s">
        <v>4433</v>
      </c>
    </row>
    <row r="348" spans="2:36" x14ac:dyDescent="0.2">
      <c r="B348" s="4" t="s">
        <v>4065</v>
      </c>
      <c r="C348" s="4">
        <v>16.825700000000001</v>
      </c>
      <c r="D348" s="4">
        <v>17.321200000000001</v>
      </c>
      <c r="E348" s="4">
        <v>16.89</v>
      </c>
      <c r="F348" s="4">
        <f t="shared" si="20"/>
        <v>17.0123</v>
      </c>
      <c r="I348" s="4" t="s">
        <v>301</v>
      </c>
      <c r="J348" s="4">
        <v>17.0319</v>
      </c>
      <c r="K348" s="4">
        <v>17.362100000000002</v>
      </c>
      <c r="L348" s="4">
        <v>16.812100000000001</v>
      </c>
      <c r="M348" s="4">
        <f t="shared" si="21"/>
        <v>17.068700000000003</v>
      </c>
      <c r="P348" s="4" t="str">
        <f>"nra-2"</f>
        <v>nra-2</v>
      </c>
      <c r="Q348" s="4">
        <v>16.868222486054702</v>
      </c>
      <c r="R348" s="4">
        <v>16.956188784956801</v>
      </c>
      <c r="S348" s="4">
        <v>17.064331183939501</v>
      </c>
      <c r="T348" s="4">
        <f t="shared" si="22"/>
        <v>16.962914151650335</v>
      </c>
      <c r="W348" s="4" t="str">
        <f>"pud-3"</f>
        <v>pud-3</v>
      </c>
      <c r="X348" s="4">
        <v>16.919314371405999</v>
      </c>
      <c r="Y348" s="4">
        <v>17.000760643898701</v>
      </c>
      <c r="Z348" s="4">
        <v>17.142155465185098</v>
      </c>
      <c r="AA348" s="4">
        <f t="shared" si="23"/>
        <v>17.0207434934966</v>
      </c>
      <c r="AH348" s="28" t="s">
        <v>4824</v>
      </c>
      <c r="AJ348" s="4" t="s">
        <v>1036</v>
      </c>
    </row>
    <row r="349" spans="2:36" x14ac:dyDescent="0.2">
      <c r="B349" s="4" t="s">
        <v>3870</v>
      </c>
      <c r="C349" s="4">
        <v>17.065200000000001</v>
      </c>
      <c r="D349" s="4">
        <v>17.2608</v>
      </c>
      <c r="E349" s="4">
        <v>16.7</v>
      </c>
      <c r="F349" s="4">
        <f t="shared" si="20"/>
        <v>17.008666666666667</v>
      </c>
      <c r="I349" s="4" t="s">
        <v>3849</v>
      </c>
      <c r="J349" s="4">
        <v>17.075600000000001</v>
      </c>
      <c r="K349" s="4">
        <v>17.229500000000002</v>
      </c>
      <c r="L349" s="4">
        <v>16.891300000000001</v>
      </c>
      <c r="M349" s="4">
        <f t="shared" si="21"/>
        <v>17.065466666666669</v>
      </c>
      <c r="P349" s="4" t="str">
        <f>"H06I04.3"</f>
        <v>H06I04.3</v>
      </c>
      <c r="Q349" s="4">
        <v>17.182393751816399</v>
      </c>
      <c r="R349" s="4">
        <v>16.7956283875405</v>
      </c>
      <c r="S349" s="4">
        <v>16.900492723358401</v>
      </c>
      <c r="T349" s="4">
        <f t="shared" si="22"/>
        <v>16.95950495423843</v>
      </c>
      <c r="W349" s="4" t="str">
        <f>"apb-1"</f>
        <v>apb-1</v>
      </c>
      <c r="X349" s="4">
        <v>17.0725613662492</v>
      </c>
      <c r="Y349" s="4">
        <v>17.125466580057399</v>
      </c>
      <c r="Z349" s="4">
        <v>16.8527719215434</v>
      </c>
      <c r="AA349" s="4">
        <f t="shared" si="23"/>
        <v>17.016933289283333</v>
      </c>
      <c r="AH349" s="28" t="s">
        <v>1684</v>
      </c>
      <c r="AJ349" s="4" t="s">
        <v>3432</v>
      </c>
    </row>
    <row r="350" spans="2:36" x14ac:dyDescent="0.2">
      <c r="B350" s="4" t="s">
        <v>2300</v>
      </c>
      <c r="C350" s="4">
        <v>17.054099999999998</v>
      </c>
      <c r="D350" s="4">
        <v>16.699000000000002</v>
      </c>
      <c r="E350" s="4">
        <v>17.196000000000002</v>
      </c>
      <c r="F350" s="4">
        <f t="shared" si="20"/>
        <v>16.983033333333335</v>
      </c>
      <c r="I350" s="4" t="s">
        <v>2531</v>
      </c>
      <c r="J350" s="4">
        <v>17.062799999999999</v>
      </c>
      <c r="K350" s="4">
        <v>17.034600000000001</v>
      </c>
      <c r="L350" s="4">
        <v>17.095600000000001</v>
      </c>
      <c r="M350" s="4">
        <f t="shared" si="21"/>
        <v>17.064333333333334</v>
      </c>
      <c r="P350" s="4" t="str">
        <f>"rab-35"</f>
        <v>rab-35</v>
      </c>
      <c r="Q350" s="4">
        <v>17.013081770655401</v>
      </c>
      <c r="R350" s="4">
        <v>16.881660178736201</v>
      </c>
      <c r="S350" s="4">
        <v>16.9810135791882</v>
      </c>
      <c r="T350" s="4">
        <f t="shared" si="22"/>
        <v>16.958585176193267</v>
      </c>
      <c r="W350" s="4" t="str">
        <f>"uba-1"</f>
        <v>uba-1</v>
      </c>
      <c r="X350" s="4">
        <v>17.196189071757502</v>
      </c>
      <c r="Y350" s="4">
        <v>16.911808520503801</v>
      </c>
      <c r="Z350" s="4">
        <v>16.895257766508699</v>
      </c>
      <c r="AA350" s="4">
        <f t="shared" si="23"/>
        <v>17.001085119589998</v>
      </c>
      <c r="AH350" s="28" t="s">
        <v>4689</v>
      </c>
      <c r="AJ350" s="4" t="s">
        <v>4247</v>
      </c>
    </row>
    <row r="351" spans="2:36" x14ac:dyDescent="0.2">
      <c r="B351" s="4" t="s">
        <v>1259</v>
      </c>
      <c r="C351" s="4">
        <v>16.978899999999999</v>
      </c>
      <c r="D351" s="4">
        <v>17.2196</v>
      </c>
      <c r="E351" s="4">
        <v>16.7332</v>
      </c>
      <c r="F351" s="4">
        <f t="shared" si="20"/>
        <v>16.977233333333331</v>
      </c>
      <c r="I351" s="4" t="s">
        <v>115</v>
      </c>
      <c r="J351" s="4">
        <v>17.1343</v>
      </c>
      <c r="K351" s="4">
        <v>17.1813</v>
      </c>
      <c r="L351" s="4">
        <v>16.8414</v>
      </c>
      <c r="M351" s="4">
        <f t="shared" si="21"/>
        <v>17.052333333333333</v>
      </c>
      <c r="P351" s="4" t="str">
        <f>"mmaa-1"</f>
        <v>mmaa-1</v>
      </c>
      <c r="Q351" s="4">
        <v>17.125136509787801</v>
      </c>
      <c r="R351" s="4">
        <v>16.850473328188802</v>
      </c>
      <c r="S351" s="4">
        <v>16.887013038918099</v>
      </c>
      <c r="T351" s="4">
        <f t="shared" si="22"/>
        <v>16.954207625631568</v>
      </c>
      <c r="W351" s="4" t="str">
        <f>"tps-1"</f>
        <v>tps-1</v>
      </c>
      <c r="X351" s="4">
        <v>16.874271500253698</v>
      </c>
      <c r="Y351" s="4">
        <v>17.031783009245402</v>
      </c>
      <c r="Z351" s="4">
        <v>17.094929744794801</v>
      </c>
      <c r="AA351" s="4">
        <f t="shared" si="23"/>
        <v>17.000328084764632</v>
      </c>
      <c r="AH351" s="28" t="s">
        <v>4840</v>
      </c>
      <c r="AJ351" s="4" t="s">
        <v>3897</v>
      </c>
    </row>
    <row r="352" spans="2:36" x14ac:dyDescent="0.2">
      <c r="B352" s="4" t="s">
        <v>3128</v>
      </c>
      <c r="C352" s="4">
        <v>16.925999999999998</v>
      </c>
      <c r="D352" s="4">
        <v>17.089600000000001</v>
      </c>
      <c r="E352" s="4">
        <v>16.899799999999999</v>
      </c>
      <c r="F352" s="4">
        <f t="shared" si="20"/>
        <v>16.971799999999998</v>
      </c>
      <c r="I352" s="4" t="s">
        <v>1484</v>
      </c>
      <c r="J352" s="4">
        <v>17.176400000000001</v>
      </c>
      <c r="K352" s="4">
        <v>16.8339</v>
      </c>
      <c r="L352" s="4">
        <v>17.144500000000001</v>
      </c>
      <c r="M352" s="4">
        <f t="shared" si="21"/>
        <v>17.051600000000001</v>
      </c>
      <c r="P352" s="4" t="str">
        <f>"top-1"</f>
        <v>top-1</v>
      </c>
      <c r="Q352" s="4">
        <v>16.232212863467002</v>
      </c>
      <c r="R352" s="4">
        <v>17.087497315497401</v>
      </c>
      <c r="S352" s="4">
        <v>17.516515532006999</v>
      </c>
      <c r="T352" s="4">
        <f t="shared" si="22"/>
        <v>16.945408570323799</v>
      </c>
      <c r="W352" s="4" t="str">
        <f>"sup-46"</f>
        <v>sup-46</v>
      </c>
      <c r="X352" s="4">
        <v>16.9984309699345</v>
      </c>
      <c r="Y352" s="4">
        <v>17.034586287662599</v>
      </c>
      <c r="Z352" s="4">
        <v>16.959772895803798</v>
      </c>
      <c r="AA352" s="4">
        <f t="shared" si="23"/>
        <v>16.997596717800295</v>
      </c>
      <c r="AH352" s="28" t="s">
        <v>503</v>
      </c>
      <c r="AJ352" s="4" t="s">
        <v>1287</v>
      </c>
    </row>
    <row r="353" spans="2:36" x14ac:dyDescent="0.2">
      <c r="B353" s="4" t="s">
        <v>2566</v>
      </c>
      <c r="C353" s="4">
        <v>16.932700000000001</v>
      </c>
      <c r="D353" s="4">
        <v>16.912600000000001</v>
      </c>
      <c r="E353" s="4">
        <v>16.9998</v>
      </c>
      <c r="F353" s="4">
        <f t="shared" si="20"/>
        <v>16.948366666666669</v>
      </c>
      <c r="I353" s="4" t="s">
        <v>3858</v>
      </c>
      <c r="J353" s="4">
        <v>17.132000000000001</v>
      </c>
      <c r="K353" s="4">
        <v>16.9269</v>
      </c>
      <c r="L353" s="4">
        <v>17.0929</v>
      </c>
      <c r="M353" s="4">
        <f t="shared" si="21"/>
        <v>17.050599999999999</v>
      </c>
      <c r="P353" s="4" t="str">
        <f>"cct-4"</f>
        <v>cct-4</v>
      </c>
      <c r="Q353" s="4">
        <v>16.790670214137599</v>
      </c>
      <c r="R353" s="4">
        <v>17.344528391860099</v>
      </c>
      <c r="S353" s="4">
        <v>16.691215342885599</v>
      </c>
      <c r="T353" s="4">
        <f t="shared" si="22"/>
        <v>16.9421379829611</v>
      </c>
      <c r="W353" s="4" t="str">
        <f>"mmcm-1"</f>
        <v>mmcm-1</v>
      </c>
      <c r="X353" s="4">
        <v>17.054626920103502</v>
      </c>
      <c r="Y353" s="4">
        <v>16.9402355543961</v>
      </c>
      <c r="Z353" s="4">
        <v>16.9840113457313</v>
      </c>
      <c r="AA353" s="4">
        <f t="shared" si="23"/>
        <v>16.992957940076966</v>
      </c>
      <c r="AH353" s="28" t="s">
        <v>505</v>
      </c>
      <c r="AJ353" s="4" t="s">
        <v>866</v>
      </c>
    </row>
    <row r="354" spans="2:36" x14ac:dyDescent="0.2">
      <c r="B354" s="4" t="s">
        <v>1745</v>
      </c>
      <c r="C354" s="4">
        <v>17.062200000000001</v>
      </c>
      <c r="D354" s="4">
        <v>16.841100000000001</v>
      </c>
      <c r="E354" s="4">
        <v>16.930900000000001</v>
      </c>
      <c r="F354" s="4">
        <f t="shared" si="20"/>
        <v>16.944733333333335</v>
      </c>
      <c r="I354" s="4" t="s">
        <v>2377</v>
      </c>
      <c r="J354" s="4">
        <v>17.307200000000002</v>
      </c>
      <c r="K354" s="4">
        <v>17.3583</v>
      </c>
      <c r="L354" s="4">
        <v>16.484999999999999</v>
      </c>
      <c r="M354" s="4">
        <f t="shared" si="21"/>
        <v>17.050166666666666</v>
      </c>
      <c r="P354" s="4" t="str">
        <f>"haf-3"</f>
        <v>haf-3</v>
      </c>
      <c r="Q354" s="4">
        <v>16.8810014661269</v>
      </c>
      <c r="R354" s="4">
        <v>16.948060221577499</v>
      </c>
      <c r="S354" s="4">
        <v>16.977105205632501</v>
      </c>
      <c r="T354" s="4">
        <f t="shared" si="22"/>
        <v>16.935388964445632</v>
      </c>
      <c r="W354" s="4" t="str">
        <f>"ngp-1"</f>
        <v>ngp-1</v>
      </c>
      <c r="X354" s="4">
        <v>16.8445096816986</v>
      </c>
      <c r="Y354" s="4">
        <v>17.057823585968301</v>
      </c>
      <c r="Z354" s="4">
        <v>17.057977986834398</v>
      </c>
      <c r="AA354" s="4">
        <f t="shared" si="23"/>
        <v>16.986770418167101</v>
      </c>
      <c r="AH354" s="28" t="s">
        <v>4779</v>
      </c>
      <c r="AJ354" s="4" t="s">
        <v>4394</v>
      </c>
    </row>
    <row r="355" spans="2:36" x14ac:dyDescent="0.2">
      <c r="B355" s="4" t="s">
        <v>3356</v>
      </c>
      <c r="C355" s="4">
        <v>17.276399999999999</v>
      </c>
      <c r="D355" s="4">
        <v>16.587700000000002</v>
      </c>
      <c r="E355" s="4">
        <v>16.953499999999998</v>
      </c>
      <c r="F355" s="4">
        <f t="shared" si="20"/>
        <v>16.9392</v>
      </c>
      <c r="I355" s="4" t="s">
        <v>1015</v>
      </c>
      <c r="J355" s="4">
        <v>17.1874</v>
      </c>
      <c r="K355" s="4">
        <v>16.9116</v>
      </c>
      <c r="L355" s="4">
        <v>17.0275</v>
      </c>
      <c r="M355" s="4">
        <f t="shared" si="21"/>
        <v>17.04216666666667</v>
      </c>
      <c r="P355" s="4" t="str">
        <f>"rab-7"</f>
        <v>rab-7</v>
      </c>
      <c r="Q355" s="4">
        <v>17.300058673288099</v>
      </c>
      <c r="R355" s="4">
        <v>16.7051044116327</v>
      </c>
      <c r="S355" s="4">
        <v>16.7806627928477</v>
      </c>
      <c r="T355" s="4">
        <f t="shared" si="22"/>
        <v>16.928608625922831</v>
      </c>
      <c r="W355" s="4" t="str">
        <f>"copb-2"</f>
        <v>copb-2</v>
      </c>
      <c r="X355" s="4">
        <v>16.962284242443801</v>
      </c>
      <c r="Y355" s="4">
        <v>16.966439859766002</v>
      </c>
      <c r="Z355" s="4">
        <v>17.021787865639599</v>
      </c>
      <c r="AA355" s="4">
        <f t="shared" si="23"/>
        <v>16.983503989283133</v>
      </c>
      <c r="AH355" s="28" t="s">
        <v>3014</v>
      </c>
      <c r="AJ355" s="4" t="s">
        <v>2037</v>
      </c>
    </row>
    <row r="356" spans="2:36" x14ac:dyDescent="0.2">
      <c r="B356" s="4" t="s">
        <v>1636</v>
      </c>
      <c r="C356" s="4">
        <v>17.1905</v>
      </c>
      <c r="D356" s="4">
        <v>16.760000000000002</v>
      </c>
      <c r="E356" s="4">
        <v>16.8367</v>
      </c>
      <c r="F356" s="4">
        <f t="shared" si="20"/>
        <v>16.929066666666667</v>
      </c>
      <c r="I356" s="4" t="s">
        <v>305</v>
      </c>
      <c r="J356" s="4">
        <v>17.112300000000001</v>
      </c>
      <c r="K356" s="4">
        <v>16.923500000000001</v>
      </c>
      <c r="L356" s="4">
        <v>17.081600000000002</v>
      </c>
      <c r="M356" s="4">
        <f t="shared" si="21"/>
        <v>17.039133333333336</v>
      </c>
      <c r="P356" s="4" t="str">
        <f>"xpo-1"</f>
        <v>xpo-1</v>
      </c>
      <c r="Q356" s="4">
        <v>16.933755230473398</v>
      </c>
      <c r="R356" s="4">
        <v>17.014133627049901</v>
      </c>
      <c r="S356" s="4">
        <v>16.805807170103801</v>
      </c>
      <c r="T356" s="4">
        <f t="shared" si="22"/>
        <v>16.917898675875701</v>
      </c>
      <c r="W356" s="4" t="str">
        <f>"ruvb-1"</f>
        <v>ruvb-1</v>
      </c>
      <c r="X356" s="4">
        <v>16.963757168676199</v>
      </c>
      <c r="Y356" s="4">
        <v>17.150817258778201</v>
      </c>
      <c r="Z356" s="4">
        <v>16.812711314764901</v>
      </c>
      <c r="AA356" s="4">
        <f t="shared" si="23"/>
        <v>16.9757619140731</v>
      </c>
      <c r="AH356" s="28" t="s">
        <v>3763</v>
      </c>
      <c r="AJ356" s="4" t="s">
        <v>4208</v>
      </c>
    </row>
    <row r="357" spans="2:36" x14ac:dyDescent="0.2">
      <c r="B357" s="4" t="s">
        <v>3131</v>
      </c>
      <c r="C357" s="4">
        <v>16.780100000000001</v>
      </c>
      <c r="D357" s="4">
        <v>17.063099999999999</v>
      </c>
      <c r="E357" s="4">
        <v>16.9419</v>
      </c>
      <c r="F357" s="4">
        <f t="shared" si="20"/>
        <v>16.928366666666665</v>
      </c>
      <c r="I357" s="4" t="s">
        <v>2389</v>
      </c>
      <c r="J357" s="4">
        <v>16.9206</v>
      </c>
      <c r="K357" s="4">
        <v>16.974799999999998</v>
      </c>
      <c r="L357" s="4">
        <v>17.221299999999999</v>
      </c>
      <c r="M357" s="4">
        <f t="shared" si="21"/>
        <v>17.038899999999998</v>
      </c>
      <c r="P357" s="4" t="str">
        <f>"hil-3"</f>
        <v>hil-3</v>
      </c>
      <c r="Q357" s="4">
        <v>17.055228506300399</v>
      </c>
      <c r="R357" s="4">
        <v>16.891774622911299</v>
      </c>
      <c r="S357" s="4">
        <v>16.805233090677302</v>
      </c>
      <c r="T357" s="4">
        <f t="shared" si="22"/>
        <v>16.917412073296333</v>
      </c>
      <c r="W357" s="4" t="str">
        <f>"aqp-2"</f>
        <v>aqp-2</v>
      </c>
      <c r="X357" s="4">
        <v>16.8742866138392</v>
      </c>
      <c r="Y357" s="4">
        <v>17.003054134719601</v>
      </c>
      <c r="Z357" s="4">
        <v>17.010493549635601</v>
      </c>
      <c r="AA357" s="4">
        <f t="shared" si="23"/>
        <v>16.962611432731467</v>
      </c>
      <c r="AH357" s="28" t="s">
        <v>1350</v>
      </c>
      <c r="AJ357" s="4" t="s">
        <v>4307</v>
      </c>
    </row>
    <row r="358" spans="2:36" x14ac:dyDescent="0.2">
      <c r="B358" s="4" t="s">
        <v>770</v>
      </c>
      <c r="C358" s="4">
        <v>16.987300000000001</v>
      </c>
      <c r="D358" s="4">
        <v>16.831600000000002</v>
      </c>
      <c r="E358" s="4">
        <v>16.961200000000002</v>
      </c>
      <c r="F358" s="4">
        <f t="shared" si="20"/>
        <v>16.9267</v>
      </c>
      <c r="I358" s="4" t="s">
        <v>3508</v>
      </c>
      <c r="J358" s="4">
        <v>17.1435</v>
      </c>
      <c r="K358" s="4">
        <v>16.878599999999999</v>
      </c>
      <c r="L358" s="4">
        <v>17.078499999999998</v>
      </c>
      <c r="M358" s="4">
        <f t="shared" si="21"/>
        <v>17.033533333333331</v>
      </c>
      <c r="P358" s="4" t="str">
        <f>"azyx-1"</f>
        <v>azyx-1</v>
      </c>
      <c r="Q358" s="4">
        <v>17.291715574751699</v>
      </c>
      <c r="R358" s="4">
        <v>16.605442601476302</v>
      </c>
      <c r="S358" s="4">
        <v>16.8185366750753</v>
      </c>
      <c r="T358" s="4">
        <f t="shared" si="22"/>
        <v>16.905231617101101</v>
      </c>
      <c r="W358" s="4" t="str">
        <f>"stt-3"</f>
        <v>stt-3</v>
      </c>
      <c r="X358" s="4">
        <v>17.095172134145201</v>
      </c>
      <c r="Y358" s="4">
        <v>16.972091940694401</v>
      </c>
      <c r="Z358" s="4">
        <v>16.805985083825998</v>
      </c>
      <c r="AA358" s="4">
        <f t="shared" si="23"/>
        <v>16.957749719555199</v>
      </c>
      <c r="AH358" s="28" t="s">
        <v>4670</v>
      </c>
      <c r="AJ358" s="4" t="s">
        <v>2734</v>
      </c>
    </row>
    <row r="359" spans="2:36" x14ac:dyDescent="0.2">
      <c r="B359" s="4" t="s">
        <v>2669</v>
      </c>
      <c r="C359" s="4">
        <v>16.9208</v>
      </c>
      <c r="D359" s="4">
        <v>16.950500000000002</v>
      </c>
      <c r="E359" s="4">
        <v>16.8765</v>
      </c>
      <c r="F359" s="4">
        <f t="shared" si="20"/>
        <v>16.915933333333335</v>
      </c>
      <c r="I359" s="4" t="s">
        <v>1699</v>
      </c>
      <c r="J359" s="4">
        <v>16.933900000000001</v>
      </c>
      <c r="K359" s="4">
        <v>17.0185</v>
      </c>
      <c r="L359" s="4">
        <v>17.136299999999999</v>
      </c>
      <c r="M359" s="4">
        <f t="shared" si="21"/>
        <v>17.029566666666664</v>
      </c>
      <c r="P359" s="4" t="str">
        <f>"let-363"</f>
        <v>let-363</v>
      </c>
      <c r="Q359" s="4">
        <v>17.071003489299599</v>
      </c>
      <c r="R359" s="4">
        <v>16.880389965853599</v>
      </c>
      <c r="S359" s="4">
        <v>16.7405053105383</v>
      </c>
      <c r="T359" s="4">
        <f t="shared" si="22"/>
        <v>16.897299588563829</v>
      </c>
      <c r="W359" s="4" t="str">
        <f>"unc-87"</f>
        <v>unc-87</v>
      </c>
      <c r="X359" s="4">
        <v>16.575712547458501</v>
      </c>
      <c r="Y359" s="4">
        <v>16.756004882549099</v>
      </c>
      <c r="Z359" s="4">
        <v>17.530986278081599</v>
      </c>
      <c r="AA359" s="4">
        <f t="shared" si="23"/>
        <v>16.954234569363066</v>
      </c>
      <c r="AH359" s="28" t="s">
        <v>3138</v>
      </c>
      <c r="AJ359" s="4" t="s">
        <v>2585</v>
      </c>
    </row>
    <row r="360" spans="2:36" x14ac:dyDescent="0.2">
      <c r="B360" s="4" t="s">
        <v>2657</v>
      </c>
      <c r="C360" s="4">
        <v>16.565100000000001</v>
      </c>
      <c r="D360" s="4">
        <v>17.331099999999999</v>
      </c>
      <c r="E360" s="4">
        <v>16.840299999999999</v>
      </c>
      <c r="F360" s="4">
        <f t="shared" si="20"/>
        <v>16.912166666666668</v>
      </c>
      <c r="I360" s="4" t="s">
        <v>1624</v>
      </c>
      <c r="J360" s="4">
        <v>17.110499999999998</v>
      </c>
      <c r="K360" s="4">
        <v>16.7409</v>
      </c>
      <c r="L360" s="4">
        <v>17.2135</v>
      </c>
      <c r="M360" s="4">
        <f t="shared" si="21"/>
        <v>17.02163333333333</v>
      </c>
      <c r="P360" s="4" t="str">
        <f>"iars-1"</f>
        <v>iars-1</v>
      </c>
      <c r="Q360" s="4">
        <v>16.912348451879801</v>
      </c>
      <c r="R360" s="4">
        <v>16.972671841448999</v>
      </c>
      <c r="S360" s="4">
        <v>16.804313212991701</v>
      </c>
      <c r="T360" s="4">
        <f t="shared" si="22"/>
        <v>16.896444502106835</v>
      </c>
      <c r="W360" s="4" t="str">
        <f>"F14D2.11"</f>
        <v>F14D2.11</v>
      </c>
      <c r="X360" s="4">
        <v>16.846738946692401</v>
      </c>
      <c r="Y360" s="4">
        <v>17.027293974787501</v>
      </c>
      <c r="Z360" s="4">
        <v>16.974479775388101</v>
      </c>
      <c r="AA360" s="4">
        <f t="shared" si="23"/>
        <v>16.949504232289332</v>
      </c>
      <c r="AH360" s="28" t="s">
        <v>4007</v>
      </c>
      <c r="AJ360" s="4" t="s">
        <v>4471</v>
      </c>
    </row>
    <row r="361" spans="2:36" x14ac:dyDescent="0.2">
      <c r="B361" s="4" t="s">
        <v>2088</v>
      </c>
      <c r="C361" s="4">
        <v>17.2241</v>
      </c>
      <c r="D361" s="4">
        <v>16.658100000000001</v>
      </c>
      <c r="E361" s="4">
        <v>16.851400000000002</v>
      </c>
      <c r="F361" s="4">
        <f t="shared" si="20"/>
        <v>16.911199999999997</v>
      </c>
      <c r="I361" s="4" t="s">
        <v>781</v>
      </c>
      <c r="J361" s="4">
        <v>17.132300000000001</v>
      </c>
      <c r="K361" s="4">
        <v>17.421099999999999</v>
      </c>
      <c r="L361" s="4">
        <v>16.4985</v>
      </c>
      <c r="M361" s="4">
        <f t="shared" si="21"/>
        <v>17.017299999999999</v>
      </c>
      <c r="P361" s="4" t="str">
        <f>"mars-1"</f>
        <v>mars-1</v>
      </c>
      <c r="Q361" s="4">
        <v>16.908008304202799</v>
      </c>
      <c r="R361" s="4">
        <v>16.8972219132785</v>
      </c>
      <c r="S361" s="4">
        <v>16.8822373100673</v>
      </c>
      <c r="T361" s="4">
        <f t="shared" si="22"/>
        <v>16.895822509182864</v>
      </c>
      <c r="W361" s="4" t="str">
        <f>"raga-1"</f>
        <v>raga-1</v>
      </c>
      <c r="X361" s="4">
        <v>16.848336060376099</v>
      </c>
      <c r="Y361" s="4">
        <v>17.096092790991499</v>
      </c>
      <c r="Z361" s="4">
        <v>16.886979144894799</v>
      </c>
      <c r="AA361" s="4">
        <f t="shared" si="23"/>
        <v>16.943802665420801</v>
      </c>
      <c r="AH361" s="28" t="s">
        <v>4634</v>
      </c>
      <c r="AJ361" s="4" t="s">
        <v>755</v>
      </c>
    </row>
    <row r="362" spans="2:36" x14ac:dyDescent="0.2">
      <c r="B362" s="4" t="s">
        <v>3704</v>
      </c>
      <c r="C362" s="4">
        <v>16.8977</v>
      </c>
      <c r="D362" s="4">
        <v>16.5732</v>
      </c>
      <c r="E362" s="4">
        <v>17.2592</v>
      </c>
      <c r="F362" s="4">
        <f t="shared" si="20"/>
        <v>16.910033333333335</v>
      </c>
      <c r="I362" s="4" t="s">
        <v>519</v>
      </c>
      <c r="J362" s="4">
        <v>17.1264</v>
      </c>
      <c r="K362" s="4">
        <v>16.8154</v>
      </c>
      <c r="L362" s="4">
        <v>17.094999999999999</v>
      </c>
      <c r="M362" s="4">
        <f t="shared" si="21"/>
        <v>17.012266666666665</v>
      </c>
      <c r="P362" s="4" t="str">
        <f>"ctps-1"</f>
        <v>ctps-1</v>
      </c>
      <c r="Q362" s="4">
        <v>16.961583935217199</v>
      </c>
      <c r="R362" s="4">
        <v>16.868675203693002</v>
      </c>
      <c r="S362" s="4">
        <v>16.8571083368799</v>
      </c>
      <c r="T362" s="4">
        <f t="shared" si="22"/>
        <v>16.895789158596699</v>
      </c>
      <c r="W362" s="4" t="str">
        <f>"wars-1"</f>
        <v>wars-1</v>
      </c>
      <c r="X362" s="4">
        <v>16.871452063737699</v>
      </c>
      <c r="Y362" s="4">
        <v>17.1030072686757</v>
      </c>
      <c r="Z362" s="4">
        <v>16.854836513237199</v>
      </c>
      <c r="AA362" s="4">
        <f t="shared" si="23"/>
        <v>16.943098615216869</v>
      </c>
      <c r="AH362" s="28" t="s">
        <v>2469</v>
      </c>
      <c r="AJ362" s="4" t="s">
        <v>1555</v>
      </c>
    </row>
    <row r="363" spans="2:36" x14ac:dyDescent="0.2">
      <c r="B363" s="4" t="s">
        <v>705</v>
      </c>
      <c r="C363" s="4">
        <v>16.466100000000001</v>
      </c>
      <c r="D363" s="4">
        <v>16.9847</v>
      </c>
      <c r="E363" s="4">
        <v>17.258700000000001</v>
      </c>
      <c r="F363" s="4">
        <f t="shared" si="20"/>
        <v>16.903166666666667</v>
      </c>
      <c r="I363" s="4" t="s">
        <v>713</v>
      </c>
      <c r="J363" s="4">
        <v>16.955300000000001</v>
      </c>
      <c r="K363" s="4">
        <v>17.125599999999999</v>
      </c>
      <c r="L363" s="4">
        <v>16.954799999999999</v>
      </c>
      <c r="M363" s="4">
        <f t="shared" si="21"/>
        <v>17.011900000000001</v>
      </c>
      <c r="P363" s="4" t="str">
        <f>"rpl-31"</f>
        <v>rpl-31</v>
      </c>
      <c r="Q363" s="4">
        <v>17.317620858142401</v>
      </c>
      <c r="R363" s="4">
        <v>16.672584246739099</v>
      </c>
      <c r="S363" s="4">
        <v>16.6969782836943</v>
      </c>
      <c r="T363" s="4">
        <f t="shared" si="22"/>
        <v>16.895727796191931</v>
      </c>
      <c r="W363" s="4" t="str">
        <f>"sodh-1"</f>
        <v>sodh-1</v>
      </c>
      <c r="X363" s="4">
        <v>16.9577433576668</v>
      </c>
      <c r="Y363" s="4">
        <v>16.745784546358198</v>
      </c>
      <c r="Z363" s="4">
        <v>17.112956080893301</v>
      </c>
      <c r="AA363" s="4">
        <f t="shared" si="23"/>
        <v>16.938827994972765</v>
      </c>
      <c r="AH363" s="28" t="s">
        <v>3048</v>
      </c>
      <c r="AJ363" s="4" t="s">
        <v>4515</v>
      </c>
    </row>
    <row r="364" spans="2:36" x14ac:dyDescent="0.2">
      <c r="B364" s="4" t="s">
        <v>758</v>
      </c>
      <c r="C364" s="4">
        <v>17.039000000000001</v>
      </c>
      <c r="D364" s="4">
        <v>16.741599999999998</v>
      </c>
      <c r="E364" s="4">
        <v>16.9236</v>
      </c>
      <c r="F364" s="4">
        <f t="shared" si="20"/>
        <v>16.901399999999999</v>
      </c>
      <c r="I364" s="4" t="s">
        <v>54</v>
      </c>
      <c r="J364" s="4">
        <v>16.934799999999999</v>
      </c>
      <c r="K364" s="4">
        <v>17.295300000000001</v>
      </c>
      <c r="L364" s="4">
        <v>16.8004</v>
      </c>
      <c r="M364" s="4">
        <f t="shared" si="21"/>
        <v>17.010166666666667</v>
      </c>
      <c r="P364" s="4" t="str">
        <f>"art-1"</f>
        <v>art-1</v>
      </c>
      <c r="Q364" s="4">
        <v>16.974813993367299</v>
      </c>
      <c r="R364" s="4">
        <v>16.7910556199155</v>
      </c>
      <c r="S364" s="4">
        <v>16.912616837301499</v>
      </c>
      <c r="T364" s="4">
        <f t="shared" si="22"/>
        <v>16.892828816861435</v>
      </c>
      <c r="W364" s="4" t="str">
        <f>"sqv-4"</f>
        <v>sqv-4</v>
      </c>
      <c r="X364" s="4">
        <v>17.0656004190127</v>
      </c>
      <c r="Y364" s="4">
        <v>16.992488615090402</v>
      </c>
      <c r="Z364" s="4">
        <v>16.732537660270999</v>
      </c>
      <c r="AA364" s="4">
        <f t="shared" si="23"/>
        <v>16.9302088981247</v>
      </c>
      <c r="AH364" s="28" t="s">
        <v>2595</v>
      </c>
      <c r="AJ364" s="4" t="s">
        <v>1481</v>
      </c>
    </row>
    <row r="365" spans="2:36" x14ac:dyDescent="0.2">
      <c r="B365" s="4" t="s">
        <v>979</v>
      </c>
      <c r="C365" s="4">
        <v>16.948599999999999</v>
      </c>
      <c r="D365" s="4">
        <v>16.761600000000001</v>
      </c>
      <c r="E365" s="4">
        <v>16.959099999999999</v>
      </c>
      <c r="F365" s="4">
        <f t="shared" si="20"/>
        <v>16.889766666666667</v>
      </c>
      <c r="I365" s="4" t="s">
        <v>1370</v>
      </c>
      <c r="J365" s="4">
        <v>17.117100000000001</v>
      </c>
      <c r="K365" s="4">
        <v>16.882100000000001</v>
      </c>
      <c r="L365" s="4">
        <v>17.0304</v>
      </c>
      <c r="M365" s="4">
        <f t="shared" si="21"/>
        <v>17.009866666666667</v>
      </c>
      <c r="P365" s="4" t="str">
        <f>"lgc-34"</f>
        <v>lgc-34</v>
      </c>
      <c r="Q365" s="4">
        <v>16.6883340771994</v>
      </c>
      <c r="R365" s="4">
        <v>17.107789614035401</v>
      </c>
      <c r="S365" s="4">
        <v>16.875077108922401</v>
      </c>
      <c r="T365" s="4">
        <f t="shared" si="22"/>
        <v>16.890400266719066</v>
      </c>
      <c r="W365" s="4" t="str">
        <f>"C14B9.10"</f>
        <v>C14B9.10</v>
      </c>
      <c r="X365" s="4">
        <v>17.067401667809602</v>
      </c>
      <c r="Y365" s="4">
        <v>17.100878354969002</v>
      </c>
      <c r="Z365" s="4">
        <v>16.6062670484575</v>
      </c>
      <c r="AA365" s="4">
        <f t="shared" si="23"/>
        <v>16.924849023745367</v>
      </c>
      <c r="AH365" s="28" t="s">
        <v>1545</v>
      </c>
      <c r="AJ365" s="4" t="s">
        <v>4376</v>
      </c>
    </row>
    <row r="366" spans="2:36" x14ac:dyDescent="0.2">
      <c r="B366" s="4" t="s">
        <v>3831</v>
      </c>
      <c r="C366" s="4">
        <v>16.8795</v>
      </c>
      <c r="D366" s="4">
        <v>16.7272</v>
      </c>
      <c r="E366" s="4">
        <v>17.046900000000001</v>
      </c>
      <c r="F366" s="4">
        <f t="shared" si="20"/>
        <v>16.884533333333334</v>
      </c>
      <c r="I366" s="4" t="s">
        <v>4632</v>
      </c>
      <c r="J366" s="4">
        <v>17.130600000000001</v>
      </c>
      <c r="K366" s="4">
        <v>16.951799999999999</v>
      </c>
      <c r="L366" s="4">
        <v>16.943200000000001</v>
      </c>
      <c r="M366" s="4">
        <f t="shared" si="21"/>
        <v>17.008533333333332</v>
      </c>
      <c r="P366" s="4" t="str">
        <f>"R148.5"</f>
        <v>R148.5</v>
      </c>
      <c r="Q366" s="4">
        <v>16.924572964021898</v>
      </c>
      <c r="R366" s="4">
        <v>16.834169127633398</v>
      </c>
      <c r="S366" s="4">
        <v>16.905926464389701</v>
      </c>
      <c r="T366" s="4">
        <f t="shared" si="22"/>
        <v>16.888222852014998</v>
      </c>
      <c r="W366" s="4" t="str">
        <f>"K02F3.2"</f>
        <v>K02F3.2</v>
      </c>
      <c r="X366" s="4">
        <v>16.996067329432101</v>
      </c>
      <c r="Y366" s="4">
        <v>16.9729876010616</v>
      </c>
      <c r="Z366" s="4">
        <v>16.792461279705901</v>
      </c>
      <c r="AA366" s="4">
        <f t="shared" si="23"/>
        <v>16.920505403399869</v>
      </c>
      <c r="AH366" s="28" t="s">
        <v>4716</v>
      </c>
      <c r="AJ366" s="4" t="s">
        <v>4055</v>
      </c>
    </row>
    <row r="367" spans="2:36" x14ac:dyDescent="0.2">
      <c r="B367" s="4" t="s">
        <v>3702</v>
      </c>
      <c r="C367" s="4">
        <v>16.881599999999999</v>
      </c>
      <c r="D367" s="4">
        <v>16.795500000000001</v>
      </c>
      <c r="E367" s="4">
        <v>16.9573</v>
      </c>
      <c r="F367" s="4">
        <f t="shared" si="20"/>
        <v>16.878133333333334</v>
      </c>
      <c r="I367" s="4" t="s">
        <v>3557</v>
      </c>
      <c r="J367" s="4">
        <v>17.146599999999999</v>
      </c>
      <c r="K367" s="4">
        <v>17.159099999999999</v>
      </c>
      <c r="L367" s="4">
        <v>16.718</v>
      </c>
      <c r="M367" s="4">
        <f t="shared" si="21"/>
        <v>17.007900000000003</v>
      </c>
      <c r="P367" s="4" t="str">
        <f>"M04B2.4"</f>
        <v>M04B2.4</v>
      </c>
      <c r="Q367" s="4">
        <v>17.147267652793101</v>
      </c>
      <c r="R367" s="4">
        <v>16.686034960302901</v>
      </c>
      <c r="S367" s="4">
        <v>16.823994327559699</v>
      </c>
      <c r="T367" s="4">
        <f t="shared" si="22"/>
        <v>16.885765646885233</v>
      </c>
      <c r="W367" s="4" t="str">
        <f>"enpl-1"</f>
        <v>enpl-1</v>
      </c>
      <c r="X367" s="4">
        <v>17.1928437218371</v>
      </c>
      <c r="Y367" s="4">
        <v>16.891781832128402</v>
      </c>
      <c r="Z367" s="4">
        <v>16.668894068342201</v>
      </c>
      <c r="AA367" s="4">
        <f t="shared" si="23"/>
        <v>16.917839874102569</v>
      </c>
      <c r="AH367" s="28" t="s">
        <v>4742</v>
      </c>
      <c r="AJ367" s="4" t="s">
        <v>3585</v>
      </c>
    </row>
    <row r="368" spans="2:36" x14ac:dyDescent="0.2">
      <c r="B368" s="4" t="s">
        <v>3536</v>
      </c>
      <c r="C368" s="4">
        <v>16.885200000000001</v>
      </c>
      <c r="D368" s="4">
        <v>17.166599999999999</v>
      </c>
      <c r="E368" s="4">
        <v>16.581299999999999</v>
      </c>
      <c r="F368" s="4">
        <f t="shared" si="20"/>
        <v>16.877700000000001</v>
      </c>
      <c r="I368" s="4" t="s">
        <v>4634</v>
      </c>
      <c r="J368" s="4">
        <v>15.5664</v>
      </c>
      <c r="K368" s="4">
        <v>17.066800000000001</v>
      </c>
      <c r="L368" s="4">
        <v>18.3797</v>
      </c>
      <c r="M368" s="4">
        <f t="shared" si="21"/>
        <v>17.004300000000001</v>
      </c>
      <c r="P368" s="4" t="str">
        <f>"rab-5"</f>
        <v>rab-5</v>
      </c>
      <c r="Q368" s="4">
        <v>16.899994103236601</v>
      </c>
      <c r="R368" s="4">
        <v>16.729103083768798</v>
      </c>
      <c r="S368" s="4">
        <v>17.027940529445001</v>
      </c>
      <c r="T368" s="4">
        <f t="shared" si="22"/>
        <v>16.885679238816802</v>
      </c>
      <c r="W368" s="4" t="str">
        <f>"acs-19"</f>
        <v>acs-19</v>
      </c>
      <c r="X368" s="4">
        <v>16.857026724767898</v>
      </c>
      <c r="Y368" s="4">
        <v>16.933295058971101</v>
      </c>
      <c r="Z368" s="4">
        <v>16.955389881415002</v>
      </c>
      <c r="AA368" s="4">
        <f t="shared" si="23"/>
        <v>16.915237221718002</v>
      </c>
      <c r="AH368" s="28" t="s">
        <v>4806</v>
      </c>
      <c r="AJ368" s="4" t="s">
        <v>2778</v>
      </c>
    </row>
    <row r="369" spans="2:36" x14ac:dyDescent="0.2">
      <c r="B369" s="4" t="s">
        <v>3991</v>
      </c>
      <c r="C369" s="4">
        <v>16.7545</v>
      </c>
      <c r="D369" s="4">
        <v>16.945900000000002</v>
      </c>
      <c r="E369" s="4">
        <v>16.927900000000001</v>
      </c>
      <c r="F369" s="4">
        <f t="shared" si="20"/>
        <v>16.876100000000001</v>
      </c>
      <c r="I369" s="4" t="s">
        <v>1565</v>
      </c>
      <c r="J369" s="4">
        <v>17.285599999999999</v>
      </c>
      <c r="K369" s="4">
        <v>16.5763</v>
      </c>
      <c r="L369" s="4">
        <v>17.140699999999999</v>
      </c>
      <c r="M369" s="4">
        <f t="shared" si="21"/>
        <v>17.000866666666667</v>
      </c>
      <c r="P369" s="4" t="str">
        <f>"mmcm-1"</f>
        <v>mmcm-1</v>
      </c>
      <c r="Q369" s="4">
        <v>16.943246926843599</v>
      </c>
      <c r="R369" s="4">
        <v>16.863388297282199</v>
      </c>
      <c r="S369" s="4">
        <v>16.845608883767898</v>
      </c>
      <c r="T369" s="4">
        <f t="shared" si="22"/>
        <v>16.884081369297899</v>
      </c>
      <c r="W369" s="4" t="str">
        <f>"mcm-2"</f>
        <v>mcm-2</v>
      </c>
      <c r="X369" s="4">
        <v>16.975202677439601</v>
      </c>
      <c r="Y369" s="4">
        <v>16.976128792211799</v>
      </c>
      <c r="Z369" s="4">
        <v>16.7896428042257</v>
      </c>
      <c r="AA369" s="4">
        <f t="shared" si="23"/>
        <v>16.913658091292366</v>
      </c>
      <c r="AH369" s="28" t="s">
        <v>4726</v>
      </c>
      <c r="AJ369" s="4" t="s">
        <v>3177</v>
      </c>
    </row>
    <row r="370" spans="2:36" x14ac:dyDescent="0.2">
      <c r="B370" s="4" t="s">
        <v>1189</v>
      </c>
      <c r="C370" s="4">
        <v>17.041899999999998</v>
      </c>
      <c r="D370" s="4">
        <v>16.594200000000001</v>
      </c>
      <c r="E370" s="4">
        <v>16.991800000000001</v>
      </c>
      <c r="F370" s="4">
        <f t="shared" si="20"/>
        <v>16.875966666666667</v>
      </c>
      <c r="I370" s="4" t="s">
        <v>3873</v>
      </c>
      <c r="J370" s="4">
        <v>16.897600000000001</v>
      </c>
      <c r="K370" s="4">
        <v>17.107700000000001</v>
      </c>
      <c r="L370" s="4">
        <v>16.976600000000001</v>
      </c>
      <c r="M370" s="4">
        <f t="shared" si="21"/>
        <v>16.993966666666669</v>
      </c>
      <c r="P370" s="4" t="str">
        <f>"acs-19"</f>
        <v>acs-19</v>
      </c>
      <c r="Q370" s="4">
        <v>16.855433528739798</v>
      </c>
      <c r="R370" s="4">
        <v>16.797484693168901</v>
      </c>
      <c r="S370" s="4">
        <v>16.997691213932999</v>
      </c>
      <c r="T370" s="4">
        <f t="shared" si="22"/>
        <v>16.883536478613902</v>
      </c>
      <c r="W370" s="4" t="str">
        <f>"xpo-2"</f>
        <v>xpo-2</v>
      </c>
      <c r="X370" s="4">
        <v>16.8582216166851</v>
      </c>
      <c r="Y370" s="4">
        <v>16.983039348869099</v>
      </c>
      <c r="Z370" s="4">
        <v>16.8899736941345</v>
      </c>
      <c r="AA370" s="4">
        <f t="shared" si="23"/>
        <v>16.910411553229565</v>
      </c>
      <c r="AH370" s="28" t="s">
        <v>1230</v>
      </c>
      <c r="AJ370" s="4" t="s">
        <v>1172</v>
      </c>
    </row>
    <row r="371" spans="2:36" x14ac:dyDescent="0.2">
      <c r="B371" s="4" t="s">
        <v>2557</v>
      </c>
      <c r="C371" s="4">
        <v>16.707799999999999</v>
      </c>
      <c r="D371" s="4">
        <v>17.148800000000001</v>
      </c>
      <c r="E371" s="4">
        <v>16.7592</v>
      </c>
      <c r="F371" s="4">
        <f t="shared" si="20"/>
        <v>16.871933333333335</v>
      </c>
      <c r="I371" s="4" t="s">
        <v>1043</v>
      </c>
      <c r="J371" s="4">
        <v>16.529900000000001</v>
      </c>
      <c r="K371" s="4">
        <v>16.715499999999999</v>
      </c>
      <c r="L371" s="4">
        <v>17.718800000000002</v>
      </c>
      <c r="M371" s="4">
        <f t="shared" si="21"/>
        <v>16.988066666666668</v>
      </c>
      <c r="P371" s="4" t="str">
        <f>"apb-1"</f>
        <v>apb-1</v>
      </c>
      <c r="Q371" s="4">
        <v>16.824429495231399</v>
      </c>
      <c r="R371" s="4">
        <v>17.052291505056399</v>
      </c>
      <c r="S371" s="4">
        <v>16.7684483577785</v>
      </c>
      <c r="T371" s="4">
        <f t="shared" si="22"/>
        <v>16.881723119355431</v>
      </c>
      <c r="W371" s="4" t="str">
        <f>"mrps-18C"</f>
        <v>mrps-18C</v>
      </c>
      <c r="X371" s="4">
        <v>16.663670340236099</v>
      </c>
      <c r="Y371" s="4">
        <v>17.004542916199799</v>
      </c>
      <c r="Z371" s="4">
        <v>17.059973461720599</v>
      </c>
      <c r="AA371" s="4">
        <f t="shared" si="23"/>
        <v>16.909395572718832</v>
      </c>
      <c r="AH371" s="28" t="s">
        <v>2440</v>
      </c>
      <c r="AJ371" s="4" t="s">
        <v>4609</v>
      </c>
    </row>
    <row r="372" spans="2:36" x14ac:dyDescent="0.2">
      <c r="B372" s="4" t="s">
        <v>3649</v>
      </c>
      <c r="C372" s="4">
        <v>17.252300000000002</v>
      </c>
      <c r="D372" s="4">
        <v>16.551300000000001</v>
      </c>
      <c r="E372" s="4">
        <v>16.802299999999999</v>
      </c>
      <c r="F372" s="4">
        <f t="shared" si="20"/>
        <v>16.868633333333335</v>
      </c>
      <c r="I372" s="24" t="s">
        <v>401</v>
      </c>
      <c r="J372" s="24">
        <v>17.050999999999998</v>
      </c>
      <c r="K372" s="24">
        <v>17.076499999999999</v>
      </c>
      <c r="L372" s="24">
        <v>16.835799999999999</v>
      </c>
      <c r="M372" s="4">
        <f t="shared" si="21"/>
        <v>16.987766666666666</v>
      </c>
      <c r="P372" s="4" t="str">
        <f>"dao-3"</f>
        <v>dao-3</v>
      </c>
      <c r="Q372" s="4">
        <v>16.835923775073201</v>
      </c>
      <c r="R372" s="4">
        <v>16.982739536775199</v>
      </c>
      <c r="S372" s="4">
        <v>16.8181423179999</v>
      </c>
      <c r="T372" s="4">
        <f t="shared" si="22"/>
        <v>16.878935209949432</v>
      </c>
      <c r="W372" s="4" t="str">
        <f>"rab-5"</f>
        <v>rab-5</v>
      </c>
      <c r="X372" s="4">
        <v>16.898301295542002</v>
      </c>
      <c r="Y372" s="4">
        <v>16.980772795549498</v>
      </c>
      <c r="Z372" s="4">
        <v>16.839555544602</v>
      </c>
      <c r="AA372" s="4">
        <f t="shared" si="23"/>
        <v>16.9062098785645</v>
      </c>
      <c r="AH372" s="28" t="s">
        <v>4756</v>
      </c>
      <c r="AJ372" s="4" t="s">
        <v>4438</v>
      </c>
    </row>
    <row r="373" spans="2:36" x14ac:dyDescent="0.2">
      <c r="B373" s="4" t="s">
        <v>916</v>
      </c>
      <c r="C373" s="4">
        <v>16.979299999999999</v>
      </c>
      <c r="D373" s="4">
        <v>16.9055</v>
      </c>
      <c r="E373" s="4">
        <v>16.714700000000001</v>
      </c>
      <c r="F373" s="4">
        <f t="shared" si="20"/>
        <v>16.866499999999998</v>
      </c>
      <c r="I373" s="4" t="s">
        <v>770</v>
      </c>
      <c r="J373" s="4">
        <v>16.924399999999999</v>
      </c>
      <c r="K373" s="4">
        <v>17.304200000000002</v>
      </c>
      <c r="L373" s="4">
        <v>16.7136</v>
      </c>
      <c r="M373" s="4">
        <f t="shared" si="21"/>
        <v>16.980733333333333</v>
      </c>
      <c r="P373" s="4" t="str">
        <f>"idh-2"</f>
        <v>idh-2</v>
      </c>
      <c r="Q373" s="4">
        <v>17.234106840289598</v>
      </c>
      <c r="R373" s="4">
        <v>16.530771525250302</v>
      </c>
      <c r="S373" s="4">
        <v>16.869236072176701</v>
      </c>
      <c r="T373" s="4">
        <f t="shared" si="22"/>
        <v>16.878038145905535</v>
      </c>
      <c r="W373" s="4" t="str">
        <f>"erfa-3"</f>
        <v>erfa-3</v>
      </c>
      <c r="X373" s="4">
        <v>16.959195275663301</v>
      </c>
      <c r="Y373" s="4">
        <v>16.861589238946301</v>
      </c>
      <c r="Z373" s="4">
        <v>16.895469393186101</v>
      </c>
      <c r="AA373" s="4">
        <f t="shared" si="23"/>
        <v>16.905417969265233</v>
      </c>
      <c r="AH373" s="28" t="s">
        <v>1619</v>
      </c>
      <c r="AJ373" s="4" t="s">
        <v>3767</v>
      </c>
    </row>
    <row r="374" spans="2:36" x14ac:dyDescent="0.2">
      <c r="B374" s="4" t="s">
        <v>2945</v>
      </c>
      <c r="C374" s="4">
        <v>16.334499999999998</v>
      </c>
      <c r="D374" s="4">
        <v>16.503900000000002</v>
      </c>
      <c r="E374" s="4">
        <v>17.713699999999999</v>
      </c>
      <c r="F374" s="4">
        <f t="shared" si="20"/>
        <v>16.8507</v>
      </c>
      <c r="I374" s="4" t="s">
        <v>1213</v>
      </c>
      <c r="J374" s="4">
        <v>16.968499999999999</v>
      </c>
      <c r="K374" s="4">
        <v>16.744700000000002</v>
      </c>
      <c r="L374" s="4">
        <v>17.224</v>
      </c>
      <c r="M374" s="4">
        <f t="shared" si="21"/>
        <v>16.979066666666668</v>
      </c>
      <c r="P374" s="4" t="str">
        <f>"pdhk-2"</f>
        <v>pdhk-2</v>
      </c>
      <c r="Q374" s="4">
        <v>16.951613718711499</v>
      </c>
      <c r="R374" s="4">
        <v>16.857699789353401</v>
      </c>
      <c r="S374" s="4">
        <v>16.8215053646773</v>
      </c>
      <c r="T374" s="4">
        <f t="shared" si="22"/>
        <v>16.876939624247402</v>
      </c>
      <c r="W374" s="4" t="str">
        <f>"ruvb-2"</f>
        <v>ruvb-2</v>
      </c>
      <c r="X374" s="4">
        <v>16.938948033182601</v>
      </c>
      <c r="Y374" s="4">
        <v>17.020214447210002</v>
      </c>
      <c r="Z374" s="4">
        <v>16.724995965511901</v>
      </c>
      <c r="AA374" s="4">
        <f t="shared" si="23"/>
        <v>16.894719481968171</v>
      </c>
      <c r="AH374" s="28" t="s">
        <v>1554</v>
      </c>
      <c r="AJ374" s="4" t="s">
        <v>239</v>
      </c>
    </row>
    <row r="375" spans="2:36" x14ac:dyDescent="0.2">
      <c r="B375" s="4" t="s">
        <v>2400</v>
      </c>
      <c r="C375" s="4">
        <v>16.806000000000001</v>
      </c>
      <c r="D375" s="4">
        <v>17.131599999999999</v>
      </c>
      <c r="E375" s="4">
        <v>16.5837</v>
      </c>
      <c r="F375" s="4">
        <f t="shared" si="20"/>
        <v>16.840433333333333</v>
      </c>
      <c r="I375" s="4" t="s">
        <v>2787</v>
      </c>
      <c r="J375" s="4">
        <v>16.968</v>
      </c>
      <c r="K375" s="4">
        <v>17.1921</v>
      </c>
      <c r="L375" s="4">
        <v>16.767800000000001</v>
      </c>
      <c r="M375" s="4">
        <f t="shared" si="21"/>
        <v>16.975966666666668</v>
      </c>
      <c r="P375" s="4" t="str">
        <f>"scc-3"</f>
        <v>scc-3</v>
      </c>
      <c r="Q375" s="4">
        <v>16.8970428800585</v>
      </c>
      <c r="R375" s="4">
        <v>16.896135182116002</v>
      </c>
      <c r="S375" s="4">
        <v>16.825639152269499</v>
      </c>
      <c r="T375" s="4">
        <f t="shared" si="22"/>
        <v>16.872939071481337</v>
      </c>
      <c r="W375" s="4" t="str">
        <f>"myo-3"</f>
        <v>myo-3</v>
      </c>
      <c r="X375" s="4">
        <v>16.357460643439399</v>
      </c>
      <c r="Y375" s="4">
        <v>16.851040233475299</v>
      </c>
      <c r="Z375" s="4">
        <v>17.472714471863</v>
      </c>
      <c r="AA375" s="4">
        <f t="shared" si="23"/>
        <v>16.893738449592565</v>
      </c>
      <c r="AH375" s="28" t="s">
        <v>2695</v>
      </c>
      <c r="AJ375" s="4" t="s">
        <v>4441</v>
      </c>
    </row>
    <row r="376" spans="2:36" x14ac:dyDescent="0.2">
      <c r="B376" s="4" t="s">
        <v>1064</v>
      </c>
      <c r="C376" s="4">
        <v>17.2818</v>
      </c>
      <c r="D376" s="4">
        <v>16.636199999999999</v>
      </c>
      <c r="E376" s="4">
        <v>16.599799999999998</v>
      </c>
      <c r="F376" s="4">
        <f t="shared" si="20"/>
        <v>16.839266666666663</v>
      </c>
      <c r="I376" s="4" t="s">
        <v>1651</v>
      </c>
      <c r="J376" s="4">
        <v>16.752300000000002</v>
      </c>
      <c r="K376" s="4">
        <v>16.856400000000001</v>
      </c>
      <c r="L376" s="4">
        <v>17.316400000000002</v>
      </c>
      <c r="M376" s="4">
        <f t="shared" si="21"/>
        <v>16.975033333333332</v>
      </c>
      <c r="P376" s="4" t="str">
        <f>"dlat-1"</f>
        <v>dlat-1</v>
      </c>
      <c r="Q376" s="4">
        <v>17.237070496505499</v>
      </c>
      <c r="R376" s="4">
        <v>16.5858377973593</v>
      </c>
      <c r="S376" s="4">
        <v>16.786252929362401</v>
      </c>
      <c r="T376" s="4">
        <f t="shared" si="22"/>
        <v>16.869720407742403</v>
      </c>
      <c r="W376" s="4" t="str">
        <f>"his-68"</f>
        <v>his-68</v>
      </c>
      <c r="X376" s="4">
        <v>17.526285901206698</v>
      </c>
      <c r="Y376" s="4">
        <v>16.480674154513299</v>
      </c>
      <c r="Z376" s="4">
        <v>16.673668396702499</v>
      </c>
      <c r="AA376" s="4">
        <f t="shared" si="23"/>
        <v>16.893542817474167</v>
      </c>
      <c r="AH376" s="28" t="s">
        <v>4729</v>
      </c>
      <c r="AJ376" s="4" t="s">
        <v>417</v>
      </c>
    </row>
    <row r="377" spans="2:36" x14ac:dyDescent="0.2">
      <c r="B377" s="4" t="s">
        <v>3757</v>
      </c>
      <c r="C377" s="4">
        <v>16.874400000000001</v>
      </c>
      <c r="D377" s="4">
        <v>17.1005</v>
      </c>
      <c r="E377" s="4">
        <v>16.53</v>
      </c>
      <c r="F377" s="4">
        <f t="shared" si="20"/>
        <v>16.83496666666667</v>
      </c>
      <c r="I377" s="4" t="s">
        <v>415</v>
      </c>
      <c r="J377" s="4">
        <v>16.972100000000001</v>
      </c>
      <c r="K377" s="4">
        <v>17.252300000000002</v>
      </c>
      <c r="L377" s="4">
        <v>16.687200000000001</v>
      </c>
      <c r="M377" s="4">
        <f t="shared" si="21"/>
        <v>16.970533333333336</v>
      </c>
      <c r="P377" s="4" t="str">
        <f>"ZC262.5"</f>
        <v>ZC262.5</v>
      </c>
      <c r="Q377" s="4">
        <v>16.904372441709199</v>
      </c>
      <c r="R377" s="4">
        <v>16.655667712142201</v>
      </c>
      <c r="S377" s="4">
        <v>16.972418243337501</v>
      </c>
      <c r="T377" s="4">
        <f t="shared" si="22"/>
        <v>16.844152799062968</v>
      </c>
      <c r="W377" s="4" t="str">
        <f>"fln-2"</f>
        <v>fln-2</v>
      </c>
      <c r="X377" s="4">
        <v>16.585567535954699</v>
      </c>
      <c r="Y377" s="4">
        <v>16.902901911081699</v>
      </c>
      <c r="Z377" s="4">
        <v>17.151294156954901</v>
      </c>
      <c r="AA377" s="4">
        <f t="shared" si="23"/>
        <v>16.879921201330433</v>
      </c>
      <c r="AH377" s="28" t="s">
        <v>4754</v>
      </c>
      <c r="AJ377" s="4" t="s">
        <v>2761</v>
      </c>
    </row>
    <row r="378" spans="2:36" x14ac:dyDescent="0.2">
      <c r="B378" s="4" t="s">
        <v>802</v>
      </c>
      <c r="C378" s="4">
        <v>16.806699999999999</v>
      </c>
      <c r="D378" s="4">
        <v>17.003</v>
      </c>
      <c r="E378" s="4">
        <v>16.6724</v>
      </c>
      <c r="F378" s="4">
        <f t="shared" si="20"/>
        <v>16.827366666666666</v>
      </c>
      <c r="I378" s="4" t="s">
        <v>3785</v>
      </c>
      <c r="J378" s="4">
        <v>17.086600000000001</v>
      </c>
      <c r="K378" s="4">
        <v>17.0623</v>
      </c>
      <c r="L378" s="4">
        <v>16.756</v>
      </c>
      <c r="M378" s="4">
        <f t="shared" si="21"/>
        <v>16.968299999999999</v>
      </c>
      <c r="P378" s="4" t="str">
        <f>"ruvb-1"</f>
        <v>ruvb-1</v>
      </c>
      <c r="Q378" s="4">
        <v>16.870240199393098</v>
      </c>
      <c r="R378" s="4">
        <v>16.925494894445801</v>
      </c>
      <c r="S378" s="4">
        <v>16.7335398903816</v>
      </c>
      <c r="T378" s="4">
        <f t="shared" si="22"/>
        <v>16.843091661406834</v>
      </c>
      <c r="W378" s="4" t="str">
        <f>"unc-89"</f>
        <v>unc-89</v>
      </c>
      <c r="X378" s="4">
        <v>16.1046545717325</v>
      </c>
      <c r="Y378" s="4">
        <v>16.663786211289999</v>
      </c>
      <c r="Z378" s="4">
        <v>17.861077281293198</v>
      </c>
      <c r="AA378" s="4">
        <f t="shared" si="23"/>
        <v>16.876506021438566</v>
      </c>
      <c r="AH378" s="28" t="s">
        <v>2230</v>
      </c>
      <c r="AJ378" s="4" t="s">
        <v>137</v>
      </c>
    </row>
    <row r="379" spans="2:36" x14ac:dyDescent="0.2">
      <c r="B379" s="4" t="s">
        <v>2907</v>
      </c>
      <c r="C379" s="4">
        <v>16.805099999999999</v>
      </c>
      <c r="D379" s="4">
        <v>16.908300000000001</v>
      </c>
      <c r="E379" s="4">
        <v>16.762599999999999</v>
      </c>
      <c r="F379" s="4">
        <f t="shared" si="20"/>
        <v>16.825333333333333</v>
      </c>
      <c r="I379" s="4" t="s">
        <v>3267</v>
      </c>
      <c r="J379" s="4">
        <v>17.020600000000002</v>
      </c>
      <c r="K379" s="4">
        <v>17.133700000000001</v>
      </c>
      <c r="L379" s="4">
        <v>16.744599999999998</v>
      </c>
      <c r="M379" s="4">
        <f t="shared" si="21"/>
        <v>16.9663</v>
      </c>
      <c r="P379" s="4" t="str">
        <f>"yars-1"</f>
        <v>yars-1</v>
      </c>
      <c r="Q379" s="4">
        <v>16.851822198429499</v>
      </c>
      <c r="R379" s="4">
        <v>16.900385570588</v>
      </c>
      <c r="S379" s="4">
        <v>16.7575857963642</v>
      </c>
      <c r="T379" s="4">
        <f t="shared" si="22"/>
        <v>16.836597855127234</v>
      </c>
      <c r="W379" s="4" t="str">
        <f>"eef-1G"</f>
        <v>eef-1G</v>
      </c>
      <c r="X379" s="4">
        <v>16.920885362676302</v>
      </c>
      <c r="Y379" s="4">
        <v>16.742159178764599</v>
      </c>
      <c r="Z379" s="4">
        <v>16.9570329575781</v>
      </c>
      <c r="AA379" s="4">
        <f t="shared" si="23"/>
        <v>16.873359166339664</v>
      </c>
      <c r="AH379" s="28" t="s">
        <v>4803</v>
      </c>
      <c r="AJ379" s="28" t="s">
        <v>4870</v>
      </c>
    </row>
    <row r="380" spans="2:36" x14ac:dyDescent="0.2">
      <c r="B380" s="4" t="s">
        <v>415</v>
      </c>
      <c r="C380" s="4">
        <v>16.660900000000002</v>
      </c>
      <c r="D380" s="4">
        <v>16.9544</v>
      </c>
      <c r="E380" s="4">
        <v>16.853300000000001</v>
      </c>
      <c r="F380" s="4">
        <f t="shared" si="20"/>
        <v>16.82286666666667</v>
      </c>
      <c r="I380" s="4" t="s">
        <v>3789</v>
      </c>
      <c r="J380" s="4">
        <v>17.0657</v>
      </c>
      <c r="K380" s="4">
        <v>16.8657</v>
      </c>
      <c r="L380" s="4">
        <v>16.956700000000001</v>
      </c>
      <c r="M380" s="4">
        <f t="shared" si="21"/>
        <v>16.962699999999998</v>
      </c>
      <c r="P380" s="4" t="str">
        <f>"mca-2"</f>
        <v>mca-2</v>
      </c>
      <c r="Q380" s="4">
        <v>16.618922417186699</v>
      </c>
      <c r="R380" s="4">
        <v>16.839689037130899</v>
      </c>
      <c r="S380" s="4">
        <v>17.021328142017499</v>
      </c>
      <c r="T380" s="4">
        <f t="shared" si="22"/>
        <v>16.826646532111699</v>
      </c>
      <c r="W380" s="4" t="str">
        <f>"rpoa-2"</f>
        <v>rpoa-2</v>
      </c>
      <c r="X380" s="4">
        <v>16.8233572355531</v>
      </c>
      <c r="Y380" s="4">
        <v>17.007677716427199</v>
      </c>
      <c r="Z380" s="4">
        <v>16.783377436221201</v>
      </c>
      <c r="AA380" s="4">
        <f t="shared" si="23"/>
        <v>16.871470796067168</v>
      </c>
      <c r="AH380" s="28" t="s">
        <v>1748</v>
      </c>
      <c r="AJ380" s="4" t="s">
        <v>4255</v>
      </c>
    </row>
    <row r="381" spans="2:36" x14ac:dyDescent="0.2">
      <c r="B381" s="4" t="s">
        <v>3684</v>
      </c>
      <c r="C381" s="4">
        <v>16.839099999999998</v>
      </c>
      <c r="D381" s="4">
        <v>16.956299999999999</v>
      </c>
      <c r="E381" s="4">
        <v>16.668299999999999</v>
      </c>
      <c r="F381" s="4">
        <f t="shared" si="20"/>
        <v>16.821233333333335</v>
      </c>
      <c r="I381" s="4" t="s">
        <v>1431</v>
      </c>
      <c r="J381" s="4">
        <v>17.285299999999999</v>
      </c>
      <c r="K381" s="4">
        <v>16.491499999999998</v>
      </c>
      <c r="L381" s="4">
        <v>17.082699999999999</v>
      </c>
      <c r="M381" s="4">
        <f t="shared" si="21"/>
        <v>16.953166666666664</v>
      </c>
      <c r="P381" s="4" t="str">
        <f>"R151.2"</f>
        <v>R151.2</v>
      </c>
      <c r="Q381" s="4">
        <v>16.786217623420999</v>
      </c>
      <c r="R381" s="4">
        <v>16.7816579898995</v>
      </c>
      <c r="S381" s="4">
        <v>16.905621373345401</v>
      </c>
      <c r="T381" s="4">
        <f t="shared" si="22"/>
        <v>16.824498995555299</v>
      </c>
      <c r="W381" s="4" t="str">
        <f>"ZK1058.9"</f>
        <v>ZK1058.9</v>
      </c>
      <c r="X381" s="4">
        <v>16.531450866108099</v>
      </c>
      <c r="Y381" s="4">
        <v>16.9525616502833</v>
      </c>
      <c r="Z381" s="4">
        <v>17.130297678045601</v>
      </c>
      <c r="AA381" s="4">
        <f t="shared" si="23"/>
        <v>16.871436731479001</v>
      </c>
      <c r="AH381" s="28" t="s">
        <v>4759</v>
      </c>
      <c r="AJ381" s="4" t="s">
        <v>2257</v>
      </c>
    </row>
    <row r="382" spans="2:36" x14ac:dyDescent="0.2">
      <c r="B382" s="4" t="s">
        <v>1791</v>
      </c>
      <c r="C382" s="4">
        <v>17.544</v>
      </c>
      <c r="D382" s="4">
        <v>17.0791</v>
      </c>
      <c r="E382" s="4">
        <v>15.8386</v>
      </c>
      <c r="F382" s="4">
        <f t="shared" si="20"/>
        <v>16.820566666666668</v>
      </c>
      <c r="I382" s="4" t="s">
        <v>3757</v>
      </c>
      <c r="J382" s="4">
        <v>17.017199999999999</v>
      </c>
      <c r="K382" s="4">
        <v>16.981300000000001</v>
      </c>
      <c r="L382" s="4">
        <v>16.8307</v>
      </c>
      <c r="M382" s="4">
        <f t="shared" si="21"/>
        <v>16.943066666666667</v>
      </c>
      <c r="P382" s="4" t="str">
        <f>"rpn-5"</f>
        <v>rpn-5</v>
      </c>
      <c r="Q382" s="4">
        <v>16.588278284890599</v>
      </c>
      <c r="R382" s="4">
        <v>16.894670733695602</v>
      </c>
      <c r="S382" s="4">
        <v>16.990326298751501</v>
      </c>
      <c r="T382" s="4">
        <f t="shared" si="22"/>
        <v>16.82442510577923</v>
      </c>
      <c r="W382" s="4" t="str">
        <f>"aass-1"</f>
        <v>aass-1</v>
      </c>
      <c r="X382" s="4">
        <v>16.875639544899201</v>
      </c>
      <c r="Y382" s="4">
        <v>16.8593876275777</v>
      </c>
      <c r="Z382" s="4">
        <v>16.876503925266402</v>
      </c>
      <c r="AA382" s="4">
        <f t="shared" si="23"/>
        <v>16.870510365914438</v>
      </c>
      <c r="AH382" s="28" t="s">
        <v>4821</v>
      </c>
      <c r="AJ382" s="4" t="s">
        <v>4246</v>
      </c>
    </row>
    <row r="383" spans="2:36" x14ac:dyDescent="0.2">
      <c r="B383" s="4" t="s">
        <v>1711</v>
      </c>
      <c r="C383" s="4">
        <v>16.815000000000001</v>
      </c>
      <c r="D383" s="4">
        <v>16.7256</v>
      </c>
      <c r="E383" s="4">
        <v>16.9191</v>
      </c>
      <c r="F383" s="4">
        <f t="shared" si="20"/>
        <v>16.819900000000001</v>
      </c>
      <c r="I383" s="4" t="s">
        <v>3191</v>
      </c>
      <c r="J383" s="4">
        <v>17.059200000000001</v>
      </c>
      <c r="K383" s="4">
        <v>16.8413</v>
      </c>
      <c r="L383" s="4">
        <v>16.912400000000002</v>
      </c>
      <c r="M383" s="4">
        <f t="shared" si="21"/>
        <v>16.937633333333334</v>
      </c>
      <c r="P383" s="4" t="str">
        <f>"cct-2"</f>
        <v>cct-2</v>
      </c>
      <c r="Q383" s="4">
        <v>16.6303943686403</v>
      </c>
      <c r="R383" s="4">
        <v>17.0387747405927</v>
      </c>
      <c r="S383" s="4">
        <v>16.798873313291999</v>
      </c>
      <c r="T383" s="4">
        <f t="shared" si="22"/>
        <v>16.822680807508331</v>
      </c>
      <c r="W383" s="4" t="str">
        <f>"mct-6"</f>
        <v>mct-6</v>
      </c>
      <c r="X383" s="4">
        <v>16.978929352642901</v>
      </c>
      <c r="Y383" s="4">
        <v>16.915809195455601</v>
      </c>
      <c r="Z383" s="4">
        <v>16.675907582393499</v>
      </c>
      <c r="AA383" s="4">
        <f t="shared" si="23"/>
        <v>16.856882043497333</v>
      </c>
      <c r="AH383" s="28" t="s">
        <v>1122</v>
      </c>
      <c r="AJ383" s="4" t="s">
        <v>4292</v>
      </c>
    </row>
    <row r="384" spans="2:36" x14ac:dyDescent="0.2">
      <c r="B384" s="4" t="s">
        <v>1245</v>
      </c>
      <c r="C384" s="4">
        <v>16.772300000000001</v>
      </c>
      <c r="D384" s="4">
        <v>16.664000000000001</v>
      </c>
      <c r="E384" s="4">
        <v>16.969100000000001</v>
      </c>
      <c r="F384" s="4">
        <f t="shared" si="20"/>
        <v>16.8018</v>
      </c>
      <c r="I384" s="4" t="s">
        <v>1091</v>
      </c>
      <c r="J384" s="4">
        <v>16.958600000000001</v>
      </c>
      <c r="K384" s="4">
        <v>17.1767</v>
      </c>
      <c r="L384" s="4">
        <v>16.665500000000002</v>
      </c>
      <c r="M384" s="4">
        <f t="shared" si="21"/>
        <v>16.933600000000002</v>
      </c>
      <c r="P384" s="4" t="str">
        <f>"his-44"</f>
        <v>his-44</v>
      </c>
      <c r="Q384" s="4">
        <v>16.745933301451601</v>
      </c>
      <c r="R384" s="4">
        <v>17.017498914636398</v>
      </c>
      <c r="S384" s="4">
        <v>16.680600420171899</v>
      </c>
      <c r="T384" s="4">
        <f t="shared" si="22"/>
        <v>16.814677545419965</v>
      </c>
      <c r="W384" s="4" t="str">
        <f>"cdc-48.1"</f>
        <v>cdc-48.1</v>
      </c>
      <c r="X384" s="4">
        <v>16.726168838703501</v>
      </c>
      <c r="Y384" s="4">
        <v>17.028637549794901</v>
      </c>
      <c r="Z384" s="4">
        <v>16.808600297843601</v>
      </c>
      <c r="AA384" s="4">
        <f t="shared" si="23"/>
        <v>16.854468895447337</v>
      </c>
      <c r="AH384" s="28" t="s">
        <v>3080</v>
      </c>
      <c r="AJ384" s="4" t="s">
        <v>854</v>
      </c>
    </row>
    <row r="385" spans="2:36" x14ac:dyDescent="0.2">
      <c r="B385" s="4" t="s">
        <v>1851</v>
      </c>
      <c r="C385" s="4">
        <v>16.813800000000001</v>
      </c>
      <c r="D385" s="4">
        <v>16.688199999999998</v>
      </c>
      <c r="E385" s="4">
        <v>16.8934</v>
      </c>
      <c r="F385" s="4">
        <f t="shared" si="20"/>
        <v>16.798466666666666</v>
      </c>
      <c r="I385" s="4" t="s">
        <v>1330</v>
      </c>
      <c r="J385" s="4">
        <v>16.889299999999999</v>
      </c>
      <c r="K385" s="4">
        <v>16.918500000000002</v>
      </c>
      <c r="L385" s="4">
        <v>16.989100000000001</v>
      </c>
      <c r="M385" s="4">
        <f t="shared" si="21"/>
        <v>16.932300000000001</v>
      </c>
      <c r="P385" s="4" t="str">
        <f>"mct-6"</f>
        <v>mct-6</v>
      </c>
      <c r="Q385" s="4">
        <v>16.82663292614</v>
      </c>
      <c r="R385" s="4">
        <v>16.679839851306198</v>
      </c>
      <c r="S385" s="4">
        <v>16.933736779397801</v>
      </c>
      <c r="T385" s="4">
        <f t="shared" si="22"/>
        <v>16.813403185614664</v>
      </c>
      <c r="W385" s="4" t="str">
        <f>"mca-2"</f>
        <v>mca-2</v>
      </c>
      <c r="X385" s="4">
        <v>16.9680156005758</v>
      </c>
      <c r="Y385" s="4">
        <v>16.798334376122099</v>
      </c>
      <c r="Z385" s="4">
        <v>16.752973706694601</v>
      </c>
      <c r="AA385" s="4">
        <f t="shared" si="23"/>
        <v>16.839774561130834</v>
      </c>
      <c r="AH385" s="28" t="s">
        <v>4636</v>
      </c>
      <c r="AJ385" s="4" t="s">
        <v>4492</v>
      </c>
    </row>
    <row r="386" spans="2:36" x14ac:dyDescent="0.2">
      <c r="B386" s="4" t="s">
        <v>2792</v>
      </c>
      <c r="C386" s="4">
        <v>16.795000000000002</v>
      </c>
      <c r="D386" s="4">
        <v>16.7499</v>
      </c>
      <c r="E386" s="4">
        <v>16.847200000000001</v>
      </c>
      <c r="F386" s="4">
        <f t="shared" ref="F386:F449" si="24">(C386+D386+E386)/3</f>
        <v>16.797366666666665</v>
      </c>
      <c r="I386" s="4" t="s">
        <v>3631</v>
      </c>
      <c r="J386" s="4">
        <v>16.9313</v>
      </c>
      <c r="K386" s="4">
        <v>16.784400000000002</v>
      </c>
      <c r="L386" s="4">
        <v>17.049800000000001</v>
      </c>
      <c r="M386" s="4">
        <f t="shared" ref="M386:M449" si="25">(J386+K386+L386)/3</f>
        <v>16.921833333333336</v>
      </c>
      <c r="P386" s="4" t="str">
        <f>"ifb-2"</f>
        <v>ifb-2</v>
      </c>
      <c r="Q386" s="4">
        <v>17.0955632754589</v>
      </c>
      <c r="R386" s="4">
        <v>16.088433857781698</v>
      </c>
      <c r="S386" s="4">
        <v>17.244286795731998</v>
      </c>
      <c r="T386" s="4">
        <f t="shared" ref="T386:T449" si="26">(Q386+R386+S386)/3</f>
        <v>16.809427976324198</v>
      </c>
      <c r="W386" s="4" t="str">
        <f>"smc-3"</f>
        <v>smc-3</v>
      </c>
      <c r="X386" s="4">
        <v>16.7575223205993</v>
      </c>
      <c r="Y386" s="4">
        <v>16.915308084507799</v>
      </c>
      <c r="Z386" s="4">
        <v>16.831450525558299</v>
      </c>
      <c r="AA386" s="4">
        <f t="shared" ref="AA386:AA449" si="27">(X386+Y386+Z386)/3</f>
        <v>16.8347603102218</v>
      </c>
      <c r="AH386" s="28" t="s">
        <v>4674</v>
      </c>
      <c r="AJ386" s="4" t="s">
        <v>2855</v>
      </c>
    </row>
    <row r="387" spans="2:36" x14ac:dyDescent="0.2">
      <c r="B387" s="4" t="s">
        <v>2600</v>
      </c>
      <c r="C387" s="4">
        <v>16.865200000000002</v>
      </c>
      <c r="D387" s="4">
        <v>16.639399999999998</v>
      </c>
      <c r="E387" s="4">
        <v>16.8841</v>
      </c>
      <c r="F387" s="4">
        <f t="shared" si="24"/>
        <v>16.796233333333333</v>
      </c>
      <c r="I387" s="4" t="s">
        <v>3429</v>
      </c>
      <c r="J387" s="4">
        <v>16.524000000000001</v>
      </c>
      <c r="K387" s="4">
        <v>16.569099999999999</v>
      </c>
      <c r="L387" s="4">
        <v>17.6492</v>
      </c>
      <c r="M387" s="4">
        <f t="shared" si="25"/>
        <v>16.914100000000001</v>
      </c>
      <c r="P387" s="4" t="str">
        <f>"rps-27"</f>
        <v>rps-27</v>
      </c>
      <c r="Q387" s="4">
        <v>17.241897212741399</v>
      </c>
      <c r="R387" s="4">
        <v>16.57099726361</v>
      </c>
      <c r="S387" s="4">
        <v>16.6140764266882</v>
      </c>
      <c r="T387" s="4">
        <f t="shared" si="26"/>
        <v>16.8089903010132</v>
      </c>
      <c r="W387" s="4" t="str">
        <f>"mcm-7"</f>
        <v>mcm-7</v>
      </c>
      <c r="X387" s="4">
        <v>16.867089980035701</v>
      </c>
      <c r="Y387" s="4">
        <v>16.916218013459801</v>
      </c>
      <c r="Z387" s="4">
        <v>16.698281437739599</v>
      </c>
      <c r="AA387" s="4">
        <f t="shared" si="27"/>
        <v>16.827196477078363</v>
      </c>
      <c r="AH387" s="28" t="s">
        <v>4652</v>
      </c>
      <c r="AJ387" s="4" t="s">
        <v>399</v>
      </c>
    </row>
    <row r="388" spans="2:36" x14ac:dyDescent="0.2">
      <c r="B388" s="4" t="s">
        <v>3911</v>
      </c>
      <c r="C388" s="4">
        <v>17.092700000000001</v>
      </c>
      <c r="D388" s="4">
        <v>16.1661</v>
      </c>
      <c r="E388" s="4">
        <v>17.113700000000001</v>
      </c>
      <c r="F388" s="4">
        <f t="shared" si="24"/>
        <v>16.790833333333335</v>
      </c>
      <c r="I388" s="4" t="s">
        <v>3771</v>
      </c>
      <c r="J388" s="4">
        <v>16.9072</v>
      </c>
      <c r="K388" s="4">
        <v>16.771799999999999</v>
      </c>
      <c r="L388" s="4">
        <v>17.0579</v>
      </c>
      <c r="M388" s="4">
        <f t="shared" si="25"/>
        <v>16.912300000000002</v>
      </c>
      <c r="P388" s="4" t="str">
        <f>"C46G7.2"</f>
        <v>C46G7.2</v>
      </c>
      <c r="Q388" s="4">
        <v>17.063259734773201</v>
      </c>
      <c r="R388" s="4">
        <v>16.595594577878</v>
      </c>
      <c r="S388" s="4">
        <v>16.746280436429501</v>
      </c>
      <c r="T388" s="4">
        <f t="shared" si="26"/>
        <v>16.801711583026901</v>
      </c>
      <c r="W388" s="4" t="str">
        <f>"rnr-1"</f>
        <v>rnr-1</v>
      </c>
      <c r="X388" s="4">
        <v>16.8565529992938</v>
      </c>
      <c r="Y388" s="4">
        <v>16.899618906116601</v>
      </c>
      <c r="Z388" s="4">
        <v>16.7251445184624</v>
      </c>
      <c r="AA388" s="4">
        <f t="shared" si="27"/>
        <v>16.827105474624265</v>
      </c>
      <c r="AH388" s="28" t="s">
        <v>4829</v>
      </c>
      <c r="AJ388" s="4" t="s">
        <v>4568</v>
      </c>
    </row>
    <row r="389" spans="2:36" x14ac:dyDescent="0.2">
      <c r="B389" s="4" t="s">
        <v>4635</v>
      </c>
      <c r="C389" s="4">
        <v>17.465499999999999</v>
      </c>
      <c r="D389" s="4">
        <v>17.122900000000001</v>
      </c>
      <c r="E389" s="4">
        <v>15.7805</v>
      </c>
      <c r="F389" s="4">
        <f t="shared" si="24"/>
        <v>16.789633333333331</v>
      </c>
      <c r="I389" s="4" t="s">
        <v>1694</v>
      </c>
      <c r="J389" s="4">
        <v>16.821300000000001</v>
      </c>
      <c r="K389" s="4">
        <v>16.985600000000002</v>
      </c>
      <c r="L389" s="4">
        <v>16.929600000000001</v>
      </c>
      <c r="M389" s="4">
        <f t="shared" si="25"/>
        <v>16.912166666666668</v>
      </c>
      <c r="P389" s="4" t="str">
        <f>"pab-2"</f>
        <v>pab-2</v>
      </c>
      <c r="Q389" s="4">
        <v>17.019521835144499</v>
      </c>
      <c r="R389" s="4">
        <v>16.698867267488499</v>
      </c>
      <c r="S389" s="4">
        <v>16.685139020094301</v>
      </c>
      <c r="T389" s="4">
        <f t="shared" si="26"/>
        <v>16.801176040909098</v>
      </c>
      <c r="W389" s="4" t="str">
        <f>"rpn-2"</f>
        <v>rpn-2</v>
      </c>
      <c r="X389" s="4">
        <v>16.7980012904262</v>
      </c>
      <c r="Y389" s="4">
        <v>16.915571291108598</v>
      </c>
      <c r="Z389" s="4">
        <v>16.683712279898401</v>
      </c>
      <c r="AA389" s="4">
        <f t="shared" si="27"/>
        <v>16.799094953811068</v>
      </c>
      <c r="AH389" s="28" t="s">
        <v>4678</v>
      </c>
      <c r="AJ389" s="4" t="s">
        <v>1802</v>
      </c>
    </row>
    <row r="390" spans="2:36" x14ac:dyDescent="0.2">
      <c r="B390" s="4" t="s">
        <v>1330</v>
      </c>
      <c r="C390" s="4">
        <v>16.789200000000001</v>
      </c>
      <c r="D390" s="4">
        <v>17.016400000000001</v>
      </c>
      <c r="E390" s="4">
        <v>16.554500000000001</v>
      </c>
      <c r="F390" s="4">
        <f t="shared" si="24"/>
        <v>16.7867</v>
      </c>
      <c r="I390" s="4" t="s">
        <v>3947</v>
      </c>
      <c r="J390" s="4">
        <v>16.986000000000001</v>
      </c>
      <c r="K390" s="4">
        <v>17.035799999999998</v>
      </c>
      <c r="L390" s="4">
        <v>16.7012</v>
      </c>
      <c r="M390" s="4">
        <f t="shared" si="25"/>
        <v>16.907666666666668</v>
      </c>
      <c r="P390" s="4" t="str">
        <f>"ttr-18"</f>
        <v>ttr-18</v>
      </c>
      <c r="Q390" s="4">
        <v>17.236348839870701</v>
      </c>
      <c r="R390" s="4">
        <v>16.322877127181702</v>
      </c>
      <c r="S390" s="4">
        <v>16.802140590433101</v>
      </c>
      <c r="T390" s="4">
        <f t="shared" si="26"/>
        <v>16.787122185828498</v>
      </c>
      <c r="W390" s="4" t="str">
        <f>"arp-1"</f>
        <v>arp-1</v>
      </c>
      <c r="X390" s="4">
        <v>16.665521129912999</v>
      </c>
      <c r="Y390" s="4">
        <v>16.821602165325299</v>
      </c>
      <c r="Z390" s="4">
        <v>16.8717859159485</v>
      </c>
      <c r="AA390" s="4">
        <f t="shared" si="27"/>
        <v>16.786303070395601</v>
      </c>
      <c r="AH390" s="28" t="s">
        <v>2352</v>
      </c>
      <c r="AJ390" s="4" t="s">
        <v>1902</v>
      </c>
    </row>
    <row r="391" spans="2:36" x14ac:dyDescent="0.2">
      <c r="B391" s="4" t="s">
        <v>2661</v>
      </c>
      <c r="C391" s="4">
        <v>17.0001</v>
      </c>
      <c r="D391" s="4">
        <v>16.5412</v>
      </c>
      <c r="E391" s="4">
        <v>16.8187</v>
      </c>
      <c r="F391" s="4">
        <f t="shared" si="24"/>
        <v>16.786666666666665</v>
      </c>
      <c r="I391" s="4" t="s">
        <v>702</v>
      </c>
      <c r="J391" s="4">
        <v>16.8185</v>
      </c>
      <c r="K391" s="4">
        <v>17.353100000000001</v>
      </c>
      <c r="L391" s="4">
        <v>16.5441</v>
      </c>
      <c r="M391" s="4">
        <f t="shared" si="25"/>
        <v>16.905233333333332</v>
      </c>
      <c r="P391" s="4" t="str">
        <f>"unc-60"</f>
        <v>unc-60</v>
      </c>
      <c r="Q391" s="4">
        <v>16.8482278840711</v>
      </c>
      <c r="R391" s="4">
        <v>16.601337656325001</v>
      </c>
      <c r="S391" s="4">
        <v>16.881529523607799</v>
      </c>
      <c r="T391" s="4">
        <f t="shared" si="26"/>
        <v>16.777031688001301</v>
      </c>
      <c r="W391" s="4" t="str">
        <f>"phb-1"</f>
        <v>phb-1</v>
      </c>
      <c r="X391" s="4">
        <v>16.921206183048898</v>
      </c>
      <c r="Y391" s="4">
        <v>16.731927815615801</v>
      </c>
      <c r="Z391" s="4">
        <v>16.695405823191301</v>
      </c>
      <c r="AA391" s="4">
        <f t="shared" si="27"/>
        <v>16.782846607285332</v>
      </c>
      <c r="AH391" s="28" t="s">
        <v>2518</v>
      </c>
      <c r="AJ391" s="4" t="s">
        <v>2465</v>
      </c>
    </row>
    <row r="392" spans="2:36" x14ac:dyDescent="0.2">
      <c r="B392" s="4" t="s">
        <v>1370</v>
      </c>
      <c r="C392" s="4">
        <v>16.732600000000001</v>
      </c>
      <c r="D392" s="4">
        <v>16.777699999999999</v>
      </c>
      <c r="E392" s="4">
        <v>16.837800000000001</v>
      </c>
      <c r="F392" s="4">
        <f t="shared" si="24"/>
        <v>16.782700000000002</v>
      </c>
      <c r="I392" s="4" t="s">
        <v>3670</v>
      </c>
      <c r="J392" s="4">
        <v>16.896100000000001</v>
      </c>
      <c r="K392" s="4">
        <v>16.7165</v>
      </c>
      <c r="L392" s="4">
        <v>17.088999999999999</v>
      </c>
      <c r="M392" s="4">
        <f t="shared" si="25"/>
        <v>16.900533333333332</v>
      </c>
      <c r="P392" s="4" t="str">
        <f>"copb-2"</f>
        <v>copb-2</v>
      </c>
      <c r="Q392" s="4">
        <v>16.925276225978401</v>
      </c>
      <c r="R392" s="4">
        <v>16.6683417537342</v>
      </c>
      <c r="S392" s="4">
        <v>16.7330315804879</v>
      </c>
      <c r="T392" s="4">
        <f t="shared" si="26"/>
        <v>16.775549853400168</v>
      </c>
      <c r="W392" s="4" t="str">
        <f>"T08G11.1"</f>
        <v>T08G11.1</v>
      </c>
      <c r="X392" s="4">
        <v>16.883152706342798</v>
      </c>
      <c r="Y392" s="4">
        <v>16.7224287736265</v>
      </c>
      <c r="Z392" s="4">
        <v>16.713394951128201</v>
      </c>
      <c r="AA392" s="4">
        <f t="shared" si="27"/>
        <v>16.772992143699167</v>
      </c>
      <c r="AH392" s="28" t="s">
        <v>3776</v>
      </c>
      <c r="AJ392" s="4" t="s">
        <v>4161</v>
      </c>
    </row>
    <row r="393" spans="2:36" x14ac:dyDescent="0.2">
      <c r="B393" s="4" t="s">
        <v>684</v>
      </c>
      <c r="C393" s="4">
        <v>16.541899999999998</v>
      </c>
      <c r="D393" s="4">
        <v>17.1555</v>
      </c>
      <c r="E393" s="4">
        <v>16.633900000000001</v>
      </c>
      <c r="F393" s="4">
        <f t="shared" si="24"/>
        <v>16.777100000000001</v>
      </c>
      <c r="I393" s="4" t="s">
        <v>3553</v>
      </c>
      <c r="J393" s="4">
        <v>16.9145</v>
      </c>
      <c r="K393" s="4">
        <v>16.9419</v>
      </c>
      <c r="L393" s="4">
        <v>16.829799999999999</v>
      </c>
      <c r="M393" s="4">
        <f t="shared" si="25"/>
        <v>16.895399999999999</v>
      </c>
      <c r="P393" s="4" t="str">
        <f>"rpoa-1"</f>
        <v>rpoa-1</v>
      </c>
      <c r="Q393" s="4">
        <v>16.848115126495401</v>
      </c>
      <c r="R393" s="4">
        <v>16.7691990568931</v>
      </c>
      <c r="S393" s="4">
        <v>16.7008844078549</v>
      </c>
      <c r="T393" s="4">
        <f t="shared" si="26"/>
        <v>16.772732863747802</v>
      </c>
      <c r="W393" s="4" t="str">
        <f>"sdha-1"</f>
        <v>sdha-1</v>
      </c>
      <c r="X393" s="4">
        <v>16.6500758866481</v>
      </c>
      <c r="Y393" s="4">
        <v>16.7399690566908</v>
      </c>
      <c r="Z393" s="4">
        <v>16.912478119772299</v>
      </c>
      <c r="AA393" s="4">
        <f t="shared" si="27"/>
        <v>16.767507687703731</v>
      </c>
      <c r="AH393" s="28" t="s">
        <v>743</v>
      </c>
      <c r="AJ393" s="4" t="s">
        <v>4132</v>
      </c>
    </row>
    <row r="394" spans="2:36" x14ac:dyDescent="0.2">
      <c r="B394" s="4" t="s">
        <v>1431</v>
      </c>
      <c r="C394" s="4">
        <v>16.6403</v>
      </c>
      <c r="D394" s="4">
        <v>17.051400000000001</v>
      </c>
      <c r="E394" s="4">
        <v>16.619499999999999</v>
      </c>
      <c r="F394" s="4">
        <f t="shared" si="24"/>
        <v>16.770399999999999</v>
      </c>
      <c r="I394" s="4" t="s">
        <v>3396</v>
      </c>
      <c r="J394" s="4">
        <v>16.817399999999999</v>
      </c>
      <c r="K394" s="4">
        <v>17.041599999999999</v>
      </c>
      <c r="L394" s="4">
        <v>16.809000000000001</v>
      </c>
      <c r="M394" s="4">
        <f t="shared" si="25"/>
        <v>16.88933333333333</v>
      </c>
      <c r="P394" s="4" t="str">
        <f>"plc-4"</f>
        <v>plc-4</v>
      </c>
      <c r="Q394" s="4">
        <v>16.870236789151299</v>
      </c>
      <c r="R394" s="4">
        <v>16.7682564710659</v>
      </c>
      <c r="S394" s="4">
        <v>16.667720664514398</v>
      </c>
      <c r="T394" s="4">
        <f t="shared" si="26"/>
        <v>16.768737974910533</v>
      </c>
      <c r="W394" s="4" t="str">
        <f>"vha-11"</f>
        <v>vha-11</v>
      </c>
      <c r="X394" s="4">
        <v>16.9609833572326</v>
      </c>
      <c r="Y394" s="4">
        <v>16.735715320679201</v>
      </c>
      <c r="Z394" s="4">
        <v>16.605583821694701</v>
      </c>
      <c r="AA394" s="4">
        <f t="shared" si="27"/>
        <v>16.767427499868834</v>
      </c>
      <c r="AH394" s="28" t="s">
        <v>4633</v>
      </c>
      <c r="AJ394" s="4" t="s">
        <v>2174</v>
      </c>
    </row>
    <row r="395" spans="2:36" x14ac:dyDescent="0.2">
      <c r="B395" s="4" t="s">
        <v>2413</v>
      </c>
      <c r="C395" s="4">
        <v>16.754200000000001</v>
      </c>
      <c r="D395" s="4">
        <v>16.9754</v>
      </c>
      <c r="E395" s="4">
        <v>16.580500000000001</v>
      </c>
      <c r="F395" s="4">
        <f t="shared" si="24"/>
        <v>16.770033333333334</v>
      </c>
      <c r="I395" s="4" t="s">
        <v>3821</v>
      </c>
      <c r="J395" s="4">
        <v>16.998799999999999</v>
      </c>
      <c r="K395" s="4">
        <v>16.805399999999999</v>
      </c>
      <c r="L395" s="4">
        <v>16.861599999999999</v>
      </c>
      <c r="M395" s="4">
        <f t="shared" si="25"/>
        <v>16.888599999999997</v>
      </c>
      <c r="P395" s="4" t="str">
        <f>"C24H12.4"</f>
        <v>C24H12.4</v>
      </c>
      <c r="Q395" s="4">
        <v>16.8334645006016</v>
      </c>
      <c r="R395" s="4">
        <v>16.844918815966899</v>
      </c>
      <c r="S395" s="4">
        <v>16.577454828402001</v>
      </c>
      <c r="T395" s="4">
        <f t="shared" si="26"/>
        <v>16.7519460483235</v>
      </c>
      <c r="W395" s="4" t="str">
        <f>"srpa-72"</f>
        <v>srpa-72</v>
      </c>
      <c r="X395" s="4">
        <v>16.769685331643899</v>
      </c>
      <c r="Y395" s="4">
        <v>16.8978680788505</v>
      </c>
      <c r="Z395" s="4">
        <v>16.628332518256101</v>
      </c>
      <c r="AA395" s="4">
        <f t="shared" si="27"/>
        <v>16.7652953095835</v>
      </c>
      <c r="AH395" s="28" t="s">
        <v>2865</v>
      </c>
      <c r="AJ395" s="4" t="s">
        <v>408</v>
      </c>
    </row>
    <row r="396" spans="2:36" x14ac:dyDescent="0.2">
      <c r="B396" s="4" t="s">
        <v>1904</v>
      </c>
      <c r="C396" s="4">
        <v>16.836200000000002</v>
      </c>
      <c r="D396" s="4">
        <v>16.741299999999999</v>
      </c>
      <c r="E396" s="4">
        <v>16.723400000000002</v>
      </c>
      <c r="F396" s="4">
        <f t="shared" si="24"/>
        <v>16.766966666666665</v>
      </c>
      <c r="I396" s="4" t="s">
        <v>880</v>
      </c>
      <c r="J396" s="4">
        <v>17.046900000000001</v>
      </c>
      <c r="K396" s="4">
        <v>16.849599999999999</v>
      </c>
      <c r="L396" s="4">
        <v>16.765499999999999</v>
      </c>
      <c r="M396" s="4">
        <f t="shared" si="25"/>
        <v>16.887333333333334</v>
      </c>
      <c r="P396" s="4" t="str">
        <f>"mrpl-45"</f>
        <v>mrpl-45</v>
      </c>
      <c r="Q396" s="4">
        <v>17.1152233430102</v>
      </c>
      <c r="R396" s="4">
        <v>16.559396309691699</v>
      </c>
      <c r="S396" s="4">
        <v>16.5638406147085</v>
      </c>
      <c r="T396" s="4">
        <f t="shared" si="26"/>
        <v>16.746153422470133</v>
      </c>
      <c r="W396" s="4" t="str">
        <f>"F53C11.3"</f>
        <v>F53C11.3</v>
      </c>
      <c r="X396" s="4">
        <v>16.731000577866901</v>
      </c>
      <c r="Y396" s="4">
        <v>16.584735906078901</v>
      </c>
      <c r="Z396" s="4">
        <v>16.967751560703</v>
      </c>
      <c r="AA396" s="4">
        <f t="shared" si="27"/>
        <v>16.7611626815496</v>
      </c>
      <c r="AH396" s="28" t="s">
        <v>2522</v>
      </c>
      <c r="AJ396" s="4" t="s">
        <v>3385</v>
      </c>
    </row>
    <row r="397" spans="2:36" x14ac:dyDescent="0.2">
      <c r="B397" s="4" t="s">
        <v>3396</v>
      </c>
      <c r="C397" s="4">
        <v>16.5182</v>
      </c>
      <c r="D397" s="4">
        <v>16.5411</v>
      </c>
      <c r="E397" s="4">
        <v>17.234200000000001</v>
      </c>
      <c r="F397" s="4">
        <f t="shared" si="24"/>
        <v>16.764500000000002</v>
      </c>
      <c r="I397" s="4" t="s">
        <v>2400</v>
      </c>
      <c r="J397" s="4">
        <v>16.573399999999999</v>
      </c>
      <c r="K397" s="4">
        <v>16.877099999999999</v>
      </c>
      <c r="L397" s="4">
        <v>17.2089</v>
      </c>
      <c r="M397" s="4">
        <f t="shared" si="25"/>
        <v>16.886466666666667</v>
      </c>
      <c r="P397" s="4" t="str">
        <f>"C14B9.10"</f>
        <v>C14B9.10</v>
      </c>
      <c r="Q397" s="4">
        <v>16.7436830477745</v>
      </c>
      <c r="R397" s="4">
        <v>16.8231054063065</v>
      </c>
      <c r="S397" s="4">
        <v>16.652314312194498</v>
      </c>
      <c r="T397" s="4">
        <f t="shared" si="26"/>
        <v>16.739700922091831</v>
      </c>
      <c r="W397" s="4" t="str">
        <f>"pab-2"</f>
        <v>pab-2</v>
      </c>
      <c r="X397" s="4">
        <v>16.658295739954099</v>
      </c>
      <c r="Y397" s="4">
        <v>16.9196081276068</v>
      </c>
      <c r="Z397" s="4">
        <v>16.7023309869179</v>
      </c>
      <c r="AA397" s="4">
        <f t="shared" si="27"/>
        <v>16.760078284826267</v>
      </c>
      <c r="AH397" s="28" t="s">
        <v>551</v>
      </c>
      <c r="AJ397" s="4" t="s">
        <v>3063</v>
      </c>
    </row>
    <row r="398" spans="2:36" x14ac:dyDescent="0.2">
      <c r="B398" s="4" t="s">
        <v>1695</v>
      </c>
      <c r="C398" s="4">
        <v>16.596599999999999</v>
      </c>
      <c r="D398" s="4">
        <v>16.607900000000001</v>
      </c>
      <c r="E398" s="4">
        <v>17.088999999999999</v>
      </c>
      <c r="F398" s="4">
        <f t="shared" si="24"/>
        <v>16.764499999999998</v>
      </c>
      <c r="I398" s="4" t="s">
        <v>524</v>
      </c>
      <c r="J398" s="4">
        <v>16.624500000000001</v>
      </c>
      <c r="K398" s="4">
        <v>16.640799999999999</v>
      </c>
      <c r="L398" s="4">
        <v>17.3538</v>
      </c>
      <c r="M398" s="4">
        <f t="shared" si="25"/>
        <v>16.873033333333332</v>
      </c>
      <c r="P398" s="4" t="str">
        <f>"ipla-6"</f>
        <v>ipla-6</v>
      </c>
      <c r="Q398" s="4">
        <v>17.083598327358001</v>
      </c>
      <c r="R398" s="4">
        <v>16.5535522809434</v>
      </c>
      <c r="S398" s="4">
        <v>16.581606348897701</v>
      </c>
      <c r="T398" s="4">
        <f t="shared" si="26"/>
        <v>16.7395856523997</v>
      </c>
      <c r="W398" s="4" t="str">
        <f>"dao-3"</f>
        <v>dao-3</v>
      </c>
      <c r="X398" s="4">
        <v>16.7890728932549</v>
      </c>
      <c r="Y398" s="4">
        <v>16.7329123687771</v>
      </c>
      <c r="Z398" s="4">
        <v>16.752763597992001</v>
      </c>
      <c r="AA398" s="4">
        <f t="shared" si="27"/>
        <v>16.758249620008002</v>
      </c>
      <c r="AH398" s="28" t="s">
        <v>3175</v>
      </c>
      <c r="AJ398" s="4" t="s">
        <v>424</v>
      </c>
    </row>
    <row r="399" spans="2:36" x14ac:dyDescent="0.2">
      <c r="B399" s="4" t="s">
        <v>3875</v>
      </c>
      <c r="C399" s="4">
        <v>16.622699999999998</v>
      </c>
      <c r="D399" s="4">
        <v>16.961400000000001</v>
      </c>
      <c r="E399" s="4">
        <v>16.7014</v>
      </c>
      <c r="F399" s="4">
        <f t="shared" si="24"/>
        <v>16.761833333333332</v>
      </c>
      <c r="I399" s="4" t="s">
        <v>775</v>
      </c>
      <c r="J399" s="4">
        <v>16.698499999999999</v>
      </c>
      <c r="K399" s="4">
        <v>17.313500000000001</v>
      </c>
      <c r="L399" s="4">
        <v>16.6065</v>
      </c>
      <c r="M399" s="4">
        <f t="shared" si="25"/>
        <v>16.872833333333332</v>
      </c>
      <c r="P399" s="4" t="str">
        <f>"eif-3.G"</f>
        <v>eif-3.G</v>
      </c>
      <c r="Q399" s="4">
        <v>16.700179415501999</v>
      </c>
      <c r="R399" s="4">
        <v>16.684459771597201</v>
      </c>
      <c r="S399" s="4">
        <v>16.827880454804401</v>
      </c>
      <c r="T399" s="4">
        <f t="shared" si="26"/>
        <v>16.737506547301198</v>
      </c>
      <c r="W399" s="4" t="str">
        <f>"R05D3.12"</f>
        <v>R05D3.12</v>
      </c>
      <c r="X399" s="4">
        <v>16.5869413147344</v>
      </c>
      <c r="Y399" s="4">
        <v>16.764308081668499</v>
      </c>
      <c r="Z399" s="4">
        <v>16.9188197698709</v>
      </c>
      <c r="AA399" s="4">
        <f t="shared" si="27"/>
        <v>16.756689722091267</v>
      </c>
      <c r="AH399" s="28" t="s">
        <v>4725</v>
      </c>
      <c r="AJ399" s="4" t="s">
        <v>3835</v>
      </c>
    </row>
    <row r="400" spans="2:36" x14ac:dyDescent="0.2">
      <c r="B400" s="4" t="s">
        <v>775</v>
      </c>
      <c r="C400" s="4">
        <v>16.698399999999999</v>
      </c>
      <c r="D400" s="4">
        <v>17.0334</v>
      </c>
      <c r="E400" s="4">
        <v>16.550999999999998</v>
      </c>
      <c r="F400" s="4">
        <f t="shared" si="24"/>
        <v>16.76093333333333</v>
      </c>
      <c r="I400" s="4" t="s">
        <v>65</v>
      </c>
      <c r="J400" s="4">
        <v>16.953800000000001</v>
      </c>
      <c r="K400" s="4">
        <v>17.015499999999999</v>
      </c>
      <c r="L400" s="4">
        <v>16.6371</v>
      </c>
      <c r="M400" s="4">
        <f t="shared" si="25"/>
        <v>16.868800000000004</v>
      </c>
      <c r="P400" s="4" t="str">
        <f>"R05D3.12"</f>
        <v>R05D3.12</v>
      </c>
      <c r="Q400" s="4">
        <v>17.146226640306701</v>
      </c>
      <c r="R400" s="4">
        <v>16.449790365217901</v>
      </c>
      <c r="S400" s="4">
        <v>16.605440880465501</v>
      </c>
      <c r="T400" s="4">
        <f t="shared" si="26"/>
        <v>16.733819295330033</v>
      </c>
      <c r="W400" s="4" t="str">
        <f>"W10C8.5"</f>
        <v>W10C8.5</v>
      </c>
      <c r="X400" s="4">
        <v>16.880165461448801</v>
      </c>
      <c r="Y400" s="4">
        <v>16.639859182206902</v>
      </c>
      <c r="Z400" s="4">
        <v>16.737233397486602</v>
      </c>
      <c r="AA400" s="4">
        <f t="shared" si="27"/>
        <v>16.752419347047436</v>
      </c>
      <c r="AH400" s="28" t="s">
        <v>4697</v>
      </c>
      <c r="AJ400" s="4" t="s">
        <v>3497</v>
      </c>
    </row>
    <row r="401" spans="2:36" x14ac:dyDescent="0.2">
      <c r="B401" s="4" t="s">
        <v>3095</v>
      </c>
      <c r="C401" s="4">
        <v>16.475899999999999</v>
      </c>
      <c r="D401" s="4">
        <v>16.3947</v>
      </c>
      <c r="E401" s="4">
        <v>17.403400000000001</v>
      </c>
      <c r="F401" s="4">
        <f t="shared" si="24"/>
        <v>16.757999999999999</v>
      </c>
      <c r="I401" s="4" t="s">
        <v>1253</v>
      </c>
      <c r="J401" s="4">
        <v>16.928599999999999</v>
      </c>
      <c r="K401" s="4">
        <v>16.883299999999998</v>
      </c>
      <c r="L401" s="4">
        <v>16.7837</v>
      </c>
      <c r="M401" s="4">
        <f t="shared" si="25"/>
        <v>16.865199999999998</v>
      </c>
      <c r="P401" s="4" t="str">
        <f>"rpb-2"</f>
        <v>rpb-2</v>
      </c>
      <c r="Q401" s="4">
        <v>16.918337190096999</v>
      </c>
      <c r="R401" s="4">
        <v>16.660238803637402</v>
      </c>
      <c r="S401" s="4">
        <v>16.5732796170849</v>
      </c>
      <c r="T401" s="4">
        <f t="shared" si="26"/>
        <v>16.717285203606433</v>
      </c>
      <c r="W401" s="4" t="str">
        <f>"atln-1"</f>
        <v>atln-1</v>
      </c>
      <c r="X401" s="4">
        <v>16.790499239467401</v>
      </c>
      <c r="Y401" s="4">
        <v>16.863174713210199</v>
      </c>
      <c r="Z401" s="4">
        <v>16.5866172259609</v>
      </c>
      <c r="AA401" s="4">
        <f t="shared" si="27"/>
        <v>16.746763726212833</v>
      </c>
      <c r="AH401" s="28" t="s">
        <v>4596</v>
      </c>
      <c r="AJ401" s="4" t="s">
        <v>4030</v>
      </c>
    </row>
    <row r="402" spans="2:36" x14ac:dyDescent="0.2">
      <c r="B402" s="4" t="s">
        <v>3985</v>
      </c>
      <c r="C402" s="4">
        <v>16.659300000000002</v>
      </c>
      <c r="D402" s="4">
        <v>17.116</v>
      </c>
      <c r="E402" s="4">
        <v>16.4755</v>
      </c>
      <c r="F402" s="4">
        <f t="shared" si="24"/>
        <v>16.750266666666665</v>
      </c>
      <c r="I402" s="4" t="s">
        <v>368</v>
      </c>
      <c r="J402" s="4">
        <v>16.930700000000002</v>
      </c>
      <c r="K402" s="4">
        <v>16.873899999999999</v>
      </c>
      <c r="L402" s="4">
        <v>16.786999999999999</v>
      </c>
      <c r="M402" s="4">
        <f t="shared" si="25"/>
        <v>16.863866666666667</v>
      </c>
      <c r="P402" s="4" t="str">
        <f>"iffb-1"</f>
        <v>iffb-1</v>
      </c>
      <c r="Q402" s="4">
        <v>16.600373075767799</v>
      </c>
      <c r="R402" s="4">
        <v>16.711299108309699</v>
      </c>
      <c r="S402" s="4">
        <v>16.836238349031401</v>
      </c>
      <c r="T402" s="4">
        <f t="shared" si="26"/>
        <v>16.715970177702967</v>
      </c>
      <c r="W402" s="4" t="str">
        <f>"dhs-13"</f>
        <v>dhs-13</v>
      </c>
      <c r="X402" s="4">
        <v>16.6164599036677</v>
      </c>
      <c r="Y402" s="4">
        <v>16.630557900401701</v>
      </c>
      <c r="Z402" s="4">
        <v>16.959406975806999</v>
      </c>
      <c r="AA402" s="4">
        <f t="shared" si="27"/>
        <v>16.735474926625468</v>
      </c>
      <c r="AH402" s="28" t="s">
        <v>4790</v>
      </c>
      <c r="AJ402" s="4" t="s">
        <v>3807</v>
      </c>
    </row>
    <row r="403" spans="2:36" x14ac:dyDescent="0.2">
      <c r="B403" s="4" t="s">
        <v>3973</v>
      </c>
      <c r="C403" s="4">
        <v>16.851400000000002</v>
      </c>
      <c r="D403" s="4">
        <v>16.710899999999999</v>
      </c>
      <c r="E403" s="4">
        <v>16.665500000000002</v>
      </c>
      <c r="F403" s="4">
        <f t="shared" si="24"/>
        <v>16.742599999999999</v>
      </c>
      <c r="I403" s="4" t="s">
        <v>1636</v>
      </c>
      <c r="J403" s="4">
        <v>17.068999999999999</v>
      </c>
      <c r="K403" s="4">
        <v>16.908100000000001</v>
      </c>
      <c r="L403" s="4">
        <v>16.604099999999999</v>
      </c>
      <c r="M403" s="4">
        <f t="shared" si="25"/>
        <v>16.860399999999998</v>
      </c>
      <c r="P403" s="4" t="str">
        <f>"B0395.3"</f>
        <v>B0395.3</v>
      </c>
      <c r="Q403" s="4">
        <v>16.941275381431801</v>
      </c>
      <c r="R403" s="4">
        <v>16.559895000445302</v>
      </c>
      <c r="S403" s="4">
        <v>16.645211855470102</v>
      </c>
      <c r="T403" s="4">
        <f t="shared" si="26"/>
        <v>16.715460745782401</v>
      </c>
      <c r="W403" s="4" t="str">
        <f>"paa-1"</f>
        <v>paa-1</v>
      </c>
      <c r="X403" s="4">
        <v>16.739794467009499</v>
      </c>
      <c r="Y403" s="4">
        <v>16.8399705733483</v>
      </c>
      <c r="Z403" s="4">
        <v>16.623530216378199</v>
      </c>
      <c r="AA403" s="4">
        <f t="shared" si="27"/>
        <v>16.734431752245332</v>
      </c>
      <c r="AH403" s="28" t="s">
        <v>1791</v>
      </c>
      <c r="AJ403" s="4" t="s">
        <v>4477</v>
      </c>
    </row>
    <row r="404" spans="2:36" x14ac:dyDescent="0.2">
      <c r="B404" s="4" t="s">
        <v>3689</v>
      </c>
      <c r="C404" s="4">
        <v>16.6448</v>
      </c>
      <c r="D404" s="4">
        <v>16.845099999999999</v>
      </c>
      <c r="E404" s="4">
        <v>16.733699999999999</v>
      </c>
      <c r="F404" s="4">
        <f t="shared" si="24"/>
        <v>16.741199999999999</v>
      </c>
      <c r="I404" s="4" t="s">
        <v>1004</v>
      </c>
      <c r="J404" s="4">
        <v>17.543099999999999</v>
      </c>
      <c r="K404" s="4">
        <v>16.648800000000001</v>
      </c>
      <c r="L404" s="4">
        <v>16.382400000000001</v>
      </c>
      <c r="M404" s="4">
        <f t="shared" si="25"/>
        <v>16.858100000000004</v>
      </c>
      <c r="P404" s="4" t="str">
        <f>"pqn-52"</f>
        <v>pqn-52</v>
      </c>
      <c r="Q404" s="4">
        <v>17.168933343279001</v>
      </c>
      <c r="R404" s="4">
        <v>16.188671198588501</v>
      </c>
      <c r="S404" s="4">
        <v>16.778972710388899</v>
      </c>
      <c r="T404" s="4">
        <f t="shared" si="26"/>
        <v>16.712192417418802</v>
      </c>
      <c r="W404" s="4" t="str">
        <f>"gpd-2"</f>
        <v>gpd-2</v>
      </c>
      <c r="X404" s="4">
        <v>16.648911857305698</v>
      </c>
      <c r="Y404" s="4">
        <v>16.833838904037801</v>
      </c>
      <c r="Z404" s="4">
        <v>16.705642139235199</v>
      </c>
      <c r="AA404" s="4">
        <f t="shared" si="27"/>
        <v>16.729464300192898</v>
      </c>
      <c r="AH404" s="28" t="s">
        <v>4794</v>
      </c>
      <c r="AJ404" s="4" t="s">
        <v>4600</v>
      </c>
    </row>
    <row r="405" spans="2:36" x14ac:dyDescent="0.2">
      <c r="B405" s="4" t="s">
        <v>2331</v>
      </c>
      <c r="C405" s="4">
        <v>16.7758</v>
      </c>
      <c r="D405" s="4">
        <v>16.856100000000001</v>
      </c>
      <c r="E405" s="4">
        <v>16.5794</v>
      </c>
      <c r="F405" s="4">
        <f t="shared" si="24"/>
        <v>16.737100000000002</v>
      </c>
      <c r="I405" s="4" t="s">
        <v>3875</v>
      </c>
      <c r="J405" s="4">
        <v>16.9069</v>
      </c>
      <c r="K405" s="4">
        <v>16.775099999999998</v>
      </c>
      <c r="L405" s="4">
        <v>16.8794</v>
      </c>
      <c r="M405" s="4">
        <f t="shared" si="25"/>
        <v>16.853800000000003</v>
      </c>
      <c r="P405" s="4" t="str">
        <f>"atln-1"</f>
        <v>atln-1</v>
      </c>
      <c r="Q405" s="4">
        <v>16.767710868494301</v>
      </c>
      <c r="R405" s="4">
        <v>16.710428318300199</v>
      </c>
      <c r="S405" s="4">
        <v>16.649597811077001</v>
      </c>
      <c r="T405" s="4">
        <f t="shared" si="26"/>
        <v>16.709245665957166</v>
      </c>
      <c r="W405" s="4" t="str">
        <f>"R151.2"</f>
        <v>R151.2</v>
      </c>
      <c r="X405" s="4">
        <v>16.729179151171699</v>
      </c>
      <c r="Y405" s="4">
        <v>16.849041558345299</v>
      </c>
      <c r="Z405" s="4">
        <v>16.600307563268501</v>
      </c>
      <c r="AA405" s="4">
        <f t="shared" si="27"/>
        <v>16.726176090928501</v>
      </c>
      <c r="AH405" s="28" t="s">
        <v>4703</v>
      </c>
      <c r="AJ405" s="4" t="s">
        <v>3302</v>
      </c>
    </row>
    <row r="406" spans="2:36" x14ac:dyDescent="0.2">
      <c r="B406" s="4" t="s">
        <v>519</v>
      </c>
      <c r="C406" s="4">
        <v>16.466999999999999</v>
      </c>
      <c r="D406" s="4">
        <v>17.104299999999999</v>
      </c>
      <c r="E406" s="4">
        <v>16.638400000000001</v>
      </c>
      <c r="F406" s="4">
        <f t="shared" si="24"/>
        <v>16.736566666666665</v>
      </c>
      <c r="I406" s="4" t="s">
        <v>692</v>
      </c>
      <c r="J406" s="4">
        <v>16.5456</v>
      </c>
      <c r="K406" s="4">
        <v>16.4178</v>
      </c>
      <c r="L406" s="4">
        <v>17.590800000000002</v>
      </c>
      <c r="M406" s="4">
        <f t="shared" si="25"/>
        <v>16.851400000000002</v>
      </c>
      <c r="P406" s="4" t="str">
        <f>"let-413"</f>
        <v>let-413</v>
      </c>
      <c r="Q406" s="4">
        <v>16.924355164440101</v>
      </c>
      <c r="R406" s="4">
        <v>16.6511701213234</v>
      </c>
      <c r="S406" s="4">
        <v>16.546601925877201</v>
      </c>
      <c r="T406" s="4">
        <f t="shared" si="26"/>
        <v>16.707375737213567</v>
      </c>
      <c r="W406" s="4" t="str">
        <f>"let-711"</f>
        <v>let-711</v>
      </c>
      <c r="X406" s="4">
        <v>16.858138578064001</v>
      </c>
      <c r="Y406" s="4">
        <v>16.792194981257001</v>
      </c>
      <c r="Z406" s="4">
        <v>16.523644710575098</v>
      </c>
      <c r="AA406" s="4">
        <f t="shared" si="27"/>
        <v>16.7246594232987</v>
      </c>
      <c r="AH406" s="28" t="s">
        <v>3364</v>
      </c>
      <c r="AJ406" s="4" t="s">
        <v>3568</v>
      </c>
    </row>
    <row r="407" spans="2:36" x14ac:dyDescent="0.2">
      <c r="B407" s="4" t="s">
        <v>582</v>
      </c>
      <c r="C407" s="4">
        <v>16.623899999999999</v>
      </c>
      <c r="D407" s="4">
        <v>17.0215</v>
      </c>
      <c r="E407" s="4">
        <v>16.552399999999999</v>
      </c>
      <c r="F407" s="4">
        <f t="shared" si="24"/>
        <v>16.732599999999998</v>
      </c>
      <c r="I407" s="4" t="s">
        <v>2973</v>
      </c>
      <c r="J407" s="4">
        <v>16.7014</v>
      </c>
      <c r="K407" s="4">
        <v>17.124099999999999</v>
      </c>
      <c r="L407" s="4">
        <v>16.726099999999999</v>
      </c>
      <c r="M407" s="4">
        <f t="shared" si="25"/>
        <v>16.850533333333331</v>
      </c>
      <c r="P407" s="4" t="str">
        <f>"prdx-2"</f>
        <v>prdx-2</v>
      </c>
      <c r="Q407" s="4">
        <v>16.779695794052401</v>
      </c>
      <c r="R407" s="4">
        <v>16.6780694208555</v>
      </c>
      <c r="S407" s="4">
        <v>16.639535825093098</v>
      </c>
      <c r="T407" s="4">
        <f t="shared" si="26"/>
        <v>16.699100346666999</v>
      </c>
      <c r="W407" s="4" t="str">
        <f>"spt-16"</f>
        <v>spt-16</v>
      </c>
      <c r="X407" s="4">
        <v>16.854619974812</v>
      </c>
      <c r="Y407" s="4">
        <v>16.4026746795242</v>
      </c>
      <c r="Z407" s="4">
        <v>16.889570303570501</v>
      </c>
      <c r="AA407" s="4">
        <f t="shared" si="27"/>
        <v>16.715621652635566</v>
      </c>
      <c r="AH407" s="28" t="s">
        <v>3879</v>
      </c>
      <c r="AJ407" s="4" t="s">
        <v>4514</v>
      </c>
    </row>
    <row r="408" spans="2:36" x14ac:dyDescent="0.2">
      <c r="B408" s="4" t="s">
        <v>2624</v>
      </c>
      <c r="C408" s="4">
        <v>16.837700000000002</v>
      </c>
      <c r="D408" s="4">
        <v>16.657299999999999</v>
      </c>
      <c r="E408" s="4">
        <v>16.679300000000001</v>
      </c>
      <c r="F408" s="4">
        <f t="shared" si="24"/>
        <v>16.724766666666667</v>
      </c>
      <c r="I408" s="4" t="s">
        <v>3667</v>
      </c>
      <c r="J408" s="4">
        <v>16.670200000000001</v>
      </c>
      <c r="K408" s="4">
        <v>17.0245</v>
      </c>
      <c r="L408" s="4">
        <v>16.853300000000001</v>
      </c>
      <c r="M408" s="4">
        <f t="shared" si="25"/>
        <v>16.849333333333334</v>
      </c>
      <c r="P408" s="4" t="str">
        <f>"cdc-48.1"</f>
        <v>cdc-48.1</v>
      </c>
      <c r="Q408" s="4">
        <v>16.9379524262466</v>
      </c>
      <c r="R408" s="4">
        <v>16.565884560120999</v>
      </c>
      <c r="S408" s="4">
        <v>16.5631474066663</v>
      </c>
      <c r="T408" s="4">
        <f t="shared" si="26"/>
        <v>16.688994797677967</v>
      </c>
      <c r="W408" s="4" t="str">
        <f>"xpo-1"</f>
        <v>xpo-1</v>
      </c>
      <c r="X408" s="4">
        <v>16.637806245565798</v>
      </c>
      <c r="Y408" s="4">
        <v>16.7227991963296</v>
      </c>
      <c r="Z408" s="4">
        <v>16.772898838437801</v>
      </c>
      <c r="AA408" s="4">
        <f t="shared" si="27"/>
        <v>16.7111680934444</v>
      </c>
      <c r="AH408" s="28" t="s">
        <v>1219</v>
      </c>
      <c r="AJ408" s="4" t="s">
        <v>2515</v>
      </c>
    </row>
    <row r="409" spans="2:36" x14ac:dyDescent="0.2">
      <c r="B409" s="4" t="s">
        <v>2305</v>
      </c>
      <c r="C409" s="4">
        <v>16.882100000000001</v>
      </c>
      <c r="D409" s="4">
        <v>16.551100000000002</v>
      </c>
      <c r="E409" s="4">
        <v>16.718299999999999</v>
      </c>
      <c r="F409" s="4">
        <f t="shared" si="24"/>
        <v>16.717166666666667</v>
      </c>
      <c r="I409" s="4" t="s">
        <v>2557</v>
      </c>
      <c r="J409" s="4">
        <v>16.8461</v>
      </c>
      <c r="K409" s="4">
        <v>16.796500000000002</v>
      </c>
      <c r="L409" s="4">
        <v>16.891200000000001</v>
      </c>
      <c r="M409" s="4">
        <f t="shared" si="25"/>
        <v>16.8446</v>
      </c>
      <c r="P409" s="4" t="str">
        <f>"F44B9.2"</f>
        <v>F44B9.2</v>
      </c>
      <c r="Q409" s="4">
        <v>16.716158840733101</v>
      </c>
      <c r="R409" s="4">
        <v>16.674599832347202</v>
      </c>
      <c r="S409" s="4">
        <v>16.640336456816399</v>
      </c>
      <c r="T409" s="4">
        <f t="shared" si="26"/>
        <v>16.677031709965565</v>
      </c>
      <c r="W409" s="4" t="str">
        <f>"haf-3"</f>
        <v>haf-3</v>
      </c>
      <c r="X409" s="4">
        <v>16.326466153490099</v>
      </c>
      <c r="Y409" s="4">
        <v>16.8127763320323</v>
      </c>
      <c r="Z409" s="4">
        <v>16.979829525028201</v>
      </c>
      <c r="AA409" s="4">
        <f t="shared" si="27"/>
        <v>16.7063573368502</v>
      </c>
      <c r="AH409" s="28" t="s">
        <v>3126</v>
      </c>
      <c r="AJ409" s="4" t="s">
        <v>4556</v>
      </c>
    </row>
    <row r="410" spans="2:36" x14ac:dyDescent="0.2">
      <c r="B410" s="4" t="s">
        <v>2109</v>
      </c>
      <c r="C410" s="4">
        <v>16.898099999999999</v>
      </c>
      <c r="D410" s="4">
        <v>16.849299999999999</v>
      </c>
      <c r="E410" s="4">
        <v>16.388200000000001</v>
      </c>
      <c r="F410" s="4">
        <f t="shared" si="24"/>
        <v>16.711866666666666</v>
      </c>
      <c r="I410" s="4" t="s">
        <v>50</v>
      </c>
      <c r="J410" s="4">
        <v>16.892800000000001</v>
      </c>
      <c r="K410" s="4">
        <v>16.880199999999999</v>
      </c>
      <c r="L410" s="4">
        <v>16.757899999999999</v>
      </c>
      <c r="M410" s="4">
        <f t="shared" si="25"/>
        <v>16.843633333333333</v>
      </c>
      <c r="P410" s="4" t="str">
        <f>"arp-1"</f>
        <v>arp-1</v>
      </c>
      <c r="Q410" s="4">
        <v>16.664484376541601</v>
      </c>
      <c r="R410" s="4">
        <v>16.832795611580899</v>
      </c>
      <c r="S410" s="4">
        <v>16.5175486925359</v>
      </c>
      <c r="T410" s="4">
        <f t="shared" si="26"/>
        <v>16.671609560219466</v>
      </c>
      <c r="W410" s="4" t="str">
        <f>"ppw-1"</f>
        <v>ppw-1</v>
      </c>
      <c r="X410" s="4">
        <v>16.782093188108501</v>
      </c>
      <c r="Y410" s="4">
        <v>16.7660737877004</v>
      </c>
      <c r="Z410" s="4">
        <v>16.564209085560702</v>
      </c>
      <c r="AA410" s="4">
        <f t="shared" si="27"/>
        <v>16.704125353789866</v>
      </c>
      <c r="AH410" s="28" t="s">
        <v>382</v>
      </c>
      <c r="AJ410" s="4" t="s">
        <v>4332</v>
      </c>
    </row>
    <row r="411" spans="2:36" x14ac:dyDescent="0.2">
      <c r="B411" s="4" t="s">
        <v>2041</v>
      </c>
      <c r="C411" s="4">
        <v>16.705200000000001</v>
      </c>
      <c r="D411" s="4">
        <v>16.857399999999998</v>
      </c>
      <c r="E411" s="4">
        <v>16.572900000000001</v>
      </c>
      <c r="F411" s="4">
        <f t="shared" si="24"/>
        <v>16.711833333333335</v>
      </c>
      <c r="I411" s="4" t="s">
        <v>797</v>
      </c>
      <c r="J411" s="4">
        <v>16.758299999999998</v>
      </c>
      <c r="K411" s="4">
        <v>16.424900000000001</v>
      </c>
      <c r="L411" s="4">
        <v>17.3431</v>
      </c>
      <c r="M411" s="4">
        <f t="shared" si="25"/>
        <v>16.842099999999999</v>
      </c>
      <c r="P411" s="4" t="str">
        <f>"ZK1236.1"</f>
        <v>ZK1236.1</v>
      </c>
      <c r="Q411" s="4">
        <v>16.983942415184401</v>
      </c>
      <c r="R411" s="4">
        <v>16.469050734797101</v>
      </c>
      <c r="S411" s="4">
        <v>16.556075015718001</v>
      </c>
      <c r="T411" s="4">
        <f t="shared" si="26"/>
        <v>16.6696893885665</v>
      </c>
      <c r="W411" s="4" t="str">
        <f>"yars-1"</f>
        <v>yars-1</v>
      </c>
      <c r="X411" s="4">
        <v>16.613588238383802</v>
      </c>
      <c r="Y411" s="4">
        <v>16.8927418917512</v>
      </c>
      <c r="Z411" s="4">
        <v>16.6029294018443</v>
      </c>
      <c r="AA411" s="4">
        <f t="shared" si="27"/>
        <v>16.703086510659766</v>
      </c>
      <c r="AH411" s="28" t="s">
        <v>4785</v>
      </c>
      <c r="AJ411" s="4" t="s">
        <v>4580</v>
      </c>
    </row>
    <row r="412" spans="2:36" x14ac:dyDescent="0.2">
      <c r="B412" s="4" t="s">
        <v>2851</v>
      </c>
      <c r="C412" s="4">
        <v>17.026800000000001</v>
      </c>
      <c r="D412" s="4">
        <v>16.359000000000002</v>
      </c>
      <c r="E412" s="4">
        <v>16.734500000000001</v>
      </c>
      <c r="F412" s="4">
        <f t="shared" si="24"/>
        <v>16.706766666666667</v>
      </c>
      <c r="I412" s="4" t="s">
        <v>2669</v>
      </c>
      <c r="J412" s="4">
        <v>16.846599999999999</v>
      </c>
      <c r="K412" s="4">
        <v>16.6663</v>
      </c>
      <c r="L412" s="4">
        <v>16.989599999999999</v>
      </c>
      <c r="M412" s="4">
        <f t="shared" si="25"/>
        <v>16.834166666666665</v>
      </c>
      <c r="P412" s="4" t="str">
        <f>"uso-1"</f>
        <v>uso-1</v>
      </c>
      <c r="Q412" s="4">
        <v>16.714088222913201</v>
      </c>
      <c r="R412" s="4">
        <v>16.6831567925156</v>
      </c>
      <c r="S412" s="4">
        <v>16.6072868466077</v>
      </c>
      <c r="T412" s="4">
        <f t="shared" si="26"/>
        <v>16.6681772873455</v>
      </c>
      <c r="W412" s="4" t="str">
        <f>"vpr-1"</f>
        <v>vpr-1</v>
      </c>
      <c r="X412" s="4">
        <v>17.0017137984496</v>
      </c>
      <c r="Y412" s="4">
        <v>16.454418882269199</v>
      </c>
      <c r="Z412" s="4">
        <v>16.643731141325201</v>
      </c>
      <c r="AA412" s="4">
        <f t="shared" si="27"/>
        <v>16.699954607348001</v>
      </c>
      <c r="AH412" s="28" t="s">
        <v>4690</v>
      </c>
      <c r="AJ412" s="4" t="s">
        <v>4425</v>
      </c>
    </row>
    <row r="413" spans="2:36" x14ac:dyDescent="0.2">
      <c r="B413" s="4" t="s">
        <v>3821</v>
      </c>
      <c r="C413" s="4">
        <v>16.889099999999999</v>
      </c>
      <c r="D413" s="4">
        <v>16.491599999999998</v>
      </c>
      <c r="E413" s="4">
        <v>16.725300000000001</v>
      </c>
      <c r="F413" s="4">
        <f t="shared" si="24"/>
        <v>16.701999999999998</v>
      </c>
      <c r="I413" s="4" t="s">
        <v>2603</v>
      </c>
      <c r="J413" s="4">
        <v>16.968800000000002</v>
      </c>
      <c r="K413" s="4">
        <v>16.6709</v>
      </c>
      <c r="L413" s="4">
        <v>16.854099999999999</v>
      </c>
      <c r="M413" s="4">
        <f t="shared" si="25"/>
        <v>16.831266666666668</v>
      </c>
      <c r="P413" s="4" t="str">
        <f>"rpn-2"</f>
        <v>rpn-2</v>
      </c>
      <c r="Q413" s="4">
        <v>16.770728607030598</v>
      </c>
      <c r="R413" s="4">
        <v>16.560168674541899</v>
      </c>
      <c r="S413" s="4">
        <v>16.624393757174001</v>
      </c>
      <c r="T413" s="4">
        <f t="shared" si="26"/>
        <v>16.651763679582164</v>
      </c>
      <c r="W413" s="4" t="str">
        <f>"dhs-9"</f>
        <v>dhs-9</v>
      </c>
      <c r="X413" s="4">
        <v>16.664646483753899</v>
      </c>
      <c r="Y413" s="4">
        <v>16.769399262238501</v>
      </c>
      <c r="Z413" s="4">
        <v>16.661290704611901</v>
      </c>
      <c r="AA413" s="4">
        <f t="shared" si="27"/>
        <v>16.698445483534766</v>
      </c>
      <c r="AH413" s="28" t="s">
        <v>4680</v>
      </c>
      <c r="AJ413" s="4" t="s">
        <v>4160</v>
      </c>
    </row>
    <row r="414" spans="2:36" x14ac:dyDescent="0.2">
      <c r="B414" s="4" t="s">
        <v>2389</v>
      </c>
      <c r="C414" s="4">
        <v>16.725999999999999</v>
      </c>
      <c r="D414" s="4">
        <v>16.5198</v>
      </c>
      <c r="E414" s="4">
        <v>16.817399999999999</v>
      </c>
      <c r="F414" s="4">
        <f t="shared" si="24"/>
        <v>16.687733333333334</v>
      </c>
      <c r="I414" s="4" t="s">
        <v>2088</v>
      </c>
      <c r="J414" s="4">
        <v>16.8766</v>
      </c>
      <c r="K414" s="4">
        <v>16.7517</v>
      </c>
      <c r="L414" s="4">
        <v>16.857099999999999</v>
      </c>
      <c r="M414" s="4">
        <f t="shared" si="25"/>
        <v>16.828466666666667</v>
      </c>
      <c r="P414" s="4" t="str">
        <f>"phb-1"</f>
        <v>phb-1</v>
      </c>
      <c r="Q414" s="4">
        <v>16.886658683651898</v>
      </c>
      <c r="R414" s="4">
        <v>16.523606625838699</v>
      </c>
      <c r="S414" s="4">
        <v>16.540469928369099</v>
      </c>
      <c r="T414" s="4">
        <f t="shared" si="26"/>
        <v>16.650245079286567</v>
      </c>
      <c r="W414" s="4" t="str">
        <f>"H04M03.3"</f>
        <v>H04M03.3</v>
      </c>
      <c r="X414" s="4">
        <v>16.545460502373501</v>
      </c>
      <c r="Y414" s="4">
        <v>16.685753557538799</v>
      </c>
      <c r="Z414" s="4">
        <v>16.8481294448118</v>
      </c>
      <c r="AA414" s="4">
        <f t="shared" si="27"/>
        <v>16.693114501574701</v>
      </c>
      <c r="AH414" s="28" t="s">
        <v>4786</v>
      </c>
      <c r="AJ414" s="4" t="s">
        <v>412</v>
      </c>
    </row>
    <row r="415" spans="2:36" x14ac:dyDescent="0.2">
      <c r="B415" s="4" t="s">
        <v>1694</v>
      </c>
      <c r="C415" s="4">
        <v>16.959800000000001</v>
      </c>
      <c r="D415" s="4">
        <v>16.409800000000001</v>
      </c>
      <c r="E415" s="4">
        <v>16.690300000000001</v>
      </c>
      <c r="F415" s="4">
        <f t="shared" si="24"/>
        <v>16.686633333333337</v>
      </c>
      <c r="I415" s="4" t="s">
        <v>1361</v>
      </c>
      <c r="J415" s="4">
        <v>16.7559</v>
      </c>
      <c r="K415" s="4">
        <v>17.4147</v>
      </c>
      <c r="L415" s="4">
        <v>16.301600000000001</v>
      </c>
      <c r="M415" s="4">
        <f t="shared" si="25"/>
        <v>16.824066666666667</v>
      </c>
      <c r="P415" s="4" t="str">
        <f>"faah-1"</f>
        <v>faah-1</v>
      </c>
      <c r="Q415" s="4">
        <v>16.992255877938501</v>
      </c>
      <c r="R415" s="4">
        <v>16.3832546876381</v>
      </c>
      <c r="S415" s="4">
        <v>16.5701937373241</v>
      </c>
      <c r="T415" s="4">
        <f t="shared" si="26"/>
        <v>16.648568100966902</v>
      </c>
      <c r="W415" s="4" t="str">
        <f>"hsp-75"</f>
        <v>hsp-75</v>
      </c>
      <c r="X415" s="4">
        <v>16.617490177055402</v>
      </c>
      <c r="Y415" s="4">
        <v>16.680788726727801</v>
      </c>
      <c r="Z415" s="4">
        <v>16.776772353857702</v>
      </c>
      <c r="AA415" s="4">
        <f t="shared" si="27"/>
        <v>16.691683752546968</v>
      </c>
      <c r="AH415" s="28" t="s">
        <v>1170</v>
      </c>
      <c r="AJ415" s="4" t="s">
        <v>4238</v>
      </c>
    </row>
    <row r="416" spans="2:36" x14ac:dyDescent="0.2">
      <c r="B416" s="4" t="s">
        <v>2405</v>
      </c>
      <c r="C416" s="4">
        <v>16.9589</v>
      </c>
      <c r="D416" s="4">
        <v>16.2941</v>
      </c>
      <c r="E416" s="4">
        <v>16.7896</v>
      </c>
      <c r="F416" s="4">
        <f t="shared" si="24"/>
        <v>16.680866666666667</v>
      </c>
      <c r="I416" s="4" t="s">
        <v>3488</v>
      </c>
      <c r="J416" s="4">
        <v>16.951799999999999</v>
      </c>
      <c r="K416" s="4">
        <v>17.155200000000001</v>
      </c>
      <c r="L416" s="4">
        <v>16.330200000000001</v>
      </c>
      <c r="M416" s="4">
        <f t="shared" si="25"/>
        <v>16.8124</v>
      </c>
      <c r="P416" s="4" t="str">
        <f>"rps-13"</f>
        <v>rps-13</v>
      </c>
      <c r="Q416" s="4">
        <v>16.747760842629202</v>
      </c>
      <c r="R416" s="4">
        <v>16.6448544606199</v>
      </c>
      <c r="S416" s="4">
        <v>16.527673077679399</v>
      </c>
      <c r="T416" s="4">
        <f t="shared" si="26"/>
        <v>16.640096126976164</v>
      </c>
      <c r="W416" s="4" t="str">
        <f>"ctsa-1.1"</f>
        <v>ctsa-1.1</v>
      </c>
      <c r="X416" s="4">
        <v>16.611450286379998</v>
      </c>
      <c r="Y416" s="4">
        <v>16.813594848419399</v>
      </c>
      <c r="Z416" s="4">
        <v>16.6299687422255</v>
      </c>
      <c r="AA416" s="4">
        <f t="shared" si="27"/>
        <v>16.685004625674967</v>
      </c>
      <c r="AH416" s="28" t="s">
        <v>4677</v>
      </c>
      <c r="AJ416" s="4" t="s">
        <v>2986</v>
      </c>
    </row>
    <row r="417" spans="2:36" x14ac:dyDescent="0.2">
      <c r="B417" s="4" t="s">
        <v>3889</v>
      </c>
      <c r="C417" s="4">
        <v>16.761900000000001</v>
      </c>
      <c r="D417" s="4">
        <v>16.688600000000001</v>
      </c>
      <c r="E417" s="4">
        <v>16.577400000000001</v>
      </c>
      <c r="F417" s="4">
        <f t="shared" si="24"/>
        <v>16.675966666666667</v>
      </c>
      <c r="I417" s="4" t="s">
        <v>3095</v>
      </c>
      <c r="J417" s="4">
        <v>17.222100000000001</v>
      </c>
      <c r="K417" s="4">
        <v>16.773399999999999</v>
      </c>
      <c r="L417" s="4">
        <v>16.439599999999999</v>
      </c>
      <c r="M417" s="4">
        <f t="shared" si="25"/>
        <v>16.811699999999998</v>
      </c>
      <c r="P417" s="4" t="str">
        <f>"ppm-1.G"</f>
        <v>ppm-1.G</v>
      </c>
      <c r="Q417" s="4">
        <v>17.0819350054038</v>
      </c>
      <c r="R417" s="4">
        <v>16.465253086820201</v>
      </c>
      <c r="S417" s="4">
        <v>16.357440608049998</v>
      </c>
      <c r="T417" s="4">
        <f t="shared" si="26"/>
        <v>16.634876233424666</v>
      </c>
      <c r="W417" s="4" t="str">
        <f>"tag-335"</f>
        <v>tag-335</v>
      </c>
      <c r="X417" s="4">
        <v>16.5604598747945</v>
      </c>
      <c r="Y417" s="4">
        <v>16.8641822110033</v>
      </c>
      <c r="Z417" s="4">
        <v>16.6194754941491</v>
      </c>
      <c r="AA417" s="4">
        <f t="shared" si="27"/>
        <v>16.681372526648968</v>
      </c>
      <c r="AH417" s="28" t="s">
        <v>4669</v>
      </c>
      <c r="AI417" s="1"/>
      <c r="AJ417" s="4" t="s">
        <v>1393</v>
      </c>
    </row>
    <row r="418" spans="2:36" x14ac:dyDescent="0.2">
      <c r="B418" s="4" t="s">
        <v>702</v>
      </c>
      <c r="C418" s="4">
        <v>16.669599999999999</v>
      </c>
      <c r="D418" s="4">
        <v>16.8476</v>
      </c>
      <c r="E418" s="4">
        <v>16.506799999999998</v>
      </c>
      <c r="F418" s="4">
        <f t="shared" si="24"/>
        <v>16.674666666666667</v>
      </c>
      <c r="I418" s="4" t="s">
        <v>2657</v>
      </c>
      <c r="J418" s="4">
        <v>17.0441</v>
      </c>
      <c r="K418" s="4">
        <v>16.705300000000001</v>
      </c>
      <c r="L418" s="4">
        <v>16.679200000000002</v>
      </c>
      <c r="M418" s="4">
        <f t="shared" si="25"/>
        <v>16.809533333333334</v>
      </c>
      <c r="P418" s="4" t="str">
        <f>"idh-1"</f>
        <v>idh-1</v>
      </c>
      <c r="Q418" s="4">
        <v>16.535030451113499</v>
      </c>
      <c r="R418" s="4">
        <v>16.7172477140418</v>
      </c>
      <c r="S418" s="4">
        <v>16.600401353945202</v>
      </c>
      <c r="T418" s="4">
        <f t="shared" si="26"/>
        <v>16.617559839700167</v>
      </c>
      <c r="W418" s="4" t="str">
        <f>"mon-2"</f>
        <v>mon-2</v>
      </c>
      <c r="X418" s="4">
        <v>16.650381985999001</v>
      </c>
      <c r="Y418" s="4">
        <v>16.670752032881801</v>
      </c>
      <c r="Z418" s="4">
        <v>16.7120099916343</v>
      </c>
      <c r="AA418" s="4">
        <f t="shared" si="27"/>
        <v>16.677714670171699</v>
      </c>
      <c r="AH418" s="28" t="s">
        <v>2150</v>
      </c>
      <c r="AI418" s="1"/>
      <c r="AJ418" s="4" t="s">
        <v>429</v>
      </c>
    </row>
    <row r="419" spans="2:36" x14ac:dyDescent="0.2">
      <c r="B419" s="4" t="s">
        <v>1950</v>
      </c>
      <c r="C419" s="4">
        <v>16.627199999999998</v>
      </c>
      <c r="D419" s="4">
        <v>16.7669</v>
      </c>
      <c r="E419" s="4">
        <v>16.629100000000001</v>
      </c>
      <c r="F419" s="4">
        <f t="shared" si="24"/>
        <v>16.674399999999999</v>
      </c>
      <c r="I419" s="4" t="s">
        <v>1533</v>
      </c>
      <c r="J419" s="4">
        <v>15.6105</v>
      </c>
      <c r="K419" s="4">
        <v>15.9488</v>
      </c>
      <c r="L419" s="4">
        <v>18.866900000000001</v>
      </c>
      <c r="M419" s="4">
        <f t="shared" si="25"/>
        <v>16.808733333333333</v>
      </c>
      <c r="P419" s="4" t="str">
        <f>"cct-8"</f>
        <v>cct-8</v>
      </c>
      <c r="Q419" s="4">
        <v>16.440050425328099</v>
      </c>
      <c r="R419" s="4">
        <v>16.8929153679519</v>
      </c>
      <c r="S419" s="4">
        <v>16.473630839845601</v>
      </c>
      <c r="T419" s="4">
        <f t="shared" si="26"/>
        <v>16.602198877708531</v>
      </c>
      <c r="W419" s="4" t="str">
        <f>"rla-0"</f>
        <v>rla-0</v>
      </c>
      <c r="X419" s="4">
        <v>16.723922015594599</v>
      </c>
      <c r="Y419" s="4">
        <v>16.709656824305601</v>
      </c>
      <c r="Z419" s="4">
        <v>16.596566806157298</v>
      </c>
      <c r="AA419" s="4">
        <f t="shared" si="27"/>
        <v>16.676715215352498</v>
      </c>
      <c r="AH419" s="28" t="s">
        <v>4843</v>
      </c>
      <c r="AI419" s="1"/>
      <c r="AJ419" s="4" t="s">
        <v>1486</v>
      </c>
    </row>
    <row r="420" spans="2:36" x14ac:dyDescent="0.2">
      <c r="B420" s="4" t="s">
        <v>1924</v>
      </c>
      <c r="C420" s="4">
        <v>16.754300000000001</v>
      </c>
      <c r="D420" s="4">
        <v>16.468800000000002</v>
      </c>
      <c r="E420" s="4">
        <v>16.778600000000001</v>
      </c>
      <c r="F420" s="4">
        <f t="shared" si="24"/>
        <v>16.667233333333332</v>
      </c>
      <c r="I420" s="4" t="s">
        <v>4065</v>
      </c>
      <c r="J420" s="4">
        <v>16.824400000000001</v>
      </c>
      <c r="K420" s="4">
        <v>16.7789</v>
      </c>
      <c r="L420" s="4">
        <v>16.794</v>
      </c>
      <c r="M420" s="4">
        <f t="shared" si="25"/>
        <v>16.799099999999999</v>
      </c>
      <c r="P420" s="4" t="str">
        <f>"tank-1"</f>
        <v>tank-1</v>
      </c>
      <c r="Q420" s="4">
        <v>16.648678048353599</v>
      </c>
      <c r="R420" s="4">
        <v>16.540641147767001</v>
      </c>
      <c r="S420" s="4">
        <v>16.582340661817</v>
      </c>
      <c r="T420" s="4">
        <f t="shared" si="26"/>
        <v>16.590553285979201</v>
      </c>
      <c r="W420" s="4" t="str">
        <f>"pat-4"</f>
        <v>pat-4</v>
      </c>
      <c r="X420" s="4">
        <v>16.543817460566199</v>
      </c>
      <c r="Y420" s="4">
        <v>16.690438977757701</v>
      </c>
      <c r="Z420" s="4">
        <v>16.782986921340498</v>
      </c>
      <c r="AA420" s="4">
        <f t="shared" si="27"/>
        <v>16.672414453221464</v>
      </c>
      <c r="AH420" s="28" t="s">
        <v>615</v>
      </c>
      <c r="AI420" s="1"/>
      <c r="AJ420" s="4" t="s">
        <v>2904</v>
      </c>
    </row>
    <row r="421" spans="2:36" x14ac:dyDescent="0.2">
      <c r="B421" s="4" t="s">
        <v>3399</v>
      </c>
      <c r="C421" s="4">
        <v>16.4282</v>
      </c>
      <c r="D421" s="4">
        <v>16.587700000000002</v>
      </c>
      <c r="E421" s="4">
        <v>16.968</v>
      </c>
      <c r="F421" s="4">
        <f t="shared" si="24"/>
        <v>16.661300000000001</v>
      </c>
      <c r="I421" s="4" t="s">
        <v>2413</v>
      </c>
      <c r="J421" s="4">
        <v>16.988499999999998</v>
      </c>
      <c r="K421" s="4">
        <v>16.945799999999998</v>
      </c>
      <c r="L421" s="4">
        <v>16.440000000000001</v>
      </c>
      <c r="M421" s="4">
        <f t="shared" si="25"/>
        <v>16.79143333333333</v>
      </c>
      <c r="P421" s="4" t="str">
        <f>"rps-22"</f>
        <v>rps-22</v>
      </c>
      <c r="Q421" s="4">
        <v>16.777413415998002</v>
      </c>
      <c r="R421" s="4">
        <v>16.663154429165399</v>
      </c>
      <c r="S421" s="4">
        <v>16.314763927553098</v>
      </c>
      <c r="T421" s="4">
        <f t="shared" si="26"/>
        <v>16.585110590905501</v>
      </c>
      <c r="W421" s="4" t="str">
        <f>"nst-1"</f>
        <v>nst-1</v>
      </c>
      <c r="X421" s="4">
        <v>16.435429882093501</v>
      </c>
      <c r="Y421" s="4">
        <v>16.837874055882001</v>
      </c>
      <c r="Z421" s="4">
        <v>16.7390582208963</v>
      </c>
      <c r="AA421" s="4">
        <f t="shared" si="27"/>
        <v>16.670787386290598</v>
      </c>
      <c r="AH421" s="28" t="s">
        <v>2024</v>
      </c>
      <c r="AI421" s="1"/>
      <c r="AJ421" s="4" t="s">
        <v>1469</v>
      </c>
    </row>
    <row r="422" spans="2:36" x14ac:dyDescent="0.2">
      <c r="B422" s="4" t="s">
        <v>2126</v>
      </c>
      <c r="C422" s="4">
        <v>16.593800000000002</v>
      </c>
      <c r="D422" s="4">
        <v>16.658999999999999</v>
      </c>
      <c r="E422" s="4">
        <v>16.729199999999999</v>
      </c>
      <c r="F422" s="4">
        <f t="shared" si="24"/>
        <v>16.660666666666668</v>
      </c>
      <c r="I422" s="4" t="s">
        <v>4633</v>
      </c>
      <c r="J422" s="4">
        <v>16.7804</v>
      </c>
      <c r="K422" s="4">
        <v>16.800699999999999</v>
      </c>
      <c r="L422" s="4">
        <v>16.777699999999999</v>
      </c>
      <c r="M422" s="4">
        <f t="shared" si="25"/>
        <v>16.786266666666666</v>
      </c>
      <c r="P422" s="4" t="str">
        <f>"mrps-5"</f>
        <v>mrps-5</v>
      </c>
      <c r="Q422" s="4">
        <v>16.7899845773353</v>
      </c>
      <c r="R422" s="4">
        <v>16.437381122290301</v>
      </c>
      <c r="S422" s="4">
        <v>16.5015620936917</v>
      </c>
      <c r="T422" s="4">
        <f t="shared" si="26"/>
        <v>16.5763092644391</v>
      </c>
      <c r="W422" s="4" t="str">
        <f>"abts-1"</f>
        <v>abts-1</v>
      </c>
      <c r="X422" s="4">
        <v>16.5868005155275</v>
      </c>
      <c r="Y422" s="4">
        <v>16.7935091370191</v>
      </c>
      <c r="Z422" s="4">
        <v>16.630411382246098</v>
      </c>
      <c r="AA422" s="4">
        <f t="shared" si="27"/>
        <v>16.6702403449309</v>
      </c>
      <c r="AH422" s="28" t="s">
        <v>995</v>
      </c>
      <c r="AI422" s="1"/>
      <c r="AJ422" s="4" t="s">
        <v>3001</v>
      </c>
    </row>
    <row r="423" spans="2:36" x14ac:dyDescent="0.2">
      <c r="B423" s="4" t="s">
        <v>2150</v>
      </c>
      <c r="C423" s="4">
        <v>16.7789</v>
      </c>
      <c r="D423" s="4">
        <v>16.698799999999999</v>
      </c>
      <c r="E423" s="4">
        <v>16.470099999999999</v>
      </c>
      <c r="F423" s="4">
        <f t="shared" si="24"/>
        <v>16.649266666666666</v>
      </c>
      <c r="I423" s="4" t="s">
        <v>2566</v>
      </c>
      <c r="J423" s="4">
        <v>16.828800000000001</v>
      </c>
      <c r="K423" s="4">
        <v>16.9255</v>
      </c>
      <c r="L423" s="4">
        <v>16.6004</v>
      </c>
      <c r="M423" s="4">
        <f t="shared" si="25"/>
        <v>16.7849</v>
      </c>
      <c r="P423" s="4" t="str">
        <f>"ketn-1"</f>
        <v>ketn-1</v>
      </c>
      <c r="Q423" s="4">
        <v>16.934946781767302</v>
      </c>
      <c r="R423" s="4">
        <v>16.090123818046202</v>
      </c>
      <c r="S423" s="4">
        <v>16.684447233102699</v>
      </c>
      <c r="T423" s="4">
        <f t="shared" si="26"/>
        <v>16.569839277638735</v>
      </c>
      <c r="W423" s="4" t="str">
        <f>"rps-26"</f>
        <v>rps-26</v>
      </c>
      <c r="X423" s="4">
        <v>16.702218427506299</v>
      </c>
      <c r="Y423" s="4">
        <v>16.824830032723501</v>
      </c>
      <c r="Z423" s="4">
        <v>16.4809758043851</v>
      </c>
      <c r="AA423" s="4">
        <f t="shared" si="27"/>
        <v>16.669341421538302</v>
      </c>
      <c r="AH423" s="28" t="s">
        <v>4849</v>
      </c>
      <c r="AI423" s="1"/>
      <c r="AJ423" s="4" t="s">
        <v>4299</v>
      </c>
    </row>
    <row r="424" spans="2:36" x14ac:dyDescent="0.2">
      <c r="B424" s="4" t="s">
        <v>565</v>
      </c>
      <c r="C424" s="4">
        <v>16.4984</v>
      </c>
      <c r="D424" s="4">
        <v>16.686900000000001</v>
      </c>
      <c r="E424" s="4">
        <v>16.7408</v>
      </c>
      <c r="F424" s="4">
        <f t="shared" si="24"/>
        <v>16.642033333333334</v>
      </c>
      <c r="I424" s="4" t="s">
        <v>326</v>
      </c>
      <c r="J424" s="4">
        <v>17.0962</v>
      </c>
      <c r="K424" s="4">
        <v>16.535299999999999</v>
      </c>
      <c r="L424" s="4">
        <v>16.713100000000001</v>
      </c>
      <c r="M424" s="4">
        <f t="shared" si="25"/>
        <v>16.781533333333332</v>
      </c>
      <c r="P424" s="4" t="str">
        <f>"srpa-72"</f>
        <v>srpa-72</v>
      </c>
      <c r="Q424" s="4">
        <v>16.531690887755602</v>
      </c>
      <c r="R424" s="4">
        <v>16.624665427668798</v>
      </c>
      <c r="S424" s="4">
        <v>16.544913061142001</v>
      </c>
      <c r="T424" s="4">
        <f t="shared" si="26"/>
        <v>16.567089792188799</v>
      </c>
      <c r="W424" s="4" t="str">
        <f>"uso-1"</f>
        <v>uso-1</v>
      </c>
      <c r="X424" s="4">
        <v>16.648867919943299</v>
      </c>
      <c r="Y424" s="4">
        <v>16.666787645904702</v>
      </c>
      <c r="Z424" s="4">
        <v>16.691693708664801</v>
      </c>
      <c r="AA424" s="4">
        <f t="shared" si="27"/>
        <v>16.6691164248376</v>
      </c>
      <c r="AH424" s="28" t="s">
        <v>303</v>
      </c>
      <c r="AI424" s="1"/>
      <c r="AJ424" s="4" t="s">
        <v>4302</v>
      </c>
    </row>
    <row r="425" spans="2:36" x14ac:dyDescent="0.2">
      <c r="B425" s="4" t="s">
        <v>3373</v>
      </c>
      <c r="C425" s="4">
        <v>16.723099999999999</v>
      </c>
      <c r="D425" s="4">
        <v>16.635000000000002</v>
      </c>
      <c r="E425" s="4">
        <v>16.5611</v>
      </c>
      <c r="F425" s="4">
        <f t="shared" si="24"/>
        <v>16.639733333333336</v>
      </c>
      <c r="I425" s="4" t="s">
        <v>1835</v>
      </c>
      <c r="J425" s="4">
        <v>16.680800000000001</v>
      </c>
      <c r="K425" s="4">
        <v>16.700199999999999</v>
      </c>
      <c r="L425" s="4">
        <v>16.947700000000001</v>
      </c>
      <c r="M425" s="4">
        <f t="shared" si="25"/>
        <v>16.776233333333334</v>
      </c>
      <c r="P425" s="4" t="str">
        <f>"bcat-1"</f>
        <v>bcat-1</v>
      </c>
      <c r="Q425" s="4">
        <v>16.9204479742837</v>
      </c>
      <c r="R425" s="4">
        <v>16.4716530799836</v>
      </c>
      <c r="S425" s="4">
        <v>16.300955772287999</v>
      </c>
      <c r="T425" s="4">
        <f t="shared" si="26"/>
        <v>16.564352275518434</v>
      </c>
      <c r="W425" s="4" t="str">
        <f>"lgc-34"</f>
        <v>lgc-34</v>
      </c>
      <c r="X425" s="4">
        <v>16.637719114939902</v>
      </c>
      <c r="Y425" s="4">
        <v>16.351158881581</v>
      </c>
      <c r="Z425" s="4">
        <v>16.992442600488101</v>
      </c>
      <c r="AA425" s="4">
        <f t="shared" si="27"/>
        <v>16.660440199003002</v>
      </c>
      <c r="AH425" s="28" t="s">
        <v>4808</v>
      </c>
      <c r="AI425" s="1"/>
      <c r="AJ425" s="4" t="s">
        <v>2247</v>
      </c>
    </row>
    <row r="426" spans="2:36" x14ac:dyDescent="0.2">
      <c r="B426" s="4" t="s">
        <v>2082</v>
      </c>
      <c r="C426" s="4">
        <v>16.7166</v>
      </c>
      <c r="D426" s="4">
        <v>16.421399999999998</v>
      </c>
      <c r="E426" s="4">
        <v>16.7789</v>
      </c>
      <c r="F426" s="4">
        <f t="shared" si="24"/>
        <v>16.638966666666665</v>
      </c>
      <c r="I426" s="4" t="s">
        <v>2155</v>
      </c>
      <c r="J426" s="4">
        <v>16.619700000000002</v>
      </c>
      <c r="K426" s="4">
        <v>16.715399999999999</v>
      </c>
      <c r="L426" s="4">
        <v>16.9742</v>
      </c>
      <c r="M426" s="4">
        <f t="shared" si="25"/>
        <v>16.769766666666666</v>
      </c>
      <c r="P426" s="4" t="str">
        <f>"prdh-1"</f>
        <v>prdh-1</v>
      </c>
      <c r="Q426" s="4">
        <v>17.0201629281656</v>
      </c>
      <c r="R426" s="4">
        <v>16.276099667911399</v>
      </c>
      <c r="S426" s="4">
        <v>16.386905254826999</v>
      </c>
      <c r="T426" s="4">
        <f t="shared" si="26"/>
        <v>16.561055950301334</v>
      </c>
      <c r="W426" s="4" t="str">
        <f>"ppgn-1"</f>
        <v>ppgn-1</v>
      </c>
      <c r="X426" s="4">
        <v>16.377042032966699</v>
      </c>
      <c r="Y426" s="4">
        <v>16.765617525858001</v>
      </c>
      <c r="Z426" s="4">
        <v>16.836782750689199</v>
      </c>
      <c r="AA426" s="4">
        <f t="shared" si="27"/>
        <v>16.6598141031713</v>
      </c>
      <c r="AH426" s="1"/>
      <c r="AI426" s="1"/>
      <c r="AJ426" s="4" t="s">
        <v>4342</v>
      </c>
    </row>
    <row r="427" spans="2:36" x14ac:dyDescent="0.2">
      <c r="B427" s="4" t="s">
        <v>2466</v>
      </c>
      <c r="C427" s="4">
        <v>16.928699999999999</v>
      </c>
      <c r="D427" s="4">
        <v>16.602900000000002</v>
      </c>
      <c r="E427" s="4">
        <v>16.372800000000002</v>
      </c>
      <c r="F427" s="4">
        <f t="shared" si="24"/>
        <v>16.634799999999998</v>
      </c>
      <c r="I427" s="4" t="s">
        <v>1256</v>
      </c>
      <c r="J427" s="4">
        <v>16.7773</v>
      </c>
      <c r="K427" s="4">
        <v>16.756799999999998</v>
      </c>
      <c r="L427" s="4">
        <v>16.771699999999999</v>
      </c>
      <c r="M427" s="4">
        <f t="shared" si="25"/>
        <v>16.768599999999996</v>
      </c>
      <c r="P427" s="4" t="str">
        <f>"fecl-1"</f>
        <v>fecl-1</v>
      </c>
      <c r="Q427" s="4">
        <v>16.9436261861199</v>
      </c>
      <c r="R427" s="4">
        <v>16.221158616309001</v>
      </c>
      <c r="S427" s="4">
        <v>16.5002038281159</v>
      </c>
      <c r="T427" s="4">
        <f t="shared" si="26"/>
        <v>16.554996210181599</v>
      </c>
      <c r="W427" s="4" t="str">
        <f>"Y45G12B.3"</f>
        <v>Y45G12B.3</v>
      </c>
      <c r="X427" s="4">
        <v>16.381663728583</v>
      </c>
      <c r="Y427" s="4">
        <v>16.821917480706301</v>
      </c>
      <c r="Z427" s="4">
        <v>16.762161973724901</v>
      </c>
      <c r="AA427" s="4">
        <f t="shared" si="27"/>
        <v>16.655247727671398</v>
      </c>
      <c r="AH427" s="1"/>
      <c r="AI427" s="1"/>
      <c r="AJ427" s="4" t="s">
        <v>420</v>
      </c>
    </row>
    <row r="428" spans="2:36" x14ac:dyDescent="0.2">
      <c r="B428" s="4" t="s">
        <v>1091</v>
      </c>
      <c r="C428" s="4">
        <v>16.513400000000001</v>
      </c>
      <c r="D428" s="4">
        <v>16.7897</v>
      </c>
      <c r="E428" s="4">
        <v>16.594999999999999</v>
      </c>
      <c r="F428" s="4">
        <f t="shared" si="24"/>
        <v>16.6327</v>
      </c>
      <c r="I428" s="4" t="s">
        <v>3720</v>
      </c>
      <c r="J428" s="4">
        <v>16.914899999999999</v>
      </c>
      <c r="K428" s="4">
        <v>16.811800000000002</v>
      </c>
      <c r="L428" s="4">
        <v>16.538399999999999</v>
      </c>
      <c r="M428" s="4">
        <f t="shared" si="25"/>
        <v>16.755033333333333</v>
      </c>
      <c r="P428" s="4" t="str">
        <f>"rme-8"</f>
        <v>rme-8</v>
      </c>
      <c r="Q428" s="4">
        <v>16.714605888948501</v>
      </c>
      <c r="R428" s="4">
        <v>16.474840775285902</v>
      </c>
      <c r="S428" s="4">
        <v>16.474147278460102</v>
      </c>
      <c r="T428" s="4">
        <f t="shared" si="26"/>
        <v>16.5545313142315</v>
      </c>
      <c r="W428" s="4" t="str">
        <f>"rpl-28"</f>
        <v>rpl-28</v>
      </c>
      <c r="X428" s="4">
        <v>16.620430265368601</v>
      </c>
      <c r="Y428" s="4">
        <v>16.578061746290899</v>
      </c>
      <c r="Z428" s="4">
        <v>16.761778217767802</v>
      </c>
      <c r="AA428" s="4">
        <f t="shared" si="27"/>
        <v>16.653423409809097</v>
      </c>
      <c r="AH428" s="1"/>
      <c r="AI428" s="1"/>
      <c r="AJ428" s="4" t="s">
        <v>4264</v>
      </c>
    </row>
    <row r="429" spans="2:36" x14ac:dyDescent="0.2">
      <c r="B429" s="4" t="s">
        <v>1256</v>
      </c>
      <c r="C429" s="4">
        <v>16.5747</v>
      </c>
      <c r="D429" s="4">
        <v>16.716699999999999</v>
      </c>
      <c r="E429" s="4">
        <v>16.601900000000001</v>
      </c>
      <c r="F429" s="4">
        <f t="shared" si="24"/>
        <v>16.6311</v>
      </c>
      <c r="I429" s="4" t="s">
        <v>524</v>
      </c>
      <c r="J429" s="4">
        <v>16.578099999999999</v>
      </c>
      <c r="K429" s="4">
        <v>16.4832</v>
      </c>
      <c r="L429" s="4">
        <v>17.194700000000001</v>
      </c>
      <c r="M429" s="4">
        <f t="shared" si="25"/>
        <v>16.751999999999999</v>
      </c>
      <c r="P429" s="4" t="str">
        <f>"pmp-5"</f>
        <v>pmp-5</v>
      </c>
      <c r="Q429" s="4">
        <v>16.412863325774001</v>
      </c>
      <c r="R429" s="4">
        <v>16.621309785625598</v>
      </c>
      <c r="S429" s="4">
        <v>16.5828363567297</v>
      </c>
      <c r="T429" s="4">
        <f t="shared" si="26"/>
        <v>16.539003156043098</v>
      </c>
      <c r="W429" s="4" t="str">
        <f>"aars-2"</f>
        <v>aars-2</v>
      </c>
      <c r="X429" s="4">
        <v>16.600411269535702</v>
      </c>
      <c r="Y429" s="4">
        <v>16.7414974866915</v>
      </c>
      <c r="Z429" s="4">
        <v>16.5938084924667</v>
      </c>
      <c r="AA429" s="4">
        <f t="shared" si="27"/>
        <v>16.645239082897966</v>
      </c>
      <c r="AH429" s="1"/>
      <c r="AI429" s="1"/>
      <c r="AJ429" s="4" t="s">
        <v>4608</v>
      </c>
    </row>
    <row r="430" spans="2:36" x14ac:dyDescent="0.2">
      <c r="B430" s="4" t="s">
        <v>3720</v>
      </c>
      <c r="C430" s="4">
        <v>16.675000000000001</v>
      </c>
      <c r="D430" s="4">
        <v>16.5168</v>
      </c>
      <c r="E430" s="4">
        <v>16.695699999999999</v>
      </c>
      <c r="F430" s="4">
        <f t="shared" si="24"/>
        <v>16.629166666666666</v>
      </c>
      <c r="I430" s="4" t="s">
        <v>3911</v>
      </c>
      <c r="J430" s="4">
        <v>16.787299999999998</v>
      </c>
      <c r="K430" s="4">
        <v>17.010300000000001</v>
      </c>
      <c r="L430" s="4">
        <v>16.454599999999999</v>
      </c>
      <c r="M430" s="4">
        <f t="shared" si="25"/>
        <v>16.750733333333333</v>
      </c>
      <c r="P430" s="4" t="str">
        <f>"mrps-11"</f>
        <v>mrps-11</v>
      </c>
      <c r="Q430" s="4">
        <v>16.7230752347775</v>
      </c>
      <c r="R430" s="4">
        <v>16.369994589887799</v>
      </c>
      <c r="S430" s="4">
        <v>16.512912278802698</v>
      </c>
      <c r="T430" s="4">
        <f t="shared" si="26"/>
        <v>16.535327367822664</v>
      </c>
      <c r="W430" s="4" t="str">
        <f>"kars-1"</f>
        <v>kars-1</v>
      </c>
      <c r="X430" s="4">
        <v>16.455722764005898</v>
      </c>
      <c r="Y430" s="4">
        <v>16.632428747628602</v>
      </c>
      <c r="Z430" s="4">
        <v>16.841172992330701</v>
      </c>
      <c r="AA430" s="4">
        <f t="shared" si="27"/>
        <v>16.643108167988402</v>
      </c>
      <c r="AH430" s="1"/>
      <c r="AI430" s="1"/>
      <c r="AJ430" s="4" t="s">
        <v>3114</v>
      </c>
    </row>
    <row r="431" spans="2:36" x14ac:dyDescent="0.2">
      <c r="B431" s="4" t="s">
        <v>3775</v>
      </c>
      <c r="C431" s="4">
        <v>16.884799999999998</v>
      </c>
      <c r="D431" s="4">
        <v>16.285799999999998</v>
      </c>
      <c r="E431" s="4">
        <v>16.706299999999999</v>
      </c>
      <c r="F431" s="4">
        <f t="shared" si="24"/>
        <v>16.625633333333329</v>
      </c>
      <c r="I431" s="4" t="s">
        <v>1373</v>
      </c>
      <c r="J431" s="4">
        <v>16.788699999999999</v>
      </c>
      <c r="K431" s="4">
        <v>16.527899999999999</v>
      </c>
      <c r="L431" s="4">
        <v>16.904</v>
      </c>
      <c r="M431" s="4">
        <f t="shared" si="25"/>
        <v>16.740199999999998</v>
      </c>
      <c r="P431" s="4" t="str">
        <f>"C49H3.3"</f>
        <v>C49H3.3</v>
      </c>
      <c r="Q431" s="4">
        <v>16.261699870550299</v>
      </c>
      <c r="R431" s="4">
        <v>16.414160771691702</v>
      </c>
      <c r="S431" s="4">
        <v>16.9072938498662</v>
      </c>
      <c r="T431" s="4">
        <f t="shared" si="26"/>
        <v>16.527718164036067</v>
      </c>
      <c r="W431" s="4" t="str">
        <f>"icd-2"</f>
        <v>icd-2</v>
      </c>
      <c r="X431" s="4">
        <v>16.900912915727499</v>
      </c>
      <c r="Y431" s="4">
        <v>16.568742403671202</v>
      </c>
      <c r="Z431" s="4">
        <v>16.458398962043699</v>
      </c>
      <c r="AA431" s="4">
        <f t="shared" si="27"/>
        <v>16.642684760480801</v>
      </c>
      <c r="AH431" s="1"/>
      <c r="AI431" s="1"/>
      <c r="AJ431" s="4" t="s">
        <v>4217</v>
      </c>
    </row>
    <row r="432" spans="2:36" x14ac:dyDescent="0.2">
      <c r="B432" s="4" t="s">
        <v>3216</v>
      </c>
      <c r="C432" s="4">
        <v>16.837199999999999</v>
      </c>
      <c r="D432" s="4">
        <v>16.4588</v>
      </c>
      <c r="E432" s="4">
        <v>16.5792</v>
      </c>
      <c r="F432" s="4">
        <f t="shared" si="24"/>
        <v>16.625066666666665</v>
      </c>
      <c r="I432" s="4" t="s">
        <v>3342</v>
      </c>
      <c r="J432" s="4">
        <v>16.8384</v>
      </c>
      <c r="K432" s="4">
        <v>16.666399999999999</v>
      </c>
      <c r="L432" s="4">
        <v>16.690200000000001</v>
      </c>
      <c r="M432" s="4">
        <f t="shared" si="25"/>
        <v>16.731666666666669</v>
      </c>
      <c r="P432" s="4" t="str">
        <f>"npp-8"</f>
        <v>npp-8</v>
      </c>
      <c r="Q432" s="4">
        <v>16.662353948203801</v>
      </c>
      <c r="R432" s="4">
        <v>16.41955706221</v>
      </c>
      <c r="S432" s="4">
        <v>16.493494758439802</v>
      </c>
      <c r="T432" s="4">
        <f t="shared" si="26"/>
        <v>16.525135256284536</v>
      </c>
      <c r="W432" s="4" t="str">
        <f>"rps-27"</f>
        <v>rps-27</v>
      </c>
      <c r="X432" s="4">
        <v>16.677043860108299</v>
      </c>
      <c r="Y432" s="4">
        <v>16.766623898426701</v>
      </c>
      <c r="Z432" s="4">
        <v>16.430801650884501</v>
      </c>
      <c r="AA432" s="4">
        <f t="shared" si="27"/>
        <v>16.624823136473168</v>
      </c>
      <c r="AH432" s="1"/>
      <c r="AI432" s="1"/>
      <c r="AJ432" s="4" t="s">
        <v>4453</v>
      </c>
    </row>
    <row r="433" spans="2:56" x14ac:dyDescent="0.2">
      <c r="B433" s="4" t="s">
        <v>880</v>
      </c>
      <c r="C433" s="4">
        <v>16.531400000000001</v>
      </c>
      <c r="D433" s="4">
        <v>16.933599999999998</v>
      </c>
      <c r="E433" s="4">
        <v>16.408200000000001</v>
      </c>
      <c r="F433" s="4">
        <f t="shared" si="24"/>
        <v>16.624400000000001</v>
      </c>
      <c r="I433" s="4" t="s">
        <v>2513</v>
      </c>
      <c r="J433" s="4">
        <v>16.980799999999999</v>
      </c>
      <c r="K433" s="4">
        <v>16.4101</v>
      </c>
      <c r="L433" s="4">
        <v>16.774100000000001</v>
      </c>
      <c r="M433" s="4">
        <f t="shared" si="25"/>
        <v>16.721666666666668</v>
      </c>
      <c r="P433" s="4" t="str">
        <f>"arx-3"</f>
        <v>arx-3</v>
      </c>
      <c r="Q433" s="4">
        <v>16.632332335626501</v>
      </c>
      <c r="R433" s="4">
        <v>16.401798701203798</v>
      </c>
      <c r="S433" s="4">
        <v>16.516837681895002</v>
      </c>
      <c r="T433" s="4">
        <f t="shared" si="26"/>
        <v>16.516989572908432</v>
      </c>
      <c r="W433" s="4" t="str">
        <f>"rme-8"</f>
        <v>rme-8</v>
      </c>
      <c r="X433" s="4">
        <v>16.6636569318764</v>
      </c>
      <c r="Y433" s="4">
        <v>16.588879269033601</v>
      </c>
      <c r="Z433" s="4">
        <v>16.604402449058</v>
      </c>
      <c r="AA433" s="4">
        <f t="shared" si="27"/>
        <v>16.618979549989334</v>
      </c>
      <c r="AH433" s="1"/>
      <c r="AI433" s="1"/>
      <c r="AJ433" s="4" t="s">
        <v>1732</v>
      </c>
    </row>
    <row r="434" spans="2:56" x14ac:dyDescent="0.2">
      <c r="B434" s="4" t="s">
        <v>1681</v>
      </c>
      <c r="C434" s="4">
        <v>16.687899999999999</v>
      </c>
      <c r="D434" s="4">
        <v>16.449100000000001</v>
      </c>
      <c r="E434" s="4">
        <v>16.7285</v>
      </c>
      <c r="F434" s="4">
        <f t="shared" si="24"/>
        <v>16.621833333333331</v>
      </c>
      <c r="I434" s="4" t="s">
        <v>1851</v>
      </c>
      <c r="J434" s="4">
        <v>16.954000000000001</v>
      </c>
      <c r="K434" s="4">
        <v>16.3017</v>
      </c>
      <c r="L434" s="4">
        <v>16.872299999999999</v>
      </c>
      <c r="M434" s="4">
        <f t="shared" si="25"/>
        <v>16.709333333333333</v>
      </c>
      <c r="P434" s="4" t="str">
        <f>"unc-15"</f>
        <v>unc-15</v>
      </c>
      <c r="Q434" s="4">
        <v>16.6037369007188</v>
      </c>
      <c r="R434" s="4">
        <v>16.4063657000722</v>
      </c>
      <c r="S434" s="4">
        <v>16.5203435237249</v>
      </c>
      <c r="T434" s="4">
        <f t="shared" si="26"/>
        <v>16.510148708171968</v>
      </c>
      <c r="W434" s="4" t="str">
        <f>"ent-1"</f>
        <v>ent-1</v>
      </c>
      <c r="X434" s="4">
        <v>16.692581172169799</v>
      </c>
      <c r="Y434" s="4">
        <v>16.582216066145499</v>
      </c>
      <c r="Z434" s="4">
        <v>16.5789911996171</v>
      </c>
      <c r="AA434" s="4">
        <f t="shared" si="27"/>
        <v>16.617929479310799</v>
      </c>
      <c r="AH434" s="1"/>
      <c r="AI434" s="1"/>
      <c r="AJ434" s="4" t="s">
        <v>4377</v>
      </c>
    </row>
    <row r="435" spans="2:56" x14ac:dyDescent="0.2">
      <c r="B435" s="4" t="s">
        <v>3851</v>
      </c>
      <c r="C435" s="4">
        <v>16.8447</v>
      </c>
      <c r="D435" s="4">
        <v>16.4223</v>
      </c>
      <c r="E435" s="4">
        <v>16.5932</v>
      </c>
      <c r="F435" s="4">
        <f t="shared" si="24"/>
        <v>16.620066666666663</v>
      </c>
      <c r="I435" s="4" t="s">
        <v>3814</v>
      </c>
      <c r="J435" s="4">
        <v>16.639299999999999</v>
      </c>
      <c r="K435" s="4">
        <v>16.6434</v>
      </c>
      <c r="L435" s="4">
        <v>16.835100000000001</v>
      </c>
      <c r="M435" s="4">
        <f t="shared" si="25"/>
        <v>16.705933333333334</v>
      </c>
      <c r="P435" s="4" t="str">
        <f>"iars-2"</f>
        <v>iars-2</v>
      </c>
      <c r="Q435" s="4">
        <v>16.888159129282698</v>
      </c>
      <c r="R435" s="4">
        <v>16.3112550932617</v>
      </c>
      <c r="S435" s="4">
        <v>16.3239733254205</v>
      </c>
      <c r="T435" s="4">
        <f t="shared" si="26"/>
        <v>16.507795849321635</v>
      </c>
      <c r="W435" s="4" t="str">
        <f>"cyp-44A1"</f>
        <v>cyp-44A1</v>
      </c>
      <c r="X435" s="4">
        <v>16.516093946882499</v>
      </c>
      <c r="Y435" s="4">
        <v>16.662306205941402</v>
      </c>
      <c r="Z435" s="4">
        <v>16.660936031185699</v>
      </c>
      <c r="AA435" s="4">
        <f t="shared" si="27"/>
        <v>16.613112061336533</v>
      </c>
      <c r="AH435" s="1"/>
      <c r="AI435" s="1"/>
      <c r="AJ435" s="4" t="s">
        <v>4207</v>
      </c>
    </row>
    <row r="436" spans="2:56" x14ac:dyDescent="0.2">
      <c r="B436" s="4" t="s">
        <v>3670</v>
      </c>
      <c r="C436" s="4">
        <v>16.848400000000002</v>
      </c>
      <c r="D436" s="4">
        <v>16.546600000000002</v>
      </c>
      <c r="E436" s="4">
        <v>16.454000000000001</v>
      </c>
      <c r="F436" s="4">
        <f t="shared" si="24"/>
        <v>16.616333333333333</v>
      </c>
      <c r="I436" s="4" t="s">
        <v>689</v>
      </c>
      <c r="J436" s="4">
        <v>16.5961</v>
      </c>
      <c r="K436" s="4">
        <v>17.0974</v>
      </c>
      <c r="L436" s="4">
        <v>16.401299999999999</v>
      </c>
      <c r="M436" s="4">
        <f t="shared" si="25"/>
        <v>16.698266666666665</v>
      </c>
      <c r="P436" s="4" t="str">
        <f>"dhs-9"</f>
        <v>dhs-9</v>
      </c>
      <c r="Q436" s="4">
        <v>16.415077719110499</v>
      </c>
      <c r="R436" s="4">
        <v>16.529417462127999</v>
      </c>
      <c r="S436" s="4">
        <v>16.5386518229936</v>
      </c>
      <c r="T436" s="4">
        <f t="shared" si="26"/>
        <v>16.494382334744031</v>
      </c>
      <c r="W436" s="4" t="str">
        <f>"pmp-2"</f>
        <v>pmp-2</v>
      </c>
      <c r="X436" s="4">
        <v>16.483191066894602</v>
      </c>
      <c r="Y436" s="4">
        <v>16.540123728618401</v>
      </c>
      <c r="Z436" s="4">
        <v>16.7971361039214</v>
      </c>
      <c r="AA436" s="4">
        <f t="shared" si="27"/>
        <v>16.606816966478135</v>
      </c>
      <c r="AH436" s="1"/>
      <c r="AI436" s="1"/>
      <c r="AJ436" s="4" t="s">
        <v>4406</v>
      </c>
    </row>
    <row r="437" spans="2:56" x14ac:dyDescent="0.2">
      <c r="B437" s="4" t="s">
        <v>1766</v>
      </c>
      <c r="C437" s="4">
        <v>16.8476</v>
      </c>
      <c r="D437" s="4">
        <v>16.3415</v>
      </c>
      <c r="E437" s="4">
        <v>16.657499999999999</v>
      </c>
      <c r="F437" s="4">
        <f t="shared" si="24"/>
        <v>16.615533333333332</v>
      </c>
      <c r="I437" s="4" t="s">
        <v>3985</v>
      </c>
      <c r="J437" s="4">
        <v>16.6053</v>
      </c>
      <c r="K437" s="4">
        <v>16.889399999999998</v>
      </c>
      <c r="L437" s="4">
        <v>16.5975</v>
      </c>
      <c r="M437" s="4">
        <f t="shared" si="25"/>
        <v>16.697399999999998</v>
      </c>
      <c r="P437" s="4" t="str">
        <f>"W09C5.1"</f>
        <v>W09C5.1</v>
      </c>
      <c r="Q437" s="4">
        <v>16.447845123177</v>
      </c>
      <c r="R437" s="4">
        <v>16.581940390158699</v>
      </c>
      <c r="S437" s="4">
        <v>16.430606967250299</v>
      </c>
      <c r="T437" s="4">
        <f t="shared" si="26"/>
        <v>16.486797493528666</v>
      </c>
      <c r="W437" s="4" t="str">
        <f>"letm-1"</f>
        <v>letm-1</v>
      </c>
      <c r="X437" s="4">
        <v>16.286241253972399</v>
      </c>
      <c r="Y437" s="4">
        <v>16.824396444925899</v>
      </c>
      <c r="Z437" s="4">
        <v>16.682028519496299</v>
      </c>
      <c r="AA437" s="4">
        <f t="shared" si="27"/>
        <v>16.597555406131534</v>
      </c>
      <c r="AH437" s="1"/>
      <c r="AI437" s="1"/>
      <c r="AJ437" s="4" t="s">
        <v>1550</v>
      </c>
    </row>
    <row r="438" spans="2:56" x14ac:dyDescent="0.2">
      <c r="B438" s="4" t="s">
        <v>111</v>
      </c>
      <c r="C438" s="4">
        <v>16.946000000000002</v>
      </c>
      <c r="D438" s="4">
        <v>16.4968</v>
      </c>
      <c r="E438" s="4">
        <v>16.380800000000001</v>
      </c>
      <c r="F438" s="4">
        <f t="shared" si="24"/>
        <v>16.60786666666667</v>
      </c>
      <c r="I438" s="4" t="s">
        <v>2831</v>
      </c>
      <c r="J438" s="4">
        <v>16.706299999999999</v>
      </c>
      <c r="K438" s="4">
        <v>16.368200000000002</v>
      </c>
      <c r="L438" s="4">
        <v>17.0044</v>
      </c>
      <c r="M438" s="4">
        <f t="shared" si="25"/>
        <v>16.692966666666667</v>
      </c>
      <c r="P438" s="4" t="str">
        <f>"ragc-1"</f>
        <v>ragc-1</v>
      </c>
      <c r="Q438" s="4">
        <v>16.367806656832201</v>
      </c>
      <c r="R438" s="4">
        <v>16.620161300395502</v>
      </c>
      <c r="S438" s="4">
        <v>16.4630058407893</v>
      </c>
      <c r="T438" s="4">
        <f t="shared" si="26"/>
        <v>16.483657932672333</v>
      </c>
      <c r="W438" s="4" t="str">
        <f>"rps-22"</f>
        <v>rps-22</v>
      </c>
      <c r="X438" s="4">
        <v>16.836606069552399</v>
      </c>
      <c r="Y438" s="4">
        <v>16.463702771489899</v>
      </c>
      <c r="Z438" s="4">
        <v>16.492255516663601</v>
      </c>
      <c r="AA438" s="4">
        <f t="shared" si="27"/>
        <v>16.597521452568632</v>
      </c>
      <c r="AH438" s="1"/>
      <c r="AI438" s="1"/>
      <c r="AJ438" s="4" t="s">
        <v>3505</v>
      </c>
    </row>
    <row r="439" spans="2:56" x14ac:dyDescent="0.2">
      <c r="B439" s="4" t="s">
        <v>763</v>
      </c>
      <c r="C439" s="4">
        <v>16.496600000000001</v>
      </c>
      <c r="D439" s="4">
        <v>16.6812</v>
      </c>
      <c r="E439" s="4">
        <v>16.633900000000001</v>
      </c>
      <c r="F439" s="4">
        <f t="shared" si="24"/>
        <v>16.603899999999999</v>
      </c>
      <c r="I439" s="4" t="s">
        <v>1053</v>
      </c>
      <c r="J439" s="4">
        <v>16.697199999999999</v>
      </c>
      <c r="K439" s="4">
        <v>16.407499999999999</v>
      </c>
      <c r="L439" s="4">
        <v>16.9514</v>
      </c>
      <c r="M439" s="4">
        <f t="shared" si="25"/>
        <v>16.685366666666663</v>
      </c>
      <c r="P439" s="4" t="str">
        <f>"unc-108"</f>
        <v>unc-108</v>
      </c>
      <c r="Q439" s="4">
        <v>16.786554320450598</v>
      </c>
      <c r="R439" s="4">
        <v>16.325406953518101</v>
      </c>
      <c r="S439" s="4">
        <v>16.322805504182799</v>
      </c>
      <c r="T439" s="4">
        <f t="shared" si="26"/>
        <v>16.478255592717165</v>
      </c>
      <c r="W439" s="4" t="str">
        <f>"mek-5"</f>
        <v>mek-5</v>
      </c>
      <c r="X439" s="4">
        <v>16.421102754398099</v>
      </c>
      <c r="Y439" s="4">
        <v>16.612075048042499</v>
      </c>
      <c r="Z439" s="4">
        <v>16.754057477344102</v>
      </c>
      <c r="AA439" s="4">
        <f t="shared" si="27"/>
        <v>16.595745093261566</v>
      </c>
      <c r="AH439" s="1"/>
      <c r="AI439" s="1"/>
      <c r="AJ439" s="4" t="s">
        <v>4444</v>
      </c>
    </row>
    <row r="440" spans="2:56" x14ac:dyDescent="0.2">
      <c r="B440" s="4" t="s">
        <v>1654</v>
      </c>
      <c r="C440" s="4">
        <v>16.842700000000001</v>
      </c>
      <c r="D440" s="4">
        <v>16.487300000000001</v>
      </c>
      <c r="E440" s="4">
        <v>16.464099999999998</v>
      </c>
      <c r="F440" s="4">
        <f t="shared" si="24"/>
        <v>16.598033333333333</v>
      </c>
      <c r="I440" s="4" t="s">
        <v>2632</v>
      </c>
      <c r="J440" s="4">
        <v>16.732800000000001</v>
      </c>
      <c r="K440" s="4">
        <v>16.6997</v>
      </c>
      <c r="L440" s="4">
        <v>16.610199999999999</v>
      </c>
      <c r="M440" s="4">
        <f t="shared" si="25"/>
        <v>16.680900000000001</v>
      </c>
      <c r="P440" s="4" t="str">
        <f>"cpt-1"</f>
        <v>cpt-1</v>
      </c>
      <c r="Q440" s="4">
        <v>16.474308221168901</v>
      </c>
      <c r="R440" s="4">
        <v>16.462979770630401</v>
      </c>
      <c r="S440" s="4">
        <v>16.4916537245591</v>
      </c>
      <c r="T440" s="4">
        <f t="shared" si="26"/>
        <v>16.476313905452802</v>
      </c>
      <c r="W440" s="4" t="str">
        <f>"rpb-2"</f>
        <v>rpb-2</v>
      </c>
      <c r="X440" s="4">
        <v>16.588660170223299</v>
      </c>
      <c r="Y440" s="4">
        <v>16.6534600503356</v>
      </c>
      <c r="Z440" s="4">
        <v>16.514384788908899</v>
      </c>
      <c r="AA440" s="4">
        <f t="shared" si="27"/>
        <v>16.585501669822602</v>
      </c>
      <c r="AH440" s="1"/>
      <c r="AI440" s="1"/>
      <c r="AJ440" s="4" t="s">
        <v>2383</v>
      </c>
    </row>
    <row r="441" spans="2:56" x14ac:dyDescent="0.2">
      <c r="B441" s="4" t="s">
        <v>1464</v>
      </c>
      <c r="C441" s="4">
        <v>16.958600000000001</v>
      </c>
      <c r="D441" s="4">
        <v>16.4649</v>
      </c>
      <c r="E441" s="4">
        <v>16.368600000000001</v>
      </c>
      <c r="F441" s="4">
        <f t="shared" si="24"/>
        <v>16.597366666666669</v>
      </c>
      <c r="I441" s="4" t="s">
        <v>3373</v>
      </c>
      <c r="J441" s="4">
        <v>16.744199999999999</v>
      </c>
      <c r="K441" s="4">
        <v>16.6525</v>
      </c>
      <c r="L441" s="4">
        <v>16.642399999999999</v>
      </c>
      <c r="M441" s="4">
        <f t="shared" si="25"/>
        <v>16.679699999999997</v>
      </c>
      <c r="P441" s="4" t="str">
        <f>"rps-10"</f>
        <v>rps-10</v>
      </c>
      <c r="Q441" s="4">
        <v>16.719723151297799</v>
      </c>
      <c r="R441" s="4">
        <v>16.3740241503574</v>
      </c>
      <c r="S441" s="4">
        <v>16.331817797623302</v>
      </c>
      <c r="T441" s="4">
        <f t="shared" si="26"/>
        <v>16.475188366426167</v>
      </c>
      <c r="W441" s="4" t="str">
        <f>"ifb-1"</f>
        <v>ifb-1</v>
      </c>
      <c r="X441" s="4">
        <v>16.253585331410001</v>
      </c>
      <c r="Y441" s="4">
        <v>16.434771880091301</v>
      </c>
      <c r="Z441" s="4">
        <v>17.063276381877799</v>
      </c>
      <c r="AA441" s="4">
        <f t="shared" si="27"/>
        <v>16.583877864459698</v>
      </c>
      <c r="AH441" s="1"/>
      <c r="AI441" s="1"/>
      <c r="AJ441" s="4" t="s">
        <v>3697</v>
      </c>
    </row>
    <row r="442" spans="2:56" x14ac:dyDescent="0.2">
      <c r="B442" s="4" t="s">
        <v>2632</v>
      </c>
      <c r="C442" s="4">
        <v>16.527999999999999</v>
      </c>
      <c r="D442" s="4">
        <v>16.6676</v>
      </c>
      <c r="E442" s="4">
        <v>16.587800000000001</v>
      </c>
      <c r="F442" s="4">
        <f t="shared" si="24"/>
        <v>16.594466666666666</v>
      </c>
      <c r="I442" s="4" t="s">
        <v>3118</v>
      </c>
      <c r="J442" s="4">
        <v>16.805900000000001</v>
      </c>
      <c r="K442" s="4">
        <v>16.484999999999999</v>
      </c>
      <c r="L442" s="4">
        <v>16.737300000000001</v>
      </c>
      <c r="M442" s="4">
        <f t="shared" si="25"/>
        <v>16.676066666666667</v>
      </c>
      <c r="P442" s="4" t="str">
        <f>"sdha-1"</f>
        <v>sdha-1</v>
      </c>
      <c r="Q442" s="4">
        <v>16.8537684313835</v>
      </c>
      <c r="R442" s="4">
        <v>16.262322169194899</v>
      </c>
      <c r="S442" s="4">
        <v>16.294685901397301</v>
      </c>
      <c r="T442" s="4">
        <f t="shared" si="26"/>
        <v>16.470258833991902</v>
      </c>
      <c r="W442" s="4" t="str">
        <f>"F46H5.7"</f>
        <v>F46H5.7</v>
      </c>
      <c r="X442" s="4">
        <v>16.638779281877099</v>
      </c>
      <c r="Y442" s="4">
        <v>16.512380486114001</v>
      </c>
      <c r="Z442" s="4">
        <v>16.592528156440501</v>
      </c>
      <c r="AA442" s="4">
        <f t="shared" si="27"/>
        <v>16.581229308143868</v>
      </c>
      <c r="AH442" s="1"/>
      <c r="AI442" s="1"/>
      <c r="AJ442" s="4" t="s">
        <v>2790</v>
      </c>
    </row>
    <row r="443" spans="2:56" x14ac:dyDescent="0.2">
      <c r="B443" s="4" t="s">
        <v>2068</v>
      </c>
      <c r="C443" s="4">
        <v>16.853899999999999</v>
      </c>
      <c r="D443" s="4">
        <v>16.029199999999999</v>
      </c>
      <c r="E443" s="4">
        <v>16.883600000000001</v>
      </c>
      <c r="F443" s="4">
        <f t="shared" si="24"/>
        <v>16.588899999999999</v>
      </c>
      <c r="I443" s="4" t="s">
        <v>1629</v>
      </c>
      <c r="J443" s="4">
        <v>16.6769</v>
      </c>
      <c r="K443" s="4">
        <v>16.658799999999999</v>
      </c>
      <c r="L443" s="4">
        <v>16.684000000000001</v>
      </c>
      <c r="M443" s="4">
        <f t="shared" si="25"/>
        <v>16.673233333333332</v>
      </c>
      <c r="P443" s="4" t="str">
        <f>"nsun-2"</f>
        <v>nsun-2</v>
      </c>
      <c r="Q443" s="4">
        <v>16.438939302050802</v>
      </c>
      <c r="R443" s="4">
        <v>16.475456101398301</v>
      </c>
      <c r="S443" s="4">
        <v>16.479931222823001</v>
      </c>
      <c r="T443" s="4">
        <f t="shared" si="26"/>
        <v>16.464775542090702</v>
      </c>
      <c r="W443" s="4" t="str">
        <f>"hpo-8"</f>
        <v>hpo-8</v>
      </c>
      <c r="X443" s="4">
        <v>16.804094696203499</v>
      </c>
      <c r="Y443" s="4">
        <v>16.5385046322364</v>
      </c>
      <c r="Z443" s="4">
        <v>16.373422134266001</v>
      </c>
      <c r="AA443" s="4">
        <f t="shared" si="27"/>
        <v>16.572007154235301</v>
      </c>
      <c r="AH443" s="1"/>
      <c r="AI443" s="1"/>
      <c r="AJ443" s="4" t="s">
        <v>3110</v>
      </c>
      <c r="AL443" s="28"/>
      <c r="AM443" s="28"/>
      <c r="AN443" s="28"/>
    </row>
    <row r="444" spans="2:56" x14ac:dyDescent="0.2">
      <c r="B444" s="4" t="s">
        <v>3553</v>
      </c>
      <c r="C444" s="4">
        <v>16.4377</v>
      </c>
      <c r="D444" s="4">
        <v>16.620899999999999</v>
      </c>
      <c r="E444" s="4">
        <v>16.697199999999999</v>
      </c>
      <c r="F444" s="4">
        <f t="shared" si="24"/>
        <v>16.585266666666666</v>
      </c>
      <c r="I444" s="4" t="s">
        <v>1351</v>
      </c>
      <c r="J444" s="4">
        <v>16.505500000000001</v>
      </c>
      <c r="K444" s="4">
        <v>16.593699999999998</v>
      </c>
      <c r="L444" s="4">
        <v>16.904299999999999</v>
      </c>
      <c r="M444" s="4">
        <f t="shared" si="25"/>
        <v>16.667833333333331</v>
      </c>
      <c r="P444" s="4" t="str">
        <f>"prp-8"</f>
        <v>prp-8</v>
      </c>
      <c r="Q444" s="4">
        <v>16.4427593560122</v>
      </c>
      <c r="R444" s="4">
        <v>16.447553614553701</v>
      </c>
      <c r="S444" s="4">
        <v>16.498401418557201</v>
      </c>
      <c r="T444" s="4">
        <f t="shared" si="26"/>
        <v>16.462904796374367</v>
      </c>
      <c r="W444" s="4" t="str">
        <f>"pck-1"</f>
        <v>pck-1</v>
      </c>
      <c r="X444" s="4">
        <v>16.326176692203301</v>
      </c>
      <c r="Y444" s="4">
        <v>16.710902073781</v>
      </c>
      <c r="Z444" s="4">
        <v>16.652940531464299</v>
      </c>
      <c r="AA444" s="4">
        <f t="shared" si="27"/>
        <v>16.563339765816199</v>
      </c>
      <c r="AH444" s="1"/>
      <c r="AI444" s="1"/>
      <c r="AJ444" s="4" t="s">
        <v>3384</v>
      </c>
    </row>
    <row r="445" spans="2:56" x14ac:dyDescent="0.2">
      <c r="B445" s="4" t="s">
        <v>1208</v>
      </c>
      <c r="C445" s="4">
        <v>16.813099999999999</v>
      </c>
      <c r="D445" s="4">
        <v>16.521999999999998</v>
      </c>
      <c r="E445" s="4">
        <v>16.420400000000001</v>
      </c>
      <c r="F445" s="4">
        <f t="shared" si="24"/>
        <v>16.585166666666666</v>
      </c>
      <c r="I445" s="4" t="s">
        <v>1884</v>
      </c>
      <c r="J445" s="4">
        <v>17.111899999999999</v>
      </c>
      <c r="K445" s="4">
        <v>17.0472</v>
      </c>
      <c r="L445" s="4">
        <v>15.8347</v>
      </c>
      <c r="M445" s="4">
        <f t="shared" si="25"/>
        <v>16.664599999999997</v>
      </c>
      <c r="P445" s="4" t="str">
        <f>"hxk-2"</f>
        <v>hxk-2</v>
      </c>
      <c r="Q445" s="4">
        <v>16.732585067176601</v>
      </c>
      <c r="R445" s="4">
        <v>16.274766055758899</v>
      </c>
      <c r="S445" s="4">
        <v>16.3773755529553</v>
      </c>
      <c r="T445" s="4">
        <f t="shared" si="26"/>
        <v>16.461575558630269</v>
      </c>
      <c r="W445" s="4" t="str">
        <f>"lfi-1"</f>
        <v>lfi-1</v>
      </c>
      <c r="X445" s="4">
        <v>16.441585309537601</v>
      </c>
      <c r="Y445" s="4">
        <v>16.385732619163701</v>
      </c>
      <c r="Z445" s="4">
        <v>16.8601782354324</v>
      </c>
      <c r="AA445" s="4">
        <f t="shared" si="27"/>
        <v>16.562498721377903</v>
      </c>
      <c r="AH445" s="1"/>
      <c r="AI445" s="1"/>
      <c r="AJ445" s="4" t="s">
        <v>3296</v>
      </c>
    </row>
    <row r="446" spans="2:56" x14ac:dyDescent="0.2">
      <c r="B446" s="4" t="s">
        <v>1533</v>
      </c>
      <c r="C446" s="4">
        <v>16.212800000000001</v>
      </c>
      <c r="D446" s="4">
        <v>16.599399999999999</v>
      </c>
      <c r="E446" s="4">
        <v>16.939499999999999</v>
      </c>
      <c r="F446" s="4">
        <f t="shared" si="24"/>
        <v>16.5839</v>
      </c>
      <c r="I446" s="4" t="s">
        <v>2405</v>
      </c>
      <c r="J446" s="4">
        <v>16.755600000000001</v>
      </c>
      <c r="K446" s="4">
        <v>16.781199999999998</v>
      </c>
      <c r="L446" s="4">
        <v>16.454599999999999</v>
      </c>
      <c r="M446" s="4">
        <f t="shared" si="25"/>
        <v>16.663799999999998</v>
      </c>
      <c r="P446" s="4" t="str">
        <f>"sodh-1"</f>
        <v>sodh-1</v>
      </c>
      <c r="Q446" s="4">
        <v>16.170367871487901</v>
      </c>
      <c r="R446" s="4">
        <v>16.4740192291301</v>
      </c>
      <c r="S446" s="4">
        <v>16.734654988761601</v>
      </c>
      <c r="T446" s="4">
        <f t="shared" si="26"/>
        <v>16.45968069645987</v>
      </c>
      <c r="W446" s="4" t="str">
        <f>"H06I04.3"</f>
        <v>H06I04.3</v>
      </c>
      <c r="X446" s="4">
        <v>16.405194825353899</v>
      </c>
      <c r="Y446" s="4">
        <v>16.737759019339698</v>
      </c>
      <c r="Z446" s="4">
        <v>16.528141810180198</v>
      </c>
      <c r="AA446" s="4">
        <f t="shared" si="27"/>
        <v>16.557031884957933</v>
      </c>
      <c r="AH446" s="1"/>
      <c r="AI446" s="1"/>
      <c r="AJ446" s="4" t="s">
        <v>3335</v>
      </c>
    </row>
    <row r="447" spans="2:56" x14ac:dyDescent="0.2">
      <c r="B447" s="4" t="s">
        <v>658</v>
      </c>
      <c r="C447" s="4">
        <v>16.675699999999999</v>
      </c>
      <c r="D447" s="4">
        <v>16.642199999999999</v>
      </c>
      <c r="E447" s="4">
        <v>16.432400000000001</v>
      </c>
      <c r="F447" s="4">
        <f t="shared" si="24"/>
        <v>16.583433333333332</v>
      </c>
      <c r="I447" s="4" t="s">
        <v>133</v>
      </c>
      <c r="J447" s="4">
        <v>16.5566</v>
      </c>
      <c r="K447" s="4">
        <v>16.420400000000001</v>
      </c>
      <c r="L447" s="4">
        <v>16.992799999999999</v>
      </c>
      <c r="M447" s="4">
        <f t="shared" si="25"/>
        <v>16.656600000000001</v>
      </c>
      <c r="P447" s="4" t="str">
        <f>"K04C2.2"</f>
        <v>K04C2.2</v>
      </c>
      <c r="Q447" s="4">
        <v>16.4044582657577</v>
      </c>
      <c r="R447" s="4">
        <v>16.634298027684999</v>
      </c>
      <c r="S447" s="4">
        <v>16.319019255922498</v>
      </c>
      <c r="T447" s="4">
        <f t="shared" si="26"/>
        <v>16.452591849788401</v>
      </c>
      <c r="W447" s="4" t="str">
        <f>"iars-1"</f>
        <v>iars-1</v>
      </c>
      <c r="X447" s="4">
        <v>16.6426749334526</v>
      </c>
      <c r="Y447" s="4">
        <v>16.612876642118199</v>
      </c>
      <c r="Z447" s="4">
        <v>16.401716981868699</v>
      </c>
      <c r="AA447" s="4">
        <f t="shared" si="27"/>
        <v>16.552422852479832</v>
      </c>
      <c r="AH447" s="1"/>
      <c r="AI447" s="1"/>
      <c r="AJ447" s="4" t="s">
        <v>2127</v>
      </c>
    </row>
    <row r="448" spans="2:56" x14ac:dyDescent="0.2">
      <c r="B448" s="4" t="s">
        <v>1835</v>
      </c>
      <c r="C448" s="4">
        <v>16.516999999999999</v>
      </c>
      <c r="D448" s="4">
        <v>16.294699999999999</v>
      </c>
      <c r="E448" s="4">
        <v>16.931100000000001</v>
      </c>
      <c r="F448" s="4">
        <f t="shared" si="24"/>
        <v>16.580933333333334</v>
      </c>
      <c r="I448" s="4" t="s">
        <v>2041</v>
      </c>
      <c r="J448" s="4">
        <v>16.876200000000001</v>
      </c>
      <c r="K448" s="4">
        <v>16.919599999999999</v>
      </c>
      <c r="L448" s="4">
        <v>16.170300000000001</v>
      </c>
      <c r="M448" s="4">
        <f t="shared" si="25"/>
        <v>16.655366666666666</v>
      </c>
      <c r="P448" s="4" t="str">
        <f>"dpy-23"</f>
        <v>dpy-23</v>
      </c>
      <c r="Q448" s="4">
        <v>16.5030612761505</v>
      </c>
      <c r="R448" s="4">
        <v>16.350522713632898</v>
      </c>
      <c r="S448" s="4">
        <v>16.5008542832425</v>
      </c>
      <c r="T448" s="4">
        <f t="shared" si="26"/>
        <v>16.451479424341969</v>
      </c>
      <c r="W448" s="4" t="str">
        <f>"tkt-1"</f>
        <v>tkt-1</v>
      </c>
      <c r="X448" s="4">
        <v>16.6021428760878</v>
      </c>
      <c r="Y448" s="4">
        <v>16.451767834399899</v>
      </c>
      <c r="Z448" s="4">
        <v>16.578613719475001</v>
      </c>
      <c r="AA448" s="4">
        <f t="shared" si="27"/>
        <v>16.544174809987567</v>
      </c>
      <c r="AH448" s="1"/>
      <c r="AI448" s="1"/>
      <c r="AJ448" s="28" t="s">
        <v>4872</v>
      </c>
      <c r="BD448" s="44"/>
    </row>
    <row r="449" spans="2:41" x14ac:dyDescent="0.2">
      <c r="B449" s="4" t="s">
        <v>1466</v>
      </c>
      <c r="C449" s="4">
        <v>16.823799999999999</v>
      </c>
      <c r="D449" s="4">
        <v>16.548200000000001</v>
      </c>
      <c r="E449" s="4">
        <v>16.337</v>
      </c>
      <c r="F449" s="4">
        <f t="shared" si="24"/>
        <v>16.569666666666667</v>
      </c>
      <c r="I449" s="4" t="s">
        <v>3216</v>
      </c>
      <c r="J449" s="4">
        <v>16.735600000000002</v>
      </c>
      <c r="K449" s="4">
        <v>16.500599999999999</v>
      </c>
      <c r="L449" s="4">
        <v>16.704000000000001</v>
      </c>
      <c r="M449" s="4">
        <f t="shared" si="25"/>
        <v>16.646733333333334</v>
      </c>
      <c r="P449" s="4" t="str">
        <f>"aars-2"</f>
        <v>aars-2</v>
      </c>
      <c r="Q449" s="4">
        <v>16.464931611979502</v>
      </c>
      <c r="R449" s="4">
        <v>16.391295436716302</v>
      </c>
      <c r="S449" s="4">
        <v>16.486846284228498</v>
      </c>
      <c r="T449" s="4">
        <f t="shared" si="26"/>
        <v>16.447691110974766</v>
      </c>
      <c r="W449" s="4" t="str">
        <f>"pgl-3"</f>
        <v>pgl-3</v>
      </c>
      <c r="X449" s="4">
        <v>16.595967626149299</v>
      </c>
      <c r="Y449" s="4">
        <v>16.624107787419199</v>
      </c>
      <c r="Z449" s="4">
        <v>16.370476644154198</v>
      </c>
      <c r="AA449" s="4">
        <f t="shared" si="27"/>
        <v>16.530184019240895</v>
      </c>
      <c r="AH449" s="1"/>
      <c r="AI449" s="1"/>
      <c r="AJ449" s="4" t="s">
        <v>1820</v>
      </c>
    </row>
    <row r="450" spans="2:41" x14ac:dyDescent="0.2">
      <c r="B450" s="4" t="s">
        <v>2831</v>
      </c>
      <c r="C450" s="4">
        <v>16.895700000000001</v>
      </c>
      <c r="D450" s="4">
        <v>15.9558</v>
      </c>
      <c r="E450" s="4">
        <v>16.855399999999999</v>
      </c>
      <c r="F450" s="4">
        <f t="shared" ref="F450:F513" si="28">(C450+D450+E450)/3</f>
        <v>16.568966666666668</v>
      </c>
      <c r="I450" s="4" t="s">
        <v>3886</v>
      </c>
      <c r="J450" s="4">
        <v>16.5886</v>
      </c>
      <c r="K450" s="4">
        <v>16.5533</v>
      </c>
      <c r="L450" s="4">
        <v>16.796500000000002</v>
      </c>
      <c r="M450" s="4">
        <f t="shared" ref="M450:M513" si="29">(J450+K450+L450)/3</f>
        <v>16.646133333333335</v>
      </c>
      <c r="P450" s="4" t="str">
        <f>"unc-87"</f>
        <v>unc-87</v>
      </c>
      <c r="Q450" s="4">
        <v>16.6053158717712</v>
      </c>
      <c r="R450" s="4">
        <v>16.0367836669393</v>
      </c>
      <c r="S450" s="4">
        <v>16.687700002457301</v>
      </c>
      <c r="T450" s="4">
        <f t="shared" ref="T450:T513" si="30">(Q450+R450+S450)/3</f>
        <v>16.443266513722602</v>
      </c>
      <c r="W450" s="4" t="str">
        <f>"ZC434.8"</f>
        <v>ZC434.8</v>
      </c>
      <c r="X450" s="4">
        <v>16.645042600173401</v>
      </c>
      <c r="Y450" s="4">
        <v>16.516107651450799</v>
      </c>
      <c r="Z450" s="4">
        <v>16.4208559332662</v>
      </c>
      <c r="AA450" s="4">
        <f t="shared" ref="AA450:AA513" si="31">(X450+Y450+Z450)/3</f>
        <v>16.527335394963469</v>
      </c>
      <c r="AH450" s="1"/>
      <c r="AI450" s="1"/>
      <c r="AJ450" s="4" t="s">
        <v>4511</v>
      </c>
    </row>
    <row r="451" spans="2:41" x14ac:dyDescent="0.2">
      <c r="B451" s="4" t="s">
        <v>2603</v>
      </c>
      <c r="C451" s="4">
        <v>16.385100000000001</v>
      </c>
      <c r="D451" s="4">
        <v>16.165600000000001</v>
      </c>
      <c r="E451" s="4">
        <v>17.150099999999998</v>
      </c>
      <c r="F451" s="4">
        <f t="shared" si="28"/>
        <v>16.566933333333335</v>
      </c>
      <c r="I451" s="44">
        <v>45444</v>
      </c>
      <c r="J451" s="4">
        <v>15.8362</v>
      </c>
      <c r="K451" s="4">
        <v>17.2285</v>
      </c>
      <c r="L451" s="4">
        <v>16.873200000000001</v>
      </c>
      <c r="M451" s="4">
        <f t="shared" si="29"/>
        <v>16.645966666666666</v>
      </c>
      <c r="P451" s="4" t="str">
        <f>"mcm-3"</f>
        <v>mcm-3</v>
      </c>
      <c r="Q451" s="4">
        <v>16.4173142470211</v>
      </c>
      <c r="R451" s="4">
        <v>16.518763191393599</v>
      </c>
      <c r="S451" s="4">
        <v>16.385324124956998</v>
      </c>
      <c r="T451" s="4">
        <f t="shared" si="30"/>
        <v>16.440467187790563</v>
      </c>
      <c r="W451" s="4" t="str">
        <f>"dpy-23"</f>
        <v>dpy-23</v>
      </c>
      <c r="X451" s="4">
        <v>16.688734733098201</v>
      </c>
      <c r="Y451" s="4">
        <v>16.431796563265099</v>
      </c>
      <c r="Z451" s="4">
        <v>16.453246468384499</v>
      </c>
      <c r="AA451" s="4">
        <f t="shared" si="31"/>
        <v>16.524592588249266</v>
      </c>
      <c r="AH451" s="1"/>
      <c r="AI451" s="1"/>
      <c r="AJ451" s="4" t="s">
        <v>3994</v>
      </c>
    </row>
    <row r="452" spans="2:41" x14ac:dyDescent="0.2">
      <c r="B452" s="4" t="s">
        <v>1319</v>
      </c>
      <c r="C452" s="4">
        <v>16.399799999999999</v>
      </c>
      <c r="D452" s="4">
        <v>16.8309</v>
      </c>
      <c r="E452" s="4">
        <v>16.466699999999999</v>
      </c>
      <c r="F452" s="4">
        <f t="shared" si="28"/>
        <v>16.565799999999999</v>
      </c>
      <c r="I452" s="4" t="s">
        <v>699</v>
      </c>
      <c r="J452" s="4">
        <v>16.5596</v>
      </c>
      <c r="K452" s="4">
        <v>16.7559</v>
      </c>
      <c r="L452" s="4">
        <v>16.615300000000001</v>
      </c>
      <c r="M452" s="4">
        <f t="shared" si="29"/>
        <v>16.643600000000003</v>
      </c>
      <c r="P452" s="4" t="str">
        <f>"nuo-1"</f>
        <v>nuo-1</v>
      </c>
      <c r="Q452" s="4">
        <v>16.755217498175298</v>
      </c>
      <c r="R452" s="4">
        <v>16.2577183706324</v>
      </c>
      <c r="S452" s="4">
        <v>16.306097628292399</v>
      </c>
      <c r="T452" s="4">
        <f t="shared" si="30"/>
        <v>16.439677832366701</v>
      </c>
      <c r="W452" s="4" t="str">
        <f>"ctc-2"</f>
        <v>ctc-2</v>
      </c>
      <c r="X452" s="4">
        <v>16.393529276229899</v>
      </c>
      <c r="Y452" s="4">
        <v>16.394598345166099</v>
      </c>
      <c r="Z452" s="4">
        <v>16.7442131878597</v>
      </c>
      <c r="AA452" s="4">
        <f t="shared" si="31"/>
        <v>16.510780269751901</v>
      </c>
      <c r="AH452" s="1"/>
      <c r="AI452" s="1"/>
      <c r="AJ452" s="4" t="s">
        <v>4175</v>
      </c>
    </row>
    <row r="453" spans="2:41" x14ac:dyDescent="0.2">
      <c r="B453" s="4" t="s">
        <v>699</v>
      </c>
      <c r="C453" s="4">
        <v>16.366299999999999</v>
      </c>
      <c r="D453" s="4">
        <v>16.5731</v>
      </c>
      <c r="E453" s="4">
        <v>16.757000000000001</v>
      </c>
      <c r="F453" s="4">
        <f t="shared" si="28"/>
        <v>16.565466666666666</v>
      </c>
      <c r="I453" s="4" t="s">
        <v>353</v>
      </c>
      <c r="J453" s="4">
        <v>16.712</v>
      </c>
      <c r="K453" s="4">
        <v>16.7118</v>
      </c>
      <c r="L453" s="4">
        <v>16.501799999999999</v>
      </c>
      <c r="M453" s="4">
        <f t="shared" si="29"/>
        <v>16.641866666666669</v>
      </c>
      <c r="P453" s="4" t="str">
        <f>"vgln-1"</f>
        <v>vgln-1</v>
      </c>
      <c r="Q453" s="4">
        <v>16.4037511866361</v>
      </c>
      <c r="R453" s="4">
        <v>16.215349689524398</v>
      </c>
      <c r="S453" s="4">
        <v>16.6728531648162</v>
      </c>
      <c r="T453" s="4">
        <f t="shared" si="30"/>
        <v>16.430651346992235</v>
      </c>
      <c r="W453" s="4" t="str">
        <f>"laf-1"</f>
        <v>laf-1</v>
      </c>
      <c r="X453" s="4">
        <v>16.564186726697201</v>
      </c>
      <c r="Y453" s="4">
        <v>16.486991282784398</v>
      </c>
      <c r="Z453" s="4">
        <v>16.4744255725643</v>
      </c>
      <c r="AA453" s="4">
        <f t="shared" si="31"/>
        <v>16.508534527348633</v>
      </c>
      <c r="AH453" s="1"/>
      <c r="AI453" s="1"/>
      <c r="AJ453" s="4" t="s">
        <v>4604</v>
      </c>
    </row>
    <row r="454" spans="2:41" x14ac:dyDescent="0.2">
      <c r="B454" s="4" t="s">
        <v>2402</v>
      </c>
      <c r="C454" s="4">
        <v>16.468499999999999</v>
      </c>
      <c r="D454" s="4">
        <v>16.695699999999999</v>
      </c>
      <c r="E454" s="4">
        <v>16.510400000000001</v>
      </c>
      <c r="F454" s="4">
        <f t="shared" si="28"/>
        <v>16.558199999999999</v>
      </c>
      <c r="I454" s="4" t="s">
        <v>3128</v>
      </c>
      <c r="J454" s="4">
        <v>16.855499999999999</v>
      </c>
      <c r="K454" s="4">
        <v>16.689900000000002</v>
      </c>
      <c r="L454" s="4">
        <v>16.3764</v>
      </c>
      <c r="M454" s="4">
        <f t="shared" si="29"/>
        <v>16.640600000000003</v>
      </c>
      <c r="P454" s="4" t="str">
        <f>"rpl-25.2"</f>
        <v>rpl-25.2</v>
      </c>
      <c r="Q454" s="4">
        <v>16.860454231102</v>
      </c>
      <c r="R454" s="4">
        <v>16.003737178830502</v>
      </c>
      <c r="S454" s="4">
        <v>16.414835242847001</v>
      </c>
      <c r="T454" s="4">
        <f t="shared" si="30"/>
        <v>16.42634221759317</v>
      </c>
      <c r="W454" s="4" t="str">
        <f>"plc-4"</f>
        <v>plc-4</v>
      </c>
      <c r="X454" s="4">
        <v>16.4125315728391</v>
      </c>
      <c r="Y454" s="4">
        <v>16.5197704211717</v>
      </c>
      <c r="Z454" s="4">
        <v>16.584321876346699</v>
      </c>
      <c r="AA454" s="4">
        <f t="shared" si="31"/>
        <v>16.505541290119165</v>
      </c>
      <c r="AH454" s="1"/>
      <c r="AI454" s="1"/>
      <c r="AJ454" s="4" t="s">
        <v>3869</v>
      </c>
    </row>
    <row r="455" spans="2:41" x14ac:dyDescent="0.2">
      <c r="B455" s="4" t="s">
        <v>3823</v>
      </c>
      <c r="C455" s="4">
        <v>16.5929</v>
      </c>
      <c r="D455" s="4">
        <v>16.7346</v>
      </c>
      <c r="E455" s="4">
        <v>16.3462</v>
      </c>
      <c r="F455" s="4">
        <f t="shared" si="28"/>
        <v>16.5579</v>
      </c>
      <c r="I455" s="4" t="s">
        <v>2317</v>
      </c>
      <c r="J455" s="4">
        <v>16.622499999999999</v>
      </c>
      <c r="K455" s="4">
        <v>16.7959</v>
      </c>
      <c r="L455" s="4">
        <v>16.4907</v>
      </c>
      <c r="M455" s="4">
        <f t="shared" si="29"/>
        <v>16.636366666666664</v>
      </c>
      <c r="P455" s="4" t="str">
        <f>"let-767"</f>
        <v>let-767</v>
      </c>
      <c r="Q455" s="4">
        <v>16.334605019339701</v>
      </c>
      <c r="R455" s="4">
        <v>16.2991974761775</v>
      </c>
      <c r="S455" s="4">
        <v>16.625511953340101</v>
      </c>
      <c r="T455" s="4">
        <f t="shared" si="30"/>
        <v>16.419771482952434</v>
      </c>
      <c r="W455" s="4" t="str">
        <f>"idhg-2"</f>
        <v>idhg-2</v>
      </c>
      <c r="X455" s="4">
        <v>16.306049142539401</v>
      </c>
      <c r="Y455" s="4">
        <v>16.474988235574099</v>
      </c>
      <c r="Z455" s="4">
        <v>16.7020468388518</v>
      </c>
      <c r="AA455" s="4">
        <f t="shared" si="31"/>
        <v>16.494361405655098</v>
      </c>
      <c r="AH455" s="1"/>
      <c r="AI455" s="1"/>
      <c r="AJ455" s="4" t="s">
        <v>1089</v>
      </c>
    </row>
    <row r="456" spans="2:41" x14ac:dyDescent="0.2">
      <c r="B456" s="4" t="s">
        <v>326</v>
      </c>
      <c r="C456" s="4">
        <v>16.406400000000001</v>
      </c>
      <c r="D456" s="4">
        <v>16.907299999999999</v>
      </c>
      <c r="E456" s="4">
        <v>16.354099999999999</v>
      </c>
      <c r="F456" s="4">
        <f t="shared" si="28"/>
        <v>16.555933333333332</v>
      </c>
      <c r="I456" s="4" t="s">
        <v>802</v>
      </c>
      <c r="J456" s="4">
        <v>16.629200000000001</v>
      </c>
      <c r="K456" s="4">
        <v>16.917200000000001</v>
      </c>
      <c r="L456" s="4">
        <v>16.3596</v>
      </c>
      <c r="M456" s="4">
        <f t="shared" si="29"/>
        <v>16.635333333333335</v>
      </c>
      <c r="P456" s="4" t="str">
        <f>"srpa-68"</f>
        <v>srpa-68</v>
      </c>
      <c r="Q456" s="4">
        <v>16.362171690020901</v>
      </c>
      <c r="R456" s="4">
        <v>16.4459015314373</v>
      </c>
      <c r="S456" s="4">
        <v>16.442988677564699</v>
      </c>
      <c r="T456" s="4">
        <f t="shared" si="30"/>
        <v>16.417020633007635</v>
      </c>
      <c r="W456" s="4" t="str">
        <f>"F44B9.2"</f>
        <v>F44B9.2</v>
      </c>
      <c r="X456" s="4">
        <v>16.3126153907332</v>
      </c>
      <c r="Y456" s="4">
        <v>16.581377988243801</v>
      </c>
      <c r="Z456" s="4">
        <v>16.584536367702</v>
      </c>
      <c r="AA456" s="4">
        <f t="shared" si="31"/>
        <v>16.492843248892999</v>
      </c>
      <c r="AH456" s="1"/>
      <c r="AI456" s="1"/>
      <c r="AJ456" s="4" t="s">
        <v>3322</v>
      </c>
      <c r="AO456" s="28"/>
    </row>
    <row r="457" spans="2:41" x14ac:dyDescent="0.2">
      <c r="B457" s="4" t="s">
        <v>3429</v>
      </c>
      <c r="C457" s="4">
        <v>16.021000000000001</v>
      </c>
      <c r="D457" s="4">
        <v>16.160699999999999</v>
      </c>
      <c r="E457" s="4">
        <v>17.4834</v>
      </c>
      <c r="F457" s="4">
        <f t="shared" si="28"/>
        <v>16.555033333333331</v>
      </c>
      <c r="I457" s="4" t="s">
        <v>3536</v>
      </c>
      <c r="J457" s="4">
        <v>16.890699999999999</v>
      </c>
      <c r="K457" s="4">
        <v>16.7577</v>
      </c>
      <c r="L457" s="4">
        <v>16.255700000000001</v>
      </c>
      <c r="M457" s="4">
        <f t="shared" si="29"/>
        <v>16.634699999999999</v>
      </c>
      <c r="P457" s="4" t="str">
        <f>"haf-9"</f>
        <v>haf-9</v>
      </c>
      <c r="Q457" s="4">
        <v>16.5090719614679</v>
      </c>
      <c r="R457" s="4">
        <v>16.513360524278099</v>
      </c>
      <c r="S457" s="4">
        <v>16.224907284351101</v>
      </c>
      <c r="T457" s="4">
        <f t="shared" si="30"/>
        <v>16.415779923365701</v>
      </c>
      <c r="W457" s="4" t="str">
        <f>"ragc-1"</f>
        <v>ragc-1</v>
      </c>
      <c r="X457" s="4">
        <v>16.365364320157099</v>
      </c>
      <c r="Y457" s="4">
        <v>16.464777267155299</v>
      </c>
      <c r="Z457" s="4">
        <v>16.643096897540701</v>
      </c>
      <c r="AA457" s="4">
        <f t="shared" si="31"/>
        <v>16.491079494951034</v>
      </c>
      <c r="AH457" s="1"/>
      <c r="AI457" s="1"/>
      <c r="AJ457" s="4" t="s">
        <v>2965</v>
      </c>
    </row>
    <row r="458" spans="2:41" x14ac:dyDescent="0.2">
      <c r="B458" s="4" t="s">
        <v>2128</v>
      </c>
      <c r="C458" s="4">
        <v>16.726700000000001</v>
      </c>
      <c r="D458" s="4">
        <v>16.682200000000002</v>
      </c>
      <c r="E458" s="4">
        <v>16.252500000000001</v>
      </c>
      <c r="F458" s="4">
        <f t="shared" si="28"/>
        <v>16.553799999999999</v>
      </c>
      <c r="I458" s="4" t="s">
        <v>3684</v>
      </c>
      <c r="J458" s="4">
        <v>16.8292</v>
      </c>
      <c r="K458" s="4">
        <v>16.5472</v>
      </c>
      <c r="L458" s="4">
        <v>16.5182</v>
      </c>
      <c r="M458" s="4">
        <f t="shared" si="29"/>
        <v>16.631533333333334</v>
      </c>
      <c r="P458" s="4" t="str">
        <f>"letm-1"</f>
        <v>letm-1</v>
      </c>
      <c r="Q458" s="4">
        <v>16.455682595364198</v>
      </c>
      <c r="R458" s="4">
        <v>16.511806303306901</v>
      </c>
      <c r="S458" s="4">
        <v>16.252968435972001</v>
      </c>
      <c r="T458" s="4">
        <f t="shared" si="30"/>
        <v>16.406819111547701</v>
      </c>
      <c r="W458" s="4" t="str">
        <f>"rskn-2"</f>
        <v>rskn-2</v>
      </c>
      <c r="X458" s="4">
        <v>16.356361413674801</v>
      </c>
      <c r="Y458" s="4">
        <v>16.557614509596299</v>
      </c>
      <c r="Z458" s="4">
        <v>16.550044767736502</v>
      </c>
      <c r="AA458" s="4">
        <f t="shared" si="31"/>
        <v>16.488006897002531</v>
      </c>
      <c r="AH458" s="1"/>
      <c r="AI458" s="1"/>
      <c r="AJ458" s="4" t="s">
        <v>161</v>
      </c>
    </row>
    <row r="459" spans="2:41" x14ac:dyDescent="0.2">
      <c r="B459" s="4" t="s">
        <v>1373</v>
      </c>
      <c r="C459" s="4">
        <v>16.558199999999999</v>
      </c>
      <c r="D459" s="4">
        <v>16.6753</v>
      </c>
      <c r="E459" s="4">
        <v>16.4177</v>
      </c>
      <c r="F459" s="4">
        <f t="shared" si="28"/>
        <v>16.5504</v>
      </c>
      <c r="I459" s="4" t="s">
        <v>130</v>
      </c>
      <c r="J459" s="4">
        <v>16.3048</v>
      </c>
      <c r="K459" s="4">
        <v>16.178999999999998</v>
      </c>
      <c r="L459" s="4">
        <v>17.392199999999999</v>
      </c>
      <c r="M459" s="4">
        <f t="shared" si="29"/>
        <v>16.625333333333334</v>
      </c>
      <c r="P459" s="4" t="str">
        <f>"stt-3"</f>
        <v>stt-3</v>
      </c>
      <c r="Q459" s="4">
        <v>16.219476869660198</v>
      </c>
      <c r="R459" s="4">
        <v>16.360943389369801</v>
      </c>
      <c r="S459" s="4">
        <v>16.612572033841701</v>
      </c>
      <c r="T459" s="4">
        <f t="shared" si="30"/>
        <v>16.397664097623899</v>
      </c>
      <c r="W459" s="4" t="str">
        <f>"F22B5.10"</f>
        <v>F22B5.10</v>
      </c>
      <c r="X459" s="4">
        <v>16.517951891239001</v>
      </c>
      <c r="Y459" s="4">
        <v>16.792254033944999</v>
      </c>
      <c r="Z459" s="4">
        <v>16.138529530877701</v>
      </c>
      <c r="AA459" s="4">
        <f t="shared" si="31"/>
        <v>16.482911818687231</v>
      </c>
      <c r="AH459" s="1"/>
      <c r="AI459" s="1"/>
      <c r="AJ459" s="4" t="s">
        <v>4449</v>
      </c>
    </row>
    <row r="460" spans="2:41" x14ac:dyDescent="0.2">
      <c r="B460" s="4" t="s">
        <v>3456</v>
      </c>
      <c r="C460" s="4">
        <v>16.5136</v>
      </c>
      <c r="D460" s="4">
        <v>16.501799999999999</v>
      </c>
      <c r="E460" s="4">
        <v>16.6068</v>
      </c>
      <c r="F460" s="4">
        <f t="shared" si="28"/>
        <v>16.540733333333332</v>
      </c>
      <c r="I460" s="4" t="s">
        <v>3047</v>
      </c>
      <c r="J460" s="4">
        <v>16.7393</v>
      </c>
      <c r="K460" s="4">
        <v>16.471900000000002</v>
      </c>
      <c r="L460" s="4">
        <v>16.633199999999999</v>
      </c>
      <c r="M460" s="4">
        <f t="shared" si="29"/>
        <v>16.614800000000002</v>
      </c>
      <c r="P460" s="4" t="str">
        <f>"dif-1"</f>
        <v>dif-1</v>
      </c>
      <c r="Q460" s="4">
        <v>16.481888129351798</v>
      </c>
      <c r="R460" s="4">
        <v>16.239489996683801</v>
      </c>
      <c r="S460" s="4">
        <v>16.4664002468974</v>
      </c>
      <c r="T460" s="4">
        <f t="shared" si="30"/>
        <v>16.395926124311</v>
      </c>
      <c r="W460" s="4" t="str">
        <f>"Y43F4B.5"</f>
        <v>Y43F4B.5</v>
      </c>
      <c r="X460" s="4">
        <v>16.439258834150799</v>
      </c>
      <c r="Y460" s="4">
        <v>16.510655547241001</v>
      </c>
      <c r="Z460" s="4">
        <v>16.480616937694901</v>
      </c>
      <c r="AA460" s="4">
        <f t="shared" si="31"/>
        <v>16.4768437730289</v>
      </c>
      <c r="AH460" s="1"/>
      <c r="AI460" s="1"/>
      <c r="AJ460" s="4" t="s">
        <v>2086</v>
      </c>
    </row>
    <row r="461" spans="2:41" x14ac:dyDescent="0.2">
      <c r="B461" s="4" t="s">
        <v>1366</v>
      </c>
      <c r="C461" s="4">
        <v>16.433</v>
      </c>
      <c r="D461" s="4">
        <v>16.864599999999999</v>
      </c>
      <c r="E461" s="4">
        <v>16.305800000000001</v>
      </c>
      <c r="F461" s="4">
        <f t="shared" si="28"/>
        <v>16.53446666666667</v>
      </c>
      <c r="I461" s="4" t="s">
        <v>2784</v>
      </c>
      <c r="J461" s="4">
        <v>16.482800000000001</v>
      </c>
      <c r="K461" s="4">
        <v>16.647600000000001</v>
      </c>
      <c r="L461" s="4">
        <v>16.7102</v>
      </c>
      <c r="M461" s="4">
        <f t="shared" si="29"/>
        <v>16.613533333333333</v>
      </c>
      <c r="P461" s="4" t="str">
        <f>"toe-1"</f>
        <v>toe-1</v>
      </c>
      <c r="Q461" s="4">
        <v>16.390188582761301</v>
      </c>
      <c r="R461" s="4">
        <v>16.563195966555998</v>
      </c>
      <c r="S461" s="4">
        <v>16.219435040821601</v>
      </c>
      <c r="T461" s="4">
        <f t="shared" si="30"/>
        <v>16.390939863379632</v>
      </c>
      <c r="W461" s="4" t="str">
        <f>"let-2"</f>
        <v>let-2</v>
      </c>
      <c r="X461" s="4">
        <v>16.163076595066201</v>
      </c>
      <c r="Y461" s="4">
        <v>16.4764080588401</v>
      </c>
      <c r="Z461" s="4">
        <v>16.7791672618566</v>
      </c>
      <c r="AA461" s="4">
        <f t="shared" si="31"/>
        <v>16.472883971920968</v>
      </c>
      <c r="AH461" s="1"/>
      <c r="AI461" s="1"/>
      <c r="AJ461" s="4" t="s">
        <v>4162</v>
      </c>
    </row>
    <row r="462" spans="2:41" x14ac:dyDescent="0.2">
      <c r="B462" s="4" t="s">
        <v>3118</v>
      </c>
      <c r="C462" s="4">
        <v>16.598800000000001</v>
      </c>
      <c r="D462" s="4">
        <v>15.978899999999999</v>
      </c>
      <c r="E462" s="4">
        <v>17.019400000000001</v>
      </c>
      <c r="F462" s="4">
        <f t="shared" si="28"/>
        <v>16.532366666666665</v>
      </c>
      <c r="I462" s="4" t="s">
        <v>2068</v>
      </c>
      <c r="J462" s="4">
        <v>16.9941</v>
      </c>
      <c r="K462" s="4">
        <v>16.520099999999999</v>
      </c>
      <c r="L462" s="4">
        <v>16.322199999999999</v>
      </c>
      <c r="M462" s="4">
        <f t="shared" si="29"/>
        <v>16.612133333333333</v>
      </c>
      <c r="P462" s="4" t="str">
        <f>"Y43F4B.5"</f>
        <v>Y43F4B.5</v>
      </c>
      <c r="Q462" s="4">
        <v>16.3682854449358</v>
      </c>
      <c r="R462" s="4">
        <v>16.3376909332076</v>
      </c>
      <c r="S462" s="4">
        <v>16.462264654552001</v>
      </c>
      <c r="T462" s="4">
        <f t="shared" si="30"/>
        <v>16.389413677565134</v>
      </c>
      <c r="W462" s="4" t="str">
        <f>"let-413"</f>
        <v>let-413</v>
      </c>
      <c r="X462" s="4">
        <v>16.4474066061982</v>
      </c>
      <c r="Y462" s="4">
        <v>16.557275435416599</v>
      </c>
      <c r="Z462" s="4">
        <v>16.405874822827201</v>
      </c>
      <c r="AA462" s="4">
        <f t="shared" si="31"/>
        <v>16.470185621480667</v>
      </c>
      <c r="AH462" s="1"/>
      <c r="AI462" s="1"/>
      <c r="AJ462" s="4" t="s">
        <v>4380</v>
      </c>
    </row>
    <row r="463" spans="2:41" x14ac:dyDescent="0.2">
      <c r="B463" s="4" t="s">
        <v>2879</v>
      </c>
      <c r="C463" s="4">
        <v>16.7361</v>
      </c>
      <c r="D463" s="4">
        <v>16.596800000000002</v>
      </c>
      <c r="E463" s="4">
        <v>16.249600000000001</v>
      </c>
      <c r="F463" s="4">
        <f t="shared" si="28"/>
        <v>16.5275</v>
      </c>
      <c r="I463" s="4" t="s">
        <v>1904</v>
      </c>
      <c r="J463" s="4">
        <v>16.7454</v>
      </c>
      <c r="K463" s="4">
        <v>16.863</v>
      </c>
      <c r="L463" s="4">
        <v>16.225000000000001</v>
      </c>
      <c r="M463" s="4">
        <f t="shared" si="29"/>
        <v>16.611133333333335</v>
      </c>
      <c r="P463" s="4" t="str">
        <f>"gsk-3"</f>
        <v>gsk-3</v>
      </c>
      <c r="Q463" s="4">
        <v>16.411543601561799</v>
      </c>
      <c r="R463" s="4">
        <v>16.320669804149301</v>
      </c>
      <c r="S463" s="4">
        <v>16.4349067627561</v>
      </c>
      <c r="T463" s="4">
        <f t="shared" si="30"/>
        <v>16.389040056155732</v>
      </c>
      <c r="W463" s="4" t="str">
        <f>"ecps-1"</f>
        <v>ecps-1</v>
      </c>
      <c r="X463" s="4">
        <v>16.488491408184</v>
      </c>
      <c r="Y463" s="4">
        <v>16.5088826468684</v>
      </c>
      <c r="Z463" s="4">
        <v>16.410959444971901</v>
      </c>
      <c r="AA463" s="4">
        <f t="shared" si="31"/>
        <v>16.469444500008102</v>
      </c>
      <c r="AH463" s="1"/>
      <c r="AI463" s="1"/>
      <c r="AJ463" s="4" t="s">
        <v>4546</v>
      </c>
    </row>
    <row r="464" spans="2:41" x14ac:dyDescent="0.2">
      <c r="B464" s="4" t="s">
        <v>3814</v>
      </c>
      <c r="C464" s="4">
        <v>16.667100000000001</v>
      </c>
      <c r="D464" s="4">
        <v>16.291699999999999</v>
      </c>
      <c r="E464" s="4">
        <v>16.618099999999998</v>
      </c>
      <c r="F464" s="4">
        <f t="shared" si="28"/>
        <v>16.525633333333332</v>
      </c>
      <c r="I464" s="4" t="s">
        <v>1527</v>
      </c>
      <c r="J464" s="4">
        <v>15.3055</v>
      </c>
      <c r="K464" s="4">
        <v>16.5792</v>
      </c>
      <c r="L464" s="4">
        <v>17.9407</v>
      </c>
      <c r="M464" s="4">
        <f t="shared" si="29"/>
        <v>16.608466666666668</v>
      </c>
      <c r="P464" s="4" t="str">
        <f>"col-8"</f>
        <v>col-8</v>
      </c>
      <c r="Q464" s="4">
        <v>15.7984783988651</v>
      </c>
      <c r="R464" s="4">
        <v>15.5392374249016</v>
      </c>
      <c r="S464" s="4">
        <v>17.8160431689031</v>
      </c>
      <c r="T464" s="4">
        <f t="shared" si="30"/>
        <v>16.384586330889935</v>
      </c>
      <c r="W464" s="4" t="str">
        <f>"rpl-31"</f>
        <v>rpl-31</v>
      </c>
      <c r="X464" s="4">
        <v>16.5138983741729</v>
      </c>
      <c r="Y464" s="4">
        <v>16.691647100649401</v>
      </c>
      <c r="Z464" s="4">
        <v>16.191292223677198</v>
      </c>
      <c r="AA464" s="4">
        <f t="shared" si="31"/>
        <v>16.465612566166499</v>
      </c>
      <c r="AH464" s="1"/>
      <c r="AI464" s="1"/>
      <c r="AJ464" s="4" t="s">
        <v>2006</v>
      </c>
    </row>
    <row r="465" spans="2:36" x14ac:dyDescent="0.2">
      <c r="B465" s="4" t="s">
        <v>1957</v>
      </c>
      <c r="C465" s="4">
        <v>16.3719</v>
      </c>
      <c r="D465" s="4">
        <v>16.5898</v>
      </c>
      <c r="E465" s="4">
        <v>16.6099</v>
      </c>
      <c r="F465" s="4">
        <f t="shared" si="28"/>
        <v>16.523866666666667</v>
      </c>
      <c r="I465" s="4" t="s">
        <v>2624</v>
      </c>
      <c r="J465" s="4">
        <v>16.619299999999999</v>
      </c>
      <c r="K465" s="4">
        <v>16.5977</v>
      </c>
      <c r="L465" s="4">
        <v>16.602699999999999</v>
      </c>
      <c r="M465" s="4">
        <f t="shared" si="29"/>
        <v>16.606566666666666</v>
      </c>
      <c r="P465" s="4" t="str">
        <f>"prp-6"</f>
        <v>prp-6</v>
      </c>
      <c r="Q465" s="4">
        <v>16.4041158842908</v>
      </c>
      <c r="R465" s="4">
        <v>16.488751566223499</v>
      </c>
      <c r="S465" s="4">
        <v>16.258079028028099</v>
      </c>
      <c r="T465" s="4">
        <f t="shared" si="30"/>
        <v>16.383648826180799</v>
      </c>
      <c r="W465" s="4" t="str">
        <f>"let-363"</f>
        <v>let-363</v>
      </c>
      <c r="X465" s="4">
        <v>16.267969969151</v>
      </c>
      <c r="Y465" s="4">
        <v>16.579571134447502</v>
      </c>
      <c r="Z465" s="4">
        <v>16.524773084168</v>
      </c>
      <c r="AA465" s="4">
        <f t="shared" si="31"/>
        <v>16.457438062588835</v>
      </c>
      <c r="AH465" s="1"/>
      <c r="AI465" s="1"/>
      <c r="AJ465" s="4" t="s">
        <v>3688</v>
      </c>
    </row>
    <row r="466" spans="2:36" x14ac:dyDescent="0.2">
      <c r="B466" s="4" t="s">
        <v>1227</v>
      </c>
      <c r="C466" s="4">
        <v>16.508700000000001</v>
      </c>
      <c r="D466" s="4">
        <v>16.636800000000001</v>
      </c>
      <c r="E466" s="4">
        <v>16.421199999999999</v>
      </c>
      <c r="F466" s="4">
        <f t="shared" si="28"/>
        <v>16.522233333333332</v>
      </c>
      <c r="I466" s="4" t="s">
        <v>3823</v>
      </c>
      <c r="J466" s="4">
        <v>16.471399999999999</v>
      </c>
      <c r="K466" s="4">
        <v>16.6599</v>
      </c>
      <c r="L466" s="4">
        <v>16.683800000000002</v>
      </c>
      <c r="M466" s="4">
        <f t="shared" si="29"/>
        <v>16.605033333333335</v>
      </c>
      <c r="P466" s="4" t="str">
        <f>"dhs-13"</f>
        <v>dhs-13</v>
      </c>
      <c r="Q466" s="4">
        <v>16.601048908693102</v>
      </c>
      <c r="R466" s="4">
        <v>16.231071822173501</v>
      </c>
      <c r="S466" s="4">
        <v>16.307557672035699</v>
      </c>
      <c r="T466" s="4">
        <f t="shared" si="30"/>
        <v>16.379892800967436</v>
      </c>
      <c r="W466" s="4" t="str">
        <f>"C53C9.2"</f>
        <v>C53C9.2</v>
      </c>
      <c r="X466" s="4">
        <v>16.326108479892699</v>
      </c>
      <c r="Y466" s="4">
        <v>16.595694100053201</v>
      </c>
      <c r="Z466" s="4">
        <v>16.421296629376901</v>
      </c>
      <c r="AA466" s="4">
        <f t="shared" si="31"/>
        <v>16.447699736440935</v>
      </c>
      <c r="AH466" s="1"/>
      <c r="AI466" s="1"/>
      <c r="AJ466" s="4" t="s">
        <v>846</v>
      </c>
    </row>
    <row r="467" spans="2:36" x14ac:dyDescent="0.2">
      <c r="B467" s="4" t="s">
        <v>3796</v>
      </c>
      <c r="C467" s="4">
        <v>16.3644</v>
      </c>
      <c r="D467" s="4">
        <v>16.716200000000001</v>
      </c>
      <c r="E467" s="4">
        <v>16.461500000000001</v>
      </c>
      <c r="F467" s="4">
        <f t="shared" si="28"/>
        <v>16.514033333333334</v>
      </c>
      <c r="I467" s="4" t="s">
        <v>1957</v>
      </c>
      <c r="J467" s="4">
        <v>16.629000000000001</v>
      </c>
      <c r="K467" s="4">
        <v>16.6112</v>
      </c>
      <c r="L467" s="4">
        <v>16.569299999999998</v>
      </c>
      <c r="M467" s="4">
        <f t="shared" si="29"/>
        <v>16.603166666666667</v>
      </c>
      <c r="P467" s="4" t="str">
        <f>"alh-6"</f>
        <v>alh-6</v>
      </c>
      <c r="Q467" s="4">
        <v>16.733409258046098</v>
      </c>
      <c r="R467" s="4">
        <v>16.141839551275599</v>
      </c>
      <c r="S467" s="4">
        <v>16.2626673117508</v>
      </c>
      <c r="T467" s="4">
        <f t="shared" si="30"/>
        <v>16.37930537369083</v>
      </c>
      <c r="W467" s="4" t="str">
        <f>"ctl-2"</f>
        <v>ctl-2</v>
      </c>
      <c r="X467" s="4">
        <v>16.192522628300299</v>
      </c>
      <c r="Y467" s="4">
        <v>16.314984313940801</v>
      </c>
      <c r="Z467" s="4">
        <v>16.8338309100914</v>
      </c>
      <c r="AA467" s="4">
        <f t="shared" si="31"/>
        <v>16.447112617444166</v>
      </c>
      <c r="AH467" s="1"/>
      <c r="AI467" s="1"/>
      <c r="AJ467" s="4" t="s">
        <v>4131</v>
      </c>
    </row>
    <row r="468" spans="2:36" x14ac:dyDescent="0.2">
      <c r="B468" s="4" t="s">
        <v>3712</v>
      </c>
      <c r="C468" s="4">
        <v>16.858599999999999</v>
      </c>
      <c r="D468" s="4">
        <v>16.2576</v>
      </c>
      <c r="E468" s="4">
        <v>16.415099999999999</v>
      </c>
      <c r="F468" s="4">
        <f t="shared" si="28"/>
        <v>16.510433333333335</v>
      </c>
      <c r="I468" s="4" t="s">
        <v>1473</v>
      </c>
      <c r="J468" s="4">
        <v>16.812799999999999</v>
      </c>
      <c r="K468" s="4">
        <v>16.693300000000001</v>
      </c>
      <c r="L468" s="4">
        <v>16.302499999999998</v>
      </c>
      <c r="M468" s="4">
        <f t="shared" si="29"/>
        <v>16.602866666666667</v>
      </c>
      <c r="P468" s="4" t="str">
        <f>"unc-89"</f>
        <v>unc-89</v>
      </c>
      <c r="Q468" s="4">
        <v>16.695577301148099</v>
      </c>
      <c r="R468" s="4">
        <v>15.8749682808561</v>
      </c>
      <c r="S468" s="4">
        <v>16.563500412489802</v>
      </c>
      <c r="T468" s="4">
        <f t="shared" si="30"/>
        <v>16.378015331498002</v>
      </c>
      <c r="W468" s="4" t="str">
        <f>"scc-3"</f>
        <v>scc-3</v>
      </c>
      <c r="X468" s="4">
        <v>16.370270163800299</v>
      </c>
      <c r="Y468" s="4">
        <v>16.497498917730901</v>
      </c>
      <c r="Z468" s="4">
        <v>16.4657766877034</v>
      </c>
      <c r="AA468" s="4">
        <f t="shared" si="31"/>
        <v>16.444515256411535</v>
      </c>
      <c r="AH468" s="1"/>
      <c r="AI468" s="1"/>
      <c r="AJ468" s="4" t="s">
        <v>4159</v>
      </c>
    </row>
    <row r="469" spans="2:36" x14ac:dyDescent="0.2">
      <c r="B469" s="4" t="s">
        <v>91</v>
      </c>
      <c r="C469" s="4">
        <v>16.299199999999999</v>
      </c>
      <c r="D469" s="4">
        <v>16.695699999999999</v>
      </c>
      <c r="E469" s="4">
        <v>16.521899999999999</v>
      </c>
      <c r="F469" s="4">
        <f t="shared" si="28"/>
        <v>16.505600000000001</v>
      </c>
      <c r="I469" s="4" t="s">
        <v>763</v>
      </c>
      <c r="J469" s="4">
        <v>16.546900000000001</v>
      </c>
      <c r="K469" s="4">
        <v>16.897600000000001</v>
      </c>
      <c r="L469" s="4">
        <v>16.3598</v>
      </c>
      <c r="M469" s="4">
        <f t="shared" si="29"/>
        <v>16.601433333333336</v>
      </c>
      <c r="P469" s="4" t="str">
        <f>"D2092.4"</f>
        <v>D2092.4</v>
      </c>
      <c r="Q469" s="4">
        <v>16.6831792756577</v>
      </c>
      <c r="R469" s="4">
        <v>16.215085889090801</v>
      </c>
      <c r="S469" s="4">
        <v>16.218229738746999</v>
      </c>
      <c r="T469" s="4">
        <f t="shared" si="30"/>
        <v>16.372164967831832</v>
      </c>
      <c r="W469" s="4" t="str">
        <f>"ZC262.5"</f>
        <v>ZC262.5</v>
      </c>
      <c r="X469" s="4">
        <v>16.268687036653802</v>
      </c>
      <c r="Y469" s="4">
        <v>16.6050132705018</v>
      </c>
      <c r="Z469" s="4">
        <v>16.448331367994999</v>
      </c>
      <c r="AA469" s="4">
        <f t="shared" si="31"/>
        <v>16.440677225050198</v>
      </c>
      <c r="AH469" s="1"/>
      <c r="AI469" s="1"/>
      <c r="AJ469" s="4" t="s">
        <v>3654</v>
      </c>
    </row>
    <row r="470" spans="2:36" x14ac:dyDescent="0.2">
      <c r="B470" s="4" t="s">
        <v>2520</v>
      </c>
      <c r="C470" s="4">
        <v>16.875499999999999</v>
      </c>
      <c r="D470" s="4">
        <v>16.167899999999999</v>
      </c>
      <c r="E470" s="4">
        <v>16.470600000000001</v>
      </c>
      <c r="F470" s="4">
        <f t="shared" si="28"/>
        <v>16.504666666666665</v>
      </c>
      <c r="I470" s="4" t="s">
        <v>2512</v>
      </c>
      <c r="J470" s="4">
        <v>16.621200000000002</v>
      </c>
      <c r="K470" s="4">
        <v>16.6143</v>
      </c>
      <c r="L470" s="4">
        <v>16.5623</v>
      </c>
      <c r="M470" s="4">
        <f t="shared" si="29"/>
        <v>16.599266666666669</v>
      </c>
      <c r="P470" s="4" t="str">
        <f>"K02F3.2"</f>
        <v>K02F3.2</v>
      </c>
      <c r="Q470" s="4">
        <v>16.215596481359501</v>
      </c>
      <c r="R470" s="4">
        <v>16.268282756942799</v>
      </c>
      <c r="S470" s="4">
        <v>16.629712575387298</v>
      </c>
      <c r="T470" s="4">
        <f t="shared" si="30"/>
        <v>16.371197271229864</v>
      </c>
      <c r="W470" s="4" t="str">
        <f>"eif-4a3"</f>
        <v>eif-4a3</v>
      </c>
      <c r="X470" s="4">
        <v>16.670683180114601</v>
      </c>
      <c r="Y470" s="4">
        <v>16.370057968104199</v>
      </c>
      <c r="Z470" s="4">
        <v>16.2612547144983</v>
      </c>
      <c r="AA470" s="4">
        <f t="shared" si="31"/>
        <v>16.433998620905701</v>
      </c>
      <c r="AH470" s="1"/>
      <c r="AI470" s="1"/>
      <c r="AJ470" s="4" t="s">
        <v>3263</v>
      </c>
    </row>
    <row r="471" spans="2:36" x14ac:dyDescent="0.2">
      <c r="B471" s="4" t="s">
        <v>2093</v>
      </c>
      <c r="C471" s="4">
        <v>16.412299999999998</v>
      </c>
      <c r="D471" s="4">
        <v>16.721499999999999</v>
      </c>
      <c r="E471" s="4">
        <v>16.362400000000001</v>
      </c>
      <c r="F471" s="4">
        <f t="shared" si="28"/>
        <v>16.49873333333333</v>
      </c>
      <c r="I471" s="4" t="s">
        <v>3295</v>
      </c>
      <c r="J471" s="4">
        <v>16.803799999999999</v>
      </c>
      <c r="K471" s="4">
        <v>16.776800000000001</v>
      </c>
      <c r="L471" s="4">
        <v>16.207599999999999</v>
      </c>
      <c r="M471" s="4">
        <f t="shared" si="29"/>
        <v>16.596066666666669</v>
      </c>
      <c r="P471" s="4" t="str">
        <f>"tag-335"</f>
        <v>tag-335</v>
      </c>
      <c r="Q471" s="4">
        <v>16.192672551810599</v>
      </c>
      <c r="R471" s="4">
        <v>16.382361214777099</v>
      </c>
      <c r="S471" s="4">
        <v>16.5241090354588</v>
      </c>
      <c r="T471" s="4">
        <f t="shared" si="30"/>
        <v>16.366380934015499</v>
      </c>
      <c r="W471" s="4" t="str">
        <f>"pod-1"</f>
        <v>pod-1</v>
      </c>
      <c r="X471" s="4">
        <v>16.482363688213301</v>
      </c>
      <c r="Y471" s="4">
        <v>16.386940613758501</v>
      </c>
      <c r="Z471" s="4">
        <v>16.4101362156755</v>
      </c>
      <c r="AA471" s="4">
        <f t="shared" si="31"/>
        <v>16.426480172549102</v>
      </c>
      <c r="AH471" s="1"/>
      <c r="AI471" s="1"/>
      <c r="AJ471" s="4" t="s">
        <v>3517</v>
      </c>
    </row>
    <row r="472" spans="2:36" x14ac:dyDescent="0.2">
      <c r="B472" s="4" t="s">
        <v>674</v>
      </c>
      <c r="C472" s="4">
        <v>16.2532</v>
      </c>
      <c r="D472" s="4">
        <v>16.422699999999999</v>
      </c>
      <c r="E472" s="4">
        <v>16.8062</v>
      </c>
      <c r="F472" s="4">
        <f t="shared" si="28"/>
        <v>16.494033333333334</v>
      </c>
      <c r="I472" s="4" t="s">
        <v>681</v>
      </c>
      <c r="J472" s="4">
        <v>16.345600000000001</v>
      </c>
      <c r="K472" s="4">
        <v>15.5585</v>
      </c>
      <c r="L472" s="4">
        <v>17.872800000000002</v>
      </c>
      <c r="M472" s="4">
        <f t="shared" si="29"/>
        <v>16.592299999999998</v>
      </c>
      <c r="P472" s="4" t="str">
        <f>"C53D6.7"</f>
        <v>C53D6.7</v>
      </c>
      <c r="Q472" s="4">
        <v>16.331910352464501</v>
      </c>
      <c r="R472" s="4">
        <v>16.393344934961799</v>
      </c>
      <c r="S472" s="4">
        <v>16.364690178706802</v>
      </c>
      <c r="T472" s="4">
        <f t="shared" si="30"/>
        <v>16.363315155377702</v>
      </c>
      <c r="W472" s="4" t="str">
        <f>"ced-10"</f>
        <v>ced-10</v>
      </c>
      <c r="X472" s="4">
        <v>16.351974912806298</v>
      </c>
      <c r="Y472" s="4">
        <v>16.584777437408</v>
      </c>
      <c r="Z472" s="4">
        <v>16.339551429389001</v>
      </c>
      <c r="AA472" s="4">
        <f t="shared" si="31"/>
        <v>16.4254345932011</v>
      </c>
      <c r="AH472" s="1"/>
      <c r="AI472" s="1"/>
      <c r="AJ472" s="4" t="s">
        <v>4452</v>
      </c>
    </row>
    <row r="473" spans="2:36" x14ac:dyDescent="0.2">
      <c r="B473" s="4" t="s">
        <v>3047</v>
      </c>
      <c r="C473" s="4">
        <v>16.795000000000002</v>
      </c>
      <c r="D473" s="4">
        <v>16.445399999999999</v>
      </c>
      <c r="E473" s="4">
        <v>16.2393</v>
      </c>
      <c r="F473" s="4">
        <f t="shared" si="28"/>
        <v>16.493233333333333</v>
      </c>
      <c r="I473" s="4" t="s">
        <v>1655</v>
      </c>
      <c r="J473" s="4">
        <v>16.671199999999999</v>
      </c>
      <c r="K473" s="4">
        <v>16.533799999999999</v>
      </c>
      <c r="L473" s="4">
        <v>16.520499999999998</v>
      </c>
      <c r="M473" s="4">
        <f t="shared" si="29"/>
        <v>16.575166666666664</v>
      </c>
      <c r="P473" s="4" t="str">
        <f>"ucr-2.3"</f>
        <v>ucr-2.3</v>
      </c>
      <c r="Q473" s="4">
        <v>16.4262023611447</v>
      </c>
      <c r="R473" s="4">
        <v>16.157453626952599</v>
      </c>
      <c r="S473" s="4">
        <v>16.484357449319099</v>
      </c>
      <c r="T473" s="4">
        <f t="shared" si="30"/>
        <v>16.3560044791388</v>
      </c>
      <c r="W473" s="4" t="str">
        <f>"dcn-1"</f>
        <v>dcn-1</v>
      </c>
      <c r="X473" s="4">
        <v>16.318317428488299</v>
      </c>
      <c r="Y473" s="4">
        <v>16.500718607604</v>
      </c>
      <c r="Z473" s="4">
        <v>16.4529145683561</v>
      </c>
      <c r="AA473" s="4">
        <f t="shared" si="31"/>
        <v>16.423983534816134</v>
      </c>
      <c r="AH473" s="1"/>
      <c r="AI473" s="1"/>
      <c r="AJ473" s="4" t="s">
        <v>2815</v>
      </c>
    </row>
    <row r="474" spans="2:36" x14ac:dyDescent="0.2">
      <c r="B474" s="4" t="s">
        <v>3295</v>
      </c>
      <c r="C474" s="4">
        <v>17.1401</v>
      </c>
      <c r="D474" s="4">
        <v>16.370100000000001</v>
      </c>
      <c r="E474" s="4">
        <v>15.963800000000001</v>
      </c>
      <c r="F474" s="4">
        <f t="shared" si="28"/>
        <v>16.491333333333333</v>
      </c>
      <c r="I474" s="4" t="s">
        <v>1366</v>
      </c>
      <c r="J474" s="4">
        <v>16.5581</v>
      </c>
      <c r="K474" s="4">
        <v>16.482500000000002</v>
      </c>
      <c r="L474" s="4">
        <v>16.680299999999999</v>
      </c>
      <c r="M474" s="4">
        <f t="shared" si="29"/>
        <v>16.573633333333333</v>
      </c>
      <c r="P474" s="4" t="str">
        <f>"mon-2"</f>
        <v>mon-2</v>
      </c>
      <c r="Q474" s="4">
        <v>16.390063568539901</v>
      </c>
      <c r="R474" s="4">
        <v>16.4568373158505</v>
      </c>
      <c r="S474" s="4">
        <v>16.212020514825699</v>
      </c>
      <c r="T474" s="4">
        <f t="shared" si="30"/>
        <v>16.352973799738702</v>
      </c>
      <c r="W474" s="4" t="str">
        <f>"gsk-3"</f>
        <v>gsk-3</v>
      </c>
      <c r="X474" s="4">
        <v>16.3717300337564</v>
      </c>
      <c r="Y474" s="4">
        <v>16.451860274339001</v>
      </c>
      <c r="Z474" s="4">
        <v>16.4323580023236</v>
      </c>
      <c r="AA474" s="4">
        <f t="shared" si="31"/>
        <v>16.418649436806334</v>
      </c>
      <c r="AH474" s="1"/>
      <c r="AI474" s="1"/>
      <c r="AJ474" s="4" t="s">
        <v>4157</v>
      </c>
    </row>
    <row r="475" spans="2:36" x14ac:dyDescent="0.2">
      <c r="B475" s="4" t="s">
        <v>3243</v>
      </c>
      <c r="C475" s="4">
        <v>16.3977</v>
      </c>
      <c r="D475" s="4">
        <v>16.4054</v>
      </c>
      <c r="E475" s="4">
        <v>16.6706</v>
      </c>
      <c r="F475" s="4">
        <f t="shared" si="28"/>
        <v>16.491233333333334</v>
      </c>
      <c r="I475" s="4" t="s">
        <v>1714</v>
      </c>
      <c r="J475" s="4">
        <v>16.431999999999999</v>
      </c>
      <c r="K475" s="4">
        <v>16.264299999999999</v>
      </c>
      <c r="L475" s="4">
        <v>16.999300000000002</v>
      </c>
      <c r="M475" s="4">
        <f t="shared" si="29"/>
        <v>16.565200000000001</v>
      </c>
      <c r="P475" s="4" t="str">
        <f>"uba-1"</f>
        <v>uba-1</v>
      </c>
      <c r="Q475" s="4">
        <v>16.210158872534102</v>
      </c>
      <c r="R475" s="4">
        <v>16.402083055393099</v>
      </c>
      <c r="S475" s="4">
        <v>16.446151149362301</v>
      </c>
      <c r="T475" s="4">
        <f t="shared" si="30"/>
        <v>16.352797692429835</v>
      </c>
      <c r="W475" s="4" t="str">
        <f>"rpoa-1"</f>
        <v>rpoa-1</v>
      </c>
      <c r="X475" s="4">
        <v>16.3625282918305</v>
      </c>
      <c r="Y475" s="4">
        <v>16.5527988892525</v>
      </c>
      <c r="Z475" s="4">
        <v>16.3365498620037</v>
      </c>
      <c r="AA475" s="4">
        <f t="shared" si="31"/>
        <v>16.417292347695568</v>
      </c>
      <c r="AH475" s="1"/>
      <c r="AI475" s="1"/>
      <c r="AJ475" s="4" t="s">
        <v>2640</v>
      </c>
    </row>
    <row r="476" spans="2:36" x14ac:dyDescent="0.2">
      <c r="B476" s="4" t="s">
        <v>368</v>
      </c>
      <c r="C476" s="4">
        <v>16.417200000000001</v>
      </c>
      <c r="D476" s="4">
        <v>16.501899999999999</v>
      </c>
      <c r="E476" s="4">
        <v>16.525600000000001</v>
      </c>
      <c r="F476" s="4">
        <f t="shared" si="28"/>
        <v>16.481566666666666</v>
      </c>
      <c r="I476" s="4" t="s">
        <v>3689</v>
      </c>
      <c r="J476" s="4">
        <v>16.607500000000002</v>
      </c>
      <c r="K476" s="4">
        <v>16.5916</v>
      </c>
      <c r="L476" s="4">
        <v>16.496400000000001</v>
      </c>
      <c r="M476" s="4">
        <f t="shared" si="29"/>
        <v>16.565166666666666</v>
      </c>
      <c r="P476" s="4" t="str">
        <f>"vars-1"</f>
        <v>vars-1</v>
      </c>
      <c r="Q476" s="4">
        <v>16.648504322343701</v>
      </c>
      <c r="R476" s="4">
        <v>16.220452305249101</v>
      </c>
      <c r="S476" s="4">
        <v>16.184953859383899</v>
      </c>
      <c r="T476" s="4">
        <f t="shared" si="30"/>
        <v>16.3513034956589</v>
      </c>
      <c r="W476" s="4" t="str">
        <f>"prdx-2"</f>
        <v>prdx-2</v>
      </c>
      <c r="X476" s="4">
        <v>16.557243745322399</v>
      </c>
      <c r="Y476" s="4">
        <v>16.360742680346</v>
      </c>
      <c r="Z476" s="4">
        <v>16.332723760426401</v>
      </c>
      <c r="AA476" s="4">
        <f t="shared" si="31"/>
        <v>16.416903395364937</v>
      </c>
      <c r="AH476" s="1"/>
      <c r="AI476" s="1"/>
      <c r="AJ476" s="4" t="s">
        <v>2858</v>
      </c>
    </row>
    <row r="477" spans="2:36" x14ac:dyDescent="0.2">
      <c r="B477" s="4" t="s">
        <v>1655</v>
      </c>
      <c r="C477" s="4">
        <v>16.510899999999999</v>
      </c>
      <c r="D477" s="4">
        <v>16.208600000000001</v>
      </c>
      <c r="E477" s="4">
        <v>16.717500000000001</v>
      </c>
      <c r="F477" s="4">
        <f t="shared" si="28"/>
        <v>16.478999999999999</v>
      </c>
      <c r="I477" s="4" t="s">
        <v>372</v>
      </c>
      <c r="J477" s="4">
        <v>16.582799999999999</v>
      </c>
      <c r="K477" s="4">
        <v>16.255099999999999</v>
      </c>
      <c r="L477" s="4">
        <v>16.8401</v>
      </c>
      <c r="M477" s="4">
        <f t="shared" si="29"/>
        <v>16.559333333333331</v>
      </c>
      <c r="P477" s="4" t="str">
        <f>"ftt-2"</f>
        <v>ftt-2</v>
      </c>
      <c r="Q477" s="4">
        <v>16.258154560941701</v>
      </c>
      <c r="R477" s="4">
        <v>16.287170157005299</v>
      </c>
      <c r="S477" s="4">
        <v>16.503783797617601</v>
      </c>
      <c r="T477" s="4">
        <f t="shared" si="30"/>
        <v>16.349702838521534</v>
      </c>
      <c r="W477" s="4" t="str">
        <f>"rab-35"</f>
        <v>rab-35</v>
      </c>
      <c r="X477" s="4">
        <v>16.4900162554129</v>
      </c>
      <c r="Y477" s="4">
        <v>16.321568908308901</v>
      </c>
      <c r="Z477" s="4">
        <v>16.421549443513001</v>
      </c>
      <c r="AA477" s="4">
        <f t="shared" si="31"/>
        <v>16.411044869078268</v>
      </c>
      <c r="AH477" s="1"/>
      <c r="AI477" s="1"/>
      <c r="AJ477" s="4" t="s">
        <v>1661</v>
      </c>
    </row>
    <row r="478" spans="2:36" x14ac:dyDescent="0.2">
      <c r="B478" s="4" t="s">
        <v>1015</v>
      </c>
      <c r="C478" s="4">
        <v>16.411899999999999</v>
      </c>
      <c r="D478" s="4">
        <v>16.817399999999999</v>
      </c>
      <c r="E478" s="4">
        <v>16.2028</v>
      </c>
      <c r="F478" s="4">
        <f t="shared" si="28"/>
        <v>16.477366666666665</v>
      </c>
      <c r="I478" s="4" t="s">
        <v>2466</v>
      </c>
      <c r="J478" s="4">
        <v>16.771599999999999</v>
      </c>
      <c r="K478" s="4">
        <v>16.6678</v>
      </c>
      <c r="L478" s="4">
        <v>16.2378</v>
      </c>
      <c r="M478" s="4">
        <f t="shared" si="29"/>
        <v>16.559066666666666</v>
      </c>
      <c r="P478" s="4" t="str">
        <f>"arl-8"</f>
        <v>arl-8</v>
      </c>
      <c r="Q478" s="4">
        <v>16.340670640280301</v>
      </c>
      <c r="R478" s="4">
        <v>16.345197878962001</v>
      </c>
      <c r="S478" s="4">
        <v>16.3619808664949</v>
      </c>
      <c r="T478" s="4">
        <f t="shared" si="30"/>
        <v>16.349283128579071</v>
      </c>
      <c r="W478" s="4" t="str">
        <f>"npp-9"</f>
        <v>npp-9</v>
      </c>
      <c r="X478" s="4">
        <v>16.568940367526299</v>
      </c>
      <c r="Y478" s="4">
        <v>16.352931924508301</v>
      </c>
      <c r="Z478" s="4">
        <v>16.293451133521501</v>
      </c>
      <c r="AA478" s="4">
        <f t="shared" si="31"/>
        <v>16.4051078085187</v>
      </c>
      <c r="AH478" s="1"/>
      <c r="AI478" s="1"/>
      <c r="AJ478" s="4" t="s">
        <v>1824</v>
      </c>
    </row>
    <row r="479" spans="2:36" x14ac:dyDescent="0.2">
      <c r="B479" s="4" t="s">
        <v>3667</v>
      </c>
      <c r="C479" s="4">
        <v>16.2867</v>
      </c>
      <c r="D479" s="4">
        <v>16.661999999999999</v>
      </c>
      <c r="E479" s="4">
        <v>16.476099999999999</v>
      </c>
      <c r="F479" s="4">
        <f t="shared" si="28"/>
        <v>16.474933333333336</v>
      </c>
      <c r="I479" s="4" t="s">
        <v>1319</v>
      </c>
      <c r="J479" s="4">
        <v>16.619499999999999</v>
      </c>
      <c r="K479" s="4">
        <v>16.422499999999999</v>
      </c>
      <c r="L479" s="4">
        <v>16.633700000000001</v>
      </c>
      <c r="M479" s="4">
        <f t="shared" si="29"/>
        <v>16.558566666666668</v>
      </c>
      <c r="P479" s="4" t="str">
        <f>"tps-2"</f>
        <v>tps-2</v>
      </c>
      <c r="Q479" s="4">
        <v>16.5391422161603</v>
      </c>
      <c r="R479" s="4">
        <v>16.314528663113499</v>
      </c>
      <c r="S479" s="4">
        <v>16.1898844148606</v>
      </c>
      <c r="T479" s="4">
        <f t="shared" si="30"/>
        <v>16.347851764711468</v>
      </c>
      <c r="W479" s="4" t="str">
        <f>"slc-25a10"</f>
        <v>slc-25a10</v>
      </c>
      <c r="X479" s="4">
        <v>16.4486379944621</v>
      </c>
      <c r="Y479" s="4">
        <v>16.4111229814803</v>
      </c>
      <c r="Z479" s="4">
        <v>16.351138742170001</v>
      </c>
      <c r="AA479" s="4">
        <f t="shared" si="31"/>
        <v>16.403633239370802</v>
      </c>
      <c r="AH479" s="1"/>
      <c r="AI479" s="1"/>
      <c r="AJ479" s="4" t="s">
        <v>3891</v>
      </c>
    </row>
    <row r="480" spans="2:36" x14ac:dyDescent="0.2">
      <c r="B480" s="4" t="s">
        <v>2317</v>
      </c>
      <c r="C480" s="4">
        <v>16.503499999999999</v>
      </c>
      <c r="D480" s="4">
        <v>16.593299999999999</v>
      </c>
      <c r="E480" s="4">
        <v>16.326000000000001</v>
      </c>
      <c r="F480" s="4">
        <f t="shared" si="28"/>
        <v>16.474266666666669</v>
      </c>
      <c r="I480" s="4" t="s">
        <v>71</v>
      </c>
      <c r="J480" s="4">
        <v>16.519100000000002</v>
      </c>
      <c r="K480" s="4">
        <v>16.764700000000001</v>
      </c>
      <c r="L480" s="4">
        <v>16.389700000000001</v>
      </c>
      <c r="M480" s="4">
        <f t="shared" si="29"/>
        <v>16.557833333333335</v>
      </c>
      <c r="P480" s="4" t="str">
        <f>"ctc-2"</f>
        <v>ctc-2</v>
      </c>
      <c r="Q480" s="4">
        <v>16.443140404472398</v>
      </c>
      <c r="R480" s="4">
        <v>16.155929307922101</v>
      </c>
      <c r="S480" s="4">
        <v>16.4390971744292</v>
      </c>
      <c r="T480" s="4">
        <f t="shared" si="30"/>
        <v>16.346055628941233</v>
      </c>
      <c r="W480" s="4" t="str">
        <f>"Y54E2A.4"</f>
        <v>Y54E2A.4</v>
      </c>
      <c r="X480" s="4">
        <v>16.418348187346702</v>
      </c>
      <c r="Y480" s="4">
        <v>16.472904692768399</v>
      </c>
      <c r="Z480" s="4">
        <v>16.3061927134566</v>
      </c>
      <c r="AA480" s="4">
        <f t="shared" si="31"/>
        <v>16.399148531190566</v>
      </c>
      <c r="AH480" s="1"/>
      <c r="AI480" s="1"/>
      <c r="AJ480" s="4" t="s">
        <v>3612</v>
      </c>
    </row>
    <row r="481" spans="2:37" x14ac:dyDescent="0.2">
      <c r="B481" s="4" t="s">
        <v>3957</v>
      </c>
      <c r="C481" s="4">
        <v>16.547999999999998</v>
      </c>
      <c r="D481" s="4">
        <v>16.614699999999999</v>
      </c>
      <c r="E481" s="4">
        <v>16.237100000000002</v>
      </c>
      <c r="F481" s="4">
        <f t="shared" si="28"/>
        <v>16.4666</v>
      </c>
      <c r="I481" s="4" t="s">
        <v>3006</v>
      </c>
      <c r="J481" s="4">
        <v>16.496400000000001</v>
      </c>
      <c r="K481" s="4">
        <v>16.398199999999999</v>
      </c>
      <c r="L481" s="4">
        <v>16.7608</v>
      </c>
      <c r="M481" s="4">
        <f t="shared" si="29"/>
        <v>16.5518</v>
      </c>
      <c r="P481" s="4" t="str">
        <f>"sftb-1"</f>
        <v>sftb-1</v>
      </c>
      <c r="Q481" s="4">
        <v>16.551564508018998</v>
      </c>
      <c r="R481" s="4">
        <v>16.335807242014798</v>
      </c>
      <c r="S481" s="4">
        <v>16.144571017082399</v>
      </c>
      <c r="T481" s="4">
        <f t="shared" si="30"/>
        <v>16.343980922372065</v>
      </c>
      <c r="W481" s="4" t="str">
        <f>"W01D2.1"</f>
        <v>W01D2.1</v>
      </c>
      <c r="X481" s="4">
        <v>17.062603205452199</v>
      </c>
      <c r="Y481" s="4">
        <v>14.590336737620699</v>
      </c>
      <c r="Z481" s="4">
        <v>17.539553778977101</v>
      </c>
      <c r="AA481" s="4">
        <f t="shared" si="31"/>
        <v>16.397497907350001</v>
      </c>
      <c r="AH481" s="1"/>
      <c r="AI481" s="1"/>
      <c r="AJ481" s="4" t="s">
        <v>3637</v>
      </c>
    </row>
    <row r="482" spans="2:37" x14ac:dyDescent="0.2">
      <c r="B482" s="4" t="s">
        <v>3183</v>
      </c>
      <c r="C482" s="4">
        <v>16.5276</v>
      </c>
      <c r="D482" s="4">
        <v>16.305499999999999</v>
      </c>
      <c r="E482" s="4">
        <v>16.547000000000001</v>
      </c>
      <c r="F482" s="4">
        <f t="shared" si="28"/>
        <v>16.460033333333332</v>
      </c>
      <c r="I482" s="4" t="s">
        <v>2696</v>
      </c>
      <c r="J482" s="4">
        <v>16.526700000000002</v>
      </c>
      <c r="K482" s="4">
        <v>16.3598</v>
      </c>
      <c r="L482" s="4">
        <v>16.761500000000002</v>
      </c>
      <c r="M482" s="4">
        <f t="shared" si="29"/>
        <v>16.549333333333333</v>
      </c>
      <c r="P482" s="4" t="str">
        <f>"hsp-75"</f>
        <v>hsp-75</v>
      </c>
      <c r="Q482" s="4">
        <v>16.3055191742279</v>
      </c>
      <c r="R482" s="4">
        <v>16.302664623599199</v>
      </c>
      <c r="S482" s="4">
        <v>16.376755714915401</v>
      </c>
      <c r="T482" s="4">
        <f t="shared" si="30"/>
        <v>16.328313170914168</v>
      </c>
      <c r="W482" s="4" t="str">
        <f>"prp-8"</f>
        <v>prp-8</v>
      </c>
      <c r="X482" s="4">
        <v>16.451259062008798</v>
      </c>
      <c r="Y482" s="4">
        <v>16.3257055117848</v>
      </c>
      <c r="Z482" s="4">
        <v>16.3996873397003</v>
      </c>
      <c r="AA482" s="4">
        <f t="shared" si="31"/>
        <v>16.392217304497965</v>
      </c>
      <c r="AH482" s="1"/>
      <c r="AI482" s="1"/>
      <c r="AJ482" s="4" t="s">
        <v>1888</v>
      </c>
    </row>
    <row r="483" spans="2:37" x14ac:dyDescent="0.2">
      <c r="B483" s="4" t="s">
        <v>2512</v>
      </c>
      <c r="C483" s="4">
        <v>16.414300000000001</v>
      </c>
      <c r="D483" s="4">
        <v>16.41</v>
      </c>
      <c r="E483" s="4">
        <v>16.553599999999999</v>
      </c>
      <c r="F483" s="4">
        <f t="shared" si="28"/>
        <v>16.459299999999999</v>
      </c>
      <c r="I483" s="4" t="s">
        <v>3423</v>
      </c>
      <c r="J483" s="4">
        <v>16.856300000000001</v>
      </c>
      <c r="K483" s="4">
        <v>16.633800000000001</v>
      </c>
      <c r="L483" s="4">
        <v>16.153600000000001</v>
      </c>
      <c r="M483" s="4">
        <f t="shared" si="29"/>
        <v>16.547899999999998</v>
      </c>
      <c r="P483" s="4" t="str">
        <f>"F22B5.10"</f>
        <v>F22B5.10</v>
      </c>
      <c r="Q483" s="4">
        <v>16.631570664196399</v>
      </c>
      <c r="R483" s="4">
        <v>16.096880911939799</v>
      </c>
      <c r="S483" s="4">
        <v>16.256475003885399</v>
      </c>
      <c r="T483" s="4">
        <f t="shared" si="30"/>
        <v>16.328308860007198</v>
      </c>
      <c r="W483" s="4" t="str">
        <f>"cpt-1"</f>
        <v>cpt-1</v>
      </c>
      <c r="X483" s="4">
        <v>16.396396565758799</v>
      </c>
      <c r="Y483" s="4">
        <v>16.366546665980199</v>
      </c>
      <c r="Z483" s="4">
        <v>16.407833887197199</v>
      </c>
      <c r="AA483" s="4">
        <f t="shared" si="31"/>
        <v>16.3902590396454</v>
      </c>
      <c r="AH483" s="1"/>
      <c r="AI483" s="1"/>
      <c r="AJ483" s="4" t="s">
        <v>1780</v>
      </c>
    </row>
    <row r="484" spans="2:37" x14ac:dyDescent="0.2">
      <c r="B484" s="4" t="s">
        <v>906</v>
      </c>
      <c r="C484" s="4">
        <v>16.396599999999999</v>
      </c>
      <c r="D484" s="4">
        <v>16.660599999999999</v>
      </c>
      <c r="E484" s="4">
        <v>16.308</v>
      </c>
      <c r="F484" s="4">
        <f t="shared" si="28"/>
        <v>16.455066666666664</v>
      </c>
      <c r="I484" s="4" t="s">
        <v>3787</v>
      </c>
      <c r="J484" s="4">
        <v>16.529</v>
      </c>
      <c r="K484" s="4">
        <v>16.395199999999999</v>
      </c>
      <c r="L484" s="4">
        <v>16.7104</v>
      </c>
      <c r="M484" s="4">
        <f t="shared" si="29"/>
        <v>16.544866666666667</v>
      </c>
      <c r="P484" s="4" t="str">
        <f>"hda-1"</f>
        <v>hda-1</v>
      </c>
      <c r="Q484" s="4">
        <v>16.532331914456702</v>
      </c>
      <c r="R484" s="4">
        <v>16.1801541141261</v>
      </c>
      <c r="S484" s="4">
        <v>16.2592854738553</v>
      </c>
      <c r="T484" s="4">
        <f t="shared" si="30"/>
        <v>16.323923834146033</v>
      </c>
      <c r="W484" s="4" t="str">
        <f>"azyx-1"</f>
        <v>azyx-1</v>
      </c>
      <c r="X484" s="4">
        <v>16.077959416761299</v>
      </c>
      <c r="Y484" s="4">
        <v>16.448827228482202</v>
      </c>
      <c r="Z484" s="4">
        <v>16.635748368040598</v>
      </c>
      <c r="AA484" s="4">
        <f t="shared" si="31"/>
        <v>16.3875116710947</v>
      </c>
      <c r="AH484" s="1"/>
      <c r="AI484" s="1"/>
      <c r="AJ484" s="4" t="s">
        <v>4087</v>
      </c>
    </row>
    <row r="485" spans="2:37" x14ac:dyDescent="0.2">
      <c r="B485" s="4" t="s">
        <v>3215</v>
      </c>
      <c r="C485" s="4">
        <v>16.2333</v>
      </c>
      <c r="D485" s="4">
        <v>16.5608</v>
      </c>
      <c r="E485" s="4">
        <v>16.569099999999999</v>
      </c>
      <c r="F485" s="4">
        <f t="shared" si="28"/>
        <v>16.4544</v>
      </c>
      <c r="I485" s="4" t="s">
        <v>3240</v>
      </c>
      <c r="J485" s="4">
        <v>16.3399</v>
      </c>
      <c r="K485" s="4">
        <v>15.941599999999999</v>
      </c>
      <c r="L485" s="4">
        <v>17.3474</v>
      </c>
      <c r="M485" s="4">
        <f t="shared" si="29"/>
        <v>16.542966666666668</v>
      </c>
      <c r="P485" s="4" t="str">
        <f>"imb-2"</f>
        <v>imb-2</v>
      </c>
      <c r="Q485" s="4">
        <v>16.471800662622901</v>
      </c>
      <c r="R485" s="4">
        <v>16.280738917430501</v>
      </c>
      <c r="S485" s="4">
        <v>16.212088993523398</v>
      </c>
      <c r="T485" s="4">
        <f t="shared" si="30"/>
        <v>16.321542857858933</v>
      </c>
      <c r="W485" s="4" t="str">
        <f>"mrpl-45"</f>
        <v>mrpl-45</v>
      </c>
      <c r="X485" s="4">
        <v>16.060812793035598</v>
      </c>
      <c r="Y485" s="4">
        <v>16.575404501117401</v>
      </c>
      <c r="Z485" s="4">
        <v>16.519421915306701</v>
      </c>
      <c r="AA485" s="4">
        <f t="shared" si="31"/>
        <v>16.385213069819901</v>
      </c>
      <c r="AH485" s="1"/>
      <c r="AI485" s="1"/>
      <c r="AJ485" s="4" t="s">
        <v>1155</v>
      </c>
      <c r="AK485" s="28"/>
    </row>
    <row r="486" spans="2:37" x14ac:dyDescent="0.2">
      <c r="B486" s="4" t="s">
        <v>1004</v>
      </c>
      <c r="C486" s="4">
        <v>16.41</v>
      </c>
      <c r="D486" s="4">
        <v>16.704799999999999</v>
      </c>
      <c r="E486" s="4">
        <v>16.2333</v>
      </c>
      <c r="F486" s="4">
        <f t="shared" si="28"/>
        <v>16.449366666666666</v>
      </c>
      <c r="I486" s="4" t="s">
        <v>3944</v>
      </c>
      <c r="J486" s="4">
        <v>16.642900000000001</v>
      </c>
      <c r="K486" s="4">
        <v>16.645600000000002</v>
      </c>
      <c r="L486" s="4">
        <v>16.3399</v>
      </c>
      <c r="M486" s="4">
        <f t="shared" si="29"/>
        <v>16.5428</v>
      </c>
      <c r="P486" s="4" t="str">
        <f>"imb-3"</f>
        <v>imb-3</v>
      </c>
      <c r="Q486" s="4">
        <v>16.2600200581827</v>
      </c>
      <c r="R486" s="4">
        <v>16.623491323471601</v>
      </c>
      <c r="S486" s="4">
        <v>16.076577860214901</v>
      </c>
      <c r="T486" s="4">
        <f t="shared" si="30"/>
        <v>16.320029747289734</v>
      </c>
      <c r="W486" s="4" t="str">
        <f>"unc-101"</f>
        <v>unc-101</v>
      </c>
      <c r="X486" s="4">
        <v>16.412166300356599</v>
      </c>
      <c r="Y486" s="4">
        <v>16.4837635466724</v>
      </c>
      <c r="Z486" s="4">
        <v>16.2418170428165</v>
      </c>
      <c r="AA486" s="4">
        <f t="shared" si="31"/>
        <v>16.379248963281832</v>
      </c>
      <c r="AH486" s="1"/>
      <c r="AI486" s="1"/>
      <c r="AJ486" s="4" t="s">
        <v>3315</v>
      </c>
    </row>
    <row r="487" spans="2:37" x14ac:dyDescent="0.2">
      <c r="B487" s="4" t="s">
        <v>2781</v>
      </c>
      <c r="C487" s="4">
        <v>16.447299999999998</v>
      </c>
      <c r="D487" s="4">
        <v>16.229600000000001</v>
      </c>
      <c r="E487" s="4">
        <v>16.671099999999999</v>
      </c>
      <c r="F487" s="4">
        <f t="shared" si="28"/>
        <v>16.449333333333332</v>
      </c>
      <c r="I487" s="4" t="s">
        <v>1948</v>
      </c>
      <c r="J487" s="4">
        <v>16.380700000000001</v>
      </c>
      <c r="K487" s="4">
        <v>16.680499999999999</v>
      </c>
      <c r="L487" s="4">
        <v>16.564299999999999</v>
      </c>
      <c r="M487" s="4">
        <f t="shared" si="29"/>
        <v>16.541833333333333</v>
      </c>
      <c r="P487" s="4" t="str">
        <f>"vps-35"</f>
        <v>vps-35</v>
      </c>
      <c r="Q487" s="4">
        <v>16.125153885424101</v>
      </c>
      <c r="R487" s="4">
        <v>16.215629180582098</v>
      </c>
      <c r="S487" s="4">
        <v>16.6145695236861</v>
      </c>
      <c r="T487" s="4">
        <f t="shared" si="30"/>
        <v>16.318450863230765</v>
      </c>
      <c r="W487" s="4" t="str">
        <f>"mrps-5"</f>
        <v>mrps-5</v>
      </c>
      <c r="X487" s="4">
        <v>16.156717382286502</v>
      </c>
      <c r="Y487" s="4">
        <v>16.523228085964401</v>
      </c>
      <c r="Z487" s="4">
        <v>16.4476028390004</v>
      </c>
      <c r="AA487" s="4">
        <f t="shared" si="31"/>
        <v>16.375849435750435</v>
      </c>
      <c r="AH487" s="1"/>
      <c r="AI487" s="1"/>
      <c r="AJ487" s="4" t="s">
        <v>772</v>
      </c>
    </row>
    <row r="488" spans="2:37" x14ac:dyDescent="0.2">
      <c r="B488" s="4" t="s">
        <v>3459</v>
      </c>
      <c r="C488" s="4">
        <v>16.4162</v>
      </c>
      <c r="D488" s="4">
        <v>16.6739</v>
      </c>
      <c r="E488" s="4">
        <v>16.248200000000001</v>
      </c>
      <c r="F488" s="4">
        <f t="shared" si="28"/>
        <v>16.446100000000001</v>
      </c>
      <c r="I488" s="4" t="s">
        <v>2809</v>
      </c>
      <c r="J488" s="4">
        <v>16.9222</v>
      </c>
      <c r="K488" s="4">
        <v>16.4724</v>
      </c>
      <c r="L488" s="4">
        <v>16.228200000000001</v>
      </c>
      <c r="M488" s="4">
        <f t="shared" si="29"/>
        <v>16.540933333333331</v>
      </c>
      <c r="P488" s="4" t="str">
        <f>"F42C5.9"</f>
        <v>F42C5.9</v>
      </c>
      <c r="Q488" s="4">
        <v>16.290937198787599</v>
      </c>
      <c r="R488" s="4">
        <v>16.234502386773499</v>
      </c>
      <c r="S488" s="4">
        <v>16.424437986729401</v>
      </c>
      <c r="T488" s="4">
        <f t="shared" si="30"/>
        <v>16.316625857430168</v>
      </c>
      <c r="W488" s="4" t="str">
        <f>"slc-25a18.1"</f>
        <v>slc-25a18.1</v>
      </c>
      <c r="X488" s="4">
        <v>16.1137992665439</v>
      </c>
      <c r="Y488" s="4">
        <v>16.4672814840449</v>
      </c>
      <c r="Z488" s="4">
        <v>16.544765555370301</v>
      </c>
      <c r="AA488" s="4">
        <f t="shared" si="31"/>
        <v>16.375282101986368</v>
      </c>
      <c r="AH488" s="1"/>
      <c r="AI488" s="1"/>
      <c r="AJ488" s="4" t="s">
        <v>440</v>
      </c>
    </row>
    <row r="489" spans="2:37" x14ac:dyDescent="0.2">
      <c r="B489" s="4" t="s">
        <v>3078</v>
      </c>
      <c r="C489" s="4">
        <v>16.543399999999998</v>
      </c>
      <c r="D489" s="4">
        <v>15.9747</v>
      </c>
      <c r="E489" s="4">
        <v>16.804200000000002</v>
      </c>
      <c r="F489" s="4">
        <f t="shared" si="28"/>
        <v>16.440766666666665</v>
      </c>
      <c r="I489" s="4" t="s">
        <v>1248</v>
      </c>
      <c r="J489" s="4">
        <v>16.535</v>
      </c>
      <c r="K489" s="4">
        <v>16.412600000000001</v>
      </c>
      <c r="L489" s="4">
        <v>16.6602</v>
      </c>
      <c r="M489" s="4">
        <f t="shared" si="29"/>
        <v>16.535933333333332</v>
      </c>
      <c r="P489" s="4" t="str">
        <f>"unc-101"</f>
        <v>unc-101</v>
      </c>
      <c r="Q489" s="4">
        <v>16.276519818777398</v>
      </c>
      <c r="R489" s="4">
        <v>16.338693557065401</v>
      </c>
      <c r="S489" s="4">
        <v>16.331040904547901</v>
      </c>
      <c r="T489" s="4">
        <f t="shared" si="30"/>
        <v>16.315418093463567</v>
      </c>
      <c r="W489" s="4" t="str">
        <f>"mcm-4"</f>
        <v>mcm-4</v>
      </c>
      <c r="X489" s="4">
        <v>16.431692622574801</v>
      </c>
      <c r="Y489" s="4">
        <v>16.482196716573998</v>
      </c>
      <c r="Z489" s="4">
        <v>16.211862785381999</v>
      </c>
      <c r="AA489" s="4">
        <f t="shared" si="31"/>
        <v>16.375250708176932</v>
      </c>
      <c r="AH489" s="1"/>
      <c r="AI489" s="1"/>
      <c r="AJ489" s="4" t="s">
        <v>3441</v>
      </c>
    </row>
    <row r="490" spans="2:37" x14ac:dyDescent="0.2">
      <c r="B490" s="4" t="s">
        <v>3109</v>
      </c>
      <c r="C490" s="4">
        <v>16.782399999999999</v>
      </c>
      <c r="D490" s="4">
        <v>16.1433</v>
      </c>
      <c r="E490" s="4">
        <v>16.361899999999999</v>
      </c>
      <c r="F490" s="4">
        <f t="shared" si="28"/>
        <v>16.429199999999998</v>
      </c>
      <c r="I490" s="4" t="s">
        <v>1950</v>
      </c>
      <c r="J490" s="4">
        <v>16.4086</v>
      </c>
      <c r="K490" s="4">
        <v>16.387799999999999</v>
      </c>
      <c r="L490" s="4">
        <v>16.798300000000001</v>
      </c>
      <c r="M490" s="4">
        <f t="shared" si="29"/>
        <v>16.531566666666667</v>
      </c>
      <c r="P490" s="4" t="str">
        <f>"vha-11"</f>
        <v>vha-11</v>
      </c>
      <c r="Q490" s="4">
        <v>16.0140536859817</v>
      </c>
      <c r="R490" s="4">
        <v>16.532429555213898</v>
      </c>
      <c r="S490" s="4">
        <v>16.3985492851522</v>
      </c>
      <c r="T490" s="4">
        <f t="shared" si="30"/>
        <v>16.315010842115935</v>
      </c>
      <c r="W490" s="4" t="str">
        <f>"alh-6"</f>
        <v>alh-6</v>
      </c>
      <c r="X490" s="4">
        <v>16.126166743114599</v>
      </c>
      <c r="Y490" s="4">
        <v>16.266481502833699</v>
      </c>
      <c r="Z490" s="4">
        <v>16.715750597790699</v>
      </c>
      <c r="AA490" s="4">
        <f t="shared" si="31"/>
        <v>16.369466281246332</v>
      </c>
      <c r="AH490" s="1"/>
      <c r="AI490" s="1"/>
      <c r="AJ490" s="4" t="s">
        <v>4446</v>
      </c>
    </row>
    <row r="491" spans="2:37" x14ac:dyDescent="0.2">
      <c r="B491" s="4" t="s">
        <v>2155</v>
      </c>
      <c r="C491" s="4">
        <v>16.2531</v>
      </c>
      <c r="D491" s="4">
        <v>16.4147</v>
      </c>
      <c r="E491" s="4">
        <v>16.601500000000001</v>
      </c>
      <c r="F491" s="4">
        <f t="shared" si="28"/>
        <v>16.423100000000002</v>
      </c>
      <c r="I491" s="4" t="s">
        <v>3810</v>
      </c>
      <c r="J491" s="4">
        <v>16.815200000000001</v>
      </c>
      <c r="K491" s="4">
        <v>16.293099999999999</v>
      </c>
      <c r="L491" s="4">
        <v>16.483799999999999</v>
      </c>
      <c r="M491" s="4">
        <f t="shared" si="29"/>
        <v>16.5307</v>
      </c>
      <c r="P491" s="4" t="str">
        <f>"rps-26"</f>
        <v>rps-26</v>
      </c>
      <c r="Q491" s="4">
        <v>16.654810772957099</v>
      </c>
      <c r="R491" s="4">
        <v>16.194558122095501</v>
      </c>
      <c r="S491" s="4">
        <v>16.082101727321799</v>
      </c>
      <c r="T491" s="4">
        <f t="shared" si="30"/>
        <v>16.310490207458134</v>
      </c>
      <c r="W491" s="4" t="str">
        <f>"imb-3"</f>
        <v>imb-3</v>
      </c>
      <c r="X491" s="4">
        <v>16.5951190933013</v>
      </c>
      <c r="Y491" s="4">
        <v>16.471953204632399</v>
      </c>
      <c r="Z491" s="4">
        <v>16.036654008145401</v>
      </c>
      <c r="AA491" s="4">
        <f t="shared" si="31"/>
        <v>16.367908768693031</v>
      </c>
      <c r="AH491" s="1"/>
      <c r="AI491" s="1"/>
      <c r="AJ491" s="4" t="s">
        <v>2105</v>
      </c>
    </row>
    <row r="492" spans="2:37" x14ac:dyDescent="0.2">
      <c r="B492" s="4" t="s">
        <v>1830</v>
      </c>
      <c r="C492" s="4">
        <v>16.229600000000001</v>
      </c>
      <c r="D492" s="4">
        <v>16.613</v>
      </c>
      <c r="E492" s="4">
        <v>16.415600000000001</v>
      </c>
      <c r="F492" s="4">
        <f t="shared" si="28"/>
        <v>16.4194</v>
      </c>
      <c r="I492" s="4" t="s">
        <v>2082</v>
      </c>
      <c r="J492" s="4">
        <v>16.619399999999999</v>
      </c>
      <c r="K492" s="4">
        <v>16.694299999999998</v>
      </c>
      <c r="L492" s="4">
        <v>16.268699999999999</v>
      </c>
      <c r="M492" s="4">
        <f t="shared" si="29"/>
        <v>16.527466666666665</v>
      </c>
      <c r="P492" s="4" t="str">
        <f>"idhg-2"</f>
        <v>idhg-2</v>
      </c>
      <c r="Q492" s="4">
        <v>16.517873891198299</v>
      </c>
      <c r="R492" s="4">
        <v>16.089093074249298</v>
      </c>
      <c r="S492" s="4">
        <v>16.3170140106647</v>
      </c>
      <c r="T492" s="4">
        <f t="shared" si="30"/>
        <v>16.307993658704099</v>
      </c>
      <c r="W492" s="4" t="str">
        <f>"rab-6.2"</f>
        <v>rab-6.2</v>
      </c>
      <c r="X492" s="4">
        <v>16.582519198324199</v>
      </c>
      <c r="Y492" s="4">
        <v>16.224081518621599</v>
      </c>
      <c r="Z492" s="4">
        <v>16.269525311157601</v>
      </c>
      <c r="AA492" s="4">
        <f t="shared" si="31"/>
        <v>16.358708676034464</v>
      </c>
      <c r="AH492" s="1"/>
      <c r="AI492" s="1"/>
      <c r="AJ492" s="4" t="s">
        <v>4361</v>
      </c>
    </row>
    <row r="493" spans="2:37" x14ac:dyDescent="0.2">
      <c r="B493" s="4" t="s">
        <v>3857</v>
      </c>
      <c r="C493" s="4">
        <v>16.427600000000002</v>
      </c>
      <c r="D493" s="4">
        <v>16.587299999999999</v>
      </c>
      <c r="E493" s="4">
        <v>16.2225</v>
      </c>
      <c r="F493" s="4">
        <f t="shared" si="28"/>
        <v>16.412466666666663</v>
      </c>
      <c r="I493" s="4" t="s">
        <v>1812</v>
      </c>
      <c r="J493" s="4">
        <v>16.456199999999999</v>
      </c>
      <c r="K493" s="4">
        <v>16.5124</v>
      </c>
      <c r="L493" s="4">
        <v>16.613700000000001</v>
      </c>
      <c r="M493" s="4">
        <f t="shared" si="29"/>
        <v>16.527433333333331</v>
      </c>
      <c r="P493" s="4" t="str">
        <f>"cdr-6"</f>
        <v>cdr-6</v>
      </c>
      <c r="Q493" s="4">
        <v>16.504779975252799</v>
      </c>
      <c r="R493" s="4">
        <v>16.191758143256099</v>
      </c>
      <c r="S493" s="4">
        <v>16.220184268331899</v>
      </c>
      <c r="T493" s="4">
        <f t="shared" si="30"/>
        <v>16.305574128946933</v>
      </c>
      <c r="W493" s="4" t="str">
        <f>"cup-2"</f>
        <v>cup-2</v>
      </c>
      <c r="X493" s="4">
        <v>16.5501004375176</v>
      </c>
      <c r="Y493" s="4">
        <v>16.150982342062001</v>
      </c>
      <c r="Z493" s="4">
        <v>16.342593161042601</v>
      </c>
      <c r="AA493" s="4">
        <f t="shared" si="31"/>
        <v>16.3478919802074</v>
      </c>
      <c r="AH493" s="1"/>
      <c r="AI493" s="1"/>
      <c r="AJ493" s="4" t="s">
        <v>4467</v>
      </c>
    </row>
    <row r="494" spans="2:37" x14ac:dyDescent="0.2">
      <c r="B494" s="4" t="s">
        <v>3787</v>
      </c>
      <c r="C494" s="4">
        <v>16.2135</v>
      </c>
      <c r="D494" s="4">
        <v>16.366</v>
      </c>
      <c r="E494" s="4">
        <v>16.651399999999999</v>
      </c>
      <c r="F494" s="4">
        <f t="shared" si="28"/>
        <v>16.410299999999996</v>
      </c>
      <c r="I494" s="4" t="s">
        <v>3459</v>
      </c>
      <c r="J494" s="4">
        <v>16.5623</v>
      </c>
      <c r="K494" s="4">
        <v>16.704899999999999</v>
      </c>
      <c r="L494" s="4">
        <v>16.296199999999999</v>
      </c>
      <c r="M494" s="4">
        <f t="shared" si="29"/>
        <v>16.521133333333335</v>
      </c>
      <c r="P494" s="4" t="str">
        <f>"emb-5"</f>
        <v>emb-5</v>
      </c>
      <c r="Q494" s="4">
        <v>16.3507882464021</v>
      </c>
      <c r="R494" s="4">
        <v>16.380271290106499</v>
      </c>
      <c r="S494" s="4">
        <v>16.1587417621027</v>
      </c>
      <c r="T494" s="4">
        <f t="shared" si="30"/>
        <v>16.296600432870431</v>
      </c>
      <c r="W494" s="4" t="str">
        <f>"srpa-68"</f>
        <v>srpa-68</v>
      </c>
      <c r="X494" s="4">
        <v>16.300260514352502</v>
      </c>
      <c r="Y494" s="4">
        <v>16.5030907454647</v>
      </c>
      <c r="Z494" s="4">
        <v>16.227466823170499</v>
      </c>
      <c r="AA494" s="4">
        <f t="shared" si="31"/>
        <v>16.34360602766257</v>
      </c>
      <c r="AH494" s="1"/>
      <c r="AI494" s="1"/>
      <c r="AJ494" s="4" t="s">
        <v>1210</v>
      </c>
    </row>
    <row r="495" spans="2:37" x14ac:dyDescent="0.2">
      <c r="B495" s="4" t="s">
        <v>689</v>
      </c>
      <c r="C495" s="4">
        <v>16.213100000000001</v>
      </c>
      <c r="D495" s="4">
        <v>16.660499999999999</v>
      </c>
      <c r="E495" s="4">
        <v>16.352599999999999</v>
      </c>
      <c r="F495" s="4">
        <f t="shared" si="28"/>
        <v>16.408733333333331</v>
      </c>
      <c r="I495" s="4" t="s">
        <v>2077</v>
      </c>
      <c r="J495" s="4">
        <v>16.692799999999998</v>
      </c>
      <c r="K495" s="4">
        <v>16.3371</v>
      </c>
      <c r="L495" s="4">
        <v>16.526399999999999</v>
      </c>
      <c r="M495" s="4">
        <f t="shared" si="29"/>
        <v>16.518766666666664</v>
      </c>
      <c r="P495" s="4" t="str">
        <f>"Y48A6B.3"</f>
        <v>Y48A6B.3</v>
      </c>
      <c r="Q495" s="4">
        <v>16.407238759750001</v>
      </c>
      <c r="R495" s="4">
        <v>16.131015962807702</v>
      </c>
      <c r="S495" s="4">
        <v>16.3479073241975</v>
      </c>
      <c r="T495" s="4">
        <f t="shared" si="30"/>
        <v>16.2953873489184</v>
      </c>
      <c r="W495" s="4" t="str">
        <f>"tps-2"</f>
        <v>tps-2</v>
      </c>
      <c r="X495" s="4">
        <v>16.135229488771699</v>
      </c>
      <c r="Y495" s="4">
        <v>16.415310570874301</v>
      </c>
      <c r="Z495" s="4">
        <v>16.464965140800899</v>
      </c>
      <c r="AA495" s="4">
        <f t="shared" si="31"/>
        <v>16.3385017334823</v>
      </c>
      <c r="AH495" s="1"/>
      <c r="AI495" s="1"/>
      <c r="AJ495" s="4" t="s">
        <v>3366</v>
      </c>
    </row>
    <row r="496" spans="2:37" x14ac:dyDescent="0.2">
      <c r="B496" s="4" t="s">
        <v>3967</v>
      </c>
      <c r="C496" s="4">
        <v>16.247299999999999</v>
      </c>
      <c r="D496" s="4">
        <v>16.2925</v>
      </c>
      <c r="E496" s="4">
        <v>16.6783</v>
      </c>
      <c r="F496" s="4">
        <f t="shared" si="28"/>
        <v>16.406033333333333</v>
      </c>
      <c r="I496" s="4" t="s">
        <v>3650</v>
      </c>
      <c r="J496" s="4">
        <v>16.4512</v>
      </c>
      <c r="K496" s="4">
        <v>16.682300000000001</v>
      </c>
      <c r="L496" s="4">
        <v>16.4146</v>
      </c>
      <c r="M496" s="4">
        <f t="shared" si="29"/>
        <v>16.516033333333333</v>
      </c>
      <c r="P496" s="4" t="str">
        <f>"npp-3"</f>
        <v>npp-3</v>
      </c>
      <c r="Q496" s="4">
        <v>16.330342294829901</v>
      </c>
      <c r="R496" s="4">
        <v>16.372225532546999</v>
      </c>
      <c r="S496" s="4">
        <v>16.1623593285323</v>
      </c>
      <c r="T496" s="4">
        <f t="shared" si="30"/>
        <v>16.288309051969733</v>
      </c>
      <c r="W496" s="4" t="str">
        <f>"C24H12.4"</f>
        <v>C24H12.4</v>
      </c>
      <c r="X496" s="4">
        <v>16.279959189106499</v>
      </c>
      <c r="Y496" s="4">
        <v>16.446223876568101</v>
      </c>
      <c r="Z496" s="4">
        <v>16.2629048447684</v>
      </c>
      <c r="AA496" s="4">
        <f t="shared" si="31"/>
        <v>16.329695970147668</v>
      </c>
      <c r="AH496" s="1"/>
      <c r="AI496" s="1"/>
      <c r="AJ496" s="4" t="s">
        <v>4274</v>
      </c>
    </row>
    <row r="497" spans="2:36" x14ac:dyDescent="0.2">
      <c r="B497" s="4" t="s">
        <v>725</v>
      </c>
      <c r="C497" s="4">
        <v>16.541599999999999</v>
      </c>
      <c r="D497" s="4">
        <v>16.593900000000001</v>
      </c>
      <c r="E497" s="4">
        <v>16.0747</v>
      </c>
      <c r="F497" s="4">
        <f t="shared" si="28"/>
        <v>16.403400000000001</v>
      </c>
      <c r="I497" s="4" t="s">
        <v>2038</v>
      </c>
      <c r="J497" s="4">
        <v>16.43</v>
      </c>
      <c r="K497" s="4">
        <v>16.470800000000001</v>
      </c>
      <c r="L497" s="4">
        <v>16.6357</v>
      </c>
      <c r="M497" s="4">
        <f t="shared" si="29"/>
        <v>16.512166666666669</v>
      </c>
      <c r="P497" s="4" t="str">
        <f>"eif-4a3"</f>
        <v>eif-4a3</v>
      </c>
      <c r="Q497" s="4">
        <v>16.150553765721501</v>
      </c>
      <c r="R497" s="4">
        <v>16.237315417913301</v>
      </c>
      <c r="S497" s="4">
        <v>16.4349635169776</v>
      </c>
      <c r="T497" s="4">
        <f t="shared" si="30"/>
        <v>16.274277566870804</v>
      </c>
      <c r="W497" s="4" t="str">
        <f>"npp-8"</f>
        <v>npp-8</v>
      </c>
      <c r="X497" s="4">
        <v>16.3539548098022</v>
      </c>
      <c r="Y497" s="4">
        <v>16.381046848228301</v>
      </c>
      <c r="Z497" s="4">
        <v>16.249793770552898</v>
      </c>
      <c r="AA497" s="4">
        <f t="shared" si="31"/>
        <v>16.328265142861131</v>
      </c>
      <c r="AH497" s="1"/>
      <c r="AI497" s="1"/>
      <c r="AJ497" s="4" t="s">
        <v>3931</v>
      </c>
    </row>
    <row r="498" spans="2:36" x14ac:dyDescent="0.2">
      <c r="B498" s="4" t="s">
        <v>2564</v>
      </c>
      <c r="C498" s="4">
        <v>16.1221</v>
      </c>
      <c r="D498" s="4">
        <v>16.755800000000001</v>
      </c>
      <c r="E498" s="4">
        <v>16.317299999999999</v>
      </c>
      <c r="F498" s="4">
        <f t="shared" si="28"/>
        <v>16.398399999999999</v>
      </c>
      <c r="I498" s="4" t="s">
        <v>3215</v>
      </c>
      <c r="J498" s="4">
        <v>16.271899999999999</v>
      </c>
      <c r="K498" s="4">
        <v>16.499300000000002</v>
      </c>
      <c r="L498" s="4">
        <v>16.751300000000001</v>
      </c>
      <c r="M498" s="4">
        <f t="shared" si="29"/>
        <v>16.5075</v>
      </c>
      <c r="P498" s="4" t="str">
        <f>"gsa-1"</f>
        <v>gsa-1</v>
      </c>
      <c r="Q498" s="4">
        <v>16.402668034541499</v>
      </c>
      <c r="R498" s="4">
        <v>16.2395878387123</v>
      </c>
      <c r="S498" s="4">
        <v>16.171677231042299</v>
      </c>
      <c r="T498" s="4">
        <f t="shared" si="30"/>
        <v>16.271311034765365</v>
      </c>
      <c r="W498" s="4" t="str">
        <f>"asb-2"</f>
        <v>asb-2</v>
      </c>
      <c r="X498" s="4">
        <v>16.4730558345011</v>
      </c>
      <c r="Y498" s="4">
        <v>16.4129125674243</v>
      </c>
      <c r="Z498" s="4">
        <v>16.097326585422199</v>
      </c>
      <c r="AA498" s="4">
        <f t="shared" si="31"/>
        <v>16.32776499578253</v>
      </c>
      <c r="AH498" s="1"/>
      <c r="AI498" s="1"/>
      <c r="AJ498" s="4" t="s">
        <v>4155</v>
      </c>
    </row>
    <row r="499" spans="2:36" x14ac:dyDescent="0.2">
      <c r="B499" s="4" t="s">
        <v>681</v>
      </c>
      <c r="C499" s="4">
        <v>15.8536</v>
      </c>
      <c r="D499" s="4">
        <v>16.9985</v>
      </c>
      <c r="E499" s="4">
        <v>16.3291</v>
      </c>
      <c r="F499" s="4">
        <f t="shared" si="28"/>
        <v>16.393733333333333</v>
      </c>
      <c r="I499" s="4" t="s">
        <v>798</v>
      </c>
      <c r="J499" s="4">
        <v>16.671299999999999</v>
      </c>
      <c r="K499" s="4">
        <v>16.395900000000001</v>
      </c>
      <c r="L499" s="4">
        <v>16.454899999999999</v>
      </c>
      <c r="M499" s="4">
        <f t="shared" si="29"/>
        <v>16.507366666666666</v>
      </c>
      <c r="P499" s="4" t="str">
        <f>"hars-1"</f>
        <v>hars-1</v>
      </c>
      <c r="Q499" s="4">
        <v>16.3337815516064</v>
      </c>
      <c r="R499" s="4">
        <v>16.222871787880401</v>
      </c>
      <c r="S499" s="4">
        <v>16.232090925569199</v>
      </c>
      <c r="T499" s="4">
        <f t="shared" si="30"/>
        <v>16.262914755018667</v>
      </c>
      <c r="W499" s="4" t="str">
        <f>"ogdh-1"</f>
        <v>ogdh-1</v>
      </c>
      <c r="X499" s="4">
        <v>15.8944315874162</v>
      </c>
      <c r="Y499" s="4">
        <v>16.411043888038801</v>
      </c>
      <c r="Z499" s="4">
        <v>16.662306226235501</v>
      </c>
      <c r="AA499" s="4">
        <f t="shared" si="31"/>
        <v>16.322593900563501</v>
      </c>
      <c r="AH499" s="1"/>
      <c r="AI499" s="1"/>
      <c r="AJ499" s="4" t="s">
        <v>4338</v>
      </c>
    </row>
    <row r="500" spans="2:36" x14ac:dyDescent="0.2">
      <c r="B500" s="4" t="s">
        <v>567</v>
      </c>
      <c r="C500" s="4">
        <v>16.4438</v>
      </c>
      <c r="D500" s="4">
        <v>16.364799999999999</v>
      </c>
      <c r="E500" s="4">
        <v>16.371400000000001</v>
      </c>
      <c r="F500" s="4">
        <f t="shared" si="28"/>
        <v>16.393333333333334</v>
      </c>
      <c r="I500" s="4" t="s">
        <v>2779</v>
      </c>
      <c r="J500" s="4">
        <v>16.478899999999999</v>
      </c>
      <c r="K500" s="4">
        <v>16.654800000000002</v>
      </c>
      <c r="L500" s="4">
        <v>16.371600000000001</v>
      </c>
      <c r="M500" s="4">
        <f t="shared" si="29"/>
        <v>16.501766666666668</v>
      </c>
      <c r="P500" s="4" t="str">
        <f>"lntl-1"</f>
        <v>lntl-1</v>
      </c>
      <c r="Q500" s="4">
        <v>16.3116645825821</v>
      </c>
      <c r="R500" s="4">
        <v>16.200206074711701</v>
      </c>
      <c r="S500" s="4">
        <v>16.274817510889399</v>
      </c>
      <c r="T500" s="4">
        <f t="shared" si="30"/>
        <v>16.262229389394399</v>
      </c>
      <c r="W500" s="4" t="str">
        <f>"cope-1"</f>
        <v>cope-1</v>
      </c>
      <c r="X500" s="4">
        <v>16.790181315569399</v>
      </c>
      <c r="Y500" s="4">
        <v>16.045806175565801</v>
      </c>
      <c r="Z500" s="4">
        <v>16.122156040112099</v>
      </c>
      <c r="AA500" s="4">
        <f t="shared" si="31"/>
        <v>16.319381177082434</v>
      </c>
      <c r="AH500" s="1"/>
      <c r="AI500" s="1"/>
      <c r="AJ500" s="4" t="s">
        <v>3825</v>
      </c>
    </row>
    <row r="501" spans="2:36" x14ac:dyDescent="0.2">
      <c r="B501" s="4" t="s">
        <v>3100</v>
      </c>
      <c r="C501" s="4">
        <v>16.4176</v>
      </c>
      <c r="D501" s="4">
        <v>16.190899999999999</v>
      </c>
      <c r="E501" s="4">
        <v>16.568000000000001</v>
      </c>
      <c r="F501" s="4">
        <f t="shared" si="28"/>
        <v>16.392166666666668</v>
      </c>
      <c r="I501" s="4" t="s">
        <v>2650</v>
      </c>
      <c r="J501" s="4">
        <v>16.41</v>
      </c>
      <c r="K501" s="4">
        <v>16.554400000000001</v>
      </c>
      <c r="L501" s="4">
        <v>16.535</v>
      </c>
      <c r="M501" s="4">
        <f t="shared" si="29"/>
        <v>16.499799999999997</v>
      </c>
      <c r="P501" s="4" t="str">
        <f>"pam-1"</f>
        <v>pam-1</v>
      </c>
      <c r="Q501" s="4">
        <v>16.3218201761795</v>
      </c>
      <c r="R501" s="4">
        <v>16.221969351896799</v>
      </c>
      <c r="S501" s="4">
        <v>16.2132819012079</v>
      </c>
      <c r="T501" s="4">
        <f t="shared" si="30"/>
        <v>16.252357143094734</v>
      </c>
      <c r="W501" s="4" t="str">
        <f>"cpg-1"</f>
        <v>cpg-1</v>
      </c>
      <c r="X501" s="4">
        <v>16.097179149089602</v>
      </c>
      <c r="Y501" s="4">
        <v>16.2603563029956</v>
      </c>
      <c r="Z501" s="4">
        <v>16.593092386804599</v>
      </c>
      <c r="AA501" s="4">
        <f t="shared" si="31"/>
        <v>16.316875946296602</v>
      </c>
      <c r="AH501" s="1"/>
      <c r="AI501" s="1"/>
      <c r="AJ501" s="4" t="s">
        <v>3700</v>
      </c>
    </row>
    <row r="502" spans="2:36" x14ac:dyDescent="0.2">
      <c r="B502" s="4" t="s">
        <v>2430</v>
      </c>
      <c r="C502" s="4">
        <v>16.491299999999999</v>
      </c>
      <c r="D502" s="4">
        <v>16.260400000000001</v>
      </c>
      <c r="E502" s="4">
        <v>16.4133</v>
      </c>
      <c r="F502" s="4">
        <f t="shared" si="28"/>
        <v>16.388333333333332</v>
      </c>
      <c r="I502" s="4" t="s">
        <v>211</v>
      </c>
      <c r="J502" s="4">
        <v>16.374099999999999</v>
      </c>
      <c r="K502" s="4">
        <v>16.0943</v>
      </c>
      <c r="L502" s="4">
        <v>17.027100000000001</v>
      </c>
      <c r="M502" s="4">
        <f t="shared" si="29"/>
        <v>16.498500000000003</v>
      </c>
      <c r="P502" s="4" t="str">
        <f>"rla-0"</f>
        <v>rla-0</v>
      </c>
      <c r="Q502" s="4">
        <v>16.439761199085101</v>
      </c>
      <c r="R502" s="4">
        <v>16.097671720174599</v>
      </c>
      <c r="S502" s="4">
        <v>16.212906001038402</v>
      </c>
      <c r="T502" s="4">
        <f t="shared" si="30"/>
        <v>16.250112973432703</v>
      </c>
      <c r="W502" s="4" t="str">
        <f>"laat-1"</f>
        <v>laat-1</v>
      </c>
      <c r="X502" s="4">
        <v>16.505021088515299</v>
      </c>
      <c r="Y502" s="4">
        <v>15.968418233029199</v>
      </c>
      <c r="Z502" s="4">
        <v>16.468338405212201</v>
      </c>
      <c r="AA502" s="4">
        <f t="shared" si="31"/>
        <v>16.3139259089189</v>
      </c>
      <c r="AH502" s="1"/>
      <c r="AI502" s="1"/>
      <c r="AJ502" s="4" t="s">
        <v>4020</v>
      </c>
    </row>
    <row r="503" spans="2:36" x14ac:dyDescent="0.2">
      <c r="B503" s="4" t="s">
        <v>2061</v>
      </c>
      <c r="C503" s="4">
        <v>16.540299999999998</v>
      </c>
      <c r="D503" s="4">
        <v>16.036200000000001</v>
      </c>
      <c r="E503" s="4">
        <v>16.575299999999999</v>
      </c>
      <c r="F503" s="4">
        <f t="shared" si="28"/>
        <v>16.383933333333331</v>
      </c>
      <c r="I503" s="4" t="s">
        <v>3861</v>
      </c>
      <c r="J503" s="4">
        <v>16.399999999999999</v>
      </c>
      <c r="K503" s="4">
        <v>16.712</v>
      </c>
      <c r="L503" s="4">
        <v>16.376200000000001</v>
      </c>
      <c r="M503" s="4">
        <f t="shared" si="29"/>
        <v>16.496066666666664</v>
      </c>
      <c r="P503" s="4" t="str">
        <f>"clp-4"</f>
        <v>clp-4</v>
      </c>
      <c r="Q503" s="4">
        <v>16.382386207337099</v>
      </c>
      <c r="R503" s="4">
        <v>16.112688111864902</v>
      </c>
      <c r="S503" s="4">
        <v>16.246551862093401</v>
      </c>
      <c r="T503" s="4">
        <f t="shared" si="30"/>
        <v>16.247208727098467</v>
      </c>
      <c r="W503" s="4" t="str">
        <f>"umps-1"</f>
        <v>umps-1</v>
      </c>
      <c r="X503" s="4">
        <v>16.291438716225102</v>
      </c>
      <c r="Y503" s="4">
        <v>16.5019383995519</v>
      </c>
      <c r="Z503" s="4">
        <v>16.132812604878598</v>
      </c>
      <c r="AA503" s="4">
        <f t="shared" si="31"/>
        <v>16.308729906885201</v>
      </c>
      <c r="AH503" s="1"/>
      <c r="AI503" s="1"/>
      <c r="AJ503" s="4" t="s">
        <v>576</v>
      </c>
    </row>
    <row r="504" spans="2:36" x14ac:dyDescent="0.2">
      <c r="B504" s="4" t="s">
        <v>3907</v>
      </c>
      <c r="C504" s="4">
        <v>16.961500000000001</v>
      </c>
      <c r="D504" s="4">
        <v>16.0305</v>
      </c>
      <c r="E504" s="4">
        <v>16.159099999999999</v>
      </c>
      <c r="F504" s="4">
        <f t="shared" si="28"/>
        <v>16.383700000000001</v>
      </c>
      <c r="I504" s="4" t="s">
        <v>1245</v>
      </c>
      <c r="J504" s="4">
        <v>16.567900000000002</v>
      </c>
      <c r="K504" s="4">
        <v>16.637799999999999</v>
      </c>
      <c r="L504" s="4">
        <v>16.2667</v>
      </c>
      <c r="M504" s="4">
        <f t="shared" si="29"/>
        <v>16.4908</v>
      </c>
      <c r="P504" s="4" t="str">
        <f>"madd-3"</f>
        <v>madd-3</v>
      </c>
      <c r="Q504" s="4">
        <v>16.312735107840499</v>
      </c>
      <c r="R504" s="4">
        <v>16.217612616174002</v>
      </c>
      <c r="S504" s="4">
        <v>16.2057488035828</v>
      </c>
      <c r="T504" s="4">
        <f t="shared" si="30"/>
        <v>16.2453655091991</v>
      </c>
      <c r="W504" s="4" t="str">
        <f>"rps-19"</f>
        <v>rps-19</v>
      </c>
      <c r="X504" s="4">
        <v>15.9330541539519</v>
      </c>
      <c r="Y504" s="4">
        <v>16.5729964148044</v>
      </c>
      <c r="Z504" s="4">
        <v>16.4146071713118</v>
      </c>
      <c r="AA504" s="4">
        <f t="shared" si="31"/>
        <v>16.306885913356034</v>
      </c>
      <c r="AH504" s="1"/>
      <c r="AI504" s="1"/>
      <c r="AJ504" s="4" t="s">
        <v>4450</v>
      </c>
    </row>
    <row r="505" spans="2:36" x14ac:dyDescent="0.2">
      <c r="B505" s="4" t="s">
        <v>2827</v>
      </c>
      <c r="C505" s="4">
        <v>16.3477</v>
      </c>
      <c r="D505" s="4">
        <v>16.528500000000001</v>
      </c>
      <c r="E505" s="4">
        <v>16.269400000000001</v>
      </c>
      <c r="F505" s="4">
        <f t="shared" si="28"/>
        <v>16.381866666666667</v>
      </c>
      <c r="I505" s="4" t="s">
        <v>3991</v>
      </c>
      <c r="J505" s="4">
        <v>16.404499999999999</v>
      </c>
      <c r="K505" s="4">
        <v>16.609300000000001</v>
      </c>
      <c r="L505" s="4">
        <v>16.447700000000001</v>
      </c>
      <c r="M505" s="4">
        <f t="shared" si="29"/>
        <v>16.487166666666667</v>
      </c>
      <c r="P505" s="4" t="str">
        <f>"F21H7.5"</f>
        <v>F21H7.5</v>
      </c>
      <c r="Q505" s="4">
        <v>15.5577441179129</v>
      </c>
      <c r="R505" s="4">
        <v>16.835004352644798</v>
      </c>
      <c r="S505" s="4">
        <v>16.334354724782699</v>
      </c>
      <c r="T505" s="4">
        <f t="shared" si="30"/>
        <v>16.242367731780131</v>
      </c>
      <c r="W505" s="4" t="str">
        <f>"C49H3.3"</f>
        <v>C49H3.3</v>
      </c>
      <c r="X505" s="4">
        <v>15.4438839008887</v>
      </c>
      <c r="Y505" s="4">
        <v>16.512975258430501</v>
      </c>
      <c r="Z505" s="4">
        <v>16.958183245743399</v>
      </c>
      <c r="AA505" s="4">
        <f t="shared" si="31"/>
        <v>16.305014135020865</v>
      </c>
      <c r="AH505" s="1"/>
      <c r="AI505" s="1"/>
      <c r="AJ505" s="4" t="s">
        <v>4597</v>
      </c>
    </row>
    <row r="506" spans="2:36" x14ac:dyDescent="0.2">
      <c r="B506" s="4" t="s">
        <v>1969</v>
      </c>
      <c r="C506" s="4">
        <v>16.395299999999999</v>
      </c>
      <c r="D506" s="4">
        <v>16.5259</v>
      </c>
      <c r="E506" s="4">
        <v>16.219200000000001</v>
      </c>
      <c r="F506" s="4">
        <f t="shared" si="28"/>
        <v>16.380133333333333</v>
      </c>
      <c r="I506" s="4" t="s">
        <v>658</v>
      </c>
      <c r="J506" s="4">
        <v>16.3886</v>
      </c>
      <c r="K506" s="4">
        <v>16.893000000000001</v>
      </c>
      <c r="L506" s="4">
        <v>16.1645</v>
      </c>
      <c r="M506" s="4">
        <f t="shared" si="29"/>
        <v>16.482033333333334</v>
      </c>
      <c r="P506" s="4" t="str">
        <f>"enpl-1"</f>
        <v>enpl-1</v>
      </c>
      <c r="Q506" s="4">
        <v>16.039560951750602</v>
      </c>
      <c r="R506" s="4">
        <v>16.278060097480999</v>
      </c>
      <c r="S506" s="4">
        <v>16.408768010461301</v>
      </c>
      <c r="T506" s="4">
        <f t="shared" si="30"/>
        <v>16.242129686564301</v>
      </c>
      <c r="W506" s="4" t="str">
        <f>"idh-2"</f>
        <v>idh-2</v>
      </c>
      <c r="X506" s="4">
        <v>16.024840861552601</v>
      </c>
      <c r="Y506" s="4">
        <v>16.382468994473101</v>
      </c>
      <c r="Z506" s="4">
        <v>16.499635664145998</v>
      </c>
      <c r="AA506" s="4">
        <f t="shared" si="31"/>
        <v>16.302315173390568</v>
      </c>
      <c r="AH506" s="1"/>
      <c r="AI506" s="1"/>
      <c r="AJ506" s="4" t="s">
        <v>320</v>
      </c>
    </row>
    <row r="507" spans="2:36" x14ac:dyDescent="0.2">
      <c r="B507" s="4" t="s">
        <v>1147</v>
      </c>
      <c r="C507" s="4">
        <v>16.661899999999999</v>
      </c>
      <c r="D507" s="4">
        <v>16.223099999999999</v>
      </c>
      <c r="E507" s="4">
        <v>16.238499999999998</v>
      </c>
      <c r="F507" s="4">
        <f t="shared" si="28"/>
        <v>16.374499999999998</v>
      </c>
      <c r="I507" s="4" t="s">
        <v>3002</v>
      </c>
      <c r="J507" s="4">
        <v>15.191700000000001</v>
      </c>
      <c r="K507" s="4">
        <v>16.4223</v>
      </c>
      <c r="L507" s="4">
        <v>17.798400000000001</v>
      </c>
      <c r="M507" s="4">
        <f t="shared" si="29"/>
        <v>16.470800000000001</v>
      </c>
      <c r="P507" s="4" t="str">
        <f>"mcm-5"</f>
        <v>mcm-5</v>
      </c>
      <c r="Q507" s="4">
        <v>16.180505040261899</v>
      </c>
      <c r="R507" s="4">
        <v>16.2968821696982</v>
      </c>
      <c r="S507" s="4">
        <v>16.232882771625299</v>
      </c>
      <c r="T507" s="4">
        <f t="shared" si="30"/>
        <v>16.236756660528467</v>
      </c>
      <c r="W507" s="4" t="str">
        <f>"hars-1"</f>
        <v>hars-1</v>
      </c>
      <c r="X507" s="4">
        <v>16.461086157043201</v>
      </c>
      <c r="Y507" s="4">
        <v>16.398665215666899</v>
      </c>
      <c r="Z507" s="4">
        <v>16.017418573586301</v>
      </c>
      <c r="AA507" s="4">
        <f t="shared" si="31"/>
        <v>16.292389982098801</v>
      </c>
      <c r="AH507" s="1"/>
      <c r="AI507" s="1"/>
      <c r="AJ507" s="4" t="s">
        <v>3501</v>
      </c>
    </row>
    <row r="508" spans="2:36" x14ac:dyDescent="0.2">
      <c r="B508" s="4" t="s">
        <v>3522</v>
      </c>
      <c r="C508" s="4">
        <v>16.492999999999999</v>
      </c>
      <c r="D508" s="4">
        <v>16.420300000000001</v>
      </c>
      <c r="E508" s="4">
        <v>16.2088</v>
      </c>
      <c r="F508" s="4">
        <f t="shared" si="28"/>
        <v>16.374033333333333</v>
      </c>
      <c r="I508" s="4" t="s">
        <v>3887</v>
      </c>
      <c r="J508" s="4">
        <v>16.629000000000001</v>
      </c>
      <c r="K508" s="4">
        <v>16.1126</v>
      </c>
      <c r="L508" s="4">
        <v>16.666</v>
      </c>
      <c r="M508" s="4">
        <f t="shared" si="29"/>
        <v>16.469200000000001</v>
      </c>
      <c r="P508" s="4" t="str">
        <f>"let-711"</f>
        <v>let-711</v>
      </c>
      <c r="Q508" s="4">
        <v>16.191577662250602</v>
      </c>
      <c r="R508" s="4">
        <v>16.233681528575602</v>
      </c>
      <c r="S508" s="4">
        <v>16.284124851260401</v>
      </c>
      <c r="T508" s="4">
        <f t="shared" si="30"/>
        <v>16.236461347362201</v>
      </c>
      <c r="W508" s="4" t="str">
        <f>"iars-2"</f>
        <v>iars-2</v>
      </c>
      <c r="X508" s="4">
        <v>16.198844733092098</v>
      </c>
      <c r="Y508" s="4">
        <v>16.254135610978601</v>
      </c>
      <c r="Z508" s="4">
        <v>16.423492170599001</v>
      </c>
      <c r="AA508" s="4">
        <f t="shared" si="31"/>
        <v>16.2921575048899</v>
      </c>
      <c r="AH508" s="1"/>
      <c r="AI508" s="1"/>
      <c r="AJ508" s="4" t="s">
        <v>2666</v>
      </c>
    </row>
    <row r="509" spans="2:36" x14ac:dyDescent="0.2">
      <c r="B509" s="4" t="s">
        <v>1058</v>
      </c>
      <c r="C509" s="4">
        <v>16.2532</v>
      </c>
      <c r="D509" s="4">
        <v>16.473700000000001</v>
      </c>
      <c r="E509" s="4">
        <v>16.371600000000001</v>
      </c>
      <c r="F509" s="4">
        <f t="shared" si="28"/>
        <v>16.366166666666668</v>
      </c>
      <c r="I509" s="4" t="s">
        <v>3889</v>
      </c>
      <c r="J509" s="4">
        <v>16.8584</v>
      </c>
      <c r="K509" s="4">
        <v>16.498899999999999</v>
      </c>
      <c r="L509" s="4">
        <v>16.047499999999999</v>
      </c>
      <c r="M509" s="4">
        <f t="shared" si="29"/>
        <v>16.468266666666665</v>
      </c>
      <c r="P509" s="4" t="str">
        <f>"nono-1"</f>
        <v>nono-1</v>
      </c>
      <c r="Q509" s="4">
        <v>16.282829926272701</v>
      </c>
      <c r="R509" s="4">
        <v>16.058642519700602</v>
      </c>
      <c r="S509" s="4">
        <v>16.354666239617799</v>
      </c>
      <c r="T509" s="4">
        <f t="shared" si="30"/>
        <v>16.232046228530368</v>
      </c>
      <c r="W509" s="4" t="str">
        <f>"ifc-1"</f>
        <v>ifc-1</v>
      </c>
      <c r="X509" s="4">
        <v>15.729030424785</v>
      </c>
      <c r="Y509" s="4">
        <v>16.383991887311399</v>
      </c>
      <c r="Z509" s="4">
        <v>16.745737643585802</v>
      </c>
      <c r="AA509" s="4">
        <f t="shared" si="31"/>
        <v>16.286253318560735</v>
      </c>
      <c r="AH509" s="1"/>
      <c r="AI509" s="1"/>
      <c r="AJ509" s="4" t="s">
        <v>2262</v>
      </c>
    </row>
    <row r="510" spans="2:36" x14ac:dyDescent="0.2">
      <c r="B510" s="4" t="s">
        <v>1629</v>
      </c>
      <c r="C510" s="4">
        <v>16.4404</v>
      </c>
      <c r="D510" s="4">
        <v>16.323799999999999</v>
      </c>
      <c r="E510" s="4">
        <v>16.319600000000001</v>
      </c>
      <c r="F510" s="4">
        <f t="shared" si="28"/>
        <v>16.361266666666669</v>
      </c>
      <c r="I510" s="4" t="s">
        <v>2305</v>
      </c>
      <c r="J510" s="4">
        <v>16.633400000000002</v>
      </c>
      <c r="K510" s="4">
        <v>16.3187</v>
      </c>
      <c r="L510" s="4">
        <v>16.450299999999999</v>
      </c>
      <c r="M510" s="4">
        <f t="shared" si="29"/>
        <v>16.467466666666667</v>
      </c>
      <c r="P510" s="4" t="str">
        <f>"arx-6"</f>
        <v>arx-6</v>
      </c>
      <c r="Q510" s="4">
        <v>16.295477468892301</v>
      </c>
      <c r="R510" s="4">
        <v>16.1042898875959</v>
      </c>
      <c r="S510" s="4">
        <v>16.2684802101939</v>
      </c>
      <c r="T510" s="4">
        <f t="shared" si="30"/>
        <v>16.222749188894031</v>
      </c>
      <c r="W510" s="4" t="str">
        <f>"B0395.3"</f>
        <v>B0395.3</v>
      </c>
      <c r="X510" s="4">
        <v>16.2362194014609</v>
      </c>
      <c r="Y510" s="4">
        <v>16.2791543174101</v>
      </c>
      <c r="Z510" s="4">
        <v>16.342583075050001</v>
      </c>
      <c r="AA510" s="4">
        <f t="shared" si="31"/>
        <v>16.285985597973667</v>
      </c>
      <c r="AH510" s="1"/>
      <c r="AI510" s="1"/>
      <c r="AJ510" s="4" t="s">
        <v>762</v>
      </c>
    </row>
    <row r="511" spans="2:36" x14ac:dyDescent="0.2">
      <c r="B511" s="4" t="s">
        <v>4075</v>
      </c>
      <c r="C511" s="4">
        <v>16.091899999999999</v>
      </c>
      <c r="D511" s="4">
        <v>16.741199999999999</v>
      </c>
      <c r="E511" s="4">
        <v>16.2425</v>
      </c>
      <c r="F511" s="4">
        <f t="shared" si="28"/>
        <v>16.358533333333334</v>
      </c>
      <c r="I511" s="4" t="s">
        <v>793</v>
      </c>
      <c r="J511" s="4">
        <v>16.606400000000001</v>
      </c>
      <c r="K511" s="4">
        <v>16.704599999999999</v>
      </c>
      <c r="L511" s="4">
        <v>16.0884</v>
      </c>
      <c r="M511" s="4">
        <f t="shared" si="29"/>
        <v>16.466466666666665</v>
      </c>
      <c r="P511" s="4" t="str">
        <f>"soc-2"</f>
        <v>soc-2</v>
      </c>
      <c r="Q511" s="4">
        <v>16.311157991080101</v>
      </c>
      <c r="R511" s="4">
        <v>16.278732296940799</v>
      </c>
      <c r="S511" s="4">
        <v>16.069990951822199</v>
      </c>
      <c r="T511" s="4">
        <f t="shared" si="30"/>
        <v>16.219960413281033</v>
      </c>
      <c r="W511" s="4" t="str">
        <f>"abcf-1"</f>
        <v>abcf-1</v>
      </c>
      <c r="X511" s="4">
        <v>16.3584237638443</v>
      </c>
      <c r="Y511" s="4">
        <v>16.346568851270401</v>
      </c>
      <c r="Z511" s="4">
        <v>16.140702980045202</v>
      </c>
      <c r="AA511" s="4">
        <f t="shared" si="31"/>
        <v>16.281898531719971</v>
      </c>
      <c r="AH511" s="1"/>
      <c r="AI511" s="1"/>
      <c r="AJ511" s="4" t="s">
        <v>2556</v>
      </c>
    </row>
    <row r="512" spans="2:36" x14ac:dyDescent="0.2">
      <c r="B512" s="4" t="s">
        <v>2696</v>
      </c>
      <c r="C512" s="4">
        <v>16.297899999999998</v>
      </c>
      <c r="D512" s="4">
        <v>16.5413</v>
      </c>
      <c r="E512" s="4">
        <v>16.2363</v>
      </c>
      <c r="F512" s="4">
        <f t="shared" si="28"/>
        <v>16.358499999999999</v>
      </c>
      <c r="I512" s="4" t="s">
        <v>4075</v>
      </c>
      <c r="J512" s="4">
        <v>16.34</v>
      </c>
      <c r="K512" s="4">
        <v>16.321999999999999</v>
      </c>
      <c r="L512" s="4">
        <v>16.721299999999999</v>
      </c>
      <c r="M512" s="4">
        <f t="shared" si="29"/>
        <v>16.461099999999998</v>
      </c>
      <c r="P512" s="4" t="str">
        <f>"C39B5.6"</f>
        <v>C39B5.6</v>
      </c>
      <c r="Q512" s="4">
        <v>16.466043070830999</v>
      </c>
      <c r="R512" s="4">
        <v>16.106904874803899</v>
      </c>
      <c r="S512" s="4">
        <v>16.0810420200729</v>
      </c>
      <c r="T512" s="4">
        <f t="shared" si="30"/>
        <v>16.217996655235932</v>
      </c>
      <c r="W512" s="4" t="str">
        <f>"ttr-18"</f>
        <v>ttr-18</v>
      </c>
      <c r="X512" s="4">
        <v>15.869773340440799</v>
      </c>
      <c r="Y512" s="4">
        <v>16.552265010481499</v>
      </c>
      <c r="Z512" s="4">
        <v>16.4221128133718</v>
      </c>
      <c r="AA512" s="4">
        <f t="shared" si="31"/>
        <v>16.281383721431368</v>
      </c>
      <c r="AH512" s="1"/>
      <c r="AI512" s="1"/>
      <c r="AJ512" s="4" t="s">
        <v>220</v>
      </c>
    </row>
    <row r="513" spans="2:36" x14ac:dyDescent="0.2">
      <c r="B513" s="4" t="s">
        <v>2038</v>
      </c>
      <c r="C513" s="4">
        <v>16.249300000000002</v>
      </c>
      <c r="D513" s="4">
        <v>16.4026</v>
      </c>
      <c r="E513" s="4">
        <v>16.4223</v>
      </c>
      <c r="F513" s="4">
        <f t="shared" si="28"/>
        <v>16.358066666666666</v>
      </c>
      <c r="I513" s="4" t="s">
        <v>2852</v>
      </c>
      <c r="J513" s="4">
        <v>16.529699999999998</v>
      </c>
      <c r="K513" s="4">
        <v>16.333600000000001</v>
      </c>
      <c r="L513" s="4">
        <v>16.4785</v>
      </c>
      <c r="M513" s="4">
        <f t="shared" si="29"/>
        <v>16.447266666666664</v>
      </c>
      <c r="P513" s="4" t="str">
        <f>"vpr-1"</f>
        <v>vpr-1</v>
      </c>
      <c r="Q513" s="4">
        <v>16.153581504572699</v>
      </c>
      <c r="R513" s="4">
        <v>15.9529641934935</v>
      </c>
      <c r="S513" s="4">
        <v>16.520405751955</v>
      </c>
      <c r="T513" s="4">
        <f t="shared" si="30"/>
        <v>16.208983816673733</v>
      </c>
      <c r="W513" s="4" t="str">
        <f>"C39B5.6"</f>
        <v>C39B5.6</v>
      </c>
      <c r="X513" s="4">
        <v>16.0911206347625</v>
      </c>
      <c r="Y513" s="4">
        <v>16.337754823301498</v>
      </c>
      <c r="Z513" s="4">
        <v>16.393612890820499</v>
      </c>
      <c r="AA513" s="4">
        <f t="shared" si="31"/>
        <v>16.274162782961501</v>
      </c>
      <c r="AH513" s="1"/>
      <c r="AI513" s="1"/>
      <c r="AJ513" s="4" t="s">
        <v>2493</v>
      </c>
    </row>
    <row r="514" spans="2:36" x14ac:dyDescent="0.2">
      <c r="B514" s="4" t="s">
        <v>2312</v>
      </c>
      <c r="C514" s="4">
        <v>16.667899999999999</v>
      </c>
      <c r="D514" s="4">
        <v>16.1172</v>
      </c>
      <c r="E514" s="4">
        <v>16.268999999999998</v>
      </c>
      <c r="F514" s="4">
        <f t="shared" ref="F514:F577" si="32">(C514+D514+E514)/3</f>
        <v>16.351366666666667</v>
      </c>
      <c r="I514" s="4" t="s">
        <v>316</v>
      </c>
      <c r="J514" s="4">
        <v>16.598199999999999</v>
      </c>
      <c r="K514" s="4">
        <v>16.176200000000001</v>
      </c>
      <c r="L514" s="4">
        <v>16.562799999999999</v>
      </c>
      <c r="M514" s="4">
        <f t="shared" ref="M514:M577" si="33">(J514+K514+L514)/3</f>
        <v>16.445733333333333</v>
      </c>
      <c r="P514" s="4" t="str">
        <f>"idhg-1"</f>
        <v>idhg-1</v>
      </c>
      <c r="Q514" s="4">
        <v>16.2617892366498</v>
      </c>
      <c r="R514" s="4">
        <v>16.234544408201501</v>
      </c>
      <c r="S514" s="4">
        <v>16.1140978841179</v>
      </c>
      <c r="T514" s="4">
        <f t="shared" ref="T514:T577" si="34">(Q514+R514+S514)/3</f>
        <v>16.203477176323066</v>
      </c>
      <c r="W514" s="4" t="str">
        <f>"idhg-1"</f>
        <v>idhg-1</v>
      </c>
      <c r="X514" s="4">
        <v>16.1343244424034</v>
      </c>
      <c r="Y514" s="4">
        <v>16.3039219276605</v>
      </c>
      <c r="Z514" s="4">
        <v>16.363425279801799</v>
      </c>
      <c r="AA514" s="4">
        <f t="shared" ref="AA514:AA577" si="35">(X514+Y514+Z514)/3</f>
        <v>16.267223883288565</v>
      </c>
      <c r="AH514" s="1"/>
      <c r="AI514" s="1"/>
      <c r="AJ514" s="4" t="s">
        <v>2236</v>
      </c>
    </row>
    <row r="515" spans="2:36" x14ac:dyDescent="0.2">
      <c r="B515" s="4" t="s">
        <v>766</v>
      </c>
      <c r="C515" s="4">
        <v>17.242699999999999</v>
      </c>
      <c r="D515" s="4">
        <v>15.2197</v>
      </c>
      <c r="E515" s="4">
        <v>16.565999999999999</v>
      </c>
      <c r="F515" s="4">
        <f t="shared" si="32"/>
        <v>16.3428</v>
      </c>
      <c r="I515" s="4" t="s">
        <v>912</v>
      </c>
      <c r="J515" s="4">
        <v>16.467400000000001</v>
      </c>
      <c r="K515" s="4">
        <v>15.9655</v>
      </c>
      <c r="L515" s="4">
        <v>16.899799999999999</v>
      </c>
      <c r="M515" s="4">
        <f t="shared" si="33"/>
        <v>16.444233333333333</v>
      </c>
      <c r="P515" s="4" t="str">
        <f>"mma-1"</f>
        <v>mma-1</v>
      </c>
      <c r="Q515" s="4">
        <v>16.3688603240814</v>
      </c>
      <c r="R515" s="4">
        <v>16.1345613187294</v>
      </c>
      <c r="S515" s="4">
        <v>16.092623384761598</v>
      </c>
      <c r="T515" s="4">
        <f t="shared" si="34"/>
        <v>16.198681675857468</v>
      </c>
      <c r="W515" s="4" t="str">
        <f>"arl-8"</f>
        <v>arl-8</v>
      </c>
      <c r="X515" s="4">
        <v>16.234748006279101</v>
      </c>
      <c r="Y515" s="4">
        <v>16.2231135416359</v>
      </c>
      <c r="Z515" s="4">
        <v>16.340063190760201</v>
      </c>
      <c r="AA515" s="4">
        <f t="shared" si="35"/>
        <v>16.265974912891735</v>
      </c>
      <c r="AH515" s="1"/>
      <c r="AI515" s="1"/>
      <c r="AJ515" s="4" t="s">
        <v>4117</v>
      </c>
    </row>
    <row r="516" spans="2:36" x14ac:dyDescent="0.2">
      <c r="B516" s="4" t="s">
        <v>3861</v>
      </c>
      <c r="C516" s="4">
        <v>16.662600000000001</v>
      </c>
      <c r="D516" s="4">
        <v>16.002199999999998</v>
      </c>
      <c r="E516" s="4">
        <v>16.359300000000001</v>
      </c>
      <c r="F516" s="4">
        <f t="shared" si="32"/>
        <v>16.341366666666669</v>
      </c>
      <c r="I516" s="4" t="s">
        <v>1457</v>
      </c>
      <c r="J516" s="4">
        <v>16.517900000000001</v>
      </c>
      <c r="K516" s="4">
        <v>16.4495</v>
      </c>
      <c r="L516" s="4">
        <v>16.353200000000001</v>
      </c>
      <c r="M516" s="4">
        <f t="shared" si="33"/>
        <v>16.440200000000001</v>
      </c>
      <c r="P516" s="4" t="str">
        <f>"eef-1G"</f>
        <v>eef-1G</v>
      </c>
      <c r="Q516" s="4">
        <v>16.0568044863859</v>
      </c>
      <c r="R516" s="4">
        <v>16.254109444352</v>
      </c>
      <c r="S516" s="4">
        <v>16.253675585027199</v>
      </c>
      <c r="T516" s="4">
        <f t="shared" si="34"/>
        <v>16.188196505255032</v>
      </c>
      <c r="W516" s="4" t="str">
        <f>"vbh-1"</f>
        <v>vbh-1</v>
      </c>
      <c r="X516" s="4">
        <v>16.430939705580101</v>
      </c>
      <c r="Y516" s="4">
        <v>16.233773171672901</v>
      </c>
      <c r="Z516" s="4">
        <v>16.1294984065092</v>
      </c>
      <c r="AA516" s="4">
        <f t="shared" si="35"/>
        <v>16.264737094587399</v>
      </c>
      <c r="AH516" s="1"/>
      <c r="AI516" s="1"/>
      <c r="AJ516" s="4" t="s">
        <v>4448</v>
      </c>
    </row>
    <row r="517" spans="2:36" x14ac:dyDescent="0.2">
      <c r="B517" s="4" t="s">
        <v>3488</v>
      </c>
      <c r="C517" s="4">
        <v>16.32</v>
      </c>
      <c r="D517" s="4">
        <v>16.264500000000002</v>
      </c>
      <c r="E517" s="4">
        <v>16.430399999999999</v>
      </c>
      <c r="F517" s="4">
        <f t="shared" si="32"/>
        <v>16.3383</v>
      </c>
      <c r="I517" s="4" t="s">
        <v>661</v>
      </c>
      <c r="J517" s="4">
        <v>15.9209</v>
      </c>
      <c r="K517" s="4">
        <v>16.784199999999998</v>
      </c>
      <c r="L517" s="4">
        <v>16.609500000000001</v>
      </c>
      <c r="M517" s="4">
        <f t="shared" si="33"/>
        <v>16.438199999999998</v>
      </c>
      <c r="P517" s="4" t="str">
        <f>"rab-6.2"</f>
        <v>rab-6.2</v>
      </c>
      <c r="Q517" s="4">
        <v>16.255309350349702</v>
      </c>
      <c r="R517" s="4">
        <v>16.071747552602901</v>
      </c>
      <c r="S517" s="4">
        <v>16.235475635314199</v>
      </c>
      <c r="T517" s="4">
        <f t="shared" si="34"/>
        <v>16.187510846088937</v>
      </c>
      <c r="W517" s="4" t="str">
        <f>"tln-1"</f>
        <v>tln-1</v>
      </c>
      <c r="X517" s="4">
        <v>15.9252936562823</v>
      </c>
      <c r="Y517" s="4">
        <v>16.301501101167901</v>
      </c>
      <c r="Z517" s="4">
        <v>16.5376822619601</v>
      </c>
      <c r="AA517" s="4">
        <f t="shared" si="35"/>
        <v>16.254825673136768</v>
      </c>
      <c r="AH517" s="1"/>
      <c r="AI517" s="1"/>
      <c r="AJ517" s="4" t="s">
        <v>4468</v>
      </c>
    </row>
    <row r="518" spans="2:36" x14ac:dyDescent="0.2">
      <c r="B518" s="4" t="s">
        <v>3856</v>
      </c>
      <c r="C518" s="4">
        <v>16.273</v>
      </c>
      <c r="D518" s="4">
        <v>16.653300000000002</v>
      </c>
      <c r="E518" s="4">
        <v>16.088200000000001</v>
      </c>
      <c r="F518" s="4">
        <f t="shared" si="32"/>
        <v>16.338166666666666</v>
      </c>
      <c r="I518" s="4" t="s">
        <v>2061</v>
      </c>
      <c r="J518" s="4">
        <v>16.460699999999999</v>
      </c>
      <c r="K518" s="4">
        <v>16.4434</v>
      </c>
      <c r="L518" s="4">
        <v>16.409099999999999</v>
      </c>
      <c r="M518" s="4">
        <f t="shared" si="33"/>
        <v>16.43773333333333</v>
      </c>
      <c r="P518" s="4" t="str">
        <f>"abcf-1"</f>
        <v>abcf-1</v>
      </c>
      <c r="Q518" s="4">
        <v>16.212786194155701</v>
      </c>
      <c r="R518" s="4">
        <v>16.1595490371149</v>
      </c>
      <c r="S518" s="4">
        <v>16.190182906609401</v>
      </c>
      <c r="T518" s="4">
        <f t="shared" si="34"/>
        <v>16.187506045959999</v>
      </c>
      <c r="W518" s="4" t="str">
        <f>"dpm-1"</f>
        <v>dpm-1</v>
      </c>
      <c r="X518" s="4">
        <v>16.2192171457501</v>
      </c>
      <c r="Y518" s="4">
        <v>16.292041610887299</v>
      </c>
      <c r="Z518" s="4">
        <v>16.2119367107125</v>
      </c>
      <c r="AA518" s="4">
        <f t="shared" si="35"/>
        <v>16.2410651557833</v>
      </c>
      <c r="AH518" s="1"/>
      <c r="AI518" s="1"/>
      <c r="AJ518" s="4" t="s">
        <v>4407</v>
      </c>
    </row>
    <row r="519" spans="2:36" x14ac:dyDescent="0.2">
      <c r="B519" s="4" t="s">
        <v>3887</v>
      </c>
      <c r="C519" s="4">
        <v>16.418299999999999</v>
      </c>
      <c r="D519" s="4">
        <v>16.409600000000001</v>
      </c>
      <c r="E519" s="4">
        <v>16.166399999999999</v>
      </c>
      <c r="F519" s="4">
        <f t="shared" si="32"/>
        <v>16.331433333333333</v>
      </c>
      <c r="I519" s="4" t="s">
        <v>2661</v>
      </c>
      <c r="J519" s="4">
        <v>16.573799999999999</v>
      </c>
      <c r="K519" s="4">
        <v>16.7057</v>
      </c>
      <c r="L519" s="4">
        <v>16.033000000000001</v>
      </c>
      <c r="M519" s="4">
        <f t="shared" si="33"/>
        <v>16.4375</v>
      </c>
      <c r="P519" s="4" t="str">
        <f>"rps-12"</f>
        <v>rps-12</v>
      </c>
      <c r="Q519" s="4">
        <v>16.501406721256298</v>
      </c>
      <c r="R519" s="4">
        <v>15.7396587402249</v>
      </c>
      <c r="S519" s="4">
        <v>16.3172586242572</v>
      </c>
      <c r="T519" s="4">
        <f t="shared" si="34"/>
        <v>16.186108028579465</v>
      </c>
      <c r="W519" s="4" t="str">
        <f>"W04C9.9"</f>
        <v>W04C9.9</v>
      </c>
      <c r="X519" s="4">
        <v>16.864355887000201</v>
      </c>
      <c r="Y519" s="4">
        <v>16.456617853225399</v>
      </c>
      <c r="Z519" s="4">
        <v>15.3979509815127</v>
      </c>
      <c r="AA519" s="4">
        <f t="shared" si="35"/>
        <v>16.239641573912767</v>
      </c>
      <c r="AH519" s="1"/>
      <c r="AI519" s="1"/>
      <c r="AJ519" s="4" t="s">
        <v>2678</v>
      </c>
    </row>
    <row r="520" spans="2:36" x14ac:dyDescent="0.2">
      <c r="B520" s="4" t="s">
        <v>805</v>
      </c>
      <c r="C520" s="4">
        <v>16.2211</v>
      </c>
      <c r="D520" s="4">
        <v>16.607500000000002</v>
      </c>
      <c r="E520" s="4">
        <v>16.163900000000002</v>
      </c>
      <c r="F520" s="4">
        <f t="shared" si="32"/>
        <v>16.330833333333334</v>
      </c>
      <c r="I520" s="4" t="s">
        <v>2120</v>
      </c>
      <c r="J520" s="4">
        <v>16.0092</v>
      </c>
      <c r="K520" s="4">
        <v>16.0105</v>
      </c>
      <c r="L520" s="4">
        <v>17.292100000000001</v>
      </c>
      <c r="M520" s="4">
        <f t="shared" si="33"/>
        <v>16.43726666666667</v>
      </c>
      <c r="P520" s="4" t="str">
        <f>"ads-1"</f>
        <v>ads-1</v>
      </c>
      <c r="Q520" s="4">
        <v>16.181697591076102</v>
      </c>
      <c r="R520" s="4">
        <v>16.116474029606898</v>
      </c>
      <c r="S520" s="4">
        <v>16.260104780846198</v>
      </c>
      <c r="T520" s="4">
        <f t="shared" si="34"/>
        <v>16.186092133843065</v>
      </c>
      <c r="W520" s="4" t="str">
        <f>"ckc-1"</f>
        <v>ckc-1</v>
      </c>
      <c r="X520" s="4">
        <v>16.160309766974699</v>
      </c>
      <c r="Y520" s="4">
        <v>16.351571790772201</v>
      </c>
      <c r="Z520" s="4">
        <v>16.1895519280869</v>
      </c>
      <c r="AA520" s="4">
        <f t="shared" si="35"/>
        <v>16.233811161944601</v>
      </c>
      <c r="AH520" s="1"/>
      <c r="AI520" s="1"/>
      <c r="AJ520" s="4" t="s">
        <v>445</v>
      </c>
    </row>
    <row r="521" spans="2:36" x14ac:dyDescent="0.2">
      <c r="B521" s="4" t="s">
        <v>1248</v>
      </c>
      <c r="C521" s="4">
        <v>16.471499999999999</v>
      </c>
      <c r="D521" s="4">
        <v>15.9459</v>
      </c>
      <c r="E521" s="4">
        <v>16.5748</v>
      </c>
      <c r="F521" s="4">
        <f t="shared" si="32"/>
        <v>16.330733333333331</v>
      </c>
      <c r="I521" s="4" t="s">
        <v>446</v>
      </c>
      <c r="J521" s="4">
        <v>16.456800000000001</v>
      </c>
      <c r="K521" s="4">
        <v>16.2241</v>
      </c>
      <c r="L521" s="4">
        <v>16.6159</v>
      </c>
      <c r="M521" s="4">
        <f t="shared" si="33"/>
        <v>16.432266666666667</v>
      </c>
      <c r="P521" s="4" t="str">
        <f>"dcn-1"</f>
        <v>dcn-1</v>
      </c>
      <c r="Q521" s="4">
        <v>16.0683822235322</v>
      </c>
      <c r="R521" s="4">
        <v>16.1533618416866</v>
      </c>
      <c r="S521" s="4">
        <v>16.336273079416099</v>
      </c>
      <c r="T521" s="4">
        <f t="shared" si="34"/>
        <v>16.186005714878302</v>
      </c>
      <c r="W521" s="4" t="str">
        <f>"eif-2beta"</f>
        <v>eif-2beta</v>
      </c>
      <c r="X521" s="4">
        <v>16.551774646993898</v>
      </c>
      <c r="Y521" s="4">
        <v>16.108280457319498</v>
      </c>
      <c r="Z521" s="4">
        <v>16.041323702677399</v>
      </c>
      <c r="AA521" s="4">
        <f t="shared" si="35"/>
        <v>16.233792935663601</v>
      </c>
      <c r="AH521" s="1"/>
      <c r="AI521" s="1"/>
      <c r="AJ521" s="4" t="s">
        <v>2620</v>
      </c>
    </row>
    <row r="522" spans="2:36" x14ac:dyDescent="0.2">
      <c r="B522" s="4" t="s">
        <v>3013</v>
      </c>
      <c r="C522" s="4">
        <v>16.366700000000002</v>
      </c>
      <c r="D522" s="4">
        <v>16.278300000000002</v>
      </c>
      <c r="E522" s="4">
        <v>16.336300000000001</v>
      </c>
      <c r="F522" s="4">
        <f t="shared" si="32"/>
        <v>16.327100000000002</v>
      </c>
      <c r="I522" s="4" t="s">
        <v>1161</v>
      </c>
      <c r="J522" s="4">
        <v>16.320499999999999</v>
      </c>
      <c r="K522" s="4">
        <v>16.604099999999999</v>
      </c>
      <c r="L522" s="4">
        <v>16.368500000000001</v>
      </c>
      <c r="M522" s="4">
        <f t="shared" si="33"/>
        <v>16.431033333333332</v>
      </c>
      <c r="P522" s="4" t="str">
        <f>"gsp-1"</f>
        <v>gsp-1</v>
      </c>
      <c r="Q522" s="4">
        <v>16.337421095974602</v>
      </c>
      <c r="R522" s="4">
        <v>16.0053322458457</v>
      </c>
      <c r="S522" s="4">
        <v>16.206452321304901</v>
      </c>
      <c r="T522" s="4">
        <f t="shared" si="34"/>
        <v>16.183068554375065</v>
      </c>
      <c r="W522" s="4" t="str">
        <f>"mcm-6"</f>
        <v>mcm-6</v>
      </c>
      <c r="X522" s="4">
        <v>16.2886239972038</v>
      </c>
      <c r="Y522" s="4">
        <v>16.218827478499399</v>
      </c>
      <c r="Z522" s="4">
        <v>16.1757286823456</v>
      </c>
      <c r="AA522" s="4">
        <f t="shared" si="35"/>
        <v>16.227726719349601</v>
      </c>
      <c r="AH522" s="1"/>
      <c r="AI522" s="1"/>
      <c r="AJ522" s="4" t="s">
        <v>1839</v>
      </c>
    </row>
    <row r="523" spans="2:36" x14ac:dyDescent="0.2">
      <c r="B523" s="4" t="s">
        <v>2809</v>
      </c>
      <c r="C523" s="4">
        <v>17.0382</v>
      </c>
      <c r="D523" s="4">
        <v>15.727399999999999</v>
      </c>
      <c r="E523" s="4">
        <v>16.213799999999999</v>
      </c>
      <c r="F523" s="4">
        <f t="shared" si="32"/>
        <v>16.326466666666665</v>
      </c>
      <c r="I523" s="4" t="s">
        <v>2564</v>
      </c>
      <c r="J523" s="4">
        <v>16.3567</v>
      </c>
      <c r="K523" s="4">
        <v>16.603999999999999</v>
      </c>
      <c r="L523" s="4">
        <v>16.3264</v>
      </c>
      <c r="M523" s="4">
        <f t="shared" si="33"/>
        <v>16.429033333333333</v>
      </c>
      <c r="P523" s="4" t="str">
        <f>"tkt-1"</f>
        <v>tkt-1</v>
      </c>
      <c r="Q523" s="4">
        <v>16.146513851932902</v>
      </c>
      <c r="R523" s="4">
        <v>16.053835358401699</v>
      </c>
      <c r="S523" s="4">
        <v>16.347742196475899</v>
      </c>
      <c r="T523" s="4">
        <f t="shared" si="34"/>
        <v>16.182697135603501</v>
      </c>
      <c r="W523" s="4" t="str">
        <f>"ule-5"</f>
        <v>ule-5</v>
      </c>
      <c r="X523" s="4">
        <v>16.192632043481801</v>
      </c>
      <c r="Y523" s="4">
        <v>16.105065647952099</v>
      </c>
      <c r="Z523" s="4">
        <v>16.3740838702026</v>
      </c>
      <c r="AA523" s="4">
        <f t="shared" si="35"/>
        <v>16.223927187212166</v>
      </c>
      <c r="AH523" s="1"/>
      <c r="AI523" s="1"/>
      <c r="AJ523" s="4" t="s">
        <v>3054</v>
      </c>
    </row>
    <row r="524" spans="2:36" x14ac:dyDescent="0.2">
      <c r="B524" s="4" t="s">
        <v>692</v>
      </c>
      <c r="C524" s="4">
        <v>16.1327</v>
      </c>
      <c r="D524" s="4">
        <v>16.4039</v>
      </c>
      <c r="E524" s="4">
        <v>16.431000000000001</v>
      </c>
      <c r="F524" s="4">
        <f t="shared" si="32"/>
        <v>16.322533333333336</v>
      </c>
      <c r="I524" s="4" t="s">
        <v>1643</v>
      </c>
      <c r="J524" s="4">
        <v>16.3947</v>
      </c>
      <c r="K524" s="4">
        <v>16.311499999999999</v>
      </c>
      <c r="L524" s="4">
        <v>16.566299999999998</v>
      </c>
      <c r="M524" s="4">
        <f t="shared" si="33"/>
        <v>16.424166666666665</v>
      </c>
      <c r="P524" s="4" t="str">
        <f>"R186.8"</f>
        <v>R186.8</v>
      </c>
      <c r="Q524" s="4">
        <v>16.611553588037602</v>
      </c>
      <c r="R524" s="4">
        <v>15.922754213584801</v>
      </c>
      <c r="S524" s="4">
        <v>16.013505932233901</v>
      </c>
      <c r="T524" s="4">
        <f t="shared" si="34"/>
        <v>16.182604577952102</v>
      </c>
      <c r="W524" s="4" t="str">
        <f>"vab-10"</f>
        <v>vab-10</v>
      </c>
      <c r="X524" s="4">
        <v>16.114326767297001</v>
      </c>
      <c r="Y524" s="4">
        <v>16.081596096088699</v>
      </c>
      <c r="Z524" s="4">
        <v>16.460637316029</v>
      </c>
      <c r="AA524" s="4">
        <f t="shared" si="35"/>
        <v>16.218853393138236</v>
      </c>
      <c r="AH524" s="1"/>
      <c r="AI524" s="1"/>
      <c r="AJ524" s="4" t="s">
        <v>3692</v>
      </c>
    </row>
    <row r="525" spans="2:36" x14ac:dyDescent="0.2">
      <c r="B525" s="4" t="s">
        <v>798</v>
      </c>
      <c r="C525" s="4">
        <v>16.2562</v>
      </c>
      <c r="D525" s="4">
        <v>16.466999999999999</v>
      </c>
      <c r="E525" s="4">
        <v>16.2423</v>
      </c>
      <c r="F525" s="4">
        <f t="shared" si="32"/>
        <v>16.321833333333334</v>
      </c>
      <c r="I525" s="4" t="s">
        <v>3744</v>
      </c>
      <c r="J525" s="4">
        <v>16.491499999999998</v>
      </c>
      <c r="K525" s="4">
        <v>16.317900000000002</v>
      </c>
      <c r="L525" s="4">
        <v>16.4526</v>
      </c>
      <c r="M525" s="4">
        <f t="shared" si="33"/>
        <v>16.420666666666666</v>
      </c>
      <c r="P525" s="4" t="str">
        <f>"wapl-1"</f>
        <v>wapl-1</v>
      </c>
      <c r="Q525" s="4">
        <v>16.228893492428</v>
      </c>
      <c r="R525" s="4">
        <v>16.204077107417099</v>
      </c>
      <c r="S525" s="4">
        <v>16.1031219382557</v>
      </c>
      <c r="T525" s="4">
        <f t="shared" si="34"/>
        <v>16.178697512700268</v>
      </c>
      <c r="W525" s="4" t="str">
        <f>"fecl-1"</f>
        <v>fecl-1</v>
      </c>
      <c r="X525" s="4">
        <v>16.003636918204599</v>
      </c>
      <c r="Y525" s="4">
        <v>16.279479211246699</v>
      </c>
      <c r="Z525" s="4">
        <v>16.357831588238799</v>
      </c>
      <c r="AA525" s="4">
        <f t="shared" si="35"/>
        <v>16.213649239230033</v>
      </c>
      <c r="AH525" s="1"/>
      <c r="AI525" s="1"/>
      <c r="AJ525" s="4" t="s">
        <v>4423</v>
      </c>
    </row>
    <row r="526" spans="2:36" x14ac:dyDescent="0.2">
      <c r="B526" s="4" t="s">
        <v>1925</v>
      </c>
      <c r="C526" s="4">
        <v>16.563199999999998</v>
      </c>
      <c r="D526" s="4">
        <v>16.0869</v>
      </c>
      <c r="E526" s="4">
        <v>16.314699999999998</v>
      </c>
      <c r="F526" s="4">
        <f t="shared" si="32"/>
        <v>16.3216</v>
      </c>
      <c r="I526" s="4" t="s">
        <v>1427</v>
      </c>
      <c r="J526" s="4">
        <v>16.697299999999998</v>
      </c>
      <c r="K526" s="4">
        <v>16.117999999999999</v>
      </c>
      <c r="L526" s="4">
        <v>16.4466</v>
      </c>
      <c r="M526" s="4">
        <f t="shared" si="33"/>
        <v>16.420633333333331</v>
      </c>
      <c r="P526" s="4" t="str">
        <f>"H04M03.3"</f>
        <v>H04M03.3</v>
      </c>
      <c r="Q526" s="4">
        <v>16.301534521999798</v>
      </c>
      <c r="R526" s="4">
        <v>16.0535006813416</v>
      </c>
      <c r="S526" s="4">
        <v>16.1792490965897</v>
      </c>
      <c r="T526" s="4">
        <f t="shared" si="34"/>
        <v>16.178094766643699</v>
      </c>
      <c r="W526" s="4" t="str">
        <f>"pqn-27"</f>
        <v>pqn-27</v>
      </c>
      <c r="X526" s="4">
        <v>16.194149585760002</v>
      </c>
      <c r="Y526" s="4">
        <v>16.261239310953901</v>
      </c>
      <c r="Z526" s="4">
        <v>16.179176182457699</v>
      </c>
      <c r="AA526" s="4">
        <f t="shared" si="35"/>
        <v>16.211521693057197</v>
      </c>
      <c r="AH526" s="1"/>
      <c r="AI526" s="1"/>
      <c r="AJ526" s="4" t="s">
        <v>3474</v>
      </c>
    </row>
    <row r="527" spans="2:36" x14ac:dyDescent="0.2">
      <c r="B527" s="4" t="s">
        <v>1473</v>
      </c>
      <c r="C527" s="4">
        <v>16.3414</v>
      </c>
      <c r="D527" s="4">
        <v>16.610199999999999</v>
      </c>
      <c r="E527" s="4">
        <v>16.0107</v>
      </c>
      <c r="F527" s="4">
        <f t="shared" si="32"/>
        <v>16.320766666666668</v>
      </c>
      <c r="I527" s="4" t="s">
        <v>2429</v>
      </c>
      <c r="J527" s="4">
        <v>16.415900000000001</v>
      </c>
      <c r="K527" s="4">
        <v>16.557600000000001</v>
      </c>
      <c r="L527" s="4">
        <v>16.2883</v>
      </c>
      <c r="M527" s="4">
        <f t="shared" si="33"/>
        <v>16.4206</v>
      </c>
      <c r="P527" s="4" t="str">
        <f>"eelo-2"</f>
        <v>eelo-2</v>
      </c>
      <c r="Q527" s="4">
        <v>16.415726406363401</v>
      </c>
      <c r="R527" s="4">
        <v>15.9279473283058</v>
      </c>
      <c r="S527" s="4">
        <v>16.1613746126724</v>
      </c>
      <c r="T527" s="4">
        <f t="shared" si="34"/>
        <v>16.168349449113865</v>
      </c>
      <c r="W527" s="4" t="str">
        <f>"idh-1"</f>
        <v>idh-1</v>
      </c>
      <c r="X527" s="4">
        <v>16.090219145402699</v>
      </c>
      <c r="Y527" s="4">
        <v>16.277014108202199</v>
      </c>
      <c r="Z527" s="4">
        <v>16.2644079530052</v>
      </c>
      <c r="AA527" s="4">
        <f t="shared" si="35"/>
        <v>16.210547068870031</v>
      </c>
      <c r="AH527" s="1"/>
      <c r="AI527" s="1"/>
      <c r="AJ527" s="4" t="s">
        <v>4504</v>
      </c>
    </row>
    <row r="528" spans="2:36" x14ac:dyDescent="0.2">
      <c r="B528" s="4" t="s">
        <v>3494</v>
      </c>
      <c r="C528" s="4">
        <v>16.292899999999999</v>
      </c>
      <c r="D528" s="4">
        <v>16.406400000000001</v>
      </c>
      <c r="E528" s="4">
        <v>16.2544</v>
      </c>
      <c r="F528" s="4">
        <f t="shared" si="32"/>
        <v>16.317899999999998</v>
      </c>
      <c r="I528" s="4" t="s">
        <v>1208</v>
      </c>
      <c r="J528" s="4">
        <v>16.485800000000001</v>
      </c>
      <c r="K528" s="4">
        <v>16.4255</v>
      </c>
      <c r="L528" s="4">
        <v>16.344200000000001</v>
      </c>
      <c r="M528" s="4">
        <f t="shared" si="33"/>
        <v>16.418499999999998</v>
      </c>
      <c r="P528" s="4" t="str">
        <f>"pqn-27"</f>
        <v>pqn-27</v>
      </c>
      <c r="Q528" s="4">
        <v>16.138111144127802</v>
      </c>
      <c r="R528" s="4">
        <v>16.100039470525001</v>
      </c>
      <c r="S528" s="4">
        <v>16.264017957629001</v>
      </c>
      <c r="T528" s="4">
        <f t="shared" si="34"/>
        <v>16.167389524093934</v>
      </c>
      <c r="W528" s="4" t="str">
        <f>"nuo-1"</f>
        <v>nuo-1</v>
      </c>
      <c r="X528" s="4">
        <v>15.937255900736901</v>
      </c>
      <c r="Y528" s="4">
        <v>16.275699966149901</v>
      </c>
      <c r="Z528" s="4">
        <v>16.384196788817299</v>
      </c>
      <c r="AA528" s="4">
        <f t="shared" si="35"/>
        <v>16.199050885234701</v>
      </c>
      <c r="AH528" s="1"/>
      <c r="AI528" s="1"/>
      <c r="AJ528" s="4" t="s">
        <v>733</v>
      </c>
    </row>
    <row r="529" spans="2:36" x14ac:dyDescent="0.2">
      <c r="B529" s="4" t="s">
        <v>2078</v>
      </c>
      <c r="C529" s="4">
        <v>16.337800000000001</v>
      </c>
      <c r="D529" s="4">
        <v>16.4665</v>
      </c>
      <c r="E529" s="4">
        <v>16.1448</v>
      </c>
      <c r="F529" s="4">
        <f t="shared" si="32"/>
        <v>16.316366666666667</v>
      </c>
      <c r="I529" s="4" t="s">
        <v>1214</v>
      </c>
      <c r="J529" s="4">
        <v>16.741099999999999</v>
      </c>
      <c r="K529" s="4">
        <v>16.318999999999999</v>
      </c>
      <c r="L529" s="4">
        <v>16.190100000000001</v>
      </c>
      <c r="M529" s="4">
        <f t="shared" si="33"/>
        <v>16.416733333333333</v>
      </c>
      <c r="P529" s="4" t="str">
        <f>"cdc-42"</f>
        <v>cdc-42</v>
      </c>
      <c r="Q529" s="4">
        <v>16.266392383300801</v>
      </c>
      <c r="R529" s="4">
        <v>16.109109381668699</v>
      </c>
      <c r="S529" s="4">
        <v>16.125015622091802</v>
      </c>
      <c r="T529" s="4">
        <f t="shared" si="34"/>
        <v>16.166839129020435</v>
      </c>
      <c r="W529" s="4" t="str">
        <f>"rpn-1"</f>
        <v>rpn-1</v>
      </c>
      <c r="X529" s="4">
        <v>16.164463212947702</v>
      </c>
      <c r="Y529" s="4">
        <v>16.260154582450799</v>
      </c>
      <c r="Z529" s="4">
        <v>16.166970356511001</v>
      </c>
      <c r="AA529" s="4">
        <f t="shared" si="35"/>
        <v>16.197196050636503</v>
      </c>
      <c r="AH529" s="1"/>
      <c r="AI529" s="1"/>
      <c r="AJ529" s="4" t="s">
        <v>4329</v>
      </c>
    </row>
    <row r="530" spans="2:36" x14ac:dyDescent="0.2">
      <c r="B530" s="4" t="s">
        <v>2321</v>
      </c>
      <c r="C530" s="4">
        <v>16.390599999999999</v>
      </c>
      <c r="D530" s="4">
        <v>16.214300000000001</v>
      </c>
      <c r="E530" s="4">
        <v>16.341999999999999</v>
      </c>
      <c r="F530" s="4">
        <f t="shared" si="32"/>
        <v>16.315633333333334</v>
      </c>
      <c r="I530" s="4" t="s">
        <v>659</v>
      </c>
      <c r="J530" s="4">
        <v>15.8124</v>
      </c>
      <c r="K530" s="4">
        <v>16.3825</v>
      </c>
      <c r="L530" s="4">
        <v>17.032699999999998</v>
      </c>
      <c r="M530" s="4">
        <f t="shared" si="33"/>
        <v>16.409200000000002</v>
      </c>
      <c r="P530" s="4" t="str">
        <f>"let-716"</f>
        <v>let-716</v>
      </c>
      <c r="Q530" s="4">
        <v>16.0314217763014</v>
      </c>
      <c r="R530" s="4">
        <v>16.4300867901446</v>
      </c>
      <c r="S530" s="4">
        <v>16.038789022203801</v>
      </c>
      <c r="T530" s="4">
        <f t="shared" si="34"/>
        <v>16.166765862883267</v>
      </c>
      <c r="W530" s="4" t="str">
        <f>"npp-6"</f>
        <v>npp-6</v>
      </c>
      <c r="X530" s="4">
        <v>16.304055609025699</v>
      </c>
      <c r="Y530" s="4">
        <v>16.163080252603201</v>
      </c>
      <c r="Z530" s="4">
        <v>16.123004831999801</v>
      </c>
      <c r="AA530" s="4">
        <f t="shared" si="35"/>
        <v>16.1967135645429</v>
      </c>
      <c r="AH530" s="1"/>
      <c r="AI530" s="1"/>
      <c r="AJ530" s="4" t="s">
        <v>914</v>
      </c>
    </row>
    <row r="531" spans="2:36" x14ac:dyDescent="0.2">
      <c r="B531" s="4" t="s">
        <v>100</v>
      </c>
      <c r="C531" s="4">
        <v>16.214200000000002</v>
      </c>
      <c r="D531" s="4">
        <v>16.488900000000001</v>
      </c>
      <c r="E531" s="4">
        <v>16.2422</v>
      </c>
      <c r="F531" s="4">
        <f t="shared" si="32"/>
        <v>16.315100000000001</v>
      </c>
      <c r="I531" s="4" t="s">
        <v>1716</v>
      </c>
      <c r="J531" s="4">
        <v>16.562799999999999</v>
      </c>
      <c r="K531" s="4">
        <v>16.482600000000001</v>
      </c>
      <c r="L531" s="4">
        <v>16.181100000000001</v>
      </c>
      <c r="M531" s="4">
        <f t="shared" si="33"/>
        <v>16.408833333333334</v>
      </c>
      <c r="P531" s="4" t="str">
        <f>"nsun-1"</f>
        <v>nsun-1</v>
      </c>
      <c r="Q531" s="4">
        <v>16.836780123244601</v>
      </c>
      <c r="R531" s="4">
        <v>15.889209572624299</v>
      </c>
      <c r="S531" s="4">
        <v>15.759567366477899</v>
      </c>
      <c r="T531" s="4">
        <f t="shared" si="34"/>
        <v>16.161852354115599</v>
      </c>
      <c r="W531" s="4" t="str">
        <f>"mrps-11"</f>
        <v>mrps-11</v>
      </c>
      <c r="X531" s="4">
        <v>16.212932569429601</v>
      </c>
      <c r="Y531" s="4">
        <v>16.070908888951202</v>
      </c>
      <c r="Z531" s="4">
        <v>16.304671391791</v>
      </c>
      <c r="AA531" s="4">
        <f t="shared" si="35"/>
        <v>16.196170950057269</v>
      </c>
      <c r="AH531" s="1"/>
      <c r="AI531" s="1"/>
      <c r="AJ531" s="4" t="s">
        <v>2981</v>
      </c>
    </row>
    <row r="532" spans="2:36" x14ac:dyDescent="0.2">
      <c r="B532" s="4" t="s">
        <v>3744</v>
      </c>
      <c r="C532" s="4">
        <v>16.4221</v>
      </c>
      <c r="D532" s="4">
        <v>16.349499999999999</v>
      </c>
      <c r="E532" s="4">
        <v>16.171900000000001</v>
      </c>
      <c r="F532" s="4">
        <f t="shared" si="32"/>
        <v>16.314499999999999</v>
      </c>
      <c r="I532" s="4" t="s">
        <v>1657</v>
      </c>
      <c r="J532" s="4">
        <v>16.399799999999999</v>
      </c>
      <c r="K532" s="4">
        <v>16.648199999999999</v>
      </c>
      <c r="L532" s="4">
        <v>16.160299999999999</v>
      </c>
      <c r="M532" s="4">
        <f t="shared" si="33"/>
        <v>16.402766666666668</v>
      </c>
      <c r="P532" s="4" t="str">
        <f>"F53C11.3"</f>
        <v>F53C11.3</v>
      </c>
      <c r="Q532" s="4">
        <v>16.289392168629799</v>
      </c>
      <c r="R532" s="4">
        <v>15.848028461403199</v>
      </c>
      <c r="S532" s="4">
        <v>16.346367360128401</v>
      </c>
      <c r="T532" s="4">
        <f t="shared" si="34"/>
        <v>16.161262663387134</v>
      </c>
      <c r="W532" s="4" t="str">
        <f>"qars-1"</f>
        <v>qars-1</v>
      </c>
      <c r="X532" s="4">
        <v>16.317229610280801</v>
      </c>
      <c r="Y532" s="4">
        <v>16.267173353280501</v>
      </c>
      <c r="Z532" s="4">
        <v>15.9893856860932</v>
      </c>
      <c r="AA532" s="4">
        <f t="shared" si="35"/>
        <v>16.191262883218169</v>
      </c>
      <c r="AH532" s="1"/>
      <c r="AI532" s="1"/>
      <c r="AJ532" s="4" t="s">
        <v>4298</v>
      </c>
    </row>
    <row r="533" spans="2:36" x14ac:dyDescent="0.2">
      <c r="B533" s="4" t="s">
        <v>4062</v>
      </c>
      <c r="C533" s="4">
        <v>16.3964</v>
      </c>
      <c r="D533" s="4">
        <v>16.473700000000001</v>
      </c>
      <c r="E533" s="4">
        <v>16.065200000000001</v>
      </c>
      <c r="F533" s="4">
        <f t="shared" si="32"/>
        <v>16.311766666666667</v>
      </c>
      <c r="I533" s="4" t="s">
        <v>2093</v>
      </c>
      <c r="J533" s="4">
        <v>16.452300000000001</v>
      </c>
      <c r="K533" s="4">
        <v>16.3355</v>
      </c>
      <c r="L533" s="4">
        <v>16.411999999999999</v>
      </c>
      <c r="M533" s="4">
        <f t="shared" si="33"/>
        <v>16.399933333333333</v>
      </c>
      <c r="P533" s="4" t="str">
        <f>"ttll-12"</f>
        <v>ttll-12</v>
      </c>
      <c r="Q533" s="4">
        <v>16.273605081048601</v>
      </c>
      <c r="R533" s="4">
        <v>16.080576787244301</v>
      </c>
      <c r="S533" s="4">
        <v>16.117272679647101</v>
      </c>
      <c r="T533" s="4">
        <f t="shared" si="34"/>
        <v>16.157151515980001</v>
      </c>
      <c r="W533" s="4" t="str">
        <f>"dlst-1"</f>
        <v>dlst-1</v>
      </c>
      <c r="X533" s="4">
        <v>16.153058558519302</v>
      </c>
      <c r="Y533" s="4">
        <v>16.3400116073745</v>
      </c>
      <c r="Z533" s="4">
        <v>16.0689148762992</v>
      </c>
      <c r="AA533" s="4">
        <f t="shared" si="35"/>
        <v>16.187328347397667</v>
      </c>
      <c r="AH533" s="1"/>
      <c r="AI533" s="1"/>
      <c r="AJ533" s="4" t="s">
        <v>1706</v>
      </c>
    </row>
    <row r="534" spans="2:36" x14ac:dyDescent="0.2">
      <c r="B534" s="4" t="s">
        <v>1744</v>
      </c>
      <c r="C534" s="4">
        <v>16.3733</v>
      </c>
      <c r="D534" s="4">
        <v>16.451499999999999</v>
      </c>
      <c r="E534" s="4">
        <v>16.1068</v>
      </c>
      <c r="F534" s="4">
        <f t="shared" si="32"/>
        <v>16.310533333333332</v>
      </c>
      <c r="I534" s="4" t="s">
        <v>583</v>
      </c>
      <c r="J534" s="4">
        <v>16.550599999999999</v>
      </c>
      <c r="K534" s="4">
        <v>16.062100000000001</v>
      </c>
      <c r="L534" s="4">
        <v>16.581</v>
      </c>
      <c r="M534" s="4">
        <f t="shared" si="33"/>
        <v>16.397900000000003</v>
      </c>
      <c r="P534" s="4" t="str">
        <f>"cyp-44A1"</f>
        <v>cyp-44A1</v>
      </c>
      <c r="Q534" s="4">
        <v>16.4670569990035</v>
      </c>
      <c r="R534" s="4">
        <v>16.003098447483001</v>
      </c>
      <c r="S534" s="4">
        <v>15.994946880971</v>
      </c>
      <c r="T534" s="4">
        <f t="shared" si="34"/>
        <v>16.155034109152499</v>
      </c>
      <c r="W534" s="4" t="str">
        <f>"nduf-2.2"</f>
        <v>nduf-2.2</v>
      </c>
      <c r="X534" s="4">
        <v>16.080687685548799</v>
      </c>
      <c r="Y534" s="4">
        <v>16.136541329628201</v>
      </c>
      <c r="Z534" s="4">
        <v>16.3327311362834</v>
      </c>
      <c r="AA534" s="4">
        <f t="shared" si="35"/>
        <v>16.183320050486799</v>
      </c>
      <c r="AH534" s="1"/>
      <c r="AI534" s="1"/>
      <c r="AJ534" s="4" t="s">
        <v>456</v>
      </c>
    </row>
    <row r="535" spans="2:36" x14ac:dyDescent="0.2">
      <c r="B535" s="4" t="s">
        <v>1220</v>
      </c>
      <c r="C535" s="4">
        <v>16.391200000000001</v>
      </c>
      <c r="D535" s="4">
        <v>16.226400000000002</v>
      </c>
      <c r="E535" s="4">
        <v>16.3032</v>
      </c>
      <c r="F535" s="4">
        <f t="shared" si="32"/>
        <v>16.306933333333333</v>
      </c>
      <c r="I535" s="4" t="s">
        <v>3775</v>
      </c>
      <c r="J535" s="4">
        <v>16.2576</v>
      </c>
      <c r="K535" s="4">
        <v>16.579999999999998</v>
      </c>
      <c r="L535" s="4">
        <v>16.339300000000001</v>
      </c>
      <c r="M535" s="4">
        <f t="shared" si="33"/>
        <v>16.392299999999999</v>
      </c>
      <c r="P535" s="4" t="str">
        <f>"asb-2"</f>
        <v>asb-2</v>
      </c>
      <c r="Q535" s="4">
        <v>16.1061749152712</v>
      </c>
      <c r="R535" s="4">
        <v>15.984744448665801</v>
      </c>
      <c r="S535" s="4">
        <v>16.3737989073066</v>
      </c>
      <c r="T535" s="4">
        <f t="shared" si="34"/>
        <v>16.154906090414535</v>
      </c>
      <c r="W535" s="4" t="str">
        <f>"Y48A6B.3"</f>
        <v>Y48A6B.3</v>
      </c>
      <c r="X535" s="4">
        <v>16.533287874578001</v>
      </c>
      <c r="Y535" s="4">
        <v>16.120575206089899</v>
      </c>
      <c r="Z535" s="4">
        <v>15.8944472467194</v>
      </c>
      <c r="AA535" s="4">
        <f t="shared" si="35"/>
        <v>16.182770109129102</v>
      </c>
      <c r="AH535" s="1"/>
      <c r="AI535" s="1"/>
      <c r="AJ535" s="4" t="s">
        <v>3091</v>
      </c>
    </row>
    <row r="536" spans="2:36" x14ac:dyDescent="0.2">
      <c r="B536" s="4" t="s">
        <v>2065</v>
      </c>
      <c r="C536" s="4">
        <v>16.282</v>
      </c>
      <c r="D536" s="4">
        <v>16.234999999999999</v>
      </c>
      <c r="E536" s="4">
        <v>16.398700000000002</v>
      </c>
      <c r="F536" s="4">
        <f t="shared" si="32"/>
        <v>16.305233333333334</v>
      </c>
      <c r="I536" s="4" t="s">
        <v>3856</v>
      </c>
      <c r="J536" s="4">
        <v>16.456299999999999</v>
      </c>
      <c r="K536" s="4">
        <v>16.506399999999999</v>
      </c>
      <c r="L536" s="4">
        <v>16.1724</v>
      </c>
      <c r="M536" s="4">
        <f t="shared" si="33"/>
        <v>16.378366666666665</v>
      </c>
      <c r="P536" s="4" t="str">
        <f>"mcu-1"</f>
        <v>mcu-1</v>
      </c>
      <c r="Q536" s="4">
        <v>16.4750903183354</v>
      </c>
      <c r="R536" s="4">
        <v>15.891390516503799</v>
      </c>
      <c r="S536" s="4">
        <v>16.042322693823699</v>
      </c>
      <c r="T536" s="4">
        <f t="shared" si="34"/>
        <v>16.136267842887634</v>
      </c>
      <c r="W536" s="4" t="str">
        <f>"ZC247.1"</f>
        <v>ZC247.1</v>
      </c>
      <c r="X536" s="4">
        <v>16.278203577175301</v>
      </c>
      <c r="Y536" s="4">
        <v>16.021656695080701</v>
      </c>
      <c r="Z536" s="4">
        <v>16.237778627918701</v>
      </c>
      <c r="AA536" s="4">
        <f t="shared" si="35"/>
        <v>16.179212966724901</v>
      </c>
      <c r="AH536" s="1"/>
      <c r="AI536" s="1"/>
      <c r="AJ536" s="4" t="s">
        <v>2165</v>
      </c>
    </row>
    <row r="537" spans="2:36" x14ac:dyDescent="0.2">
      <c r="B537" s="4" t="s">
        <v>2631</v>
      </c>
      <c r="C537" s="4">
        <v>16.290400000000002</v>
      </c>
      <c r="D537" s="4">
        <v>16.255800000000001</v>
      </c>
      <c r="E537" s="4">
        <v>16.3157</v>
      </c>
      <c r="F537" s="4">
        <f t="shared" si="32"/>
        <v>16.287299999999998</v>
      </c>
      <c r="I537" s="4" t="s">
        <v>3420</v>
      </c>
      <c r="J537" s="4">
        <v>16.3856</v>
      </c>
      <c r="K537" s="4">
        <v>16.491499999999998</v>
      </c>
      <c r="L537" s="4">
        <v>16.255800000000001</v>
      </c>
      <c r="M537" s="4">
        <f t="shared" si="33"/>
        <v>16.377633333333332</v>
      </c>
      <c r="P537" s="4" t="str">
        <f>"emb-4"</f>
        <v>emb-4</v>
      </c>
      <c r="Q537" s="4">
        <v>16.172520075583201</v>
      </c>
      <c r="R537" s="4">
        <v>16.158019266644299</v>
      </c>
      <c r="S537" s="4">
        <v>16.0767427858563</v>
      </c>
      <c r="T537" s="4">
        <f t="shared" si="34"/>
        <v>16.135760709361264</v>
      </c>
      <c r="W537" s="4" t="str">
        <f>"pam-1"</f>
        <v>pam-1</v>
      </c>
      <c r="X537" s="4">
        <v>16.122901287698198</v>
      </c>
      <c r="Y537" s="4">
        <v>16.220003482240902</v>
      </c>
      <c r="Z537" s="4">
        <v>16.187534589914801</v>
      </c>
      <c r="AA537" s="4">
        <f t="shared" si="35"/>
        <v>16.176813119951301</v>
      </c>
      <c r="AH537" s="1"/>
      <c r="AI537" s="1"/>
      <c r="AJ537" s="4" t="s">
        <v>2033</v>
      </c>
    </row>
    <row r="538" spans="2:36" x14ac:dyDescent="0.2">
      <c r="B538" s="4" t="s">
        <v>4010</v>
      </c>
      <c r="C538" s="4">
        <v>16.271699999999999</v>
      </c>
      <c r="D538" s="4">
        <v>16.140499999999999</v>
      </c>
      <c r="E538" s="4">
        <v>16.432400000000001</v>
      </c>
      <c r="F538" s="4">
        <f t="shared" si="32"/>
        <v>16.281533333333332</v>
      </c>
      <c r="I538" s="4" t="s">
        <v>1703</v>
      </c>
      <c r="J538" s="4">
        <v>16.532699999999998</v>
      </c>
      <c r="K538" s="4">
        <v>16.0943</v>
      </c>
      <c r="L538" s="4">
        <v>16.5044</v>
      </c>
      <c r="M538" s="4">
        <f t="shared" si="33"/>
        <v>16.377133333333333</v>
      </c>
      <c r="P538" s="4" t="str">
        <f>"laf-1"</f>
        <v>laf-1</v>
      </c>
      <c r="Q538" s="4">
        <v>16.190744215214099</v>
      </c>
      <c r="R538" s="4">
        <v>16.031562957899901</v>
      </c>
      <c r="S538" s="4">
        <v>16.183204604310099</v>
      </c>
      <c r="T538" s="4">
        <f t="shared" si="34"/>
        <v>16.135170592474701</v>
      </c>
      <c r="W538" s="4" t="str">
        <f>"nsun-2"</f>
        <v>nsun-2</v>
      </c>
      <c r="X538" s="4">
        <v>16.2260856945685</v>
      </c>
      <c r="Y538" s="4">
        <v>16.249713633443001</v>
      </c>
      <c r="Z538" s="4">
        <v>16.051374423640201</v>
      </c>
      <c r="AA538" s="4">
        <f t="shared" si="35"/>
        <v>16.175724583883902</v>
      </c>
      <c r="AH538" s="1"/>
      <c r="AI538" s="1"/>
      <c r="AJ538" s="4" t="s">
        <v>2504</v>
      </c>
    </row>
    <row r="539" spans="2:36" x14ac:dyDescent="0.2">
      <c r="B539" s="4" t="s">
        <v>1909</v>
      </c>
      <c r="C539" s="4">
        <v>16.410499999999999</v>
      </c>
      <c r="D539" s="4">
        <v>16.349599999999999</v>
      </c>
      <c r="E539" s="4">
        <v>16.0779</v>
      </c>
      <c r="F539" s="4">
        <f t="shared" si="32"/>
        <v>16.27933333333333</v>
      </c>
      <c r="I539" s="4" t="s">
        <v>2647</v>
      </c>
      <c r="J539" s="4">
        <v>16.497900000000001</v>
      </c>
      <c r="K539" s="4">
        <v>16.4267</v>
      </c>
      <c r="L539" s="4">
        <v>16.203299999999999</v>
      </c>
      <c r="M539" s="4">
        <f t="shared" si="33"/>
        <v>16.375966666666667</v>
      </c>
      <c r="P539" s="4" t="str">
        <f>"F02A9.10"</f>
        <v>F02A9.10</v>
      </c>
      <c r="Q539" s="4">
        <v>16.081924473451899</v>
      </c>
      <c r="R539" s="4">
        <v>15.755415220038399</v>
      </c>
      <c r="S539" s="4">
        <v>16.565918862037702</v>
      </c>
      <c r="T539" s="4">
        <f t="shared" si="34"/>
        <v>16.134419518509333</v>
      </c>
      <c r="W539" s="4" t="str">
        <f>"tars-1"</f>
        <v>tars-1</v>
      </c>
      <c r="X539" s="4">
        <v>16.124058274379099</v>
      </c>
      <c r="Y539" s="4">
        <v>16.2303079580965</v>
      </c>
      <c r="Z539" s="4">
        <v>16.1625798337401</v>
      </c>
      <c r="AA539" s="4">
        <f t="shared" si="35"/>
        <v>16.172315355405232</v>
      </c>
      <c r="AH539" s="1"/>
      <c r="AI539" s="1"/>
      <c r="AJ539" s="4" t="s">
        <v>2392</v>
      </c>
    </row>
    <row r="540" spans="2:36" x14ac:dyDescent="0.2">
      <c r="B540" s="4" t="s">
        <v>353</v>
      </c>
      <c r="C540" s="4">
        <v>16.242599999999999</v>
      </c>
      <c r="D540" s="4">
        <v>16.5212</v>
      </c>
      <c r="E540" s="4">
        <v>16.068100000000001</v>
      </c>
      <c r="F540" s="4">
        <f t="shared" si="32"/>
        <v>16.2773</v>
      </c>
      <c r="I540" s="4" t="s">
        <v>2065</v>
      </c>
      <c r="J540" s="4">
        <v>16.322900000000001</v>
      </c>
      <c r="K540" s="4">
        <v>16.327100000000002</v>
      </c>
      <c r="L540" s="4">
        <v>16.468299999999999</v>
      </c>
      <c r="M540" s="4">
        <f t="shared" si="33"/>
        <v>16.372766666666667</v>
      </c>
      <c r="P540" s="4" t="str">
        <f>"emb-9"</f>
        <v>emb-9</v>
      </c>
      <c r="Q540" s="4">
        <v>16.552694352831299</v>
      </c>
      <c r="R540" s="4">
        <v>15.5468051166365</v>
      </c>
      <c r="S540" s="4">
        <v>16.294445779626699</v>
      </c>
      <c r="T540" s="4">
        <f t="shared" si="34"/>
        <v>16.131315083031499</v>
      </c>
      <c r="W540" s="4" t="str">
        <f>"F42C5.9"</f>
        <v>F42C5.9</v>
      </c>
      <c r="X540" s="4">
        <v>16.357494377209001</v>
      </c>
      <c r="Y540" s="4">
        <v>16.073926744232999</v>
      </c>
      <c r="Z540" s="4">
        <v>16.0507540763635</v>
      </c>
      <c r="AA540" s="4">
        <f t="shared" si="35"/>
        <v>16.160725065935168</v>
      </c>
      <c r="AH540" s="1"/>
      <c r="AI540" s="1"/>
      <c r="AJ540" s="4" t="s">
        <v>1044</v>
      </c>
    </row>
    <row r="541" spans="2:36" x14ac:dyDescent="0.2">
      <c r="B541" s="4" t="s">
        <v>3420</v>
      </c>
      <c r="C541" s="4">
        <v>16.060199999999998</v>
      </c>
      <c r="D541" s="4">
        <v>16.433499999999999</v>
      </c>
      <c r="E541" s="4">
        <v>16.322600000000001</v>
      </c>
      <c r="F541" s="4">
        <f t="shared" si="32"/>
        <v>16.272099999999998</v>
      </c>
      <c r="I541" s="4" t="s">
        <v>766</v>
      </c>
      <c r="J541" s="4">
        <v>16.657</v>
      </c>
      <c r="K541" s="4">
        <v>16.176200000000001</v>
      </c>
      <c r="L541" s="4">
        <v>16.262</v>
      </c>
      <c r="M541" s="4">
        <f t="shared" si="33"/>
        <v>16.365066666666667</v>
      </c>
      <c r="P541" s="4" t="str">
        <f>"umps-1"</f>
        <v>umps-1</v>
      </c>
      <c r="Q541" s="4">
        <v>16.2451977261331</v>
      </c>
      <c r="R541" s="4">
        <v>16.097684091931999</v>
      </c>
      <c r="S541" s="4">
        <v>16.049397555400201</v>
      </c>
      <c r="T541" s="4">
        <f t="shared" si="34"/>
        <v>16.1307597911551</v>
      </c>
      <c r="W541" s="4" t="str">
        <f>"tin-44"</f>
        <v>tin-44</v>
      </c>
      <c r="X541" s="4">
        <v>16.0924512422406</v>
      </c>
      <c r="Y541" s="4">
        <v>16.118902987143699</v>
      </c>
      <c r="Z541" s="4">
        <v>16.2577018646368</v>
      </c>
      <c r="AA541" s="4">
        <f t="shared" si="35"/>
        <v>16.156352031340365</v>
      </c>
      <c r="AH541" s="1"/>
      <c r="AI541" s="1"/>
      <c r="AJ541" s="4" t="s">
        <v>1194</v>
      </c>
    </row>
    <row r="542" spans="2:36" x14ac:dyDescent="0.2">
      <c r="B542" s="4" t="s">
        <v>2238</v>
      </c>
      <c r="C542" s="4">
        <v>15.988799999999999</v>
      </c>
      <c r="D542" s="4">
        <v>16.506</v>
      </c>
      <c r="E542" s="4">
        <v>16.316299999999998</v>
      </c>
      <c r="F542" s="4">
        <f t="shared" si="32"/>
        <v>16.270366666666664</v>
      </c>
      <c r="I542" s="4" t="s">
        <v>2631</v>
      </c>
      <c r="J542" s="4">
        <v>16.3659</v>
      </c>
      <c r="K542" s="4">
        <v>16.286899999999999</v>
      </c>
      <c r="L542" s="4">
        <v>16.442299999999999</v>
      </c>
      <c r="M542" s="4">
        <f t="shared" si="33"/>
        <v>16.365033333333333</v>
      </c>
      <c r="P542" s="4" t="str">
        <f>"adr-1"</f>
        <v>adr-1</v>
      </c>
      <c r="Q542" s="4">
        <v>16.251175521131</v>
      </c>
      <c r="R542" s="4">
        <v>16.0946146169691</v>
      </c>
      <c r="S542" s="4">
        <v>16.018191901872001</v>
      </c>
      <c r="T542" s="4">
        <f t="shared" si="34"/>
        <v>16.121327346657367</v>
      </c>
      <c r="W542" s="4" t="str">
        <f>"rpn-11"</f>
        <v>rpn-11</v>
      </c>
      <c r="X542" s="4">
        <v>16.357915550436999</v>
      </c>
      <c r="Y542" s="4">
        <v>16.269475039308499</v>
      </c>
      <c r="Z542" s="4">
        <v>15.8413388444147</v>
      </c>
      <c r="AA542" s="4">
        <f t="shared" si="35"/>
        <v>16.156243144720069</v>
      </c>
      <c r="AH542" s="1"/>
      <c r="AJ542" s="4" t="s">
        <v>427</v>
      </c>
    </row>
    <row r="543" spans="2:36" x14ac:dyDescent="0.2">
      <c r="B543" s="4" t="s">
        <v>1043</v>
      </c>
      <c r="C543" s="4">
        <v>16.083300000000001</v>
      </c>
      <c r="D543" s="4">
        <v>16.483899999999998</v>
      </c>
      <c r="E543" s="4">
        <v>16.209700000000002</v>
      </c>
      <c r="F543" s="4">
        <f t="shared" si="32"/>
        <v>16.258966666666666</v>
      </c>
      <c r="I543" s="4" t="s">
        <v>2336</v>
      </c>
      <c r="J543" s="4">
        <v>16.5642</v>
      </c>
      <c r="K543" s="4">
        <v>16.320699999999999</v>
      </c>
      <c r="L543" s="4">
        <v>16.209199999999999</v>
      </c>
      <c r="M543" s="4">
        <f t="shared" si="33"/>
        <v>16.364699999999999</v>
      </c>
      <c r="P543" s="4" t="str">
        <f>"trm-2a"</f>
        <v>trm-2a</v>
      </c>
      <c r="Q543" s="4">
        <v>16.114921748036402</v>
      </c>
      <c r="R543" s="4">
        <v>16.125688948373</v>
      </c>
      <c r="S543" s="4">
        <v>16.118018568427502</v>
      </c>
      <c r="T543" s="4">
        <f t="shared" si="34"/>
        <v>16.11954308827897</v>
      </c>
      <c r="W543" s="4" t="str">
        <f>"mma-1"</f>
        <v>mma-1</v>
      </c>
      <c r="X543" s="4">
        <v>15.8673434349923</v>
      </c>
      <c r="Y543" s="4">
        <v>16.215280191188601</v>
      </c>
      <c r="Z543" s="4">
        <v>16.382347360719901</v>
      </c>
      <c r="AA543" s="4">
        <f t="shared" si="35"/>
        <v>16.154990328966935</v>
      </c>
      <c r="AH543" s="1"/>
      <c r="AJ543" s="4" t="s">
        <v>1857</v>
      </c>
    </row>
    <row r="544" spans="2:36" x14ac:dyDescent="0.2">
      <c r="B544" s="4" t="s">
        <v>532</v>
      </c>
      <c r="C544" s="4">
        <v>16.116</v>
      </c>
      <c r="D544" s="4">
        <v>16.516400000000001</v>
      </c>
      <c r="E544" s="4">
        <v>16.1433</v>
      </c>
      <c r="F544" s="4">
        <f t="shared" si="32"/>
        <v>16.258566666666667</v>
      </c>
      <c r="I544" s="4" t="s">
        <v>1830</v>
      </c>
      <c r="J544" s="4">
        <v>16.240300000000001</v>
      </c>
      <c r="K544" s="4">
        <v>16.555700000000002</v>
      </c>
      <c r="L544" s="4">
        <v>16.292200000000001</v>
      </c>
      <c r="M544" s="4">
        <f t="shared" si="33"/>
        <v>16.362733333333335</v>
      </c>
      <c r="P544" s="4" t="str">
        <f>"sel-2"</f>
        <v>sel-2</v>
      </c>
      <c r="Q544" s="4">
        <v>16.203327118474501</v>
      </c>
      <c r="R544" s="4">
        <v>16.155224301841599</v>
      </c>
      <c r="S544" s="4">
        <v>15.985163355281699</v>
      </c>
      <c r="T544" s="4">
        <f t="shared" si="34"/>
        <v>16.114571591865936</v>
      </c>
      <c r="W544" s="4" t="str">
        <f>"bcat-1"</f>
        <v>bcat-1</v>
      </c>
      <c r="X544" s="4">
        <v>15.943035189404901</v>
      </c>
      <c r="Y544" s="4">
        <v>16.103431160897699</v>
      </c>
      <c r="Z544" s="4">
        <v>16.407327951389298</v>
      </c>
      <c r="AA544" s="4">
        <f t="shared" si="35"/>
        <v>16.151264767230632</v>
      </c>
      <c r="AH544" s="1"/>
      <c r="AJ544" s="4" t="s">
        <v>1180</v>
      </c>
    </row>
    <row r="545" spans="2:36" x14ac:dyDescent="0.2">
      <c r="B545" s="4" t="s">
        <v>2989</v>
      </c>
      <c r="C545" s="4">
        <v>16.236699999999999</v>
      </c>
      <c r="D545" s="4">
        <v>16.357399999999998</v>
      </c>
      <c r="E545" s="4">
        <v>16.151</v>
      </c>
      <c r="F545" s="4">
        <f t="shared" si="32"/>
        <v>16.248366666666666</v>
      </c>
      <c r="I545" s="4" t="s">
        <v>3981</v>
      </c>
      <c r="J545" s="4">
        <v>16.192799999999998</v>
      </c>
      <c r="K545" s="4">
        <v>16.4895</v>
      </c>
      <c r="L545" s="4">
        <v>16.3949</v>
      </c>
      <c r="M545" s="4">
        <f t="shared" si="33"/>
        <v>16.359066666666667</v>
      </c>
      <c r="P545" s="4" t="str">
        <f>"kgb-1"</f>
        <v>kgb-1</v>
      </c>
      <c r="Q545" s="4">
        <v>15.9721159989931</v>
      </c>
      <c r="R545" s="4">
        <v>16.172683619439098</v>
      </c>
      <c r="S545" s="4">
        <v>16.1962754777147</v>
      </c>
      <c r="T545" s="4">
        <f t="shared" si="34"/>
        <v>16.113691698715634</v>
      </c>
      <c r="W545" s="4" t="str">
        <f>"pgl-1"</f>
        <v>pgl-1</v>
      </c>
      <c r="X545" s="4">
        <v>16.099594707636999</v>
      </c>
      <c r="Y545" s="4">
        <v>16.246630381562699</v>
      </c>
      <c r="Z545" s="4">
        <v>16.1002190600177</v>
      </c>
      <c r="AA545" s="4">
        <f t="shared" si="35"/>
        <v>16.148814716405798</v>
      </c>
      <c r="AH545" s="1"/>
      <c r="AJ545" s="4" t="s">
        <v>3320</v>
      </c>
    </row>
    <row r="546" spans="2:36" x14ac:dyDescent="0.2">
      <c r="B546" s="4" t="s">
        <v>2647</v>
      </c>
      <c r="C546" s="4">
        <v>16.355899999999998</v>
      </c>
      <c r="D546" s="4">
        <v>16.031199999999998</v>
      </c>
      <c r="E546" s="4">
        <v>16.351099999999999</v>
      </c>
      <c r="F546" s="4">
        <f t="shared" si="32"/>
        <v>16.246066666666664</v>
      </c>
      <c r="I546" s="4" t="s">
        <v>3967</v>
      </c>
      <c r="J546" s="4">
        <v>16.3461</v>
      </c>
      <c r="K546" s="4">
        <v>16.312000000000001</v>
      </c>
      <c r="L546" s="4">
        <v>16.416699999999999</v>
      </c>
      <c r="M546" s="4">
        <f t="shared" si="33"/>
        <v>16.358266666666669</v>
      </c>
      <c r="P546" s="4" t="str">
        <f>"rho-1"</f>
        <v>rho-1</v>
      </c>
      <c r="Q546" s="4">
        <v>16.307563732811602</v>
      </c>
      <c r="R546" s="4">
        <v>16.044440948757401</v>
      </c>
      <c r="S546" s="4">
        <v>15.9878746481467</v>
      </c>
      <c r="T546" s="4">
        <f t="shared" si="34"/>
        <v>16.113293109905232</v>
      </c>
      <c r="W546" s="4" t="str">
        <f>"ZK1236.1"</f>
        <v>ZK1236.1</v>
      </c>
      <c r="X546" s="4">
        <v>15.9750839404819</v>
      </c>
      <c r="Y546" s="4">
        <v>16.103105642425501</v>
      </c>
      <c r="Z546" s="4">
        <v>16.3634884845718</v>
      </c>
      <c r="AA546" s="4">
        <f t="shared" si="35"/>
        <v>16.147226022493069</v>
      </c>
      <c r="AH546" s="1"/>
      <c r="AJ546" s="4" t="s">
        <v>4498</v>
      </c>
    </row>
    <row r="547" spans="2:36" x14ac:dyDescent="0.2">
      <c r="B547" s="4" t="s">
        <v>1484</v>
      </c>
      <c r="C547" s="4">
        <v>16.1463</v>
      </c>
      <c r="D547" s="4">
        <v>16.3279</v>
      </c>
      <c r="E547" s="4">
        <v>16.2515</v>
      </c>
      <c r="F547" s="4">
        <f t="shared" si="32"/>
        <v>16.241899999999998</v>
      </c>
      <c r="I547" s="4" t="s">
        <v>2792</v>
      </c>
      <c r="J547" s="4">
        <v>16.435199999999998</v>
      </c>
      <c r="K547" s="4">
        <v>16.568999999999999</v>
      </c>
      <c r="L547" s="4">
        <v>16.068100000000001</v>
      </c>
      <c r="M547" s="4">
        <f t="shared" si="33"/>
        <v>16.357433333333333</v>
      </c>
      <c r="P547" s="4" t="str">
        <f>"cpt-2"</f>
        <v>cpt-2</v>
      </c>
      <c r="Q547" s="4">
        <v>16.4762994281704</v>
      </c>
      <c r="R547" s="4">
        <v>15.8314599873313</v>
      </c>
      <c r="S547" s="4">
        <v>16.0172957627526</v>
      </c>
      <c r="T547" s="4">
        <f t="shared" si="34"/>
        <v>16.108351726084766</v>
      </c>
      <c r="W547" s="4" t="str">
        <f>"nucl-1"</f>
        <v>nucl-1</v>
      </c>
      <c r="X547" s="4">
        <v>16.1703297806839</v>
      </c>
      <c r="Y547" s="4">
        <v>16.1412527532529</v>
      </c>
      <c r="Z547" s="4">
        <v>16.128610574541899</v>
      </c>
      <c r="AA547" s="4">
        <f t="shared" si="35"/>
        <v>16.146731036159565</v>
      </c>
      <c r="AJ547" s="4" t="s">
        <v>4479</v>
      </c>
    </row>
    <row r="548" spans="2:36" x14ac:dyDescent="0.2">
      <c r="B548" s="4" t="s">
        <v>1463</v>
      </c>
      <c r="C548" s="4">
        <v>15.9757</v>
      </c>
      <c r="D548" s="4">
        <v>16.521000000000001</v>
      </c>
      <c r="E548" s="4">
        <v>16.2256</v>
      </c>
      <c r="F548" s="4">
        <f t="shared" si="32"/>
        <v>16.240766666666669</v>
      </c>
      <c r="I548" s="4" t="s">
        <v>3712</v>
      </c>
      <c r="J548" s="4">
        <v>16.6113</v>
      </c>
      <c r="K548" s="4">
        <v>16.4053</v>
      </c>
      <c r="L548" s="4">
        <v>16.041699999999999</v>
      </c>
      <c r="M548" s="4">
        <f t="shared" si="33"/>
        <v>16.352766666666664</v>
      </c>
      <c r="P548" s="4" t="str">
        <f>"rab-8"</f>
        <v>rab-8</v>
      </c>
      <c r="Q548" s="4">
        <v>16.0526931571858</v>
      </c>
      <c r="R548" s="4">
        <v>16.1095879927461</v>
      </c>
      <c r="S548" s="4">
        <v>16.155829200885002</v>
      </c>
      <c r="T548" s="4">
        <f t="shared" si="34"/>
        <v>16.106036783605635</v>
      </c>
      <c r="W548" s="4" t="str">
        <f>"arx-6"</f>
        <v>arx-6</v>
      </c>
      <c r="X548" s="4">
        <v>16.249901144110101</v>
      </c>
      <c r="Y548" s="4">
        <v>16.189193707428601</v>
      </c>
      <c r="Z548" s="4">
        <v>15.9993021421918</v>
      </c>
      <c r="AA548" s="4">
        <f t="shared" si="35"/>
        <v>16.1461323312435</v>
      </c>
      <c r="AJ548" s="4" t="s">
        <v>2296</v>
      </c>
    </row>
    <row r="549" spans="2:36" x14ac:dyDescent="0.2">
      <c r="B549" s="4" t="s">
        <v>1025</v>
      </c>
      <c r="C549" s="4">
        <v>16.334099999999999</v>
      </c>
      <c r="D549" s="4">
        <v>16.325099999999999</v>
      </c>
      <c r="E549" s="4">
        <v>16.054099999999998</v>
      </c>
      <c r="F549" s="4">
        <f t="shared" si="32"/>
        <v>16.237766666666666</v>
      </c>
      <c r="I549" s="4" t="s">
        <v>2267</v>
      </c>
      <c r="J549" s="4">
        <v>16.248999999999999</v>
      </c>
      <c r="K549" s="4">
        <v>16.3504</v>
      </c>
      <c r="L549" s="4">
        <v>16.455200000000001</v>
      </c>
      <c r="M549" s="4">
        <f t="shared" si="33"/>
        <v>16.351533333333336</v>
      </c>
      <c r="P549" s="4" t="str">
        <f>"mcm-2"</f>
        <v>mcm-2</v>
      </c>
      <c r="Q549" s="4">
        <v>16.120415294573601</v>
      </c>
      <c r="R549" s="4">
        <v>16.137483899610299</v>
      </c>
      <c r="S549" s="4">
        <v>16.011030966883101</v>
      </c>
      <c r="T549" s="4">
        <f t="shared" si="34"/>
        <v>16.089643387022335</v>
      </c>
      <c r="W549" s="4" t="str">
        <f>"Y62H9A.5"</f>
        <v>Y62H9A.5</v>
      </c>
      <c r="X549" s="4">
        <v>15.999674449256201</v>
      </c>
      <c r="Y549" s="4">
        <v>16.013627592436599</v>
      </c>
      <c r="Z549" s="4">
        <v>16.423763367684799</v>
      </c>
      <c r="AA549" s="4">
        <f t="shared" si="35"/>
        <v>16.145688469792532</v>
      </c>
      <c r="AJ549" s="4" t="s">
        <v>2708</v>
      </c>
    </row>
    <row r="550" spans="2:36" x14ac:dyDescent="0.2">
      <c r="B550" s="4" t="s">
        <v>133</v>
      </c>
      <c r="C550" s="4">
        <v>16.3796</v>
      </c>
      <c r="D550" s="4">
        <v>16.267900000000001</v>
      </c>
      <c r="E550" s="4">
        <v>16.0642</v>
      </c>
      <c r="F550" s="4">
        <f t="shared" si="32"/>
        <v>16.237233333333332</v>
      </c>
      <c r="I550" s="4" t="s">
        <v>1463</v>
      </c>
      <c r="J550" s="4">
        <v>16.711400000000001</v>
      </c>
      <c r="K550" s="4">
        <v>16.337800000000001</v>
      </c>
      <c r="L550" s="4">
        <v>15.994300000000001</v>
      </c>
      <c r="M550" s="4">
        <f t="shared" si="33"/>
        <v>16.347833333333334</v>
      </c>
      <c r="P550" s="4" t="str">
        <f>"tln-1"</f>
        <v>tln-1</v>
      </c>
      <c r="Q550" s="4">
        <v>16.3881560930974</v>
      </c>
      <c r="R550" s="4">
        <v>15.7238694374063</v>
      </c>
      <c r="S550" s="4">
        <v>16.127842036382699</v>
      </c>
      <c r="T550" s="4">
        <f t="shared" si="34"/>
        <v>16.0799558556288</v>
      </c>
      <c r="W550" s="4" t="str">
        <f>"rfc-3"</f>
        <v>rfc-3</v>
      </c>
      <c r="X550" s="4">
        <v>16.136163210934001</v>
      </c>
      <c r="Y550" s="4">
        <v>16.258006290333999</v>
      </c>
      <c r="Z550" s="4">
        <v>16.041344110947399</v>
      </c>
      <c r="AA550" s="4">
        <f t="shared" si="35"/>
        <v>16.145171204071797</v>
      </c>
      <c r="AJ550" s="4" t="s">
        <v>4283</v>
      </c>
    </row>
    <row r="551" spans="2:36" x14ac:dyDescent="0.2">
      <c r="B551" s="4" t="s">
        <v>4636</v>
      </c>
      <c r="C551" s="4">
        <v>15.776899999999999</v>
      </c>
      <c r="D551" s="4">
        <v>16.606100000000001</v>
      </c>
      <c r="E551" s="4">
        <v>16.325399999999998</v>
      </c>
      <c r="F551" s="4">
        <f t="shared" si="32"/>
        <v>16.236133333333331</v>
      </c>
      <c r="I551" s="4" t="s">
        <v>2312</v>
      </c>
      <c r="J551" s="4">
        <v>16.3157</v>
      </c>
      <c r="K551" s="4">
        <v>16.3066</v>
      </c>
      <c r="L551" s="4">
        <v>16.3993</v>
      </c>
      <c r="M551" s="4">
        <f t="shared" si="33"/>
        <v>16.34053333333333</v>
      </c>
      <c r="P551" s="4" t="str">
        <f>"F49D11.10"</f>
        <v>F49D11.10</v>
      </c>
      <c r="Q551" s="4">
        <v>16.1614704356255</v>
      </c>
      <c r="R551" s="4">
        <v>16.0092438864225</v>
      </c>
      <c r="S551" s="4">
        <v>16.0635588471606</v>
      </c>
      <c r="T551" s="4">
        <f t="shared" si="34"/>
        <v>16.078091056402865</v>
      </c>
      <c r="W551" s="4" t="str">
        <f>"sucl-2"</f>
        <v>sucl-2</v>
      </c>
      <c r="X551" s="4">
        <v>15.848391888115</v>
      </c>
      <c r="Y551" s="4">
        <v>16.047640133986601</v>
      </c>
      <c r="Z551" s="4">
        <v>16.4567095030526</v>
      </c>
      <c r="AA551" s="4">
        <f t="shared" si="35"/>
        <v>16.117580508384734</v>
      </c>
      <c r="AJ551" s="4" t="s">
        <v>1412</v>
      </c>
    </row>
    <row r="552" spans="2:36" x14ac:dyDescent="0.2">
      <c r="B552" s="4" t="s">
        <v>2077</v>
      </c>
      <c r="C552" s="4">
        <v>16.208600000000001</v>
      </c>
      <c r="D552" s="4">
        <v>16.227399999999999</v>
      </c>
      <c r="E552" s="4">
        <v>16.256799999999998</v>
      </c>
      <c r="F552" s="4">
        <f t="shared" si="32"/>
        <v>16.230933333333333</v>
      </c>
      <c r="I552" s="4" t="s">
        <v>711</v>
      </c>
      <c r="J552" s="4">
        <v>16.2788</v>
      </c>
      <c r="K552" s="4">
        <v>16.282</v>
      </c>
      <c r="L552" s="4">
        <v>16.459</v>
      </c>
      <c r="M552" s="4">
        <f t="shared" si="33"/>
        <v>16.339933333333335</v>
      </c>
      <c r="P552" s="4" t="str">
        <f>"ecps-1"</f>
        <v>ecps-1</v>
      </c>
      <c r="Q552" s="4">
        <v>16.115152618994301</v>
      </c>
      <c r="R552" s="4">
        <v>16.132166754204</v>
      </c>
      <c r="S552" s="4">
        <v>15.980988890980701</v>
      </c>
      <c r="T552" s="4">
        <f t="shared" si="34"/>
        <v>16.076102754726335</v>
      </c>
      <c r="W552" s="4" t="str">
        <f>"ddx-19"</f>
        <v>ddx-19</v>
      </c>
      <c r="X552" s="4">
        <v>16.094412029344099</v>
      </c>
      <c r="Y552" s="4">
        <v>16.180660507557501</v>
      </c>
      <c r="Z552" s="4">
        <v>16.047262477708799</v>
      </c>
      <c r="AA552" s="4">
        <f t="shared" si="35"/>
        <v>16.107445004870133</v>
      </c>
      <c r="AJ552" s="4" t="s">
        <v>3455</v>
      </c>
    </row>
    <row r="553" spans="2:36" x14ac:dyDescent="0.2">
      <c r="B553" s="4" t="s">
        <v>3060</v>
      </c>
      <c r="C553" s="4">
        <v>16.313700000000001</v>
      </c>
      <c r="D553" s="4">
        <v>16.061900000000001</v>
      </c>
      <c r="E553" s="4">
        <v>16.314699999999998</v>
      </c>
      <c r="F553" s="4">
        <f t="shared" si="32"/>
        <v>16.230100000000004</v>
      </c>
      <c r="I553" s="4" t="s">
        <v>780</v>
      </c>
      <c r="J553" s="4">
        <v>16.344200000000001</v>
      </c>
      <c r="K553" s="4">
        <v>16.741099999999999</v>
      </c>
      <c r="L553" s="4">
        <v>15.932700000000001</v>
      </c>
      <c r="M553" s="4">
        <f t="shared" si="33"/>
        <v>16.339333333333332</v>
      </c>
      <c r="P553" s="4" t="str">
        <f>"sqv-4"</f>
        <v>sqv-4</v>
      </c>
      <c r="Q553" s="4">
        <v>16.0933437810478</v>
      </c>
      <c r="R553" s="4">
        <v>16.037816278739601</v>
      </c>
      <c r="S553" s="4">
        <v>16.093811397307402</v>
      </c>
      <c r="T553" s="4">
        <f t="shared" si="34"/>
        <v>16.074990485698269</v>
      </c>
      <c r="W553" s="4" t="str">
        <f>"rab-7"</f>
        <v>rab-7</v>
      </c>
      <c r="X553" s="4">
        <v>16.1883103865684</v>
      </c>
      <c r="Y553" s="4">
        <v>16.138091443786699</v>
      </c>
      <c r="Z553" s="4">
        <v>15.991164177956801</v>
      </c>
      <c r="AA553" s="4">
        <f t="shared" si="35"/>
        <v>16.105855336103968</v>
      </c>
      <c r="AJ553" s="4" t="s">
        <v>4495</v>
      </c>
    </row>
    <row r="554" spans="2:36" x14ac:dyDescent="0.2">
      <c r="B554" s="4" t="s">
        <v>1234</v>
      </c>
      <c r="C554" s="4">
        <v>16.055499999999999</v>
      </c>
      <c r="D554" s="4">
        <v>16.311800000000002</v>
      </c>
      <c r="E554" s="4">
        <v>16.3123</v>
      </c>
      <c r="F554" s="4">
        <f t="shared" si="32"/>
        <v>16.226533333333332</v>
      </c>
      <c r="I554" s="4" t="s">
        <v>3973</v>
      </c>
      <c r="J554" s="4">
        <v>16.27</v>
      </c>
      <c r="K554" s="4">
        <v>16.463000000000001</v>
      </c>
      <c r="L554" s="4">
        <v>16.2773</v>
      </c>
      <c r="M554" s="4">
        <f t="shared" si="33"/>
        <v>16.336766666666666</v>
      </c>
      <c r="P554" s="4" t="str">
        <f>"pro-3"</f>
        <v>pro-3</v>
      </c>
      <c r="Q554" s="4">
        <v>16.0948487259191</v>
      </c>
      <c r="R554" s="4">
        <v>16.238969020050199</v>
      </c>
      <c r="S554" s="4">
        <v>15.875927748295799</v>
      </c>
      <c r="T554" s="4">
        <f t="shared" si="34"/>
        <v>16.069915164755034</v>
      </c>
      <c r="W554" s="4" t="str">
        <f>"K04C2.2"</f>
        <v>K04C2.2</v>
      </c>
      <c r="X554" s="4">
        <v>15.9732401643762</v>
      </c>
      <c r="Y554" s="4">
        <v>16.2271775469926</v>
      </c>
      <c r="Z554" s="4">
        <v>16.103954293551599</v>
      </c>
      <c r="AA554" s="4">
        <f t="shared" si="35"/>
        <v>16.101457334973464</v>
      </c>
      <c r="AJ554" s="4" t="s">
        <v>213</v>
      </c>
    </row>
    <row r="555" spans="2:36" x14ac:dyDescent="0.2">
      <c r="B555" s="4" t="s">
        <v>3210</v>
      </c>
      <c r="C555" s="4">
        <v>16.189399999999999</v>
      </c>
      <c r="D555" s="4">
        <v>16.448499999999999</v>
      </c>
      <c r="E555" s="4">
        <v>16.036999999999999</v>
      </c>
      <c r="F555" s="4">
        <f t="shared" si="32"/>
        <v>16.224966666666667</v>
      </c>
      <c r="I555" s="4" t="s">
        <v>3929</v>
      </c>
      <c r="J555" s="4">
        <v>16.431000000000001</v>
      </c>
      <c r="K555" s="4">
        <v>16.341999999999999</v>
      </c>
      <c r="L555" s="4">
        <v>16.237200000000001</v>
      </c>
      <c r="M555" s="4">
        <f t="shared" si="33"/>
        <v>16.336733333333331</v>
      </c>
      <c r="P555" s="4" t="str">
        <f>"T04F8.7"</f>
        <v>T04F8.7</v>
      </c>
      <c r="Q555" s="4">
        <v>16.7133111377834</v>
      </c>
      <c r="R555" s="4">
        <v>15.438623846764701</v>
      </c>
      <c r="S555" s="4">
        <v>16.052849087814899</v>
      </c>
      <c r="T555" s="4">
        <f t="shared" si="34"/>
        <v>16.068261357454332</v>
      </c>
      <c r="W555" s="4" t="str">
        <f>"dpy-4"</f>
        <v>dpy-4</v>
      </c>
      <c r="X555" s="4">
        <v>15.819758024921001</v>
      </c>
      <c r="Y555" s="4">
        <v>15.5176076142053</v>
      </c>
      <c r="Z555" s="4">
        <v>16.9572032641634</v>
      </c>
      <c r="AA555" s="4">
        <f t="shared" si="35"/>
        <v>16.0981896344299</v>
      </c>
      <c r="AJ555" s="4" t="s">
        <v>3367</v>
      </c>
    </row>
    <row r="556" spans="2:36" x14ac:dyDescent="0.2">
      <c r="B556" s="4" t="s">
        <v>262</v>
      </c>
      <c r="C556" s="4">
        <v>16.569600000000001</v>
      </c>
      <c r="D556" s="4">
        <v>15.7645</v>
      </c>
      <c r="E556" s="4">
        <v>16.334700000000002</v>
      </c>
      <c r="F556" s="4">
        <f t="shared" si="32"/>
        <v>16.222933333333334</v>
      </c>
      <c r="I556" s="4" t="s">
        <v>3456</v>
      </c>
      <c r="J556" s="4">
        <v>16.603400000000001</v>
      </c>
      <c r="K556" s="4">
        <v>16.052199999999999</v>
      </c>
      <c r="L556" s="4">
        <v>16.341000000000001</v>
      </c>
      <c r="M556" s="4">
        <f t="shared" si="33"/>
        <v>16.3322</v>
      </c>
      <c r="P556" s="4" t="str">
        <f>"pptr-1"</f>
        <v>pptr-1</v>
      </c>
      <c r="Q556" s="4">
        <v>16.007825895916799</v>
      </c>
      <c r="R556" s="4">
        <v>16.245858295148899</v>
      </c>
      <c r="S556" s="4">
        <v>15.949209481680199</v>
      </c>
      <c r="T556" s="4">
        <f t="shared" si="34"/>
        <v>16.067631224248633</v>
      </c>
      <c r="W556" s="4" t="str">
        <f>"arx-3"</f>
        <v>arx-3</v>
      </c>
      <c r="X556" s="4">
        <v>16.101886277346502</v>
      </c>
      <c r="Y556" s="4">
        <v>16.171968849967801</v>
      </c>
      <c r="Z556" s="4">
        <v>16.019863997342501</v>
      </c>
      <c r="AA556" s="4">
        <f t="shared" si="35"/>
        <v>16.0979063748856</v>
      </c>
      <c r="AJ556" s="4" t="s">
        <v>4385</v>
      </c>
    </row>
    <row r="557" spans="2:36" x14ac:dyDescent="0.2">
      <c r="B557" s="4" t="s">
        <v>793</v>
      </c>
      <c r="C557" s="4">
        <v>16.2545</v>
      </c>
      <c r="D557" s="4">
        <v>16.3474</v>
      </c>
      <c r="E557" s="4">
        <v>16.063099999999999</v>
      </c>
      <c r="F557" s="4">
        <f t="shared" si="32"/>
        <v>16.221666666666668</v>
      </c>
      <c r="I557" s="4" t="s">
        <v>1363</v>
      </c>
      <c r="J557" s="4">
        <v>16.165800000000001</v>
      </c>
      <c r="K557" s="4">
        <v>16.2149</v>
      </c>
      <c r="L557" s="4">
        <v>16.586200000000002</v>
      </c>
      <c r="M557" s="4">
        <f t="shared" si="33"/>
        <v>16.322300000000002</v>
      </c>
      <c r="P557" s="4" t="str">
        <f>"nucl-1"</f>
        <v>nucl-1</v>
      </c>
      <c r="Q557" s="4">
        <v>15.9953521080933</v>
      </c>
      <c r="R557" s="4">
        <v>16.259461711631801</v>
      </c>
      <c r="S557" s="4">
        <v>15.938037672758099</v>
      </c>
      <c r="T557" s="4">
        <f t="shared" si="34"/>
        <v>16.064283830827733</v>
      </c>
      <c r="W557" s="4" t="str">
        <f>"dim-1"</f>
        <v>dim-1</v>
      </c>
      <c r="X557" s="4">
        <v>15.883280400181</v>
      </c>
      <c r="Y557" s="4">
        <v>15.998330201481901</v>
      </c>
      <c r="Z557" s="4">
        <v>16.408146697139301</v>
      </c>
      <c r="AA557" s="4">
        <f t="shared" si="35"/>
        <v>16.096585766267399</v>
      </c>
      <c r="AJ557" s="4" t="s">
        <v>1261</v>
      </c>
    </row>
    <row r="558" spans="2:36" x14ac:dyDescent="0.2">
      <c r="B558" s="4" t="s">
        <v>2513</v>
      </c>
      <c r="C558" s="4">
        <v>16.175699999999999</v>
      </c>
      <c r="D558" s="4">
        <v>16.461600000000001</v>
      </c>
      <c r="E558" s="4">
        <v>16.023099999999999</v>
      </c>
      <c r="F558" s="4">
        <f t="shared" si="32"/>
        <v>16.220133333333333</v>
      </c>
      <c r="I558" s="4" t="s">
        <v>3100</v>
      </c>
      <c r="J558" s="4">
        <v>15.6052</v>
      </c>
      <c r="K558" s="4">
        <v>16.553999999999998</v>
      </c>
      <c r="L558" s="4">
        <v>16.7988</v>
      </c>
      <c r="M558" s="4">
        <f t="shared" si="33"/>
        <v>16.319333333333333</v>
      </c>
      <c r="P558" s="4" t="str">
        <f>"sptl-1"</f>
        <v>sptl-1</v>
      </c>
      <c r="Q558" s="4">
        <v>16.218601716000698</v>
      </c>
      <c r="R558" s="4">
        <v>15.9410352860959</v>
      </c>
      <c r="S558" s="4">
        <v>16.0072903151882</v>
      </c>
      <c r="T558" s="4">
        <f t="shared" si="34"/>
        <v>16.055642439094935</v>
      </c>
      <c r="W558" s="4" t="str">
        <f>"sel-2"</f>
        <v>sel-2</v>
      </c>
      <c r="X558" s="4">
        <v>15.991641569307401</v>
      </c>
      <c r="Y558" s="4">
        <v>16.182659608417001</v>
      </c>
      <c r="Z558" s="4">
        <v>16.0863247725439</v>
      </c>
      <c r="AA558" s="4">
        <f t="shared" si="35"/>
        <v>16.086875316756103</v>
      </c>
      <c r="AJ558" s="4" t="s">
        <v>3837</v>
      </c>
    </row>
    <row r="559" spans="2:36" x14ac:dyDescent="0.2">
      <c r="B559" s="4" t="s">
        <v>2110</v>
      </c>
      <c r="C559" s="4">
        <v>16.152999999999999</v>
      </c>
      <c r="D559" s="4">
        <v>16.497900000000001</v>
      </c>
      <c r="E559" s="4">
        <v>16.000699999999998</v>
      </c>
      <c r="F559" s="4">
        <f t="shared" si="32"/>
        <v>16.217200000000002</v>
      </c>
      <c r="I559" s="4" t="s">
        <v>2707</v>
      </c>
      <c r="J559" s="4">
        <v>16.233499999999999</v>
      </c>
      <c r="K559" s="4">
        <v>16.527699999999999</v>
      </c>
      <c r="L559" s="4">
        <v>16.1755</v>
      </c>
      <c r="M559" s="4">
        <f t="shared" si="33"/>
        <v>16.312233333333335</v>
      </c>
      <c r="P559" s="4" t="str">
        <f>"mcm-7"</f>
        <v>mcm-7</v>
      </c>
      <c r="Q559" s="4">
        <v>16.089752569588999</v>
      </c>
      <c r="R559" s="4">
        <v>16.083970613429699</v>
      </c>
      <c r="S559" s="4">
        <v>15.987446733709801</v>
      </c>
      <c r="T559" s="4">
        <f t="shared" si="34"/>
        <v>16.053723305576167</v>
      </c>
      <c r="W559" s="4" t="str">
        <f>"rfc-4"</f>
        <v>rfc-4</v>
      </c>
      <c r="X559" s="4">
        <v>15.9859576080678</v>
      </c>
      <c r="Y559" s="4">
        <v>16.306863091119901</v>
      </c>
      <c r="Z559" s="4">
        <v>15.967465127583299</v>
      </c>
      <c r="AA559" s="4">
        <f t="shared" si="35"/>
        <v>16.086761942256999</v>
      </c>
      <c r="AJ559" s="4" t="s">
        <v>4531</v>
      </c>
    </row>
    <row r="560" spans="2:36" x14ac:dyDescent="0.2">
      <c r="B560" s="4" t="s">
        <v>2157</v>
      </c>
      <c r="C560" s="4">
        <v>16.074400000000001</v>
      </c>
      <c r="D560" s="4">
        <v>16.4407</v>
      </c>
      <c r="E560" s="4">
        <v>16.132000000000001</v>
      </c>
      <c r="F560" s="4">
        <f t="shared" si="32"/>
        <v>16.215700000000002</v>
      </c>
      <c r="I560" s="4" t="s">
        <v>590</v>
      </c>
      <c r="J560" s="4">
        <v>16.426600000000001</v>
      </c>
      <c r="K560" s="4">
        <v>16.178100000000001</v>
      </c>
      <c r="L560" s="4">
        <v>16.3291</v>
      </c>
      <c r="M560" s="4">
        <f t="shared" si="33"/>
        <v>16.311266666666668</v>
      </c>
      <c r="P560" s="4" t="str">
        <f>"hsp-12.2"</f>
        <v>hsp-12.2</v>
      </c>
      <c r="Q560" s="4">
        <v>16.143410733662702</v>
      </c>
      <c r="R560" s="4">
        <v>15.816736633401399</v>
      </c>
      <c r="S560" s="4">
        <v>16.1945614067278</v>
      </c>
      <c r="T560" s="4">
        <f t="shared" si="34"/>
        <v>16.051569591263966</v>
      </c>
      <c r="W560" s="4" t="str">
        <f>"cul-1"</f>
        <v>cul-1</v>
      </c>
      <c r="X560" s="4">
        <v>16.147200581842899</v>
      </c>
      <c r="Y560" s="4">
        <v>16.014224003458398</v>
      </c>
      <c r="Z560" s="4">
        <v>16.090520618069299</v>
      </c>
      <c r="AA560" s="4">
        <f t="shared" si="35"/>
        <v>16.083981734456867</v>
      </c>
      <c r="AJ560" s="4" t="s">
        <v>4091</v>
      </c>
    </row>
    <row r="561" spans="2:36" x14ac:dyDescent="0.2">
      <c r="B561" s="4" t="s">
        <v>3930</v>
      </c>
      <c r="C561" s="4">
        <v>16.646699999999999</v>
      </c>
      <c r="D561" s="4">
        <v>15.6556</v>
      </c>
      <c r="E561" s="4">
        <v>16.334800000000001</v>
      </c>
      <c r="F561" s="4">
        <f t="shared" si="32"/>
        <v>16.212366666666668</v>
      </c>
      <c r="I561" s="4" t="s">
        <v>1854</v>
      </c>
      <c r="J561" s="4">
        <v>16.185500000000001</v>
      </c>
      <c r="K561" s="4">
        <v>16.553599999999999</v>
      </c>
      <c r="L561" s="4">
        <v>16.1722</v>
      </c>
      <c r="M561" s="4">
        <f t="shared" si="33"/>
        <v>16.303766666666665</v>
      </c>
      <c r="P561" s="4" t="str">
        <f>"fipr-21"</f>
        <v>fipr-21</v>
      </c>
      <c r="Q561" s="4">
        <v>16.307300843332602</v>
      </c>
      <c r="R561" s="4">
        <v>15.9154420933457</v>
      </c>
      <c r="S561" s="4">
        <v>15.930448267127399</v>
      </c>
      <c r="T561" s="4">
        <f t="shared" si="34"/>
        <v>16.0510637346019</v>
      </c>
      <c r="W561" s="4" t="str">
        <f>"mpdu-1"</f>
        <v>mpdu-1</v>
      </c>
      <c r="X561" s="4">
        <v>16.085972538859</v>
      </c>
      <c r="Y561" s="4">
        <v>15.990780599619701</v>
      </c>
      <c r="Z561" s="4">
        <v>16.174081070041399</v>
      </c>
      <c r="AA561" s="4">
        <f t="shared" si="35"/>
        <v>16.083611402840035</v>
      </c>
      <c r="AJ561" s="4" t="s">
        <v>2955</v>
      </c>
    </row>
    <row r="562" spans="2:36" x14ac:dyDescent="0.2">
      <c r="B562" s="4" t="s">
        <v>1671</v>
      </c>
      <c r="C562" s="4">
        <v>16.109000000000002</v>
      </c>
      <c r="D562" s="4">
        <v>16.2225</v>
      </c>
      <c r="E562" s="4">
        <v>16.304200000000002</v>
      </c>
      <c r="F562" s="4">
        <f t="shared" si="32"/>
        <v>16.211900000000004</v>
      </c>
      <c r="I562" s="4" t="s">
        <v>2096</v>
      </c>
      <c r="J562" s="4">
        <v>16.3002</v>
      </c>
      <c r="K562" s="4">
        <v>16.3279</v>
      </c>
      <c r="L562" s="4">
        <v>16.282399999999999</v>
      </c>
      <c r="M562" s="4">
        <f t="shared" si="33"/>
        <v>16.3035</v>
      </c>
      <c r="P562" s="4" t="str">
        <f>"edc-4"</f>
        <v>edc-4</v>
      </c>
      <c r="Q562" s="4">
        <v>16.288921384670299</v>
      </c>
      <c r="R562" s="4">
        <v>15.946333004515999</v>
      </c>
      <c r="S562" s="4">
        <v>15.9056089038412</v>
      </c>
      <c r="T562" s="4">
        <f t="shared" si="34"/>
        <v>16.046954431009166</v>
      </c>
      <c r="W562" s="4" t="str">
        <f>"T28D6.6"</f>
        <v>T28D6.6</v>
      </c>
      <c r="X562" s="4">
        <v>16.2427168881377</v>
      </c>
      <c r="Y562" s="4">
        <v>16.0520233575783</v>
      </c>
      <c r="Z562" s="4">
        <v>15.938570306915199</v>
      </c>
      <c r="AA562" s="4">
        <f t="shared" si="35"/>
        <v>16.077770184210397</v>
      </c>
      <c r="AJ562" s="4" t="s">
        <v>1713</v>
      </c>
    </row>
    <row r="563" spans="2:36" x14ac:dyDescent="0.2">
      <c r="B563" s="4" t="s">
        <v>3075</v>
      </c>
      <c r="C563" s="4">
        <v>16.131699999999999</v>
      </c>
      <c r="D563" s="4">
        <v>16.048500000000001</v>
      </c>
      <c r="E563" s="4">
        <v>16.448899999999998</v>
      </c>
      <c r="F563" s="4">
        <f t="shared" si="32"/>
        <v>16.209699999999998</v>
      </c>
      <c r="I563" s="4" t="s">
        <v>1925</v>
      </c>
      <c r="J563" s="4">
        <v>15.8155</v>
      </c>
      <c r="K563" s="4">
        <v>16.927199999999999</v>
      </c>
      <c r="L563" s="4">
        <v>16.151800000000001</v>
      </c>
      <c r="M563" s="4">
        <f t="shared" si="33"/>
        <v>16.298166666666667</v>
      </c>
      <c r="P563" s="4" t="str">
        <f>"tin-44"</f>
        <v>tin-44</v>
      </c>
      <c r="Q563" s="4">
        <v>16.290038708099001</v>
      </c>
      <c r="R563" s="4">
        <v>15.934304282008201</v>
      </c>
      <c r="S563" s="4">
        <v>15.9160677233887</v>
      </c>
      <c r="T563" s="4">
        <f t="shared" si="34"/>
        <v>16.046803571165302</v>
      </c>
      <c r="W563" s="4" t="str">
        <f>"hda-1"</f>
        <v>hda-1</v>
      </c>
      <c r="X563" s="4">
        <v>16.0264100030452</v>
      </c>
      <c r="Y563" s="4">
        <v>16.060357143347002</v>
      </c>
      <c r="Z563" s="4">
        <v>16.140622748350101</v>
      </c>
      <c r="AA563" s="4">
        <f t="shared" si="35"/>
        <v>16.075796631580769</v>
      </c>
      <c r="AJ563" s="4" t="s">
        <v>3520</v>
      </c>
    </row>
    <row r="564" spans="2:36" x14ac:dyDescent="0.2">
      <c r="B564" s="4" t="s">
        <v>607</v>
      </c>
      <c r="C564" s="4">
        <v>16.578499999999998</v>
      </c>
      <c r="D564" s="4">
        <v>15.852600000000001</v>
      </c>
      <c r="E564" s="4">
        <v>16.183700000000002</v>
      </c>
      <c r="F564" s="4">
        <f t="shared" si="32"/>
        <v>16.204933333333333</v>
      </c>
      <c r="I564" s="4" t="s">
        <v>1534</v>
      </c>
      <c r="J564" s="4">
        <v>15.772399999999999</v>
      </c>
      <c r="K564" s="4">
        <v>15.995699999999999</v>
      </c>
      <c r="L564" s="4">
        <v>17.092400000000001</v>
      </c>
      <c r="M564" s="4">
        <f t="shared" si="33"/>
        <v>16.286833333333334</v>
      </c>
      <c r="P564" s="4" t="str">
        <f>"arx-4"</f>
        <v>arx-4</v>
      </c>
      <c r="Q564" s="4">
        <v>16.081748508680899</v>
      </c>
      <c r="R564" s="4">
        <v>15.898387739350101</v>
      </c>
      <c r="S564" s="4">
        <v>16.158895641364602</v>
      </c>
      <c r="T564" s="4">
        <f t="shared" si="34"/>
        <v>16.046343963131868</v>
      </c>
      <c r="W564" s="4" t="str">
        <f>"toe-1"</f>
        <v>toe-1</v>
      </c>
      <c r="X564" s="4">
        <v>16.068489283583101</v>
      </c>
      <c r="Y564" s="4">
        <v>16.1148745457375</v>
      </c>
      <c r="Z564" s="4">
        <v>16.042042527707501</v>
      </c>
      <c r="AA564" s="4">
        <f t="shared" si="35"/>
        <v>16.0751354523427</v>
      </c>
      <c r="AJ564" s="4" t="s">
        <v>3937</v>
      </c>
    </row>
    <row r="565" spans="2:36" x14ac:dyDescent="0.2">
      <c r="B565" s="4" t="s">
        <v>4012</v>
      </c>
      <c r="C565" s="4">
        <v>16.167999999999999</v>
      </c>
      <c r="D565" s="4">
        <v>16.514299999999999</v>
      </c>
      <c r="E565" s="4">
        <v>15.931100000000001</v>
      </c>
      <c r="F565" s="4">
        <f t="shared" si="32"/>
        <v>16.204466666666665</v>
      </c>
      <c r="I565" s="4" t="s">
        <v>4062</v>
      </c>
      <c r="J565" s="4">
        <v>16.5501</v>
      </c>
      <c r="K565" s="4">
        <v>16.338999999999999</v>
      </c>
      <c r="L565" s="4">
        <v>15.9689</v>
      </c>
      <c r="M565" s="4">
        <f t="shared" si="33"/>
        <v>16.285999999999998</v>
      </c>
      <c r="P565" s="4" t="str">
        <f>"W10C8.5"</f>
        <v>W10C8.5</v>
      </c>
      <c r="Q565" s="4">
        <v>16.051529991332</v>
      </c>
      <c r="R565" s="4">
        <v>15.8727783446642</v>
      </c>
      <c r="S565" s="4">
        <v>16.2049172564755</v>
      </c>
      <c r="T565" s="4">
        <f t="shared" si="34"/>
        <v>16.043075197490566</v>
      </c>
      <c r="W565" s="4" t="str">
        <f>"imb-2"</f>
        <v>imb-2</v>
      </c>
      <c r="X565" s="4">
        <v>16.023979721510301</v>
      </c>
      <c r="Y565" s="4">
        <v>16.088620889108</v>
      </c>
      <c r="Z565" s="4">
        <v>16.1037822939644</v>
      </c>
      <c r="AA565" s="4">
        <f t="shared" si="35"/>
        <v>16.072127634860902</v>
      </c>
      <c r="AJ565" s="4" t="s">
        <v>3440</v>
      </c>
    </row>
    <row r="566" spans="2:36" x14ac:dyDescent="0.2">
      <c r="B566" s="4" t="s">
        <v>3478</v>
      </c>
      <c r="C566" s="4">
        <v>15.860200000000001</v>
      </c>
      <c r="D566" s="4">
        <v>16.4467</v>
      </c>
      <c r="E566" s="4">
        <v>16.297699999999999</v>
      </c>
      <c r="F566" s="4">
        <f t="shared" si="32"/>
        <v>16.201533333333334</v>
      </c>
      <c r="I566" s="4" t="s">
        <v>649</v>
      </c>
      <c r="J566" s="4">
        <v>15.2356</v>
      </c>
      <c r="K566" s="4">
        <v>16.482500000000002</v>
      </c>
      <c r="L566" s="4">
        <v>17.133199999999999</v>
      </c>
      <c r="M566" s="4">
        <f t="shared" si="33"/>
        <v>16.283766666666665</v>
      </c>
      <c r="P566" s="4" t="str">
        <f>"slc-25a42"</f>
        <v>slc-25a42</v>
      </c>
      <c r="Q566" s="4">
        <v>15.8624364959011</v>
      </c>
      <c r="R566" s="4">
        <v>16.042248391178301</v>
      </c>
      <c r="S566" s="4">
        <v>16.168510452418499</v>
      </c>
      <c r="T566" s="4">
        <f t="shared" si="34"/>
        <v>16.024398446499301</v>
      </c>
      <c r="W566" s="4" t="str">
        <f>"plp-1"</f>
        <v>plp-1</v>
      </c>
      <c r="X566" s="4">
        <v>16.368219396433499</v>
      </c>
      <c r="Y566" s="4">
        <v>16.014843632220298</v>
      </c>
      <c r="Z566" s="4">
        <v>15.8320383286844</v>
      </c>
      <c r="AA566" s="4">
        <f t="shared" si="35"/>
        <v>16.071700452446063</v>
      </c>
      <c r="AJ566" s="4" t="s">
        <v>800</v>
      </c>
    </row>
    <row r="567" spans="2:36" x14ac:dyDescent="0.2">
      <c r="B567" s="4" t="s">
        <v>661</v>
      </c>
      <c r="C567" s="4">
        <v>16.233699999999999</v>
      </c>
      <c r="D567" s="4">
        <v>16.151399999999999</v>
      </c>
      <c r="E567" s="4">
        <v>16.214600000000001</v>
      </c>
      <c r="F567" s="4">
        <f t="shared" si="32"/>
        <v>16.1999</v>
      </c>
      <c r="I567" s="4" t="s">
        <v>1647</v>
      </c>
      <c r="J567" s="4">
        <v>16.354900000000001</v>
      </c>
      <c r="K567" s="4">
        <v>16.160599999999999</v>
      </c>
      <c r="L567" s="4">
        <v>16.335699999999999</v>
      </c>
      <c r="M567" s="4">
        <f t="shared" si="33"/>
        <v>16.283733333333334</v>
      </c>
      <c r="P567" s="4" t="str">
        <f>"C33F10.12"</f>
        <v>C33F10.12</v>
      </c>
      <c r="Q567" s="4">
        <v>15.918454027391</v>
      </c>
      <c r="R567" s="4">
        <v>16.235843779642</v>
      </c>
      <c r="S567" s="4">
        <v>15.918818287453901</v>
      </c>
      <c r="T567" s="4">
        <f t="shared" si="34"/>
        <v>16.024372031495634</v>
      </c>
      <c r="W567" s="4" t="str">
        <f>"C46G7.2"</f>
        <v>C46G7.2</v>
      </c>
      <c r="X567" s="4">
        <v>15.848347161885799</v>
      </c>
      <c r="Y567" s="4">
        <v>16.102190681813699</v>
      </c>
      <c r="Z567" s="4">
        <v>16.257090190364099</v>
      </c>
      <c r="AA567" s="4">
        <f t="shared" si="35"/>
        <v>16.069209344687867</v>
      </c>
      <c r="AJ567" s="4" t="s">
        <v>4275</v>
      </c>
    </row>
    <row r="568" spans="2:36" x14ac:dyDescent="0.2">
      <c r="B568" s="4" t="s">
        <v>4634</v>
      </c>
      <c r="C568" s="4">
        <v>16.606200000000001</v>
      </c>
      <c r="D568" s="4">
        <v>17.043700000000001</v>
      </c>
      <c r="E568" s="4">
        <v>14.9466</v>
      </c>
      <c r="F568" s="4">
        <f t="shared" si="32"/>
        <v>16.198833333333337</v>
      </c>
      <c r="I568" s="4" t="s">
        <v>1025</v>
      </c>
      <c r="J568" s="4">
        <v>16.2348</v>
      </c>
      <c r="K568" s="4">
        <v>16.004100000000001</v>
      </c>
      <c r="L568" s="4">
        <v>16.540600000000001</v>
      </c>
      <c r="M568" s="4">
        <f t="shared" si="33"/>
        <v>16.259833333333333</v>
      </c>
      <c r="P568" s="4" t="str">
        <f>"npp-6"</f>
        <v>npp-6</v>
      </c>
      <c r="Q568" s="4">
        <v>15.966516213583599</v>
      </c>
      <c r="R568" s="4">
        <v>15.996195695119701</v>
      </c>
      <c r="S568" s="4">
        <v>16.101161389538198</v>
      </c>
      <c r="T568" s="4">
        <f t="shared" si="34"/>
        <v>16.021291099413833</v>
      </c>
      <c r="W568" s="4" t="str">
        <f>"poml-3"</f>
        <v>poml-3</v>
      </c>
      <c r="X568" s="4">
        <v>16.025166061517801</v>
      </c>
      <c r="Y568" s="4">
        <v>16.033916876705799</v>
      </c>
      <c r="Z568" s="4">
        <v>16.147392043483102</v>
      </c>
      <c r="AA568" s="4">
        <f t="shared" si="35"/>
        <v>16.068824993902233</v>
      </c>
      <c r="AJ568" s="4" t="s">
        <v>4408</v>
      </c>
    </row>
    <row r="569" spans="2:36" x14ac:dyDescent="0.2">
      <c r="B569" s="4" t="s">
        <v>1647</v>
      </c>
      <c r="C569" s="4">
        <v>16.347799999999999</v>
      </c>
      <c r="D569" s="4">
        <v>16.021599999999999</v>
      </c>
      <c r="E569" s="4">
        <v>16.213100000000001</v>
      </c>
      <c r="F569" s="4">
        <f t="shared" si="32"/>
        <v>16.194166666666664</v>
      </c>
      <c r="I569" s="4" t="s">
        <v>345</v>
      </c>
      <c r="J569" s="4">
        <v>16.447900000000001</v>
      </c>
      <c r="K569" s="4">
        <v>16.5244</v>
      </c>
      <c r="L569" s="4">
        <v>15.8028</v>
      </c>
      <c r="M569" s="4">
        <f t="shared" si="33"/>
        <v>16.258366666666667</v>
      </c>
      <c r="P569" s="4" t="str">
        <f>"eral-1"</f>
        <v>eral-1</v>
      </c>
      <c r="Q569" s="4">
        <v>16.441090528610601</v>
      </c>
      <c r="R569" s="4">
        <v>15.7819316078791</v>
      </c>
      <c r="S569" s="4">
        <v>15.8398473283541</v>
      </c>
      <c r="T569" s="4">
        <f t="shared" si="34"/>
        <v>16.020956488281268</v>
      </c>
      <c r="W569" s="4" t="str">
        <f>"alh-12"</f>
        <v>alh-12</v>
      </c>
      <c r="X569" s="4">
        <v>15.5380229324503</v>
      </c>
      <c r="Y569" s="4">
        <v>16.321637254686699</v>
      </c>
      <c r="Z569" s="4">
        <v>16.337441942236101</v>
      </c>
      <c r="AA569" s="4">
        <f t="shared" si="35"/>
        <v>16.065700709791034</v>
      </c>
      <c r="AJ569" s="4" t="s">
        <v>1084</v>
      </c>
    </row>
    <row r="570" spans="2:36" x14ac:dyDescent="0.2">
      <c r="B570" s="4" t="s">
        <v>3886</v>
      </c>
      <c r="C570" s="4">
        <v>15.9443</v>
      </c>
      <c r="D570" s="4">
        <v>15.7113</v>
      </c>
      <c r="E570" s="4">
        <v>16.9146</v>
      </c>
      <c r="F570" s="4">
        <f t="shared" si="32"/>
        <v>16.190066666666667</v>
      </c>
      <c r="I570" s="4" t="s">
        <v>791</v>
      </c>
      <c r="J570" s="4">
        <v>15.7973</v>
      </c>
      <c r="K570" s="4">
        <v>16.320499999999999</v>
      </c>
      <c r="L570" s="4">
        <v>16.657299999999999</v>
      </c>
      <c r="M570" s="4">
        <f t="shared" si="33"/>
        <v>16.258366666666667</v>
      </c>
      <c r="P570" s="4" t="str">
        <f>"rpl-32"</f>
        <v>rpl-32</v>
      </c>
      <c r="Q570" s="4">
        <v>15.9924887849143</v>
      </c>
      <c r="R570" s="4">
        <v>15.976348878432001</v>
      </c>
      <c r="S570" s="4">
        <v>16.0676991766931</v>
      </c>
      <c r="T570" s="4">
        <f t="shared" si="34"/>
        <v>16.0121789466798</v>
      </c>
      <c r="W570" s="4" t="str">
        <f>"maph-1.1"</f>
        <v>maph-1.1</v>
      </c>
      <c r="X570" s="4">
        <v>16.359860547539999</v>
      </c>
      <c r="Y570" s="4">
        <v>16.2387295262515</v>
      </c>
      <c r="Z570" s="4">
        <v>15.5984831826527</v>
      </c>
      <c r="AA570" s="4">
        <f t="shared" si="35"/>
        <v>16.065691085481401</v>
      </c>
      <c r="AJ570" s="4" t="s">
        <v>4203</v>
      </c>
    </row>
    <row r="571" spans="2:36" x14ac:dyDescent="0.2">
      <c r="B571" s="4" t="s">
        <v>3240</v>
      </c>
      <c r="C571" s="4">
        <v>16.1402</v>
      </c>
      <c r="D571" s="4">
        <v>16.264800000000001</v>
      </c>
      <c r="E571" s="4">
        <v>16.159600000000001</v>
      </c>
      <c r="F571" s="4">
        <f t="shared" si="32"/>
        <v>16.188199999999998</v>
      </c>
      <c r="I571" s="4" t="s">
        <v>2954</v>
      </c>
      <c r="J571" s="4">
        <v>16.263000000000002</v>
      </c>
      <c r="K571" s="4">
        <v>15.9834</v>
      </c>
      <c r="L571" s="4">
        <v>16.526499999999999</v>
      </c>
      <c r="M571" s="4">
        <f t="shared" si="33"/>
        <v>16.257633333333334</v>
      </c>
      <c r="P571" s="4" t="str">
        <f>"rfc-4"</f>
        <v>rfc-4</v>
      </c>
      <c r="Q571" s="4">
        <v>16.1538774506549</v>
      </c>
      <c r="R571" s="4">
        <v>15.9468507806308</v>
      </c>
      <c r="S571" s="4">
        <v>15.912721012001301</v>
      </c>
      <c r="T571" s="4">
        <f t="shared" si="34"/>
        <v>16.004483081095668</v>
      </c>
      <c r="W571" s="4" t="str">
        <f>"eelo-2"</f>
        <v>eelo-2</v>
      </c>
      <c r="X571" s="4">
        <v>16.006899112262602</v>
      </c>
      <c r="Y571" s="4">
        <v>16.1241141049289</v>
      </c>
      <c r="Z571" s="4">
        <v>16.045275163891901</v>
      </c>
      <c r="AA571" s="4">
        <f t="shared" si="35"/>
        <v>16.058762793694466</v>
      </c>
      <c r="AJ571" s="4" t="s">
        <v>4431</v>
      </c>
    </row>
    <row r="572" spans="2:36" x14ac:dyDescent="0.2">
      <c r="B572" s="4" t="s">
        <v>583</v>
      </c>
      <c r="C572" s="4">
        <v>15.891500000000001</v>
      </c>
      <c r="D572" s="4">
        <v>16.5533</v>
      </c>
      <c r="E572" s="4">
        <v>16.119499999999999</v>
      </c>
      <c r="F572" s="4">
        <f t="shared" si="32"/>
        <v>16.188100000000002</v>
      </c>
      <c r="I572" s="4" t="s">
        <v>663</v>
      </c>
      <c r="J572" s="4">
        <v>16.584599999999998</v>
      </c>
      <c r="K572" s="4">
        <v>16.028700000000001</v>
      </c>
      <c r="L572" s="4">
        <v>16.148</v>
      </c>
      <c r="M572" s="4">
        <f t="shared" si="33"/>
        <v>16.253766666666664</v>
      </c>
      <c r="P572" s="4" t="str">
        <f>"Y46E12BL.2"</f>
        <v>Y46E12BL.2</v>
      </c>
      <c r="Q572" s="4">
        <v>16.099830239152201</v>
      </c>
      <c r="R572" s="4">
        <v>16.072225234775502</v>
      </c>
      <c r="S572" s="4">
        <v>15.839543651845201</v>
      </c>
      <c r="T572" s="4">
        <f t="shared" si="34"/>
        <v>16.003866375257633</v>
      </c>
      <c r="W572" s="4" t="str">
        <f>"soc-2"</f>
        <v>soc-2</v>
      </c>
      <c r="X572" s="4">
        <v>15.9709925953265</v>
      </c>
      <c r="Y572" s="4">
        <v>16.031040985601301</v>
      </c>
      <c r="Z572" s="4">
        <v>16.1697852916645</v>
      </c>
      <c r="AA572" s="4">
        <f t="shared" si="35"/>
        <v>16.057272957530767</v>
      </c>
      <c r="AJ572" s="4" t="s">
        <v>354</v>
      </c>
    </row>
    <row r="573" spans="2:36" x14ac:dyDescent="0.2">
      <c r="B573" s="4" t="s">
        <v>3006</v>
      </c>
      <c r="C573" s="4">
        <v>16.2651</v>
      </c>
      <c r="D573" s="4">
        <v>15.817500000000001</v>
      </c>
      <c r="E573" s="4">
        <v>16.479900000000001</v>
      </c>
      <c r="F573" s="4">
        <f t="shared" si="32"/>
        <v>16.1875</v>
      </c>
      <c r="I573" s="4" t="s">
        <v>1529</v>
      </c>
      <c r="J573" s="4">
        <v>16.489799999999999</v>
      </c>
      <c r="K573" s="4">
        <v>16.607800000000001</v>
      </c>
      <c r="L573" s="4">
        <v>15.65</v>
      </c>
      <c r="M573" s="4">
        <f t="shared" si="33"/>
        <v>16.249199999999998</v>
      </c>
      <c r="P573" s="4" t="str">
        <f>"sdhb-1"</f>
        <v>sdhb-1</v>
      </c>
      <c r="Q573" s="4">
        <v>16.195595572795899</v>
      </c>
      <c r="R573" s="4">
        <v>15.7622727455672</v>
      </c>
      <c r="S573" s="4">
        <v>16.042877665276801</v>
      </c>
      <c r="T573" s="4">
        <f t="shared" si="34"/>
        <v>16.000248661213302</v>
      </c>
      <c r="W573" s="4" t="str">
        <f>"sec-23"</f>
        <v>sec-23</v>
      </c>
      <c r="X573" s="4">
        <v>16.20477327327</v>
      </c>
      <c r="Y573" s="4">
        <v>15.978750263726299</v>
      </c>
      <c r="Z573" s="4">
        <v>15.9794340535312</v>
      </c>
      <c r="AA573" s="4">
        <f t="shared" si="35"/>
        <v>16.054319196842499</v>
      </c>
      <c r="AJ573" s="4" t="s">
        <v>1288</v>
      </c>
    </row>
    <row r="574" spans="2:36" x14ac:dyDescent="0.2">
      <c r="B574" s="4" t="s">
        <v>1351</v>
      </c>
      <c r="C574" s="4">
        <v>15.973100000000001</v>
      </c>
      <c r="D574" s="4">
        <v>16.5669</v>
      </c>
      <c r="E574" s="4">
        <v>16.014600000000002</v>
      </c>
      <c r="F574" s="4">
        <f t="shared" si="32"/>
        <v>16.184866666666668</v>
      </c>
      <c r="I574" s="4" t="s">
        <v>1627</v>
      </c>
      <c r="J574" s="4">
        <v>16.113800000000001</v>
      </c>
      <c r="K574" s="4">
        <v>16.156600000000001</v>
      </c>
      <c r="L574" s="4">
        <v>16.4724</v>
      </c>
      <c r="M574" s="4">
        <f t="shared" si="33"/>
        <v>16.247600000000002</v>
      </c>
      <c r="P574" s="4" t="str">
        <f>"W04C9.9"</f>
        <v>W04C9.9</v>
      </c>
      <c r="Q574" s="4">
        <v>16.884674474825701</v>
      </c>
      <c r="R574" s="4">
        <v>15.8786381174734</v>
      </c>
      <c r="S574" s="4">
        <v>15.2313940967877</v>
      </c>
      <c r="T574" s="4">
        <f t="shared" si="34"/>
        <v>15.998235563028933</v>
      </c>
      <c r="W574" s="4" t="str">
        <f>"unc-45"</f>
        <v>unc-45</v>
      </c>
      <c r="X574" s="4">
        <v>15.9298953995195</v>
      </c>
      <c r="Y574" s="4">
        <v>16.1401846387243</v>
      </c>
      <c r="Z574" s="4">
        <v>16.064299531758</v>
      </c>
      <c r="AA574" s="4">
        <f t="shared" si="35"/>
        <v>16.0447931900006</v>
      </c>
      <c r="AJ574" s="4" t="s">
        <v>3756</v>
      </c>
    </row>
    <row r="575" spans="2:36" x14ac:dyDescent="0.2">
      <c r="B575" s="4" t="s">
        <v>879</v>
      </c>
      <c r="C575" s="4">
        <v>16.245000000000001</v>
      </c>
      <c r="D575" s="4">
        <v>16.251999999999999</v>
      </c>
      <c r="E575" s="4">
        <v>16.0565</v>
      </c>
      <c r="F575" s="4">
        <f t="shared" si="32"/>
        <v>16.1845</v>
      </c>
      <c r="I575" s="4" t="s">
        <v>3183</v>
      </c>
      <c r="J575" s="4">
        <v>16.2502</v>
      </c>
      <c r="K575" s="4">
        <v>16.434699999999999</v>
      </c>
      <c r="L575" s="4">
        <v>16.057099999999998</v>
      </c>
      <c r="M575" s="4">
        <f t="shared" si="33"/>
        <v>16.247333333333334</v>
      </c>
      <c r="P575" s="4" t="str">
        <f>"asns-2"</f>
        <v>asns-2</v>
      </c>
      <c r="Q575" s="4">
        <v>16.130494613508301</v>
      </c>
      <c r="R575" s="4">
        <v>16.044448900745401</v>
      </c>
      <c r="S575" s="4">
        <v>15.814508397839299</v>
      </c>
      <c r="T575" s="4">
        <f t="shared" si="34"/>
        <v>15.996483970697666</v>
      </c>
      <c r="W575" s="4" t="str">
        <f>"eif-3.B"</f>
        <v>eif-3.B</v>
      </c>
      <c r="X575" s="4">
        <v>16.143376882876101</v>
      </c>
      <c r="Y575" s="4">
        <v>16.038267806696801</v>
      </c>
      <c r="Z575" s="4">
        <v>15.925235980939</v>
      </c>
      <c r="AA575" s="4">
        <f t="shared" si="35"/>
        <v>16.035626890170636</v>
      </c>
      <c r="AJ575" s="4" t="s">
        <v>475</v>
      </c>
    </row>
    <row r="576" spans="2:36" x14ac:dyDescent="0.2">
      <c r="B576" s="4" t="s">
        <v>3844</v>
      </c>
      <c r="C576" s="4">
        <v>16.6235</v>
      </c>
      <c r="D576" s="4">
        <v>15.9374</v>
      </c>
      <c r="E576" s="4">
        <v>15.986000000000001</v>
      </c>
      <c r="F576" s="4">
        <f t="shared" si="32"/>
        <v>16.182300000000001</v>
      </c>
      <c r="I576" s="4" t="s">
        <v>1189</v>
      </c>
      <c r="J576" s="4">
        <v>16.378699999999998</v>
      </c>
      <c r="K576" s="4">
        <v>16.4239</v>
      </c>
      <c r="L576" s="4">
        <v>15.9373</v>
      </c>
      <c r="M576" s="4">
        <f t="shared" si="33"/>
        <v>16.246633333333332</v>
      </c>
      <c r="P576" s="4" t="str">
        <f>"tars-1"</f>
        <v>tars-1</v>
      </c>
      <c r="Q576" s="4">
        <v>15.9584969144616</v>
      </c>
      <c r="R576" s="4">
        <v>15.915584573169999</v>
      </c>
      <c r="S576" s="4">
        <v>16.0899842526632</v>
      </c>
      <c r="T576" s="4">
        <f t="shared" si="34"/>
        <v>15.9880219134316</v>
      </c>
      <c r="W576" s="4" t="str">
        <f>"algn-2"</f>
        <v>algn-2</v>
      </c>
      <c r="X576" s="4">
        <v>16.022107757232899</v>
      </c>
      <c r="Y576" s="4">
        <v>16.081028989169599</v>
      </c>
      <c r="Z576" s="4">
        <v>16.001717798950601</v>
      </c>
      <c r="AA576" s="4">
        <f t="shared" si="35"/>
        <v>16.034951515117701</v>
      </c>
      <c r="AJ576" s="4" t="s">
        <v>4455</v>
      </c>
    </row>
    <row r="577" spans="2:36" x14ac:dyDescent="0.2">
      <c r="B577" s="4" t="s">
        <v>1916</v>
      </c>
      <c r="C577" s="4">
        <v>16.176200000000001</v>
      </c>
      <c r="D577" s="4">
        <v>15.9072</v>
      </c>
      <c r="E577" s="4">
        <v>16.443899999999999</v>
      </c>
      <c r="F577" s="4">
        <f t="shared" si="32"/>
        <v>16.175766666666664</v>
      </c>
      <c r="I577" s="4" t="s">
        <v>1220</v>
      </c>
      <c r="J577" s="4">
        <v>16.526199999999999</v>
      </c>
      <c r="K577" s="4">
        <v>16.2361</v>
      </c>
      <c r="L577" s="4">
        <v>15.975899999999999</v>
      </c>
      <c r="M577" s="4">
        <f t="shared" si="33"/>
        <v>16.246066666666664</v>
      </c>
      <c r="P577" s="4" t="str">
        <f>"sucg-1"</f>
        <v>sucg-1</v>
      </c>
      <c r="Q577" s="4">
        <v>16.132062826553401</v>
      </c>
      <c r="R577" s="4">
        <v>15.930650846644699</v>
      </c>
      <c r="S577" s="4">
        <v>15.9010563308006</v>
      </c>
      <c r="T577" s="4">
        <f t="shared" si="34"/>
        <v>15.987923334666235</v>
      </c>
      <c r="W577" s="4" t="str">
        <f>"argn-1"</f>
        <v>argn-1</v>
      </c>
      <c r="X577" s="4">
        <v>16.121225029835301</v>
      </c>
      <c r="Y577" s="4">
        <v>16.006968175516</v>
      </c>
      <c r="Z577" s="4">
        <v>15.970572035423301</v>
      </c>
      <c r="AA577" s="4">
        <f t="shared" si="35"/>
        <v>16.032921746924867</v>
      </c>
      <c r="AJ577" s="4" t="s">
        <v>946</v>
      </c>
    </row>
    <row r="578" spans="2:36" x14ac:dyDescent="0.2">
      <c r="B578" s="4" t="s">
        <v>1457</v>
      </c>
      <c r="C578" s="4">
        <v>16.052199999999999</v>
      </c>
      <c r="D578" s="4">
        <v>16.129200000000001</v>
      </c>
      <c r="E578" s="4">
        <v>16.331600000000002</v>
      </c>
      <c r="F578" s="4">
        <f t="shared" ref="F578:F641" si="36">(C578+D578+E578)/3</f>
        <v>16.170999999999999</v>
      </c>
      <c r="I578" s="4" t="s">
        <v>1964</v>
      </c>
      <c r="J578" s="4">
        <v>16.236899999999999</v>
      </c>
      <c r="K578" s="4">
        <v>16.208100000000002</v>
      </c>
      <c r="L578" s="4">
        <v>16.2883</v>
      </c>
      <c r="M578" s="4">
        <f t="shared" ref="M578:M641" si="37">(J578+K578+L578)/3</f>
        <v>16.244433333333333</v>
      </c>
      <c r="P578" s="4" t="str">
        <f>"rsp-8"</f>
        <v>rsp-8</v>
      </c>
      <c r="Q578" s="4">
        <v>16.169591965756599</v>
      </c>
      <c r="R578" s="4">
        <v>15.917550028982101</v>
      </c>
      <c r="S578" s="4">
        <v>15.8716574816746</v>
      </c>
      <c r="T578" s="4">
        <f t="shared" ref="T578:T641" si="38">(Q578+R578+S578)/3</f>
        <v>15.986266492137768</v>
      </c>
      <c r="W578" s="4" t="str">
        <f>"ftt-2"</f>
        <v>ftt-2</v>
      </c>
      <c r="X578" s="4">
        <v>16.086524226633401</v>
      </c>
      <c r="Y578" s="4">
        <v>15.906379498580099</v>
      </c>
      <c r="Z578" s="4">
        <v>16.092111206141102</v>
      </c>
      <c r="AA578" s="4">
        <f t="shared" ref="AA578:AA641" si="39">(X578+Y578+Z578)/3</f>
        <v>16.028338310451534</v>
      </c>
      <c r="AJ578" s="4" t="s">
        <v>4222</v>
      </c>
    </row>
    <row r="579" spans="2:36" x14ac:dyDescent="0.2">
      <c r="B579" s="4" t="s">
        <v>2395</v>
      </c>
      <c r="C579" s="4">
        <v>16.2911</v>
      </c>
      <c r="D579" s="4">
        <v>16.240200000000002</v>
      </c>
      <c r="E579" s="4">
        <v>15.9732</v>
      </c>
      <c r="F579" s="4">
        <f t="shared" si="36"/>
        <v>16.168166666666668</v>
      </c>
      <c r="I579" s="4" t="s">
        <v>2744</v>
      </c>
      <c r="J579" s="4">
        <v>16.038599999999999</v>
      </c>
      <c r="K579" s="4">
        <v>16.226800000000001</v>
      </c>
      <c r="L579" s="4">
        <v>16.467700000000001</v>
      </c>
      <c r="M579" s="4">
        <f t="shared" si="37"/>
        <v>16.244366666666668</v>
      </c>
      <c r="P579" s="4" t="str">
        <f>"C18H7.1"</f>
        <v>C18H7.1</v>
      </c>
      <c r="Q579" s="4">
        <v>16.112360984360699</v>
      </c>
      <c r="R579" s="4">
        <v>15.7249991052671</v>
      </c>
      <c r="S579" s="4">
        <v>16.119964796151301</v>
      </c>
      <c r="T579" s="4">
        <f t="shared" si="38"/>
        <v>15.985774961926367</v>
      </c>
      <c r="W579" s="4" t="str">
        <f>"rab-8"</f>
        <v>rab-8</v>
      </c>
      <c r="X579" s="4">
        <v>16.1506338664692</v>
      </c>
      <c r="Y579" s="4">
        <v>16.0819615274192</v>
      </c>
      <c r="Z579" s="4">
        <v>15.8223904823656</v>
      </c>
      <c r="AA579" s="4">
        <f t="shared" si="39"/>
        <v>16.018328625418</v>
      </c>
      <c r="AJ579" s="4" t="s">
        <v>2968</v>
      </c>
    </row>
    <row r="580" spans="2:36" x14ac:dyDescent="0.2">
      <c r="B580" s="4" t="s">
        <v>1657</v>
      </c>
      <c r="C580" s="4">
        <v>16.1081</v>
      </c>
      <c r="D580" s="4">
        <v>16.265799999999999</v>
      </c>
      <c r="E580" s="4">
        <v>16.111599999999999</v>
      </c>
      <c r="F580" s="4">
        <f t="shared" si="36"/>
        <v>16.161833333333334</v>
      </c>
      <c r="I580" s="4" t="s">
        <v>4010</v>
      </c>
      <c r="J580" s="4">
        <v>15.998900000000001</v>
      </c>
      <c r="K580" s="4">
        <v>16.427600000000002</v>
      </c>
      <c r="L580" s="4">
        <v>16.2972</v>
      </c>
      <c r="M580" s="4">
        <f t="shared" si="37"/>
        <v>16.241233333333337</v>
      </c>
      <c r="P580" s="4" t="str">
        <f>"arf-1.2"</f>
        <v>arf-1.2</v>
      </c>
      <c r="Q580" s="4">
        <v>16.163597333647299</v>
      </c>
      <c r="R580" s="4">
        <v>15.7185323405222</v>
      </c>
      <c r="S580" s="4">
        <v>16.0022928835388</v>
      </c>
      <c r="T580" s="4">
        <f t="shared" si="38"/>
        <v>15.961474185902766</v>
      </c>
      <c r="W580" s="4" t="str">
        <f>"arx-4"</f>
        <v>arx-4</v>
      </c>
      <c r="X580" s="4">
        <v>16.1209096546838</v>
      </c>
      <c r="Y580" s="4">
        <v>16.033008973034601</v>
      </c>
      <c r="Z580" s="4">
        <v>15.896549999332199</v>
      </c>
      <c r="AA580" s="4">
        <f t="shared" si="39"/>
        <v>16.016822875683534</v>
      </c>
      <c r="AJ580" s="4" t="s">
        <v>3071</v>
      </c>
    </row>
    <row r="581" spans="2:36" x14ac:dyDescent="0.2">
      <c r="B581" s="4" t="s">
        <v>1251</v>
      </c>
      <c r="C581" s="4">
        <v>15.9558</v>
      </c>
      <c r="D581" s="4">
        <v>16.245899999999999</v>
      </c>
      <c r="E581" s="4">
        <v>16.2834</v>
      </c>
      <c r="F581" s="4">
        <f t="shared" si="36"/>
        <v>16.1617</v>
      </c>
      <c r="I581" s="4" t="s">
        <v>533</v>
      </c>
      <c r="J581" s="4">
        <v>16.3</v>
      </c>
      <c r="K581" s="4">
        <v>16.1051</v>
      </c>
      <c r="L581" s="4">
        <v>16.3142</v>
      </c>
      <c r="M581" s="4">
        <f t="shared" si="37"/>
        <v>16.239766666666668</v>
      </c>
      <c r="P581" s="4" t="str">
        <f>"icd-2"</f>
        <v>icd-2</v>
      </c>
      <c r="Q581" s="4">
        <v>16.057820244015399</v>
      </c>
      <c r="R581" s="4">
        <v>15.771266861823699</v>
      </c>
      <c r="S581" s="4">
        <v>16.052086118952801</v>
      </c>
      <c r="T581" s="4">
        <f t="shared" si="38"/>
        <v>15.960391074930634</v>
      </c>
      <c r="W581" s="4" t="str">
        <f>"elo-1"</f>
        <v>elo-1</v>
      </c>
      <c r="X581" s="4">
        <v>16.121765609608602</v>
      </c>
      <c r="Y581" s="4">
        <v>16.081933201016199</v>
      </c>
      <c r="Z581" s="4">
        <v>15.846417747252801</v>
      </c>
      <c r="AA581" s="4">
        <f t="shared" si="39"/>
        <v>16.016705519292533</v>
      </c>
      <c r="AJ581" s="4" t="s">
        <v>908</v>
      </c>
    </row>
    <row r="582" spans="2:36" x14ac:dyDescent="0.2">
      <c r="B582" s="4" t="s">
        <v>1659</v>
      </c>
      <c r="C582" s="4">
        <v>16.202999999999999</v>
      </c>
      <c r="D582" s="4">
        <v>16.198399999999999</v>
      </c>
      <c r="E582" s="4">
        <v>16.083500000000001</v>
      </c>
      <c r="F582" s="4">
        <f t="shared" si="36"/>
        <v>16.161633333333331</v>
      </c>
      <c r="I582" s="4" t="s">
        <v>1462</v>
      </c>
      <c r="J582" s="4">
        <v>16.446000000000002</v>
      </c>
      <c r="K582" s="4">
        <v>15.9147</v>
      </c>
      <c r="L582" s="4">
        <v>16.3461</v>
      </c>
      <c r="M582" s="4">
        <f t="shared" si="37"/>
        <v>16.235600000000002</v>
      </c>
      <c r="P582" s="4" t="str">
        <f>"C38C3.4"</f>
        <v>C38C3.4</v>
      </c>
      <c r="Q582" s="4">
        <v>16.1776954172282</v>
      </c>
      <c r="R582" s="4">
        <v>16.0041670091234</v>
      </c>
      <c r="S582" s="4">
        <v>15.695888407612699</v>
      </c>
      <c r="T582" s="4">
        <f t="shared" si="38"/>
        <v>15.959250277988099</v>
      </c>
      <c r="W582" s="4" t="str">
        <f>"his-44"</f>
        <v>his-44</v>
      </c>
      <c r="X582" s="4">
        <v>16.166769694752301</v>
      </c>
      <c r="Y582" s="4">
        <v>15.9608128598073</v>
      </c>
      <c r="Z582" s="4">
        <v>15.921611801147399</v>
      </c>
      <c r="AA582" s="4">
        <f t="shared" si="39"/>
        <v>16.016398118569001</v>
      </c>
      <c r="AJ582" s="4" t="s">
        <v>983</v>
      </c>
    </row>
    <row r="583" spans="2:36" x14ac:dyDescent="0.2">
      <c r="B583" s="4" t="s">
        <v>3719</v>
      </c>
      <c r="C583" s="4">
        <v>16.411300000000001</v>
      </c>
      <c r="D583" s="4">
        <v>16.0411</v>
      </c>
      <c r="E583" s="4">
        <v>16.0305</v>
      </c>
      <c r="F583" s="4">
        <f t="shared" si="36"/>
        <v>16.160966666666667</v>
      </c>
      <c r="I583" s="4" t="s">
        <v>937</v>
      </c>
      <c r="J583" s="4">
        <v>16.677499999999998</v>
      </c>
      <c r="K583" s="4">
        <v>15.2105</v>
      </c>
      <c r="L583" s="4">
        <v>16.813600000000001</v>
      </c>
      <c r="M583" s="4">
        <f t="shared" si="37"/>
        <v>16.233866666666668</v>
      </c>
      <c r="P583" s="4" t="str">
        <f>"pap-1"</f>
        <v>pap-1</v>
      </c>
      <c r="Q583" s="4">
        <v>16.015500423242099</v>
      </c>
      <c r="R583" s="4">
        <v>15.997924540628</v>
      </c>
      <c r="S583" s="4">
        <v>15.842848032332901</v>
      </c>
      <c r="T583" s="4">
        <f t="shared" si="38"/>
        <v>15.952090998734334</v>
      </c>
      <c r="W583" s="4" t="str">
        <f>"popl-1"</f>
        <v>popl-1</v>
      </c>
      <c r="X583" s="4">
        <v>15.8238106011973</v>
      </c>
      <c r="Y583" s="4">
        <v>16.124289713389899</v>
      </c>
      <c r="Z583" s="4">
        <v>16.094156034774102</v>
      </c>
      <c r="AA583" s="4">
        <f t="shared" si="39"/>
        <v>16.0140854497871</v>
      </c>
      <c r="AJ583" s="4" t="s">
        <v>3963</v>
      </c>
    </row>
    <row r="584" spans="2:36" x14ac:dyDescent="0.2">
      <c r="B584" s="4" t="s">
        <v>3650</v>
      </c>
      <c r="C584" s="4">
        <v>15.9655</v>
      </c>
      <c r="D584" s="4">
        <v>16.386700000000001</v>
      </c>
      <c r="E584" s="4">
        <v>16.1065</v>
      </c>
      <c r="F584" s="4">
        <f t="shared" si="36"/>
        <v>16.152900000000002</v>
      </c>
      <c r="I584" s="4" t="s">
        <v>3285</v>
      </c>
      <c r="J584" s="4">
        <v>16.3096</v>
      </c>
      <c r="K584" s="4">
        <v>16.257300000000001</v>
      </c>
      <c r="L584" s="4">
        <v>16.1265</v>
      </c>
      <c r="M584" s="4">
        <f t="shared" si="37"/>
        <v>16.231133333333336</v>
      </c>
      <c r="P584" s="4" t="str">
        <f>"asg-2"</f>
        <v>asg-2</v>
      </c>
      <c r="Q584" s="4">
        <v>15.869371985466801</v>
      </c>
      <c r="R584" s="4">
        <v>16.047857400578099</v>
      </c>
      <c r="S584" s="4">
        <v>15.922134447155299</v>
      </c>
      <c r="T584" s="4">
        <f t="shared" si="38"/>
        <v>15.946454611066734</v>
      </c>
      <c r="W584" s="4" t="str">
        <f>"W09C5.1"</f>
        <v>W09C5.1</v>
      </c>
      <c r="X584" s="4">
        <v>16.077505180554301</v>
      </c>
      <c r="Y584" s="4">
        <v>15.949931746558599</v>
      </c>
      <c r="Z584" s="4">
        <v>16.010796312060702</v>
      </c>
      <c r="AA584" s="4">
        <f t="shared" si="39"/>
        <v>16.01274441305787</v>
      </c>
      <c r="AJ584" s="4" t="s">
        <v>4089</v>
      </c>
    </row>
    <row r="585" spans="2:36" x14ac:dyDescent="0.2">
      <c r="B585" s="4" t="s">
        <v>3944</v>
      </c>
      <c r="C585" s="4">
        <v>16.831700000000001</v>
      </c>
      <c r="D585" s="4">
        <v>15.882999999999999</v>
      </c>
      <c r="E585" s="4">
        <v>15.742800000000001</v>
      </c>
      <c r="F585" s="4">
        <f t="shared" si="36"/>
        <v>16.1525</v>
      </c>
      <c r="I585" s="4" t="s">
        <v>1681</v>
      </c>
      <c r="J585" s="4">
        <v>16.424099999999999</v>
      </c>
      <c r="K585" s="4">
        <v>16.247399999999999</v>
      </c>
      <c r="L585" s="4">
        <v>16.016200000000001</v>
      </c>
      <c r="M585" s="4">
        <f t="shared" si="37"/>
        <v>16.22923333333333</v>
      </c>
      <c r="P585" s="4" t="str">
        <f>"set-27"</f>
        <v>set-27</v>
      </c>
      <c r="Q585" s="4">
        <v>16.123055281756098</v>
      </c>
      <c r="R585" s="4">
        <v>15.888472491922199</v>
      </c>
      <c r="S585" s="4">
        <v>15.8267054058391</v>
      </c>
      <c r="T585" s="4">
        <f t="shared" si="38"/>
        <v>15.946077726505798</v>
      </c>
      <c r="W585" s="4" t="str">
        <f>"rps-12"</f>
        <v>rps-12</v>
      </c>
      <c r="X585" s="4">
        <v>16.1674638646139</v>
      </c>
      <c r="Y585" s="4">
        <v>16.120382788375899</v>
      </c>
      <c r="Z585" s="4">
        <v>15.7497845286633</v>
      </c>
      <c r="AA585" s="4">
        <f t="shared" si="39"/>
        <v>16.0125437272177</v>
      </c>
      <c r="AJ585" s="4" t="s">
        <v>3252</v>
      </c>
    </row>
    <row r="586" spans="2:36" x14ac:dyDescent="0.2">
      <c r="B586" s="4" t="s">
        <v>1959</v>
      </c>
      <c r="C586" s="4">
        <v>16.12</v>
      </c>
      <c r="D586" s="4">
        <v>16.154199999999999</v>
      </c>
      <c r="E586" s="4">
        <v>16.1829</v>
      </c>
      <c r="F586" s="4">
        <f t="shared" si="36"/>
        <v>16.152366666666666</v>
      </c>
      <c r="I586" s="4" t="s">
        <v>2110</v>
      </c>
      <c r="J586" s="4">
        <v>16.150300000000001</v>
      </c>
      <c r="K586" s="4">
        <v>16.082799999999999</v>
      </c>
      <c r="L586" s="4">
        <v>16.446100000000001</v>
      </c>
      <c r="M586" s="4">
        <f t="shared" si="37"/>
        <v>16.226400000000002</v>
      </c>
      <c r="P586" s="4" t="str">
        <f>"exoc-8"</f>
        <v>exoc-8</v>
      </c>
      <c r="Q586" s="4">
        <v>16.141208270843698</v>
      </c>
      <c r="R586" s="4">
        <v>15.8489973684456</v>
      </c>
      <c r="S586" s="4">
        <v>15.8440568535691</v>
      </c>
      <c r="T586" s="4">
        <f t="shared" si="38"/>
        <v>15.944754164286133</v>
      </c>
      <c r="W586" s="4" t="str">
        <f>"kgb-1"</f>
        <v>kgb-1</v>
      </c>
      <c r="X586" s="4">
        <v>15.979855840414199</v>
      </c>
      <c r="Y586" s="4">
        <v>16.062670056625201</v>
      </c>
      <c r="Z586" s="4">
        <v>15.9901389868705</v>
      </c>
      <c r="AA586" s="4">
        <f t="shared" si="39"/>
        <v>16.010888294636633</v>
      </c>
      <c r="AJ586" s="4" t="s">
        <v>4577</v>
      </c>
    </row>
    <row r="587" spans="2:36" x14ac:dyDescent="0.2">
      <c r="B587" s="4" t="s">
        <v>3173</v>
      </c>
      <c r="C587" s="4">
        <v>16.445799999999998</v>
      </c>
      <c r="D587" s="4">
        <v>15.7582</v>
      </c>
      <c r="E587" s="4">
        <v>16.250599999999999</v>
      </c>
      <c r="F587" s="4">
        <f t="shared" si="36"/>
        <v>16.151533333333333</v>
      </c>
      <c r="I587" s="4" t="s">
        <v>3656</v>
      </c>
      <c r="J587" s="4">
        <v>16.409500000000001</v>
      </c>
      <c r="K587" s="4">
        <v>16.133199999999999</v>
      </c>
      <c r="L587" s="4">
        <v>16.111899999999999</v>
      </c>
      <c r="M587" s="4">
        <f t="shared" si="37"/>
        <v>16.2182</v>
      </c>
      <c r="P587" s="4" t="str">
        <f>"tomm-70"</f>
        <v>tomm-70</v>
      </c>
      <c r="Q587" s="4">
        <v>15.8532352455198</v>
      </c>
      <c r="R587" s="4">
        <v>15.9693443939201</v>
      </c>
      <c r="S587" s="4">
        <v>16.0091591957063</v>
      </c>
      <c r="T587" s="4">
        <f t="shared" si="38"/>
        <v>15.943912945048732</v>
      </c>
      <c r="W587" s="4" t="str">
        <f>"bre-1"</f>
        <v>bre-1</v>
      </c>
      <c r="X587" s="4">
        <v>16.0181508068728</v>
      </c>
      <c r="Y587" s="4">
        <v>15.960991962099399</v>
      </c>
      <c r="Z587" s="4">
        <v>16.050681030916699</v>
      </c>
      <c r="AA587" s="4">
        <f t="shared" si="39"/>
        <v>16.009941266629635</v>
      </c>
      <c r="AJ587" s="4" t="s">
        <v>841</v>
      </c>
    </row>
    <row r="588" spans="2:36" x14ac:dyDescent="0.2">
      <c r="B588" s="4" t="s">
        <v>1643</v>
      </c>
      <c r="C588" s="4">
        <v>16.011900000000001</v>
      </c>
      <c r="D588" s="4">
        <v>16.183</v>
      </c>
      <c r="E588" s="4">
        <v>16.2395</v>
      </c>
      <c r="F588" s="4">
        <f t="shared" si="36"/>
        <v>16.1448</v>
      </c>
      <c r="I588" s="4" t="s">
        <v>1771</v>
      </c>
      <c r="J588" s="4">
        <v>16.358799999999999</v>
      </c>
      <c r="K588" s="4">
        <v>16.202999999999999</v>
      </c>
      <c r="L588" s="4">
        <v>16.092099999999999</v>
      </c>
      <c r="M588" s="4">
        <f t="shared" si="37"/>
        <v>16.217966666666666</v>
      </c>
      <c r="P588" s="4" t="str">
        <f>"unc-112"</f>
        <v>unc-112</v>
      </c>
      <c r="Q588" s="4">
        <v>15.9978914058594</v>
      </c>
      <c r="R588" s="4">
        <v>15.775507157342799</v>
      </c>
      <c r="S588" s="4">
        <v>16.028724249061099</v>
      </c>
      <c r="T588" s="4">
        <f t="shared" si="38"/>
        <v>15.9340409374211</v>
      </c>
      <c r="W588" s="4" t="str">
        <f>"ads-1"</f>
        <v>ads-1</v>
      </c>
      <c r="X588" s="4">
        <v>16.199117783597799</v>
      </c>
      <c r="Y588" s="4">
        <v>15.966208757413799</v>
      </c>
      <c r="Z588" s="4">
        <v>15.850088306684601</v>
      </c>
      <c r="AA588" s="4">
        <f t="shared" si="39"/>
        <v>16.005138282565397</v>
      </c>
      <c r="AJ588" s="4" t="s">
        <v>4212</v>
      </c>
    </row>
    <row r="589" spans="2:36" x14ac:dyDescent="0.2">
      <c r="B589" s="4" t="s">
        <v>1716</v>
      </c>
      <c r="C589" s="4">
        <v>16.052199999999999</v>
      </c>
      <c r="D589" s="4">
        <v>16.018799999999999</v>
      </c>
      <c r="E589" s="4">
        <v>16.358599999999999</v>
      </c>
      <c r="F589" s="4">
        <f t="shared" si="36"/>
        <v>16.143199999999997</v>
      </c>
      <c r="I589" s="4" t="s">
        <v>2430</v>
      </c>
      <c r="J589" s="4">
        <v>16.112400000000001</v>
      </c>
      <c r="K589" s="4">
        <v>16.186699999999998</v>
      </c>
      <c r="L589" s="4">
        <v>16.354500000000002</v>
      </c>
      <c r="M589" s="4">
        <f t="shared" si="37"/>
        <v>16.217866666666666</v>
      </c>
      <c r="P589" s="4" t="str">
        <f>"ent-1"</f>
        <v>ent-1</v>
      </c>
      <c r="Q589" s="4">
        <v>15.7730835403657</v>
      </c>
      <c r="R589" s="4">
        <v>15.7730024302389</v>
      </c>
      <c r="S589" s="4">
        <v>16.245996901852902</v>
      </c>
      <c r="T589" s="4">
        <f t="shared" si="38"/>
        <v>15.930694290819167</v>
      </c>
      <c r="W589" s="4" t="str">
        <f>"algn-5"</f>
        <v>algn-5</v>
      </c>
      <c r="X589" s="4">
        <v>15.9988234754665</v>
      </c>
      <c r="Y589" s="4">
        <v>16.023396051135201</v>
      </c>
      <c r="Z589" s="4">
        <v>15.965316311574499</v>
      </c>
      <c r="AA589" s="4">
        <f t="shared" si="39"/>
        <v>15.995845279392066</v>
      </c>
      <c r="AJ589" s="4" t="s">
        <v>2927</v>
      </c>
    </row>
    <row r="590" spans="2:36" x14ac:dyDescent="0.2">
      <c r="B590" s="4" t="s">
        <v>2396</v>
      </c>
      <c r="C590" s="4">
        <v>16.280899999999999</v>
      </c>
      <c r="D590" s="4">
        <v>15.933</v>
      </c>
      <c r="E590" s="4">
        <v>16.209599999999998</v>
      </c>
      <c r="F590" s="4">
        <f t="shared" si="36"/>
        <v>16.141166666666663</v>
      </c>
      <c r="I590" s="4" t="s">
        <v>2559</v>
      </c>
      <c r="J590" s="4">
        <v>16.098500000000001</v>
      </c>
      <c r="K590" s="4">
        <v>16.167400000000001</v>
      </c>
      <c r="L590" s="4">
        <v>16.376799999999999</v>
      </c>
      <c r="M590" s="4">
        <f t="shared" si="37"/>
        <v>16.214233333333336</v>
      </c>
      <c r="P590" s="4" t="str">
        <f>"bre-1"</f>
        <v>bre-1</v>
      </c>
      <c r="Q590" s="4">
        <v>15.9643238553068</v>
      </c>
      <c r="R590" s="4">
        <v>15.897706394511699</v>
      </c>
      <c r="S590" s="4">
        <v>15.920161237878901</v>
      </c>
      <c r="T590" s="4">
        <f t="shared" si="38"/>
        <v>15.927397162565802</v>
      </c>
      <c r="W590" s="4" t="str">
        <f>"unc-22"</f>
        <v>unc-22</v>
      </c>
      <c r="X590" s="4">
        <v>15.5998896906765</v>
      </c>
      <c r="Y590" s="4">
        <v>15.9137490807787</v>
      </c>
      <c r="Z590" s="4">
        <v>16.456179699848001</v>
      </c>
      <c r="AA590" s="4">
        <f t="shared" si="39"/>
        <v>15.9899394904344</v>
      </c>
      <c r="AJ590" s="4" t="s">
        <v>2958</v>
      </c>
    </row>
    <row r="591" spans="2:36" x14ac:dyDescent="0.2">
      <c r="B591" s="4" t="s">
        <v>1854</v>
      </c>
      <c r="C591" s="4">
        <v>16.1996</v>
      </c>
      <c r="D591" s="4">
        <v>16.053899999999999</v>
      </c>
      <c r="E591" s="4">
        <v>16.164899999999999</v>
      </c>
      <c r="F591" s="4">
        <f t="shared" si="36"/>
        <v>16.139466666666667</v>
      </c>
      <c r="I591" s="4" t="s">
        <v>2989</v>
      </c>
      <c r="J591" s="4">
        <v>16.2103</v>
      </c>
      <c r="K591" s="4">
        <v>16.178000000000001</v>
      </c>
      <c r="L591" s="4">
        <v>16.2485</v>
      </c>
      <c r="M591" s="4">
        <f t="shared" si="37"/>
        <v>16.212266666666668</v>
      </c>
      <c r="P591" s="4" t="str">
        <f>"rpn-1"</f>
        <v>rpn-1</v>
      </c>
      <c r="Q591" s="4">
        <v>16.037510125791499</v>
      </c>
      <c r="R591" s="4">
        <v>15.872189251333699</v>
      </c>
      <c r="S591" s="4">
        <v>15.8548745971248</v>
      </c>
      <c r="T591" s="4">
        <f t="shared" si="38"/>
        <v>15.921524658083333</v>
      </c>
      <c r="W591" s="4" t="str">
        <f>"haf-9"</f>
        <v>haf-9</v>
      </c>
      <c r="X591" s="4">
        <v>15.825004015046099</v>
      </c>
      <c r="Y591" s="4">
        <v>16.043186373246201</v>
      </c>
      <c r="Z591" s="4">
        <v>16.0987858677289</v>
      </c>
      <c r="AA591" s="4">
        <f t="shared" si="39"/>
        <v>15.988992085340399</v>
      </c>
      <c r="AJ591" s="4" t="s">
        <v>2521</v>
      </c>
    </row>
    <row r="592" spans="2:36" x14ac:dyDescent="0.2">
      <c r="B592" s="4" t="s">
        <v>1161</v>
      </c>
      <c r="C592" s="4">
        <v>16.232500000000002</v>
      </c>
      <c r="D592" s="4">
        <v>15.982200000000001</v>
      </c>
      <c r="E592" s="4">
        <v>16.157699999999998</v>
      </c>
      <c r="F592" s="4">
        <f t="shared" si="36"/>
        <v>16.124133333333333</v>
      </c>
      <c r="I592" s="4" t="s">
        <v>2781</v>
      </c>
      <c r="J592" s="4">
        <v>16.237400000000001</v>
      </c>
      <c r="K592" s="4">
        <v>16.0883</v>
      </c>
      <c r="L592" s="4">
        <v>16.308299999999999</v>
      </c>
      <c r="M592" s="4">
        <f t="shared" si="37"/>
        <v>16.211333333333332</v>
      </c>
      <c r="P592" s="4" t="str">
        <f>"dlst-1"</f>
        <v>dlst-1</v>
      </c>
      <c r="Q592" s="4">
        <v>16.432411598960801</v>
      </c>
      <c r="R592" s="4">
        <v>15.5083806696656</v>
      </c>
      <c r="S592" s="4">
        <v>15.819475258352201</v>
      </c>
      <c r="T592" s="4">
        <f t="shared" si="38"/>
        <v>15.920089175659534</v>
      </c>
      <c r="W592" s="4" t="str">
        <f>"csn-2"</f>
        <v>csn-2</v>
      </c>
      <c r="X592" s="4">
        <v>15.9670739577424</v>
      </c>
      <c r="Y592" s="4">
        <v>16.003365486768999</v>
      </c>
      <c r="Z592" s="4">
        <v>15.988909043264201</v>
      </c>
      <c r="AA592" s="4">
        <f t="shared" si="39"/>
        <v>15.9864494959252</v>
      </c>
      <c r="AJ592" s="4" t="s">
        <v>1086</v>
      </c>
    </row>
    <row r="593" spans="2:36" x14ac:dyDescent="0.2">
      <c r="B593" s="4" t="s">
        <v>1948</v>
      </c>
      <c r="C593" s="4">
        <v>16.0929</v>
      </c>
      <c r="D593" s="4">
        <v>16.178599999999999</v>
      </c>
      <c r="E593" s="4">
        <v>16.099</v>
      </c>
      <c r="F593" s="4">
        <f t="shared" si="36"/>
        <v>16.123500000000003</v>
      </c>
      <c r="I593" s="4" t="s">
        <v>1379</v>
      </c>
      <c r="J593" s="4">
        <v>16.047499999999999</v>
      </c>
      <c r="K593" s="4">
        <v>16.2636</v>
      </c>
      <c r="L593" s="4">
        <v>16.313500000000001</v>
      </c>
      <c r="M593" s="4">
        <f t="shared" si="37"/>
        <v>16.208200000000001</v>
      </c>
      <c r="P593" s="4" t="str">
        <f>"algn-5"</f>
        <v>algn-5</v>
      </c>
      <c r="Q593" s="4">
        <v>15.9278671017878</v>
      </c>
      <c r="R593" s="4">
        <v>15.9193345427057</v>
      </c>
      <c r="S593" s="4">
        <v>15.9045286473734</v>
      </c>
      <c r="T593" s="4">
        <f t="shared" si="38"/>
        <v>15.917243430622301</v>
      </c>
      <c r="W593" s="4" t="str">
        <f>"itsn-1"</f>
        <v>itsn-1</v>
      </c>
      <c r="X593" s="4">
        <v>16.041455701402</v>
      </c>
      <c r="Y593" s="4">
        <v>15.948461133938901</v>
      </c>
      <c r="Z593" s="4">
        <v>15.9670777394164</v>
      </c>
      <c r="AA593" s="4">
        <f t="shared" si="39"/>
        <v>15.985664858252434</v>
      </c>
      <c r="AJ593" s="4" t="s">
        <v>4476</v>
      </c>
    </row>
    <row r="594" spans="2:36" x14ac:dyDescent="0.2">
      <c r="B594" s="4" t="s">
        <v>3117</v>
      </c>
      <c r="C594" s="4">
        <v>16.204699999999999</v>
      </c>
      <c r="D594" s="4">
        <v>16.2011</v>
      </c>
      <c r="E594" s="4">
        <v>15.9489</v>
      </c>
      <c r="F594" s="4">
        <f t="shared" si="36"/>
        <v>16.118233333333333</v>
      </c>
      <c r="I594" s="4" t="s">
        <v>3078</v>
      </c>
      <c r="J594" s="4">
        <v>16.499300000000002</v>
      </c>
      <c r="K594" s="4">
        <v>16.039200000000001</v>
      </c>
      <c r="L594" s="4">
        <v>16.072199999999999</v>
      </c>
      <c r="M594" s="4">
        <f t="shared" si="37"/>
        <v>16.203566666666664</v>
      </c>
      <c r="P594" s="4" t="str">
        <f>"rfc-3"</f>
        <v>rfc-3</v>
      </c>
      <c r="Q594" s="4">
        <v>16.046000106371</v>
      </c>
      <c r="R594" s="4">
        <v>15.9101806215065</v>
      </c>
      <c r="S594" s="4">
        <v>15.7932112389746</v>
      </c>
      <c r="T594" s="4">
        <f t="shared" si="38"/>
        <v>15.916463988950701</v>
      </c>
      <c r="W594" s="4" t="str">
        <f>"nstp-4"</f>
        <v>nstp-4</v>
      </c>
      <c r="X594" s="4">
        <v>16.328269374732301</v>
      </c>
      <c r="Y594" s="4">
        <v>15.862579464339699</v>
      </c>
      <c r="Z594" s="4">
        <v>15.7634753065166</v>
      </c>
      <c r="AA594" s="4">
        <f t="shared" si="39"/>
        <v>15.984774715196201</v>
      </c>
      <c r="AJ594" s="4" t="s">
        <v>4143</v>
      </c>
    </row>
    <row r="595" spans="2:36" x14ac:dyDescent="0.2">
      <c r="B595" s="4" t="s">
        <v>2891</v>
      </c>
      <c r="C595" s="4">
        <v>16.0032</v>
      </c>
      <c r="D595" s="4">
        <v>16.034800000000001</v>
      </c>
      <c r="E595" s="4">
        <v>16.311499999999999</v>
      </c>
      <c r="F595" s="4">
        <f t="shared" si="36"/>
        <v>16.116499999999998</v>
      </c>
      <c r="I595" s="4" t="s">
        <v>3013</v>
      </c>
      <c r="J595" s="4">
        <v>16.1647</v>
      </c>
      <c r="K595" s="4">
        <v>16.081</v>
      </c>
      <c r="L595" s="4">
        <v>16.352799999999998</v>
      </c>
      <c r="M595" s="4">
        <f t="shared" si="37"/>
        <v>16.1995</v>
      </c>
      <c r="P595" s="4" t="str">
        <f>"dim-1"</f>
        <v>dim-1</v>
      </c>
      <c r="Q595" s="4">
        <v>16.150869283672002</v>
      </c>
      <c r="R595" s="4">
        <v>15.542382115493</v>
      </c>
      <c r="S595" s="4">
        <v>16.049190478329798</v>
      </c>
      <c r="T595" s="4">
        <f t="shared" si="38"/>
        <v>15.914147292498265</v>
      </c>
      <c r="W595" s="4" t="str">
        <f>"ipla-6"</f>
        <v>ipla-6</v>
      </c>
      <c r="X595" s="4">
        <v>15.5914482569626</v>
      </c>
      <c r="Y595" s="4">
        <v>16.246628814388</v>
      </c>
      <c r="Z595" s="4">
        <v>16.1068847793704</v>
      </c>
      <c r="AA595" s="4">
        <f t="shared" si="39"/>
        <v>15.981653950240334</v>
      </c>
      <c r="AJ595" s="4" t="s">
        <v>2591</v>
      </c>
    </row>
    <row r="596" spans="2:36" x14ac:dyDescent="0.2">
      <c r="B596" s="4" t="s">
        <v>1812</v>
      </c>
      <c r="C596" s="4">
        <v>16.154</v>
      </c>
      <c r="D596" s="4">
        <v>16.04</v>
      </c>
      <c r="E596" s="4">
        <v>16.154299999999999</v>
      </c>
      <c r="F596" s="4">
        <f t="shared" si="36"/>
        <v>16.116099999999999</v>
      </c>
      <c r="I596" s="4" t="s">
        <v>4637</v>
      </c>
      <c r="J596" s="4">
        <v>15.8847</v>
      </c>
      <c r="K596" s="4">
        <v>16.323699999999999</v>
      </c>
      <c r="L596" s="4">
        <v>16.388200000000001</v>
      </c>
      <c r="M596" s="4">
        <f t="shared" si="37"/>
        <v>16.198866666666664</v>
      </c>
      <c r="P596" s="4" t="str">
        <f>"vps-4"</f>
        <v>vps-4</v>
      </c>
      <c r="Q596" s="4">
        <v>15.9945411183066</v>
      </c>
      <c r="R596" s="4">
        <v>15.8930312867792</v>
      </c>
      <c r="S596" s="4">
        <v>15.849160337072201</v>
      </c>
      <c r="T596" s="4">
        <f t="shared" si="38"/>
        <v>15.912244247385999</v>
      </c>
      <c r="W596" s="4" t="str">
        <f>"mua-6"</f>
        <v>mua-6</v>
      </c>
      <c r="X596" s="4">
        <v>15.974719245749901</v>
      </c>
      <c r="Y596" s="4">
        <v>15.9019314520244</v>
      </c>
      <c r="Z596" s="4">
        <v>16.0681219998533</v>
      </c>
      <c r="AA596" s="4">
        <f t="shared" si="39"/>
        <v>15.9815908992092</v>
      </c>
      <c r="AJ596" s="4" t="s">
        <v>749</v>
      </c>
    </row>
    <row r="597" spans="2:36" x14ac:dyDescent="0.2">
      <c r="B597" s="4" t="s">
        <v>4001</v>
      </c>
      <c r="C597" s="4">
        <v>16.173300000000001</v>
      </c>
      <c r="D597" s="4">
        <v>16.154</v>
      </c>
      <c r="E597" s="4">
        <v>15.998200000000001</v>
      </c>
      <c r="F597" s="4">
        <f t="shared" si="36"/>
        <v>16.108500000000003</v>
      </c>
      <c r="I597" s="4" t="s">
        <v>839</v>
      </c>
      <c r="J597" s="4">
        <v>16.194600000000001</v>
      </c>
      <c r="K597" s="4">
        <v>16.070699999999999</v>
      </c>
      <c r="L597" s="4">
        <v>16.3263</v>
      </c>
      <c r="M597" s="4">
        <f t="shared" si="37"/>
        <v>16.197199999999999</v>
      </c>
      <c r="P597" s="4" t="str">
        <f>"laat-1"</f>
        <v>laat-1</v>
      </c>
      <c r="Q597" s="4">
        <v>15.6481864613794</v>
      </c>
      <c r="R597" s="4">
        <v>16.050566536778401</v>
      </c>
      <c r="S597" s="4">
        <v>16.036682090128998</v>
      </c>
      <c r="T597" s="4">
        <f t="shared" si="38"/>
        <v>15.911811696095599</v>
      </c>
      <c r="W597" s="4" t="str">
        <f>"trap-4"</f>
        <v>trap-4</v>
      </c>
      <c r="X597" s="4">
        <v>16.211385853108599</v>
      </c>
      <c r="Y597" s="4">
        <v>16.0260007601476</v>
      </c>
      <c r="Z597" s="4">
        <v>15.689741939964801</v>
      </c>
      <c r="AA597" s="4">
        <f t="shared" si="39"/>
        <v>15.975709517740333</v>
      </c>
      <c r="AJ597" s="4" t="s">
        <v>4085</v>
      </c>
    </row>
    <row r="598" spans="2:36" x14ac:dyDescent="0.2">
      <c r="B598" s="4" t="s">
        <v>3028</v>
      </c>
      <c r="C598" s="4">
        <v>16.1996</v>
      </c>
      <c r="D598" s="4">
        <v>15.8903</v>
      </c>
      <c r="E598" s="4">
        <v>16.2333</v>
      </c>
      <c r="F598" s="4">
        <f t="shared" si="36"/>
        <v>16.107733333333332</v>
      </c>
      <c r="I598" s="4" t="s">
        <v>567</v>
      </c>
      <c r="J598" s="4">
        <v>16.501899999999999</v>
      </c>
      <c r="K598" s="4">
        <v>16.1097</v>
      </c>
      <c r="L598" s="4">
        <v>15.970700000000001</v>
      </c>
      <c r="M598" s="4">
        <f t="shared" si="37"/>
        <v>16.194099999999999</v>
      </c>
      <c r="P598" s="4" t="str">
        <f>"ssl-1"</f>
        <v>ssl-1</v>
      </c>
      <c r="Q598" s="4">
        <v>16.210702361424701</v>
      </c>
      <c r="R598" s="4">
        <v>15.780568940236099</v>
      </c>
      <c r="S598" s="4">
        <v>15.7347543796223</v>
      </c>
      <c r="T598" s="4">
        <f t="shared" si="38"/>
        <v>15.908675227094369</v>
      </c>
      <c r="W598" s="4" t="str">
        <f>"sptl-1"</f>
        <v>sptl-1</v>
      </c>
      <c r="X598" s="4">
        <v>16.220376648503098</v>
      </c>
      <c r="Y598" s="4">
        <v>15.8828230875098</v>
      </c>
      <c r="Z598" s="4">
        <v>15.8061759724139</v>
      </c>
      <c r="AA598" s="4">
        <f t="shared" si="39"/>
        <v>15.969791902808931</v>
      </c>
      <c r="AJ598" s="4" t="s">
        <v>4505</v>
      </c>
    </row>
    <row r="599" spans="2:36" x14ac:dyDescent="0.2">
      <c r="B599" s="4" t="s">
        <v>2571</v>
      </c>
      <c r="C599" s="4">
        <v>16.436399999999999</v>
      </c>
      <c r="D599" s="4">
        <v>15.385899999999999</v>
      </c>
      <c r="E599" s="4">
        <v>16.492100000000001</v>
      </c>
      <c r="F599" s="4">
        <f t="shared" si="36"/>
        <v>16.104800000000001</v>
      </c>
      <c r="I599" s="4" t="s">
        <v>1951</v>
      </c>
      <c r="J599" s="4">
        <v>16.196300000000001</v>
      </c>
      <c r="K599" s="4">
        <v>16.207699999999999</v>
      </c>
      <c r="L599" s="4">
        <v>16.177800000000001</v>
      </c>
      <c r="M599" s="4">
        <f t="shared" si="37"/>
        <v>16.193933333333334</v>
      </c>
      <c r="P599" s="4" t="str">
        <f>"acdh-1"</f>
        <v>acdh-1</v>
      </c>
      <c r="Q599" s="4">
        <v>16.033401610681999</v>
      </c>
      <c r="R599" s="4">
        <v>15.9099030581081</v>
      </c>
      <c r="S599" s="4">
        <v>15.776414609826499</v>
      </c>
      <c r="T599" s="4">
        <f t="shared" si="38"/>
        <v>15.906573092872199</v>
      </c>
      <c r="W599" s="4" t="str">
        <f>"aps-2"</f>
        <v>aps-2</v>
      </c>
      <c r="X599" s="4">
        <v>15.9950427291907</v>
      </c>
      <c r="Y599" s="4">
        <v>15.880733442757901</v>
      </c>
      <c r="Z599" s="4">
        <v>16.031196805548301</v>
      </c>
      <c r="AA599" s="4">
        <f t="shared" si="39"/>
        <v>15.968990992498968</v>
      </c>
      <c r="AJ599" s="4" t="s">
        <v>4357</v>
      </c>
    </row>
    <row r="600" spans="2:36" x14ac:dyDescent="0.2">
      <c r="B600" s="4" t="s">
        <v>1553</v>
      </c>
      <c r="C600" s="4">
        <v>15.9186</v>
      </c>
      <c r="D600" s="4">
        <v>16.212399999999999</v>
      </c>
      <c r="E600" s="4">
        <v>16.170200000000001</v>
      </c>
      <c r="F600" s="4">
        <f t="shared" si="36"/>
        <v>16.1004</v>
      </c>
      <c r="I600" s="4" t="s">
        <v>3522</v>
      </c>
      <c r="J600" s="4">
        <v>16.154900000000001</v>
      </c>
      <c r="K600" s="4">
        <v>16.342199999999998</v>
      </c>
      <c r="L600" s="4">
        <v>16.0563</v>
      </c>
      <c r="M600" s="4">
        <f t="shared" si="37"/>
        <v>16.184466666666669</v>
      </c>
      <c r="P600" s="4" t="str">
        <f>"Y54E2A.4"</f>
        <v>Y54E2A.4</v>
      </c>
      <c r="Q600" s="4">
        <v>16.032000159694999</v>
      </c>
      <c r="R600" s="4">
        <v>15.8124050477188</v>
      </c>
      <c r="S600" s="4">
        <v>15.860436682844499</v>
      </c>
      <c r="T600" s="4">
        <f t="shared" si="38"/>
        <v>15.901613963419434</v>
      </c>
      <c r="W600" s="4" t="str">
        <f>"hum-1"</f>
        <v>hum-1</v>
      </c>
      <c r="X600" s="4">
        <v>16.0122138209532</v>
      </c>
      <c r="Y600" s="4">
        <v>16.0442985392752</v>
      </c>
      <c r="Z600" s="4">
        <v>15.8469377237583</v>
      </c>
      <c r="AA600" s="4">
        <f t="shared" si="39"/>
        <v>15.967816694662233</v>
      </c>
      <c r="AJ600" s="4" t="s">
        <v>4355</v>
      </c>
    </row>
    <row r="601" spans="2:36" x14ac:dyDescent="0.2">
      <c r="B601" s="4" t="s">
        <v>2449</v>
      </c>
      <c r="C601" s="4">
        <v>16.276599999999998</v>
      </c>
      <c r="D601" s="4">
        <v>16.375599999999999</v>
      </c>
      <c r="E601" s="4">
        <v>15.6479</v>
      </c>
      <c r="F601" s="4">
        <f t="shared" si="36"/>
        <v>16.100033333333332</v>
      </c>
      <c r="I601" s="4" t="s">
        <v>3028</v>
      </c>
      <c r="J601" s="4">
        <v>16.276900000000001</v>
      </c>
      <c r="K601" s="4">
        <v>16.0337</v>
      </c>
      <c r="L601" s="4">
        <v>16.239599999999999</v>
      </c>
      <c r="M601" s="4">
        <f t="shared" si="37"/>
        <v>16.183400000000002</v>
      </c>
      <c r="P601" s="4" t="str">
        <f>"ptp-2"</f>
        <v>ptp-2</v>
      </c>
      <c r="Q601" s="4">
        <v>16.029119857935601</v>
      </c>
      <c r="R601" s="4">
        <v>15.8501959553815</v>
      </c>
      <c r="S601" s="4">
        <v>15.810529915598099</v>
      </c>
      <c r="T601" s="4">
        <f t="shared" si="38"/>
        <v>15.896615242971734</v>
      </c>
      <c r="W601" s="4" t="str">
        <f>"vps-4"</f>
        <v>vps-4</v>
      </c>
      <c r="X601" s="4">
        <v>15.873330540861</v>
      </c>
      <c r="Y601" s="4">
        <v>16.1136392528506</v>
      </c>
      <c r="Z601" s="4">
        <v>15.9157544912274</v>
      </c>
      <c r="AA601" s="4">
        <f t="shared" si="39"/>
        <v>15.967574761646333</v>
      </c>
      <c r="AJ601" s="4" t="s">
        <v>4417</v>
      </c>
    </row>
    <row r="602" spans="2:36" x14ac:dyDescent="0.2">
      <c r="B602" s="4" t="s">
        <v>3206</v>
      </c>
      <c r="C602" s="4">
        <v>16.0063</v>
      </c>
      <c r="D602" s="4">
        <v>16.377800000000001</v>
      </c>
      <c r="E602" s="4">
        <v>15.9116</v>
      </c>
      <c r="F602" s="4">
        <f t="shared" si="36"/>
        <v>16.098566666666667</v>
      </c>
      <c r="I602" s="4" t="s">
        <v>1339</v>
      </c>
      <c r="J602" s="4">
        <v>15.7064</v>
      </c>
      <c r="K602" s="4">
        <v>15.9438</v>
      </c>
      <c r="L602" s="4">
        <v>16.885899999999999</v>
      </c>
      <c r="M602" s="4">
        <f t="shared" si="37"/>
        <v>16.178699999999999</v>
      </c>
      <c r="P602" s="4" t="str">
        <f>"T08G11.1"</f>
        <v>T08G11.1</v>
      </c>
      <c r="Q602" s="4">
        <v>15.796697317604499</v>
      </c>
      <c r="R602" s="4">
        <v>15.8264877998595</v>
      </c>
      <c r="S602" s="4">
        <v>16.065750754574101</v>
      </c>
      <c r="T602" s="4">
        <f t="shared" si="38"/>
        <v>15.896311957346034</v>
      </c>
      <c r="W602" s="4" t="str">
        <f>"acs-14"</f>
        <v>acs-14</v>
      </c>
      <c r="X602" s="4">
        <v>16.021758943764201</v>
      </c>
      <c r="Y602" s="4">
        <v>15.747348949510201</v>
      </c>
      <c r="Z602" s="4">
        <v>16.121730095783999</v>
      </c>
      <c r="AA602" s="4">
        <f t="shared" si="39"/>
        <v>15.963612663019466</v>
      </c>
      <c r="AJ602" s="4" t="s">
        <v>494</v>
      </c>
    </row>
    <row r="603" spans="2:36" x14ac:dyDescent="0.2">
      <c r="B603" s="4" t="s">
        <v>4071</v>
      </c>
      <c r="C603" s="4">
        <v>16.0626</v>
      </c>
      <c r="D603" s="4">
        <v>16.4176</v>
      </c>
      <c r="E603" s="4">
        <v>15.8126</v>
      </c>
      <c r="F603" s="4">
        <f t="shared" si="36"/>
        <v>16.0976</v>
      </c>
      <c r="I603" s="4" t="s">
        <v>1234</v>
      </c>
      <c r="J603" s="4">
        <v>16.150400000000001</v>
      </c>
      <c r="K603" s="4">
        <v>16.222100000000001</v>
      </c>
      <c r="L603" s="4">
        <v>16.149000000000001</v>
      </c>
      <c r="M603" s="4">
        <f t="shared" si="37"/>
        <v>16.173833333333334</v>
      </c>
      <c r="P603" s="4" t="str">
        <f>"F55F8.2"</f>
        <v>F55F8.2</v>
      </c>
      <c r="Q603" s="4">
        <v>15.9537937372169</v>
      </c>
      <c r="R603" s="4">
        <v>16.039259668627398</v>
      </c>
      <c r="S603" s="4">
        <v>15.6833387090141</v>
      </c>
      <c r="T603" s="4">
        <f t="shared" si="38"/>
        <v>15.8921307049528</v>
      </c>
      <c r="W603" s="4" t="str">
        <f>"npp-3"</f>
        <v>npp-3</v>
      </c>
      <c r="X603" s="4">
        <v>15.9173501762115</v>
      </c>
      <c r="Y603" s="4">
        <v>16.009787606657401</v>
      </c>
      <c r="Z603" s="4">
        <v>15.952123515905701</v>
      </c>
      <c r="AA603" s="4">
        <f t="shared" si="39"/>
        <v>15.959753766258201</v>
      </c>
      <c r="AJ603" s="4" t="s">
        <v>4421</v>
      </c>
    </row>
    <row r="604" spans="2:36" x14ac:dyDescent="0.2">
      <c r="B604" s="4" t="s">
        <v>2779</v>
      </c>
      <c r="C604" s="4">
        <v>16.151800000000001</v>
      </c>
      <c r="D604" s="4">
        <v>16.105399999999999</v>
      </c>
      <c r="E604" s="4">
        <v>16.023399999999999</v>
      </c>
      <c r="F604" s="4">
        <f t="shared" si="36"/>
        <v>16.09353333333333</v>
      </c>
      <c r="I604" s="4" t="s">
        <v>2520</v>
      </c>
      <c r="J604" s="4">
        <v>16.387</v>
      </c>
      <c r="K604" s="4">
        <v>16.549700000000001</v>
      </c>
      <c r="L604" s="4">
        <v>15.5733</v>
      </c>
      <c r="M604" s="4">
        <f t="shared" si="37"/>
        <v>16.170000000000002</v>
      </c>
      <c r="P604" s="4" t="str">
        <f>"hum-5"</f>
        <v>hum-5</v>
      </c>
      <c r="Q604" s="4">
        <v>16.034740848062601</v>
      </c>
      <c r="R604" s="4">
        <v>15.7226184819829</v>
      </c>
      <c r="S604" s="4">
        <v>15.912345896502</v>
      </c>
      <c r="T604" s="4">
        <f t="shared" si="38"/>
        <v>15.889901742182502</v>
      </c>
      <c r="W604" s="4" t="str">
        <f>"asb-1"</f>
        <v>asb-1</v>
      </c>
      <c r="X604" s="4">
        <v>16.138326571434899</v>
      </c>
      <c r="Y604" s="4">
        <v>15.991606644192601</v>
      </c>
      <c r="Z604" s="4">
        <v>15.7355913600255</v>
      </c>
      <c r="AA604" s="4">
        <f t="shared" si="39"/>
        <v>15.955174858551002</v>
      </c>
      <c r="AJ604" s="4" t="s">
        <v>3333</v>
      </c>
    </row>
    <row r="605" spans="2:36" x14ac:dyDescent="0.2">
      <c r="B605" s="4" t="s">
        <v>659</v>
      </c>
      <c r="C605" s="4">
        <v>15.786799999999999</v>
      </c>
      <c r="D605" s="4">
        <v>16.528500000000001</v>
      </c>
      <c r="E605" s="4">
        <v>15.9649</v>
      </c>
      <c r="F605" s="4">
        <f t="shared" si="36"/>
        <v>16.093399999999999</v>
      </c>
      <c r="I605" s="4" t="s">
        <v>2314</v>
      </c>
      <c r="J605" s="4">
        <v>16.318999999999999</v>
      </c>
      <c r="K605" s="4">
        <v>16.197099999999999</v>
      </c>
      <c r="L605" s="4">
        <v>15.9899</v>
      </c>
      <c r="M605" s="4">
        <f t="shared" si="37"/>
        <v>16.168666666666663</v>
      </c>
      <c r="P605" s="4" t="str">
        <f>"atp-3"</f>
        <v>atp-3</v>
      </c>
      <c r="Q605" s="4">
        <v>15.848861906319399</v>
      </c>
      <c r="R605" s="4">
        <v>16.001255236102601</v>
      </c>
      <c r="S605" s="4">
        <v>15.817056122573099</v>
      </c>
      <c r="T605" s="4">
        <f t="shared" si="38"/>
        <v>15.889057754998367</v>
      </c>
      <c r="W605" s="4" t="str">
        <f>"cgp-1"</f>
        <v>cgp-1</v>
      </c>
      <c r="X605" s="4">
        <v>15.943177843280001</v>
      </c>
      <c r="Y605" s="4">
        <v>15.9625250035074</v>
      </c>
      <c r="Z605" s="4">
        <v>15.952175424302499</v>
      </c>
      <c r="AA605" s="4">
        <f t="shared" si="39"/>
        <v>15.952626090363301</v>
      </c>
      <c r="AJ605" s="4" t="s">
        <v>2643</v>
      </c>
    </row>
    <row r="606" spans="2:36" x14ac:dyDescent="0.2">
      <c r="B606" s="4" t="s">
        <v>3507</v>
      </c>
      <c r="C606" s="4">
        <v>16.524100000000001</v>
      </c>
      <c r="D606" s="4">
        <v>15.612</v>
      </c>
      <c r="E606" s="4">
        <v>16.1294</v>
      </c>
      <c r="F606" s="4">
        <f t="shared" si="36"/>
        <v>16.0885</v>
      </c>
      <c r="I606" s="4" t="s">
        <v>2109</v>
      </c>
      <c r="J606" s="4">
        <v>16.1038</v>
      </c>
      <c r="K606" s="4">
        <v>15.979799999999999</v>
      </c>
      <c r="L606" s="4">
        <v>16.421800000000001</v>
      </c>
      <c r="M606" s="4">
        <f t="shared" si="37"/>
        <v>16.168466666666664</v>
      </c>
      <c r="P606" s="4" t="str">
        <f>"sgk-1"</f>
        <v>sgk-1</v>
      </c>
      <c r="Q606" s="4">
        <v>16.058349790605401</v>
      </c>
      <c r="R606" s="4">
        <v>15.8192121830493</v>
      </c>
      <c r="S606" s="4">
        <v>15.7872602139719</v>
      </c>
      <c r="T606" s="4">
        <f t="shared" si="38"/>
        <v>15.8882740625422</v>
      </c>
      <c r="W606" s="4" t="str">
        <f>"vha-2"</f>
        <v>vha-2</v>
      </c>
      <c r="X606" s="4">
        <v>15.439864084679799</v>
      </c>
      <c r="Y606" s="4">
        <v>15.9833149622898</v>
      </c>
      <c r="Z606" s="4">
        <v>16.4264979816408</v>
      </c>
      <c r="AA606" s="4">
        <f t="shared" si="39"/>
        <v>15.949892342870134</v>
      </c>
      <c r="AJ606" s="4" t="s">
        <v>498</v>
      </c>
    </row>
    <row r="607" spans="2:36" x14ac:dyDescent="0.2">
      <c r="B607" s="4" t="s">
        <v>2784</v>
      </c>
      <c r="C607" s="4">
        <v>15.986000000000001</v>
      </c>
      <c r="D607" s="4">
        <v>16.0105</v>
      </c>
      <c r="E607" s="4">
        <v>16.267800000000001</v>
      </c>
      <c r="F607" s="4">
        <f t="shared" si="36"/>
        <v>16.088100000000001</v>
      </c>
      <c r="I607" s="4" t="s">
        <v>3957</v>
      </c>
      <c r="J607" s="4">
        <v>16.509</v>
      </c>
      <c r="K607" s="4">
        <v>16.398599999999998</v>
      </c>
      <c r="L607" s="4">
        <v>15.59</v>
      </c>
      <c r="M607" s="4">
        <f t="shared" si="37"/>
        <v>16.16586666666667</v>
      </c>
      <c r="P607" s="4" t="str">
        <f>"frm-1"</f>
        <v>frm-1</v>
      </c>
      <c r="Q607" s="4">
        <v>16.198777829983801</v>
      </c>
      <c r="R607" s="4">
        <v>15.7270604604734</v>
      </c>
      <c r="S607" s="4">
        <v>15.7230572453959</v>
      </c>
      <c r="T607" s="4">
        <f t="shared" si="38"/>
        <v>15.882965178617701</v>
      </c>
      <c r="W607" s="4" t="str">
        <f>"cdr-6"</f>
        <v>cdr-6</v>
      </c>
      <c r="X607" s="4">
        <v>16.173495641188499</v>
      </c>
      <c r="Y607" s="4">
        <v>15.919173009922099</v>
      </c>
      <c r="Z607" s="4">
        <v>15.752140057487701</v>
      </c>
      <c r="AA607" s="4">
        <f t="shared" si="39"/>
        <v>15.948269569532767</v>
      </c>
      <c r="AJ607" s="4" t="s">
        <v>1083</v>
      </c>
    </row>
    <row r="608" spans="2:36" x14ac:dyDescent="0.2">
      <c r="B608" s="4" t="s">
        <v>2754</v>
      </c>
      <c r="C608" s="4">
        <v>16.137799999999999</v>
      </c>
      <c r="D608" s="4">
        <v>16.228000000000002</v>
      </c>
      <c r="E608" s="4">
        <v>15.889699999999999</v>
      </c>
      <c r="F608" s="4">
        <f t="shared" si="36"/>
        <v>16.085166666666666</v>
      </c>
      <c r="I608" s="4" t="s">
        <v>3507</v>
      </c>
      <c r="J608" s="4">
        <v>16.471800000000002</v>
      </c>
      <c r="K608" s="4">
        <v>16.2972</v>
      </c>
      <c r="L608" s="4">
        <v>15.6953</v>
      </c>
      <c r="M608" s="4">
        <f t="shared" si="37"/>
        <v>16.154766666666671</v>
      </c>
      <c r="P608" s="4" t="str">
        <f>"tns-1"</f>
        <v>tns-1</v>
      </c>
      <c r="Q608" s="4">
        <v>15.9813612123952</v>
      </c>
      <c r="R608" s="4">
        <v>15.7452442576911</v>
      </c>
      <c r="S608" s="4">
        <v>15.9119260087214</v>
      </c>
      <c r="T608" s="4">
        <f t="shared" si="38"/>
        <v>15.8795104929359</v>
      </c>
      <c r="W608" s="4" t="str">
        <f>"acaa-2"</f>
        <v>acaa-2</v>
      </c>
      <c r="X608" s="4">
        <v>15.8689374316656</v>
      </c>
      <c r="Y608" s="4">
        <v>15.823549524146699</v>
      </c>
      <c r="Z608" s="4">
        <v>16.1327531759271</v>
      </c>
      <c r="AA608" s="4">
        <f t="shared" si="39"/>
        <v>15.9417467105798</v>
      </c>
      <c r="AJ608" s="4" t="s">
        <v>3923</v>
      </c>
    </row>
    <row r="609" spans="2:36" x14ac:dyDescent="0.2">
      <c r="B609" s="4" t="s">
        <v>3621</v>
      </c>
      <c r="C609" s="4">
        <v>16.0884</v>
      </c>
      <c r="D609" s="4">
        <v>16.3001</v>
      </c>
      <c r="E609" s="4">
        <v>15.866</v>
      </c>
      <c r="F609" s="4">
        <f t="shared" si="36"/>
        <v>16.084833333333332</v>
      </c>
      <c r="I609" s="4" t="s">
        <v>652</v>
      </c>
      <c r="J609" s="4">
        <v>15.291399999999999</v>
      </c>
      <c r="K609" s="4">
        <v>16.3233</v>
      </c>
      <c r="L609" s="4">
        <v>16.831399999999999</v>
      </c>
      <c r="M609" s="4">
        <f t="shared" si="37"/>
        <v>16.148700000000002</v>
      </c>
      <c r="P609" s="4" t="str">
        <f>"imb-1"</f>
        <v>imb-1</v>
      </c>
      <c r="Q609" s="4">
        <v>16.0045581469615</v>
      </c>
      <c r="R609" s="4">
        <v>15.995790977340601</v>
      </c>
      <c r="S609" s="4">
        <v>15.6329141875872</v>
      </c>
      <c r="T609" s="4">
        <f t="shared" si="38"/>
        <v>15.877754437296437</v>
      </c>
      <c r="W609" s="4" t="str">
        <f>"T21B6.3"</f>
        <v>T21B6.3</v>
      </c>
      <c r="X609" s="4">
        <v>15.30885682517</v>
      </c>
      <c r="Y609" s="4">
        <v>16.1825829168383</v>
      </c>
      <c r="Z609" s="4">
        <v>16.332864964124798</v>
      </c>
      <c r="AA609" s="4">
        <f t="shared" si="39"/>
        <v>15.941434902044366</v>
      </c>
      <c r="AJ609" s="4" t="s">
        <v>2115</v>
      </c>
    </row>
    <row r="610" spans="2:36" x14ac:dyDescent="0.2">
      <c r="B610" s="4" t="s">
        <v>1693</v>
      </c>
      <c r="C610" s="4">
        <v>16.018699999999999</v>
      </c>
      <c r="D610" s="4">
        <v>15.988899999999999</v>
      </c>
      <c r="E610" s="4">
        <v>16.236000000000001</v>
      </c>
      <c r="F610" s="4">
        <f t="shared" si="36"/>
        <v>16.081199999999999</v>
      </c>
      <c r="I610" s="4" t="s">
        <v>2157</v>
      </c>
      <c r="J610" s="4">
        <v>16.110900000000001</v>
      </c>
      <c r="K610" s="4">
        <v>16.308399999999999</v>
      </c>
      <c r="L610" s="4">
        <v>16.022099999999998</v>
      </c>
      <c r="M610" s="4">
        <f t="shared" si="37"/>
        <v>16.147133333333333</v>
      </c>
      <c r="P610" s="4" t="str">
        <f>"glrx-5"</f>
        <v>glrx-5</v>
      </c>
      <c r="Q610" s="4">
        <v>16.079030847399999</v>
      </c>
      <c r="R610" s="4">
        <v>15.571725407276499</v>
      </c>
      <c r="S610" s="4">
        <v>15.9714106752375</v>
      </c>
      <c r="T610" s="4">
        <f t="shared" si="38"/>
        <v>15.874055643304667</v>
      </c>
      <c r="W610" s="4" t="str">
        <f>"rps-13"</f>
        <v>rps-13</v>
      </c>
      <c r="X610" s="4">
        <v>15.627329343477999</v>
      </c>
      <c r="Y610" s="4">
        <v>15.944195144255399</v>
      </c>
      <c r="Z610" s="4">
        <v>16.249740668689999</v>
      </c>
      <c r="AA610" s="4">
        <f t="shared" si="39"/>
        <v>15.940421718807798</v>
      </c>
      <c r="AJ610" s="4" t="s">
        <v>1927</v>
      </c>
    </row>
    <row r="611" spans="2:36" x14ac:dyDescent="0.2">
      <c r="B611" s="4" t="s">
        <v>3981</v>
      </c>
      <c r="C611" s="4">
        <v>16.104299999999999</v>
      </c>
      <c r="D611" s="4">
        <v>15.913399999999999</v>
      </c>
      <c r="E611" s="4">
        <v>16.2209</v>
      </c>
      <c r="F611" s="4">
        <f t="shared" si="36"/>
        <v>16.079533333333334</v>
      </c>
      <c r="I611" s="4" t="s">
        <v>6</v>
      </c>
      <c r="J611" s="4">
        <v>15.968400000000001</v>
      </c>
      <c r="K611" s="4">
        <v>16.085000000000001</v>
      </c>
      <c r="L611" s="4">
        <v>16.3856</v>
      </c>
      <c r="M611" s="4">
        <f t="shared" si="37"/>
        <v>16.146333333333335</v>
      </c>
      <c r="P611" s="4" t="str">
        <f>"F35G12.12"</f>
        <v>F35G12.12</v>
      </c>
      <c r="Q611" s="4">
        <v>15.800377759627899</v>
      </c>
      <c r="R611" s="4">
        <v>16.011634507385899</v>
      </c>
      <c r="S611" s="4">
        <v>15.8088060822991</v>
      </c>
      <c r="T611" s="4">
        <f t="shared" si="38"/>
        <v>15.873606116437633</v>
      </c>
      <c r="W611" s="4" t="str">
        <f>"D2092.4"</f>
        <v>D2092.4</v>
      </c>
      <c r="X611" s="4">
        <v>15.919705763052701</v>
      </c>
      <c r="Y611" s="4">
        <v>16.021714276231599</v>
      </c>
      <c r="Z611" s="4">
        <v>15.8791234055105</v>
      </c>
      <c r="AA611" s="4">
        <f t="shared" si="39"/>
        <v>15.940181148264934</v>
      </c>
      <c r="AJ611" s="4" t="s">
        <v>4414</v>
      </c>
    </row>
    <row r="612" spans="2:36" x14ac:dyDescent="0.2">
      <c r="B612" s="4" t="s">
        <v>4638</v>
      </c>
      <c r="C612" s="4">
        <v>15.6153</v>
      </c>
      <c r="D612" s="4">
        <v>16.377700000000001</v>
      </c>
      <c r="E612" s="4">
        <v>16.2379</v>
      </c>
      <c r="F612" s="4">
        <f t="shared" si="36"/>
        <v>16.076966666666667</v>
      </c>
      <c r="I612" s="4" t="s">
        <v>1227</v>
      </c>
      <c r="J612" s="4">
        <v>16.273099999999999</v>
      </c>
      <c r="K612" s="4">
        <v>16.680900000000001</v>
      </c>
      <c r="L612" s="4">
        <v>15.4611</v>
      </c>
      <c r="M612" s="4">
        <f t="shared" si="37"/>
        <v>16.138366666666666</v>
      </c>
      <c r="P612" s="4" t="str">
        <f>"qars-1"</f>
        <v>qars-1</v>
      </c>
      <c r="Q612" s="4">
        <v>15.8933698617342</v>
      </c>
      <c r="R612" s="4">
        <v>15.812761775020499</v>
      </c>
      <c r="S612" s="4">
        <v>15.9041363686413</v>
      </c>
      <c r="T612" s="4">
        <f t="shared" si="38"/>
        <v>15.870089335131999</v>
      </c>
      <c r="W612" s="4" t="str">
        <f>"ttr-14"</f>
        <v>ttr-14</v>
      </c>
      <c r="X612" s="4">
        <v>15.609261969686401</v>
      </c>
      <c r="Y612" s="4">
        <v>15.816630624422499</v>
      </c>
      <c r="Z612" s="4">
        <v>16.393406688254402</v>
      </c>
      <c r="AA612" s="4">
        <f t="shared" si="39"/>
        <v>15.939766427454435</v>
      </c>
      <c r="AJ612" s="4" t="s">
        <v>3260</v>
      </c>
    </row>
    <row r="613" spans="2:36" x14ac:dyDescent="0.2">
      <c r="B613" s="4" t="s">
        <v>839</v>
      </c>
      <c r="C613" s="4">
        <v>16.160299999999999</v>
      </c>
      <c r="D613" s="4">
        <v>15.928800000000001</v>
      </c>
      <c r="E613" s="4">
        <v>16.138500000000001</v>
      </c>
      <c r="F613" s="4">
        <f t="shared" si="36"/>
        <v>16.075866666666666</v>
      </c>
      <c r="I613" s="4" t="s">
        <v>1693</v>
      </c>
      <c r="J613" s="4">
        <v>16.327999999999999</v>
      </c>
      <c r="K613" s="4">
        <v>15.7499</v>
      </c>
      <c r="L613" s="4">
        <v>16.336099999999998</v>
      </c>
      <c r="M613" s="4">
        <f t="shared" si="37"/>
        <v>16.138000000000002</v>
      </c>
      <c r="P613" s="4" t="str">
        <f>"rnr-1"</f>
        <v>rnr-1</v>
      </c>
      <c r="Q613" s="4">
        <v>15.6857452401586</v>
      </c>
      <c r="R613" s="4">
        <v>15.990177025455701</v>
      </c>
      <c r="S613" s="4">
        <v>15.9202723671716</v>
      </c>
      <c r="T613" s="4">
        <f t="shared" si="38"/>
        <v>15.865398210928634</v>
      </c>
      <c r="W613" s="4" t="str">
        <f>"ubc-13"</f>
        <v>ubc-13</v>
      </c>
      <c r="X613" s="4">
        <v>16.227281188136701</v>
      </c>
      <c r="Y613" s="4">
        <v>15.849808967495999</v>
      </c>
      <c r="Z613" s="4">
        <v>15.730392779794601</v>
      </c>
      <c r="AA613" s="4">
        <f t="shared" si="39"/>
        <v>15.935827645142433</v>
      </c>
      <c r="AJ613" s="4" t="s">
        <v>499</v>
      </c>
    </row>
    <row r="614" spans="2:36" x14ac:dyDescent="0.2">
      <c r="B614" s="4" t="s">
        <v>533</v>
      </c>
      <c r="C614" s="4">
        <v>15.927</v>
      </c>
      <c r="D614" s="4">
        <v>16.293900000000001</v>
      </c>
      <c r="E614" s="4">
        <v>15.9999</v>
      </c>
      <c r="F614" s="4">
        <f t="shared" si="36"/>
        <v>16.073599999999999</v>
      </c>
      <c r="I614" s="4" t="s">
        <v>4012</v>
      </c>
      <c r="J614" s="4">
        <v>16.0059</v>
      </c>
      <c r="K614" s="4">
        <v>16.334499999999998</v>
      </c>
      <c r="L614" s="4">
        <v>16.068000000000001</v>
      </c>
      <c r="M614" s="4">
        <f t="shared" si="37"/>
        <v>16.136133333333333</v>
      </c>
      <c r="P614" s="4" t="str">
        <f>"ddx-19"</f>
        <v>ddx-19</v>
      </c>
      <c r="Q614" s="4">
        <v>16.051631304178699</v>
      </c>
      <c r="R614" s="4">
        <v>15.8611760182254</v>
      </c>
      <c r="S614" s="4">
        <v>15.668820803666099</v>
      </c>
      <c r="T614" s="4">
        <f t="shared" si="38"/>
        <v>15.860542708690067</v>
      </c>
      <c r="W614" s="4" t="str">
        <f>"C33F10.12"</f>
        <v>C33F10.12</v>
      </c>
      <c r="X614" s="4">
        <v>15.935143758238899</v>
      </c>
      <c r="Y614" s="4">
        <v>15.8929844923892</v>
      </c>
      <c r="Z614" s="4">
        <v>15.9773556553255</v>
      </c>
      <c r="AA614" s="4">
        <f t="shared" si="39"/>
        <v>15.935161301984531</v>
      </c>
      <c r="AJ614" s="4" t="s">
        <v>3457</v>
      </c>
    </row>
    <row r="615" spans="2:36" x14ac:dyDescent="0.2">
      <c r="B615" s="4" t="s">
        <v>2336</v>
      </c>
      <c r="C615" s="4">
        <v>16.069299999999998</v>
      </c>
      <c r="D615" s="4">
        <v>15.951700000000001</v>
      </c>
      <c r="E615" s="4">
        <v>16.1968</v>
      </c>
      <c r="F615" s="4">
        <f t="shared" si="36"/>
        <v>16.072599999999998</v>
      </c>
      <c r="I615" s="4" t="s">
        <v>262</v>
      </c>
      <c r="J615" s="4">
        <v>16.143999999999998</v>
      </c>
      <c r="K615" s="4">
        <v>16.2742</v>
      </c>
      <c r="L615" s="4">
        <v>15.9514</v>
      </c>
      <c r="M615" s="4">
        <f t="shared" si="37"/>
        <v>16.123200000000001</v>
      </c>
      <c r="P615" s="4" t="str">
        <f>"ttn-1"</f>
        <v>ttn-1</v>
      </c>
      <c r="Q615" s="4">
        <v>16.243995767607998</v>
      </c>
      <c r="R615" s="4">
        <v>15.5417762589402</v>
      </c>
      <c r="S615" s="4">
        <v>15.7938998753829</v>
      </c>
      <c r="T615" s="4">
        <f t="shared" si="38"/>
        <v>15.859890633977033</v>
      </c>
      <c r="W615" s="4" t="str">
        <f>"lntl-1"</f>
        <v>lntl-1</v>
      </c>
      <c r="X615" s="4">
        <v>16.021702270665699</v>
      </c>
      <c r="Y615" s="4">
        <v>15.8286754619165</v>
      </c>
      <c r="Z615" s="4">
        <v>15.954355976459199</v>
      </c>
      <c r="AA615" s="4">
        <f t="shared" si="39"/>
        <v>15.934911236347133</v>
      </c>
      <c r="AJ615" s="4" t="s">
        <v>569</v>
      </c>
    </row>
    <row r="616" spans="2:36" x14ac:dyDescent="0.2">
      <c r="B616" s="4" t="s">
        <v>3929</v>
      </c>
      <c r="C616" s="4">
        <v>16.424800000000001</v>
      </c>
      <c r="D616" s="4">
        <v>15.782</v>
      </c>
      <c r="E616" s="4">
        <v>16.0077</v>
      </c>
      <c r="F616" s="4">
        <f t="shared" si="36"/>
        <v>16.0715</v>
      </c>
      <c r="I616" s="4" t="s">
        <v>3125</v>
      </c>
      <c r="J616" s="4">
        <v>16.066700000000001</v>
      </c>
      <c r="K616" s="4">
        <v>16.3949</v>
      </c>
      <c r="L616" s="4">
        <v>15.893800000000001</v>
      </c>
      <c r="M616" s="4">
        <f t="shared" si="37"/>
        <v>16.118466666666666</v>
      </c>
      <c r="P616" s="4" t="str">
        <f>"C30F12.2"</f>
        <v>C30F12.2</v>
      </c>
      <c r="Q616" s="4">
        <v>16.2372430911248</v>
      </c>
      <c r="R616" s="4">
        <v>15.6440800675782</v>
      </c>
      <c r="S616" s="4">
        <v>15.6931093093035</v>
      </c>
      <c r="T616" s="4">
        <f t="shared" si="38"/>
        <v>15.858144156002167</v>
      </c>
      <c r="W616" s="4" t="str">
        <f>"sdhb-1"</f>
        <v>sdhb-1</v>
      </c>
      <c r="X616" s="4">
        <v>15.726928446911099</v>
      </c>
      <c r="Y616" s="4">
        <v>15.996976139588201</v>
      </c>
      <c r="Z616" s="4">
        <v>16.0806042834961</v>
      </c>
      <c r="AA616" s="4">
        <f t="shared" si="39"/>
        <v>15.934836289998467</v>
      </c>
      <c r="AJ616" s="4" t="s">
        <v>3189</v>
      </c>
    </row>
    <row r="617" spans="2:36" x14ac:dyDescent="0.2">
      <c r="B617" s="4" t="s">
        <v>3577</v>
      </c>
      <c r="C617" s="4">
        <v>16.148700000000002</v>
      </c>
      <c r="D617" s="4">
        <v>16.065000000000001</v>
      </c>
      <c r="E617" s="4">
        <v>16.000800000000002</v>
      </c>
      <c r="F617" s="4">
        <f t="shared" si="36"/>
        <v>16.0715</v>
      </c>
      <c r="I617" s="4" t="s">
        <v>30</v>
      </c>
      <c r="J617" s="4">
        <v>16.074000000000002</v>
      </c>
      <c r="K617" s="4">
        <v>16.133700000000001</v>
      </c>
      <c r="L617" s="4">
        <v>16.142700000000001</v>
      </c>
      <c r="M617" s="4">
        <f t="shared" si="37"/>
        <v>16.116800000000001</v>
      </c>
      <c r="P617" s="4" t="str">
        <f>"ckc-1"</f>
        <v>ckc-1</v>
      </c>
      <c r="Q617" s="4">
        <v>16.000551265345798</v>
      </c>
      <c r="R617" s="4">
        <v>15.7825953653612</v>
      </c>
      <c r="S617" s="4">
        <v>15.7629460340923</v>
      </c>
      <c r="T617" s="4">
        <f t="shared" si="38"/>
        <v>15.848697554933098</v>
      </c>
      <c r="W617" s="4" t="str">
        <f>"F35G12.12"</f>
        <v>F35G12.12</v>
      </c>
      <c r="X617" s="4">
        <v>15.8631348155479</v>
      </c>
      <c r="Y617" s="4">
        <v>15.970845619942301</v>
      </c>
      <c r="Z617" s="4">
        <v>15.9609302136781</v>
      </c>
      <c r="AA617" s="4">
        <f t="shared" si="39"/>
        <v>15.9316368830561</v>
      </c>
      <c r="AJ617" s="4" t="s">
        <v>900</v>
      </c>
    </row>
    <row r="618" spans="2:36" x14ac:dyDescent="0.2">
      <c r="B618" s="4" t="s">
        <v>453</v>
      </c>
      <c r="C618" s="4">
        <v>16.1434</v>
      </c>
      <c r="D618" s="4">
        <v>16.2273</v>
      </c>
      <c r="E618" s="4">
        <v>15.843299999999999</v>
      </c>
      <c r="F618" s="4">
        <f t="shared" si="36"/>
        <v>16.071333333333332</v>
      </c>
      <c r="I618" s="4" t="s">
        <v>1615</v>
      </c>
      <c r="J618" s="4">
        <v>16.062100000000001</v>
      </c>
      <c r="K618" s="4">
        <v>16.413499999999999</v>
      </c>
      <c r="L618" s="4">
        <v>15.871499999999999</v>
      </c>
      <c r="M618" s="4">
        <f t="shared" si="37"/>
        <v>16.1157</v>
      </c>
      <c r="P618" s="4" t="str">
        <f>"dis-3"</f>
        <v>dis-3</v>
      </c>
      <c r="Q618" s="4">
        <v>15.8430456364775</v>
      </c>
      <c r="R618" s="4">
        <v>15.8352023748837</v>
      </c>
      <c r="S618" s="4">
        <v>15.863129423732101</v>
      </c>
      <c r="T618" s="4">
        <f t="shared" si="38"/>
        <v>15.847125811697765</v>
      </c>
      <c r="W618" s="4" t="str">
        <f>"men-1"</f>
        <v>men-1</v>
      </c>
      <c r="X618" s="4">
        <v>15.699846209521899</v>
      </c>
      <c r="Y618" s="4">
        <v>15.7377190474614</v>
      </c>
      <c r="Z618" s="4">
        <v>16.3390034062617</v>
      </c>
      <c r="AA618" s="4">
        <f t="shared" si="39"/>
        <v>15.925522887748334</v>
      </c>
      <c r="AJ618" s="4" t="s">
        <v>4140</v>
      </c>
    </row>
    <row r="619" spans="2:36" x14ac:dyDescent="0.2">
      <c r="B619" s="4" t="s">
        <v>2092</v>
      </c>
      <c r="C619" s="4">
        <v>16.103999999999999</v>
      </c>
      <c r="D619" s="4">
        <v>16.225899999999999</v>
      </c>
      <c r="E619" s="4">
        <v>15.8756</v>
      </c>
      <c r="F619" s="4">
        <f t="shared" si="36"/>
        <v>16.068499999999997</v>
      </c>
      <c r="I619" s="4" t="s">
        <v>3857</v>
      </c>
      <c r="J619" s="4">
        <v>16.122499999999999</v>
      </c>
      <c r="K619" s="4">
        <v>16.282</v>
      </c>
      <c r="L619" s="4">
        <v>15.94</v>
      </c>
      <c r="M619" s="4">
        <f t="shared" si="37"/>
        <v>16.114833333333333</v>
      </c>
      <c r="P619" s="4" t="str">
        <f>"Y69A2AR.16"</f>
        <v>Y69A2AR.16</v>
      </c>
      <c r="Q619" s="4">
        <v>15.885412169373399</v>
      </c>
      <c r="R619" s="4">
        <v>15.916313645888099</v>
      </c>
      <c r="S619" s="4">
        <v>15.708874643762901</v>
      </c>
      <c r="T619" s="4">
        <f t="shared" si="38"/>
        <v>15.836866819674801</v>
      </c>
      <c r="W619" s="4" t="str">
        <f>"hsp-16.11"</f>
        <v>hsp-16.11</v>
      </c>
      <c r="X619" s="4">
        <v>16.1220436304929</v>
      </c>
      <c r="Y619" s="4">
        <v>15.805282608218</v>
      </c>
      <c r="Z619" s="4">
        <v>15.847159251973</v>
      </c>
      <c r="AA619" s="4">
        <f t="shared" si="39"/>
        <v>15.924828496894634</v>
      </c>
      <c r="AJ619" s="4" t="s">
        <v>4199</v>
      </c>
    </row>
    <row r="620" spans="2:36" x14ac:dyDescent="0.2">
      <c r="B620" s="4" t="s">
        <v>3486</v>
      </c>
      <c r="C620" s="4">
        <v>16.265000000000001</v>
      </c>
      <c r="D620" s="4">
        <v>15.6411</v>
      </c>
      <c r="E620" s="4">
        <v>16.291</v>
      </c>
      <c r="F620" s="4">
        <f t="shared" si="36"/>
        <v>16.065700000000003</v>
      </c>
      <c r="I620" s="4" t="s">
        <v>2934</v>
      </c>
      <c r="J620" s="4">
        <v>16.366099999999999</v>
      </c>
      <c r="K620" s="4">
        <v>15.7691</v>
      </c>
      <c r="L620" s="4">
        <v>16.197800000000001</v>
      </c>
      <c r="M620" s="4">
        <f t="shared" si="37"/>
        <v>16.111000000000001</v>
      </c>
      <c r="P620" s="4" t="str">
        <f>"F53F4.11"</f>
        <v>F53F4.11</v>
      </c>
      <c r="Q620" s="4">
        <v>15.998392215748501</v>
      </c>
      <c r="R620" s="4">
        <v>15.763995981516601</v>
      </c>
      <c r="S620" s="4">
        <v>15.7459244369457</v>
      </c>
      <c r="T620" s="4">
        <f t="shared" si="38"/>
        <v>15.836104211403601</v>
      </c>
      <c r="W620" s="4" t="str">
        <f>"hpo-29"</f>
        <v>hpo-29</v>
      </c>
      <c r="X620" s="4">
        <v>16.0222525332582</v>
      </c>
      <c r="Y620" s="4">
        <v>15.8529921640614</v>
      </c>
      <c r="Z620" s="4">
        <v>15.891141756231001</v>
      </c>
      <c r="AA620" s="4">
        <f t="shared" si="39"/>
        <v>15.922128817850201</v>
      </c>
      <c r="AJ620" s="4" t="s">
        <v>3761</v>
      </c>
    </row>
    <row r="621" spans="2:36" x14ac:dyDescent="0.2">
      <c r="B621" s="4" t="s">
        <v>911</v>
      </c>
      <c r="C621" s="4">
        <v>16.270399999999999</v>
      </c>
      <c r="D621" s="4">
        <v>15.938700000000001</v>
      </c>
      <c r="E621" s="4">
        <v>15.983700000000001</v>
      </c>
      <c r="F621" s="4">
        <f t="shared" si="36"/>
        <v>16.064266666666665</v>
      </c>
      <c r="I621" s="4" t="s">
        <v>2820</v>
      </c>
      <c r="J621" s="4">
        <v>16.081700000000001</v>
      </c>
      <c r="K621" s="4">
        <v>16.2255</v>
      </c>
      <c r="L621" s="4">
        <v>16.021699999999999</v>
      </c>
      <c r="M621" s="4">
        <f t="shared" si="37"/>
        <v>16.109633333333335</v>
      </c>
      <c r="P621" s="4" t="str">
        <f>"ndua-2"</f>
        <v>ndua-2</v>
      </c>
      <c r="Q621" s="4">
        <v>15.9450110491663</v>
      </c>
      <c r="R621" s="4">
        <v>15.5685006439176</v>
      </c>
      <c r="S621" s="4">
        <v>15.9933976127018</v>
      </c>
      <c r="T621" s="4">
        <f t="shared" si="38"/>
        <v>15.835636435261899</v>
      </c>
      <c r="W621" s="4" t="str">
        <f>"let-805"</f>
        <v>let-805</v>
      </c>
      <c r="X621" s="4">
        <v>15.304402074031801</v>
      </c>
      <c r="Y621" s="4">
        <v>15.941926210210701</v>
      </c>
      <c r="Z621" s="4">
        <v>16.516570098553899</v>
      </c>
      <c r="AA621" s="4">
        <f t="shared" si="39"/>
        <v>15.920966127598801</v>
      </c>
      <c r="AJ621" s="4" t="s">
        <v>4163</v>
      </c>
    </row>
    <row r="622" spans="2:36" x14ac:dyDescent="0.2">
      <c r="B622" s="4" t="s">
        <v>478</v>
      </c>
      <c r="C622" s="4">
        <v>15.6454</v>
      </c>
      <c r="D622" s="4">
        <v>16.476900000000001</v>
      </c>
      <c r="E622" s="4">
        <v>16.068200000000001</v>
      </c>
      <c r="F622" s="4">
        <f t="shared" si="36"/>
        <v>16.063500000000001</v>
      </c>
      <c r="I622" s="4" t="s">
        <v>712</v>
      </c>
      <c r="J622" s="4">
        <v>16.079899999999999</v>
      </c>
      <c r="K622" s="4">
        <v>16.382100000000001</v>
      </c>
      <c r="L622" s="4">
        <v>15.854799999999999</v>
      </c>
      <c r="M622" s="4">
        <f t="shared" si="37"/>
        <v>16.105599999999999</v>
      </c>
      <c r="P622" s="4" t="str">
        <f>"dpm-1"</f>
        <v>dpm-1</v>
      </c>
      <c r="Q622" s="4">
        <v>15.677441713875799</v>
      </c>
      <c r="R622" s="4">
        <v>15.838314702739501</v>
      </c>
      <c r="S622" s="4">
        <v>15.987371958975301</v>
      </c>
      <c r="T622" s="4">
        <f t="shared" si="38"/>
        <v>15.834376125196867</v>
      </c>
      <c r="W622" s="4" t="str">
        <f>"mlt-4"</f>
        <v>mlt-4</v>
      </c>
      <c r="X622" s="4">
        <v>15.9701596954708</v>
      </c>
      <c r="Y622" s="4">
        <v>15.763159213972701</v>
      </c>
      <c r="Z622" s="4">
        <v>16.027680473473101</v>
      </c>
      <c r="AA622" s="4">
        <f t="shared" si="39"/>
        <v>15.920333127638868</v>
      </c>
      <c r="AJ622" s="4" t="s">
        <v>4537</v>
      </c>
    </row>
    <row r="623" spans="2:36" x14ac:dyDescent="0.2">
      <c r="B623" s="4" t="s">
        <v>2655</v>
      </c>
      <c r="C623" s="4">
        <v>16.043700000000001</v>
      </c>
      <c r="D623" s="4">
        <v>16.020800000000001</v>
      </c>
      <c r="E623" s="4">
        <v>16.1129</v>
      </c>
      <c r="F623" s="4">
        <f t="shared" si="36"/>
        <v>16.059133333333335</v>
      </c>
      <c r="I623" s="4" t="s">
        <v>1671</v>
      </c>
      <c r="J623" s="4">
        <v>16.043900000000001</v>
      </c>
      <c r="K623" s="4">
        <v>16.107600000000001</v>
      </c>
      <c r="L623" s="4">
        <v>16.164400000000001</v>
      </c>
      <c r="M623" s="4">
        <f t="shared" si="37"/>
        <v>16.1053</v>
      </c>
      <c r="P623" s="4" t="str">
        <f>"aak-2"</f>
        <v>aak-2</v>
      </c>
      <c r="Q623" s="4">
        <v>15.875698874342</v>
      </c>
      <c r="R623" s="4">
        <v>15.817425524812</v>
      </c>
      <c r="S623" s="4">
        <v>15.803339428499999</v>
      </c>
      <c r="T623" s="4">
        <f t="shared" si="38"/>
        <v>15.832154609218</v>
      </c>
      <c r="W623" s="4" t="str">
        <f>"unc-15"</f>
        <v>unc-15</v>
      </c>
      <c r="X623" s="4">
        <v>15.509933340721</v>
      </c>
      <c r="Y623" s="4">
        <v>15.842137587102799</v>
      </c>
      <c r="Z623" s="4">
        <v>16.395948341442899</v>
      </c>
      <c r="AA623" s="4">
        <f t="shared" si="39"/>
        <v>15.9160064230889</v>
      </c>
      <c r="AJ623" s="4" t="s">
        <v>1129</v>
      </c>
    </row>
    <row r="624" spans="2:36" x14ac:dyDescent="0.2">
      <c r="B624" s="4" t="s">
        <v>1767</v>
      </c>
      <c r="C624" s="4">
        <v>16.042400000000001</v>
      </c>
      <c r="D624" s="4">
        <v>16.147500000000001</v>
      </c>
      <c r="E624" s="4">
        <v>15.9811</v>
      </c>
      <c r="F624" s="4">
        <f t="shared" si="36"/>
        <v>16.056999999999999</v>
      </c>
      <c r="I624" s="4" t="s">
        <v>1659</v>
      </c>
      <c r="J624" s="4">
        <v>16.082599999999999</v>
      </c>
      <c r="K624" s="4">
        <v>16.0564</v>
      </c>
      <c r="L624" s="4">
        <v>16.143799999999999</v>
      </c>
      <c r="M624" s="4">
        <f t="shared" si="37"/>
        <v>16.094266666666666</v>
      </c>
      <c r="P624" s="4" t="str">
        <f>"Y54E10A.10"</f>
        <v>Y54E10A.10</v>
      </c>
      <c r="Q624" s="4">
        <v>16.0050195700289</v>
      </c>
      <c r="R624" s="4">
        <v>15.726347280382001</v>
      </c>
      <c r="S624" s="4">
        <v>15.75171335392</v>
      </c>
      <c r="T624" s="4">
        <f t="shared" si="38"/>
        <v>15.827693401443634</v>
      </c>
      <c r="W624" s="4" t="str">
        <f>"ril-1"</f>
        <v>ril-1</v>
      </c>
      <c r="X624" s="4">
        <v>16.235522876071101</v>
      </c>
      <c r="Y624" s="4">
        <v>15.815290351187601</v>
      </c>
      <c r="Z624" s="4">
        <v>15.6735788644576</v>
      </c>
      <c r="AA624" s="4">
        <f t="shared" si="39"/>
        <v>15.908130697238766</v>
      </c>
      <c r="AJ624" s="4" t="s">
        <v>4581</v>
      </c>
    </row>
    <row r="625" spans="2:36" x14ac:dyDescent="0.2">
      <c r="B625" s="4" t="s">
        <v>881</v>
      </c>
      <c r="C625" s="4">
        <v>15.714600000000001</v>
      </c>
      <c r="D625" s="4">
        <v>16.563700000000001</v>
      </c>
      <c r="E625" s="4">
        <v>15.892099999999999</v>
      </c>
      <c r="F625" s="4">
        <f t="shared" si="36"/>
        <v>16.056799999999999</v>
      </c>
      <c r="I625" s="4" t="s">
        <v>1635</v>
      </c>
      <c r="J625" s="4">
        <v>16.104199999999999</v>
      </c>
      <c r="K625" s="4">
        <v>16.141999999999999</v>
      </c>
      <c r="L625" s="4">
        <v>16.032399999999999</v>
      </c>
      <c r="M625" s="4">
        <f t="shared" si="37"/>
        <v>16.092866666666666</v>
      </c>
      <c r="P625" s="4" t="str">
        <f>"unc-45"</f>
        <v>unc-45</v>
      </c>
      <c r="Q625" s="4">
        <v>15.8573549594587</v>
      </c>
      <c r="R625" s="4">
        <v>15.8773073319141</v>
      </c>
      <c r="S625" s="4">
        <v>15.745157528251401</v>
      </c>
      <c r="T625" s="4">
        <f t="shared" si="38"/>
        <v>15.826606606541398</v>
      </c>
      <c r="W625" s="4" t="str">
        <f>"emb-4"</f>
        <v>emb-4</v>
      </c>
      <c r="X625" s="4">
        <v>15.8038202996864</v>
      </c>
      <c r="Y625" s="4">
        <v>16.0465566465998</v>
      </c>
      <c r="Z625" s="4">
        <v>15.8678506234065</v>
      </c>
      <c r="AA625" s="4">
        <f t="shared" si="39"/>
        <v>15.906075856564234</v>
      </c>
      <c r="AJ625" s="4" t="s">
        <v>4434</v>
      </c>
    </row>
    <row r="626" spans="2:36" x14ac:dyDescent="0.2">
      <c r="B626" s="4" t="s">
        <v>372</v>
      </c>
      <c r="C626" s="4">
        <v>15.827299999999999</v>
      </c>
      <c r="D626" s="4">
        <v>16.355599999999999</v>
      </c>
      <c r="E626" s="4">
        <v>15.9872</v>
      </c>
      <c r="F626" s="4">
        <f t="shared" si="36"/>
        <v>16.056699999999999</v>
      </c>
      <c r="I626" s="4" t="s">
        <v>2331</v>
      </c>
      <c r="J626" s="4">
        <v>16.370699999999999</v>
      </c>
      <c r="K626" s="4">
        <v>15.9064</v>
      </c>
      <c r="L626" s="4">
        <v>15.9984</v>
      </c>
      <c r="M626" s="4">
        <f t="shared" si="37"/>
        <v>16.09183333333333</v>
      </c>
      <c r="P626" s="4" t="str">
        <f>"him-1"</f>
        <v>him-1</v>
      </c>
      <c r="Q626" s="4">
        <v>15.8563166373649</v>
      </c>
      <c r="R626" s="4">
        <v>15.6496729877253</v>
      </c>
      <c r="S626" s="4">
        <v>15.9704921676304</v>
      </c>
      <c r="T626" s="4">
        <f t="shared" si="38"/>
        <v>15.825493930906868</v>
      </c>
      <c r="W626" s="4" t="str">
        <f>"ears-1"</f>
        <v>ears-1</v>
      </c>
      <c r="X626" s="4">
        <v>16.0738813996376</v>
      </c>
      <c r="Y626" s="4">
        <v>15.9125101754993</v>
      </c>
      <c r="Z626" s="4">
        <v>15.730941206192499</v>
      </c>
      <c r="AA626" s="4">
        <f t="shared" si="39"/>
        <v>15.905777593776465</v>
      </c>
      <c r="AJ626" s="4" t="s">
        <v>2542</v>
      </c>
    </row>
    <row r="627" spans="2:36" x14ac:dyDescent="0.2">
      <c r="B627" s="4" t="s">
        <v>1478</v>
      </c>
      <c r="C627" s="4">
        <v>16.183</v>
      </c>
      <c r="D627" s="4">
        <v>16.325500000000002</v>
      </c>
      <c r="E627" s="4">
        <v>15.6616</v>
      </c>
      <c r="F627" s="4">
        <f t="shared" si="36"/>
        <v>16.056699999999999</v>
      </c>
      <c r="I627" s="4" t="s">
        <v>532</v>
      </c>
      <c r="J627" s="4">
        <v>15.8811</v>
      </c>
      <c r="K627" s="4">
        <v>16.0213</v>
      </c>
      <c r="L627" s="4">
        <v>16.372499999999999</v>
      </c>
      <c r="M627" s="4">
        <f t="shared" si="37"/>
        <v>16.091633333333334</v>
      </c>
      <c r="P627" s="4" t="str">
        <f>"vsra-1"</f>
        <v>vsra-1</v>
      </c>
      <c r="Q627" s="4">
        <v>15.5918491060014</v>
      </c>
      <c r="R627" s="4">
        <v>15.883527933115699</v>
      </c>
      <c r="S627" s="4">
        <v>15.9973152893921</v>
      </c>
      <c r="T627" s="4">
        <f t="shared" si="38"/>
        <v>15.824230776169733</v>
      </c>
      <c r="W627" s="4" t="str">
        <f>"hum-5"</f>
        <v>hum-5</v>
      </c>
      <c r="X627" s="4">
        <v>15.5094018432545</v>
      </c>
      <c r="Y627" s="4">
        <v>15.959885948734</v>
      </c>
      <c r="Z627" s="4">
        <v>16.242419293452201</v>
      </c>
      <c r="AA627" s="4">
        <f t="shared" si="39"/>
        <v>15.903902361813566</v>
      </c>
      <c r="AJ627" s="4" t="s">
        <v>2554</v>
      </c>
    </row>
    <row r="628" spans="2:36" x14ac:dyDescent="0.2">
      <c r="B628" s="4" t="s">
        <v>1214</v>
      </c>
      <c r="C628" s="4">
        <v>15.8386</v>
      </c>
      <c r="D628" s="4">
        <v>16.415800000000001</v>
      </c>
      <c r="E628" s="4">
        <v>15.915100000000001</v>
      </c>
      <c r="F628" s="4">
        <f t="shared" si="36"/>
        <v>16.056500000000003</v>
      </c>
      <c r="I628" s="4" t="s">
        <v>879</v>
      </c>
      <c r="J628" s="4">
        <v>16.171299999999999</v>
      </c>
      <c r="K628" s="4">
        <v>16.239999999999998</v>
      </c>
      <c r="L628" s="4">
        <v>15.849600000000001</v>
      </c>
      <c r="M628" s="4">
        <f t="shared" si="37"/>
        <v>16.086966666666665</v>
      </c>
      <c r="P628" s="4" t="str">
        <f>"aps-2"</f>
        <v>aps-2</v>
      </c>
      <c r="Q628" s="4">
        <v>15.7825534442332</v>
      </c>
      <c r="R628" s="4">
        <v>15.782009552537099</v>
      </c>
      <c r="S628" s="4">
        <v>15.879273068582799</v>
      </c>
      <c r="T628" s="4">
        <f t="shared" si="38"/>
        <v>15.814612021784365</v>
      </c>
      <c r="W628" s="4" t="str">
        <f>"ndua-2"</f>
        <v>ndua-2</v>
      </c>
      <c r="X628" s="4">
        <v>15.869742614102099</v>
      </c>
      <c r="Y628" s="4">
        <v>15.474596759121001</v>
      </c>
      <c r="Z628" s="4">
        <v>16.35325644964</v>
      </c>
      <c r="AA628" s="4">
        <f t="shared" si="39"/>
        <v>15.899198607621033</v>
      </c>
      <c r="AJ628" s="4" t="s">
        <v>1367</v>
      </c>
    </row>
    <row r="629" spans="2:36" x14ac:dyDescent="0.2">
      <c r="B629" s="4" t="s">
        <v>3442</v>
      </c>
      <c r="C629" s="4">
        <v>16.3276</v>
      </c>
      <c r="D629" s="4">
        <v>15.7318</v>
      </c>
      <c r="E629" s="4">
        <v>16.1065</v>
      </c>
      <c r="F629" s="4">
        <f t="shared" si="36"/>
        <v>16.055299999999999</v>
      </c>
      <c r="I629" s="4" t="s">
        <v>2311</v>
      </c>
      <c r="J629" s="4">
        <v>15.9518</v>
      </c>
      <c r="K629" s="4">
        <v>16.378399999999999</v>
      </c>
      <c r="L629" s="4">
        <v>15.9247</v>
      </c>
      <c r="M629" s="4">
        <f t="shared" si="37"/>
        <v>16.084966666666666</v>
      </c>
      <c r="P629" s="4" t="str">
        <f>"F21D5.7"</f>
        <v>F21D5.7</v>
      </c>
      <c r="Q629" s="4">
        <v>15.8427366426323</v>
      </c>
      <c r="R629" s="4">
        <v>15.875218668915201</v>
      </c>
      <c r="S629" s="4">
        <v>15.7245860112619</v>
      </c>
      <c r="T629" s="4">
        <f t="shared" si="38"/>
        <v>15.814180440936466</v>
      </c>
      <c r="W629" s="4" t="str">
        <f>"rps-21"</f>
        <v>rps-21</v>
      </c>
      <c r="X629" s="4">
        <v>16.2752658319727</v>
      </c>
      <c r="Y629" s="4">
        <v>15.787295021695799</v>
      </c>
      <c r="Z629" s="4">
        <v>15.633361065674601</v>
      </c>
      <c r="AA629" s="4">
        <f t="shared" si="39"/>
        <v>15.898640639781034</v>
      </c>
      <c r="AJ629" s="4" t="s">
        <v>1597</v>
      </c>
    </row>
    <row r="630" spans="2:36" x14ac:dyDescent="0.2">
      <c r="B630" s="4" t="s">
        <v>2096</v>
      </c>
      <c r="C630" s="4">
        <v>16.122499999999999</v>
      </c>
      <c r="D630" s="4">
        <v>16.325800000000001</v>
      </c>
      <c r="E630" s="4">
        <v>15.711399999999999</v>
      </c>
      <c r="F630" s="4">
        <f t="shared" si="36"/>
        <v>16.053233333333335</v>
      </c>
      <c r="I630" s="4" t="s">
        <v>2817</v>
      </c>
      <c r="J630" s="4">
        <v>15.321199999999999</v>
      </c>
      <c r="K630" s="4">
        <v>15.7255</v>
      </c>
      <c r="L630" s="4">
        <v>17.207100000000001</v>
      </c>
      <c r="M630" s="4">
        <f t="shared" si="37"/>
        <v>16.084599999999998</v>
      </c>
      <c r="P630" s="4" t="str">
        <f>"uba-2"</f>
        <v>uba-2</v>
      </c>
      <c r="Q630" s="4">
        <v>15.9635487744535</v>
      </c>
      <c r="R630" s="4">
        <v>15.7121218478805</v>
      </c>
      <c r="S630" s="4">
        <v>15.763148304635999</v>
      </c>
      <c r="T630" s="4">
        <f t="shared" si="38"/>
        <v>15.812939642323334</v>
      </c>
      <c r="W630" s="4" t="str">
        <f>"exoc-8"</f>
        <v>exoc-8</v>
      </c>
      <c r="X630" s="4">
        <v>15.718725249809401</v>
      </c>
      <c r="Y630" s="4">
        <v>15.9774936069927</v>
      </c>
      <c r="Z630" s="4">
        <v>15.9971387511124</v>
      </c>
      <c r="AA630" s="4">
        <f t="shared" si="39"/>
        <v>15.897785869304833</v>
      </c>
      <c r="AJ630" s="4" t="s">
        <v>1617</v>
      </c>
    </row>
    <row r="631" spans="2:36" x14ac:dyDescent="0.2">
      <c r="B631" s="4" t="s">
        <v>891</v>
      </c>
      <c r="C631" s="4">
        <v>16.014099999999999</v>
      </c>
      <c r="D631" s="4">
        <v>15.991199999999999</v>
      </c>
      <c r="E631" s="4">
        <v>16.151199999999999</v>
      </c>
      <c r="F631" s="4">
        <f t="shared" si="36"/>
        <v>16.052166666666665</v>
      </c>
      <c r="I631" s="4" t="s">
        <v>3559</v>
      </c>
      <c r="J631" s="4">
        <v>16.194400000000002</v>
      </c>
      <c r="K631" s="4">
        <v>16.365600000000001</v>
      </c>
      <c r="L631" s="4">
        <v>15.6858</v>
      </c>
      <c r="M631" s="4">
        <f t="shared" si="37"/>
        <v>16.081933333333335</v>
      </c>
      <c r="P631" s="4" t="str">
        <f>"K03B4.1"</f>
        <v>K03B4.1</v>
      </c>
      <c r="Q631" s="4">
        <v>16.093234946585</v>
      </c>
      <c r="R631" s="4">
        <v>15.660477742637299</v>
      </c>
      <c r="S631" s="4">
        <v>15.6768780461475</v>
      </c>
      <c r="T631" s="4">
        <f t="shared" si="38"/>
        <v>15.810196911789932</v>
      </c>
      <c r="W631" s="4" t="str">
        <f>"dhs-12"</f>
        <v>dhs-12</v>
      </c>
      <c r="X631" s="4">
        <v>15.914967423784301</v>
      </c>
      <c r="Y631" s="4">
        <v>15.949387949852801</v>
      </c>
      <c r="Z631" s="4">
        <v>15.7946557900452</v>
      </c>
      <c r="AA631" s="4">
        <f t="shared" si="39"/>
        <v>15.886337054560768</v>
      </c>
      <c r="AJ631" s="4" t="s">
        <v>754</v>
      </c>
    </row>
    <row r="632" spans="2:36" x14ac:dyDescent="0.2">
      <c r="B632" s="4" t="s">
        <v>3538</v>
      </c>
      <c r="C632" s="4">
        <v>16.049800000000001</v>
      </c>
      <c r="D632" s="4">
        <v>15.11</v>
      </c>
      <c r="E632" s="4">
        <v>16.989699999999999</v>
      </c>
      <c r="F632" s="4">
        <f t="shared" si="36"/>
        <v>16.049833333333336</v>
      </c>
      <c r="I632" s="4" t="s">
        <v>3628</v>
      </c>
      <c r="J632" s="4">
        <v>15.8459</v>
      </c>
      <c r="K632" s="4">
        <v>16.173999999999999</v>
      </c>
      <c r="L632" s="4">
        <v>16.224599999999999</v>
      </c>
      <c r="M632" s="4">
        <f t="shared" si="37"/>
        <v>16.081500000000002</v>
      </c>
      <c r="P632" s="4" t="str">
        <f>"slc-25a18.1"</f>
        <v>slc-25a18.1</v>
      </c>
      <c r="Q632" s="4">
        <v>15.7366253959833</v>
      </c>
      <c r="R632" s="4">
        <v>15.8202243845471</v>
      </c>
      <c r="S632" s="4">
        <v>15.871866284566201</v>
      </c>
      <c r="T632" s="4">
        <f t="shared" si="38"/>
        <v>15.809572021698868</v>
      </c>
      <c r="W632" s="4" t="str">
        <f>"gst-36"</f>
        <v>gst-36</v>
      </c>
      <c r="X632" s="4">
        <v>16.0096102408808</v>
      </c>
      <c r="Y632" s="4">
        <v>15.852178966401199</v>
      </c>
      <c r="Z632" s="4">
        <v>15.797209330921101</v>
      </c>
      <c r="AA632" s="4">
        <f t="shared" si="39"/>
        <v>15.886332846067701</v>
      </c>
      <c r="AJ632" s="4" t="s">
        <v>1632</v>
      </c>
    </row>
    <row r="633" spans="2:36" x14ac:dyDescent="0.2">
      <c r="B633" s="4" t="s">
        <v>1965</v>
      </c>
      <c r="C633" s="4">
        <v>16.174099999999999</v>
      </c>
      <c r="D633" s="4">
        <v>15.7334</v>
      </c>
      <c r="E633" s="4">
        <v>16.2377</v>
      </c>
      <c r="F633" s="4">
        <f t="shared" si="36"/>
        <v>16.048400000000001</v>
      </c>
      <c r="I633" s="4" t="s">
        <v>3915</v>
      </c>
      <c r="J633" s="4">
        <v>15.777799999999999</v>
      </c>
      <c r="K633" s="4">
        <v>16.167200000000001</v>
      </c>
      <c r="L633" s="4">
        <v>16.288399999999999</v>
      </c>
      <c r="M633" s="4">
        <f t="shared" si="37"/>
        <v>16.0778</v>
      </c>
      <c r="P633" s="4" t="str">
        <f>"ril-1"</f>
        <v>ril-1</v>
      </c>
      <c r="Q633" s="4">
        <v>15.758132637394199</v>
      </c>
      <c r="R633" s="4">
        <v>15.652746695195701</v>
      </c>
      <c r="S633" s="4">
        <v>16.003639950054001</v>
      </c>
      <c r="T633" s="4">
        <f t="shared" si="38"/>
        <v>15.8048397608813</v>
      </c>
      <c r="W633" s="4" t="str">
        <f>"mcu-1"</f>
        <v>mcu-1</v>
      </c>
      <c r="X633" s="4">
        <v>15.6141212326753</v>
      </c>
      <c r="Y633" s="4">
        <v>15.9185621626741</v>
      </c>
      <c r="Z633" s="4">
        <v>16.125194124906901</v>
      </c>
      <c r="AA633" s="4">
        <f t="shared" si="39"/>
        <v>15.885959173418769</v>
      </c>
      <c r="AJ633" s="4" t="s">
        <v>181</v>
      </c>
    </row>
    <row r="634" spans="2:36" x14ac:dyDescent="0.2">
      <c r="B634" s="4" t="s">
        <v>3365</v>
      </c>
      <c r="C634" s="4">
        <v>16.079599999999999</v>
      </c>
      <c r="D634" s="4">
        <v>15.985300000000001</v>
      </c>
      <c r="E634" s="4">
        <v>16.065999999999999</v>
      </c>
      <c r="F634" s="4">
        <f t="shared" si="36"/>
        <v>16.043633333333332</v>
      </c>
      <c r="I634" s="4" t="s">
        <v>2166</v>
      </c>
      <c r="J634" s="4">
        <v>15.4619</v>
      </c>
      <c r="K634" s="4">
        <v>15.5098</v>
      </c>
      <c r="L634" s="4">
        <v>17.251999999999999</v>
      </c>
      <c r="M634" s="4">
        <f t="shared" si="37"/>
        <v>16.074566666666666</v>
      </c>
      <c r="P634" s="4" t="str">
        <f>"csn-2"</f>
        <v>csn-2</v>
      </c>
      <c r="Q634" s="4">
        <v>15.980624454812901</v>
      </c>
      <c r="R634" s="4">
        <v>15.7363727160708</v>
      </c>
      <c r="S634" s="4">
        <v>15.6714479330261</v>
      </c>
      <c r="T634" s="4">
        <f t="shared" si="38"/>
        <v>15.796148367969934</v>
      </c>
      <c r="W634" s="4" t="str">
        <f>"osr-1"</f>
        <v>osr-1</v>
      </c>
      <c r="X634" s="4">
        <v>15.6344780397612</v>
      </c>
      <c r="Y634" s="4">
        <v>16.187360515281</v>
      </c>
      <c r="Z634" s="4">
        <v>15.832977567236901</v>
      </c>
      <c r="AA634" s="4">
        <f t="shared" si="39"/>
        <v>15.884938707426366</v>
      </c>
      <c r="AJ634" s="4" t="s">
        <v>4488</v>
      </c>
    </row>
    <row r="635" spans="2:36" x14ac:dyDescent="0.2">
      <c r="B635" s="4" t="s">
        <v>1656</v>
      </c>
      <c r="C635" s="4">
        <v>16.113499999999998</v>
      </c>
      <c r="D635" s="4">
        <v>16.261399999999998</v>
      </c>
      <c r="E635" s="4">
        <v>15.7471</v>
      </c>
      <c r="F635" s="4">
        <f t="shared" si="36"/>
        <v>16.040666666666667</v>
      </c>
      <c r="I635" s="4" t="s">
        <v>2528</v>
      </c>
      <c r="J635" s="4">
        <v>16.169599999999999</v>
      </c>
      <c r="K635" s="4">
        <v>15.871600000000001</v>
      </c>
      <c r="L635" s="4">
        <v>16.180299999999999</v>
      </c>
      <c r="M635" s="4">
        <f t="shared" si="37"/>
        <v>16.073833333333337</v>
      </c>
      <c r="P635" s="4" t="str">
        <f>"nduf-2.2"</f>
        <v>nduf-2.2</v>
      </c>
      <c r="Q635" s="4">
        <v>16.012813173090102</v>
      </c>
      <c r="R635" s="4">
        <v>15.7025553300971</v>
      </c>
      <c r="S635" s="4">
        <v>15.669493025009199</v>
      </c>
      <c r="T635" s="4">
        <f t="shared" si="38"/>
        <v>15.794953842732133</v>
      </c>
      <c r="W635" s="4" t="str">
        <f>"dad-1"</f>
        <v>dad-1</v>
      </c>
      <c r="X635" s="4">
        <v>15.994243073716</v>
      </c>
      <c r="Y635" s="4">
        <v>15.995022249941901</v>
      </c>
      <c r="Z635" s="4">
        <v>15.636803252253101</v>
      </c>
      <c r="AA635" s="4">
        <f t="shared" si="39"/>
        <v>15.875356191970333</v>
      </c>
      <c r="AJ635" s="4" t="s">
        <v>4613</v>
      </c>
    </row>
    <row r="636" spans="2:36" x14ac:dyDescent="0.2">
      <c r="B636" s="4" t="s">
        <v>3467</v>
      </c>
      <c r="C636" s="4">
        <v>15.9803</v>
      </c>
      <c r="D636" s="4">
        <v>15.950200000000001</v>
      </c>
      <c r="E636" s="4">
        <v>16.1876</v>
      </c>
      <c r="F636" s="4">
        <f t="shared" si="36"/>
        <v>16.039366666666666</v>
      </c>
      <c r="I636" s="4" t="s">
        <v>1715</v>
      </c>
      <c r="J636" s="4">
        <v>16.0566</v>
      </c>
      <c r="K636" s="4">
        <v>15.911099999999999</v>
      </c>
      <c r="L636" s="4">
        <v>16.250399999999999</v>
      </c>
      <c r="M636" s="4">
        <f t="shared" si="37"/>
        <v>16.072700000000001</v>
      </c>
      <c r="P636" s="4" t="str">
        <f>"skr-1"</f>
        <v>skr-1</v>
      </c>
      <c r="Q636" s="4">
        <v>16.001494335789499</v>
      </c>
      <c r="R636" s="4">
        <v>15.724182361441301</v>
      </c>
      <c r="S636" s="4">
        <v>15.647217307359201</v>
      </c>
      <c r="T636" s="4">
        <f t="shared" si="38"/>
        <v>15.790964668196667</v>
      </c>
      <c r="W636" s="4" t="str">
        <f>"pmp-5"</f>
        <v>pmp-5</v>
      </c>
      <c r="X636" s="4">
        <v>16.010569017033198</v>
      </c>
      <c r="Y636" s="4">
        <v>15.845420394607499</v>
      </c>
      <c r="Z636" s="4">
        <v>15.769970100361</v>
      </c>
      <c r="AA636" s="4">
        <f t="shared" si="39"/>
        <v>15.875319837333899</v>
      </c>
      <c r="AJ636" s="4" t="s">
        <v>1265</v>
      </c>
    </row>
    <row r="637" spans="2:36" x14ac:dyDescent="0.2">
      <c r="B637" s="4" t="s">
        <v>2650</v>
      </c>
      <c r="C637" s="4">
        <v>16.131599999999999</v>
      </c>
      <c r="D637" s="4">
        <v>15.766999999999999</v>
      </c>
      <c r="E637" s="4">
        <v>16.213200000000001</v>
      </c>
      <c r="F637" s="4">
        <f t="shared" si="36"/>
        <v>16.037266666666667</v>
      </c>
      <c r="I637" s="4" t="s">
        <v>1334</v>
      </c>
      <c r="J637" s="4">
        <v>16.235700000000001</v>
      </c>
      <c r="K637" s="4">
        <v>16.065200000000001</v>
      </c>
      <c r="L637" s="4">
        <v>15.8856</v>
      </c>
      <c r="M637" s="4">
        <f t="shared" si="37"/>
        <v>16.062166666666666</v>
      </c>
      <c r="P637" s="4" t="str">
        <f>"mac-1"</f>
        <v>mac-1</v>
      </c>
      <c r="Q637" s="4">
        <v>16.002584585548899</v>
      </c>
      <c r="R637" s="4">
        <v>15.7342147717972</v>
      </c>
      <c r="S637" s="4">
        <v>15.6102015833224</v>
      </c>
      <c r="T637" s="4">
        <f t="shared" si="38"/>
        <v>15.7823336468895</v>
      </c>
      <c r="W637" s="4" t="str">
        <f>"rfc-2"</f>
        <v>rfc-2</v>
      </c>
      <c r="X637" s="4">
        <v>15.8178154767312</v>
      </c>
      <c r="Y637" s="4">
        <v>15.947726409817401</v>
      </c>
      <c r="Z637" s="4">
        <v>15.840129376963899</v>
      </c>
      <c r="AA637" s="4">
        <f t="shared" si="39"/>
        <v>15.8685570878375</v>
      </c>
      <c r="AJ637" s="4" t="s">
        <v>1079</v>
      </c>
    </row>
    <row r="638" spans="2:36" x14ac:dyDescent="0.2">
      <c r="B638" s="4" t="s">
        <v>1891</v>
      </c>
      <c r="C638" s="4">
        <v>15.935600000000001</v>
      </c>
      <c r="D638" s="4">
        <v>16.189599999999999</v>
      </c>
      <c r="E638" s="4">
        <v>15.977</v>
      </c>
      <c r="F638" s="4">
        <f t="shared" si="36"/>
        <v>16.034066666666664</v>
      </c>
      <c r="I638" s="4" t="s">
        <v>3719</v>
      </c>
      <c r="J638" s="4">
        <v>16.415900000000001</v>
      </c>
      <c r="K638" s="4">
        <v>16.1999</v>
      </c>
      <c r="L638" s="4">
        <v>15.5633</v>
      </c>
      <c r="M638" s="4">
        <f t="shared" si="37"/>
        <v>16.059699999999999</v>
      </c>
      <c r="P638" s="4" t="str">
        <f>"rps-17"</f>
        <v>rps-17</v>
      </c>
      <c r="Q638" s="4">
        <v>16.1432095662127</v>
      </c>
      <c r="R638" s="4">
        <v>15.5028656586684</v>
      </c>
      <c r="S638" s="4">
        <v>15.674493317265799</v>
      </c>
      <c r="T638" s="4">
        <f t="shared" si="38"/>
        <v>15.773522847382301</v>
      </c>
      <c r="W638" s="4" t="str">
        <f>"C53D6.7"</f>
        <v>C53D6.7</v>
      </c>
      <c r="X638" s="4">
        <v>15.598605647038999</v>
      </c>
      <c r="Y638" s="4">
        <v>16.052016519869401</v>
      </c>
      <c r="Z638" s="4">
        <v>15.952897077591301</v>
      </c>
      <c r="AA638" s="4">
        <f t="shared" si="39"/>
        <v>15.867839748166567</v>
      </c>
      <c r="AJ638" s="4" t="s">
        <v>988</v>
      </c>
    </row>
    <row r="639" spans="2:36" x14ac:dyDescent="0.2">
      <c r="B639" s="4" t="s">
        <v>2429</v>
      </c>
      <c r="C639" s="4">
        <v>16.240300000000001</v>
      </c>
      <c r="D639" s="4">
        <v>15.8249</v>
      </c>
      <c r="E639" s="4">
        <v>16.0336</v>
      </c>
      <c r="F639" s="4">
        <f t="shared" si="36"/>
        <v>16.032933333333336</v>
      </c>
      <c r="I639" s="4" t="s">
        <v>3060</v>
      </c>
      <c r="J639" s="4">
        <v>16.2042</v>
      </c>
      <c r="K639" s="4">
        <v>16.138100000000001</v>
      </c>
      <c r="L639" s="4">
        <v>15.825100000000001</v>
      </c>
      <c r="M639" s="4">
        <f t="shared" si="37"/>
        <v>16.055800000000001</v>
      </c>
      <c r="P639" s="4" t="str">
        <f>"rab-39"</f>
        <v>rab-39</v>
      </c>
      <c r="Q639" s="4">
        <v>16.003817406317602</v>
      </c>
      <c r="R639" s="4">
        <v>15.605422690818299</v>
      </c>
      <c r="S639" s="4">
        <v>15.6955376678179</v>
      </c>
      <c r="T639" s="4">
        <f t="shared" si="38"/>
        <v>15.768259254984601</v>
      </c>
      <c r="W639" s="4" t="str">
        <f>"slc-25a42"</f>
        <v>slc-25a42</v>
      </c>
      <c r="X639" s="4">
        <v>15.3681684869397</v>
      </c>
      <c r="Y639" s="4">
        <v>15.9767455353415</v>
      </c>
      <c r="Z639" s="4">
        <v>16.252197271436401</v>
      </c>
      <c r="AA639" s="4">
        <f t="shared" si="39"/>
        <v>15.865703764572535</v>
      </c>
      <c r="AJ639" s="4" t="s">
        <v>1853</v>
      </c>
    </row>
    <row r="640" spans="2:36" x14ac:dyDescent="0.2">
      <c r="B640" s="4" t="s">
        <v>2451</v>
      </c>
      <c r="C640" s="4">
        <v>16.090299999999999</v>
      </c>
      <c r="D640" s="4">
        <v>16.288699999999999</v>
      </c>
      <c r="E640" s="4">
        <v>15.718</v>
      </c>
      <c r="F640" s="4">
        <f t="shared" si="36"/>
        <v>16.03233333333333</v>
      </c>
      <c r="I640" s="4" t="s">
        <v>4001</v>
      </c>
      <c r="J640" s="4">
        <v>16.008400000000002</v>
      </c>
      <c r="K640" s="4">
        <v>16.040800000000001</v>
      </c>
      <c r="L640" s="4">
        <v>16.087</v>
      </c>
      <c r="M640" s="4">
        <f t="shared" si="37"/>
        <v>16.045400000000001</v>
      </c>
      <c r="P640" s="4" t="str">
        <f>"mtx-1"</f>
        <v>mtx-1</v>
      </c>
      <c r="Q640" s="4">
        <v>15.8091411926191</v>
      </c>
      <c r="R640" s="4">
        <v>15.7715143593951</v>
      </c>
      <c r="S640" s="4">
        <v>15.7125083999805</v>
      </c>
      <c r="T640" s="4">
        <f t="shared" si="38"/>
        <v>15.764387983998233</v>
      </c>
      <c r="W640" s="4" t="str">
        <f>"eral-1"</f>
        <v>eral-1</v>
      </c>
      <c r="X640" s="4">
        <v>15.6915748336687</v>
      </c>
      <c r="Y640" s="4">
        <v>15.7997174852157</v>
      </c>
      <c r="Z640" s="4">
        <v>16.103683444427901</v>
      </c>
      <c r="AA640" s="4">
        <f t="shared" si="39"/>
        <v>15.8649919211041</v>
      </c>
      <c r="AJ640" s="4" t="s">
        <v>2409</v>
      </c>
    </row>
    <row r="641" spans="2:36" x14ac:dyDescent="0.2">
      <c r="B641" s="4" t="s">
        <v>2314</v>
      </c>
      <c r="C641" s="4">
        <v>16.134899999999998</v>
      </c>
      <c r="D641" s="4">
        <v>15.8565</v>
      </c>
      <c r="E641" s="4">
        <v>16.098500000000001</v>
      </c>
      <c r="F641" s="4">
        <f t="shared" si="36"/>
        <v>16.029966666666667</v>
      </c>
      <c r="I641" s="4" t="s">
        <v>607</v>
      </c>
      <c r="J641" s="4">
        <v>16.346499999999999</v>
      </c>
      <c r="K641" s="4">
        <v>16.049099999999999</v>
      </c>
      <c r="L641" s="4">
        <v>15.740399999999999</v>
      </c>
      <c r="M641" s="4">
        <f t="shared" si="37"/>
        <v>16.045333333333335</v>
      </c>
      <c r="P641" s="4" t="str">
        <f>"kin-1"</f>
        <v>kin-1</v>
      </c>
      <c r="Q641" s="4">
        <v>15.6090693694716</v>
      </c>
      <c r="R641" s="4">
        <v>15.799093919726801</v>
      </c>
      <c r="S641" s="4">
        <v>15.884578074522899</v>
      </c>
      <c r="T641" s="4">
        <f t="shared" si="38"/>
        <v>15.764247121240432</v>
      </c>
      <c r="W641" s="4" t="str">
        <f>"unc-112"</f>
        <v>unc-112</v>
      </c>
      <c r="X641" s="4">
        <v>15.8270572705077</v>
      </c>
      <c r="Y641" s="4">
        <v>15.7448001714146</v>
      </c>
      <c r="Z641" s="4">
        <v>16.021719252478899</v>
      </c>
      <c r="AA641" s="4">
        <f t="shared" si="39"/>
        <v>15.864525564800397</v>
      </c>
      <c r="AJ641" s="4" t="s">
        <v>517</v>
      </c>
    </row>
    <row r="642" spans="2:36" x14ac:dyDescent="0.2">
      <c r="B642" s="4" t="s">
        <v>964</v>
      </c>
      <c r="C642" s="4">
        <v>16.469000000000001</v>
      </c>
      <c r="D642" s="4">
        <v>15.7927</v>
      </c>
      <c r="E642" s="4">
        <v>15.8277</v>
      </c>
      <c r="F642" s="4">
        <f t="shared" ref="F642:F705" si="40">(C642+D642+E642)/3</f>
        <v>16.029800000000002</v>
      </c>
      <c r="I642" s="4" t="s">
        <v>422</v>
      </c>
      <c r="J642" s="4">
        <v>15.9659</v>
      </c>
      <c r="K642" s="4">
        <v>16.1084</v>
      </c>
      <c r="L642" s="4">
        <v>16.051600000000001</v>
      </c>
      <c r="M642" s="4">
        <f t="shared" ref="M642:M705" si="41">(J642+K642+L642)/3</f>
        <v>16.041966666666667</v>
      </c>
      <c r="P642" s="4" t="str">
        <f>"rnp-7"</f>
        <v>rnp-7</v>
      </c>
      <c r="Q642" s="4">
        <v>15.827224795378701</v>
      </c>
      <c r="R642" s="4">
        <v>15.602328173810999</v>
      </c>
      <c r="S642" s="4">
        <v>15.855460855046401</v>
      </c>
      <c r="T642" s="4">
        <f t="shared" ref="T642:T705" si="42">(Q642+R642+S642)/3</f>
        <v>15.761671274745368</v>
      </c>
      <c r="W642" s="4" t="str">
        <f>"edc-4"</f>
        <v>edc-4</v>
      </c>
      <c r="X642" s="4">
        <v>15.691812226346199</v>
      </c>
      <c r="Y642" s="4">
        <v>15.9857782285815</v>
      </c>
      <c r="Z642" s="4">
        <v>15.9085229013396</v>
      </c>
      <c r="AA642" s="4">
        <f t="shared" ref="AA642:AA705" si="43">(X642+Y642+Z642)/3</f>
        <v>15.862037785422432</v>
      </c>
      <c r="AJ642" s="4" t="s">
        <v>1913</v>
      </c>
    </row>
    <row r="643" spans="2:36" x14ac:dyDescent="0.2">
      <c r="B643" s="4" t="s">
        <v>1198</v>
      </c>
      <c r="C643" s="4">
        <v>16.236499999999999</v>
      </c>
      <c r="D643" s="4">
        <v>15.946300000000001</v>
      </c>
      <c r="E643" s="4">
        <v>15.902799999999999</v>
      </c>
      <c r="F643" s="4">
        <f t="shared" si="40"/>
        <v>16.028533333333332</v>
      </c>
      <c r="I643" s="4" t="s">
        <v>2451</v>
      </c>
      <c r="J643" s="4">
        <v>15.9566</v>
      </c>
      <c r="K643" s="4">
        <v>16.1327</v>
      </c>
      <c r="L643" s="4">
        <v>16.035499999999999</v>
      </c>
      <c r="M643" s="4">
        <f t="shared" si="41"/>
        <v>16.041599999999999</v>
      </c>
      <c r="P643" s="4" t="str">
        <f>"nifk-1"</f>
        <v>nifk-1</v>
      </c>
      <c r="Q643" s="4">
        <v>15.6889378688173</v>
      </c>
      <c r="R643" s="4">
        <v>15.777334015822399</v>
      </c>
      <c r="S643" s="4">
        <v>15.818432346396101</v>
      </c>
      <c r="T643" s="4">
        <f t="shared" si="42"/>
        <v>15.761568077011935</v>
      </c>
      <c r="W643" s="4" t="str">
        <f>"swsn-6"</f>
        <v>swsn-6</v>
      </c>
      <c r="X643" s="4">
        <v>15.9702189012408</v>
      </c>
      <c r="Y643" s="4">
        <v>15.917061298871999</v>
      </c>
      <c r="Z643" s="4">
        <v>15.695250118140301</v>
      </c>
      <c r="AA643" s="4">
        <f t="shared" si="43"/>
        <v>15.8608434394177</v>
      </c>
      <c r="AJ643" s="4" t="s">
        <v>1928</v>
      </c>
    </row>
    <row r="644" spans="2:36" x14ac:dyDescent="0.2">
      <c r="B644" s="4" t="s">
        <v>711</v>
      </c>
      <c r="C644" s="4">
        <v>16.097899999999999</v>
      </c>
      <c r="D644" s="4">
        <v>15.9252</v>
      </c>
      <c r="E644" s="4">
        <v>16.052499999999998</v>
      </c>
      <c r="F644" s="4">
        <f t="shared" si="40"/>
        <v>16.025199999999998</v>
      </c>
      <c r="I644" s="4" t="s">
        <v>722</v>
      </c>
      <c r="J644" s="4">
        <v>15.3751</v>
      </c>
      <c r="K644" s="4">
        <v>15.871700000000001</v>
      </c>
      <c r="L644" s="4">
        <v>16.8751</v>
      </c>
      <c r="M644" s="4">
        <f t="shared" si="41"/>
        <v>16.040633333333332</v>
      </c>
      <c r="P644" s="4" t="str">
        <f>"cgp-1"</f>
        <v>cgp-1</v>
      </c>
      <c r="Q644" s="4">
        <v>15.8553336681254</v>
      </c>
      <c r="R644" s="4">
        <v>15.7375224323943</v>
      </c>
      <c r="S644" s="4">
        <v>15.6800856193606</v>
      </c>
      <c r="T644" s="4">
        <f t="shared" si="42"/>
        <v>15.7576472399601</v>
      </c>
      <c r="W644" s="4" t="str">
        <f>"hxk-2"</f>
        <v>hxk-2</v>
      </c>
      <c r="X644" s="4">
        <v>15.8862701020846</v>
      </c>
      <c r="Y644" s="4">
        <v>15.896930922740999</v>
      </c>
      <c r="Z644" s="4">
        <v>15.7930213615392</v>
      </c>
      <c r="AA644" s="4">
        <f t="shared" si="43"/>
        <v>15.858740795454935</v>
      </c>
      <c r="AJ644" s="4" t="s">
        <v>1204</v>
      </c>
    </row>
    <row r="645" spans="2:36" x14ac:dyDescent="0.2">
      <c r="B645" s="4" t="s">
        <v>3910</v>
      </c>
      <c r="C645" s="4">
        <v>16.260999999999999</v>
      </c>
      <c r="D645" s="4">
        <v>15.548299999999999</v>
      </c>
      <c r="E645" s="4">
        <v>16.260200000000001</v>
      </c>
      <c r="F645" s="4">
        <f t="shared" si="40"/>
        <v>16.023166666666668</v>
      </c>
      <c r="I645" s="4" t="s">
        <v>3796</v>
      </c>
      <c r="J645" s="4">
        <v>15.4224</v>
      </c>
      <c r="K645" s="4">
        <v>16.1496</v>
      </c>
      <c r="L645" s="4">
        <v>16.545500000000001</v>
      </c>
      <c r="M645" s="4">
        <f t="shared" si="41"/>
        <v>16.039166666666667</v>
      </c>
      <c r="P645" s="4" t="str">
        <f>"hrpk-1"</f>
        <v>hrpk-1</v>
      </c>
      <c r="Q645" s="4">
        <v>15.7523922236999</v>
      </c>
      <c r="R645" s="4">
        <v>15.604743058015201</v>
      </c>
      <c r="S645" s="4">
        <v>15.9151800673009</v>
      </c>
      <c r="T645" s="4">
        <f t="shared" si="42"/>
        <v>15.757438449672001</v>
      </c>
      <c r="W645" s="4" t="str">
        <f>"ima-3"</f>
        <v>ima-3</v>
      </c>
      <c r="X645" s="4">
        <v>16.049629590546001</v>
      </c>
      <c r="Y645" s="4">
        <v>15.741469573706301</v>
      </c>
      <c r="Z645" s="4">
        <v>15.783930734302499</v>
      </c>
      <c r="AA645" s="4">
        <f t="shared" si="43"/>
        <v>15.858343299518268</v>
      </c>
      <c r="AJ645" s="4" t="s">
        <v>2532</v>
      </c>
    </row>
    <row r="646" spans="2:36" x14ac:dyDescent="0.2">
      <c r="B646" s="4" t="s">
        <v>3635</v>
      </c>
      <c r="C646" s="4">
        <v>16.174099999999999</v>
      </c>
      <c r="D646" s="4">
        <v>15.7112</v>
      </c>
      <c r="E646" s="4">
        <v>16.1602</v>
      </c>
      <c r="F646" s="4">
        <f t="shared" si="40"/>
        <v>16.015166666666669</v>
      </c>
      <c r="I646" s="4" t="s">
        <v>3206</v>
      </c>
      <c r="J646" s="4">
        <v>15.792299999999999</v>
      </c>
      <c r="K646" s="4">
        <v>15.908300000000001</v>
      </c>
      <c r="L646" s="4">
        <v>16.4039</v>
      </c>
      <c r="M646" s="4">
        <f t="shared" si="41"/>
        <v>16.034833333333335</v>
      </c>
      <c r="P646" s="4" t="str">
        <f>"F25B5.6"</f>
        <v>F25B5.6</v>
      </c>
      <c r="Q646" s="4">
        <v>15.9851584485793</v>
      </c>
      <c r="R646" s="4">
        <v>15.6685865776138</v>
      </c>
      <c r="S646" s="4">
        <v>15.6078991199486</v>
      </c>
      <c r="T646" s="4">
        <f t="shared" si="42"/>
        <v>15.753881382047233</v>
      </c>
      <c r="W646" s="4" t="str">
        <f>"apa-2"</f>
        <v>apa-2</v>
      </c>
      <c r="X646" s="4">
        <v>16.070801477920199</v>
      </c>
      <c r="Y646" s="4">
        <v>15.758330511499301</v>
      </c>
      <c r="Z646" s="4">
        <v>15.727429946027399</v>
      </c>
      <c r="AA646" s="4">
        <f t="shared" si="43"/>
        <v>15.852187311815634</v>
      </c>
      <c r="AJ646" s="4" t="s">
        <v>3121</v>
      </c>
    </row>
    <row r="647" spans="2:36" x14ac:dyDescent="0.2">
      <c r="B647" s="4" t="s">
        <v>590</v>
      </c>
      <c r="C647" s="4">
        <v>15.8422</v>
      </c>
      <c r="D647" s="4">
        <v>16.6541</v>
      </c>
      <c r="E647" s="4">
        <v>15.5364</v>
      </c>
      <c r="F647" s="4">
        <f t="shared" si="40"/>
        <v>16.010899999999999</v>
      </c>
      <c r="I647" s="4" t="s">
        <v>2582</v>
      </c>
      <c r="J647" s="4">
        <v>15.9224</v>
      </c>
      <c r="K647" s="4">
        <v>15.9339</v>
      </c>
      <c r="L647" s="4">
        <v>16.245799999999999</v>
      </c>
      <c r="M647" s="4">
        <f t="shared" si="41"/>
        <v>16.03403333333333</v>
      </c>
      <c r="P647" s="4" t="str">
        <f>"rha-2"</f>
        <v>rha-2</v>
      </c>
      <c r="Q647" s="4">
        <v>15.803676914679601</v>
      </c>
      <c r="R647" s="4">
        <v>15.7354637384292</v>
      </c>
      <c r="S647" s="4">
        <v>15.701794939836301</v>
      </c>
      <c r="T647" s="4">
        <f t="shared" si="42"/>
        <v>15.746978530981702</v>
      </c>
      <c r="W647" s="4" t="str">
        <f>"F59B1.8"</f>
        <v>F59B1.8</v>
      </c>
      <c r="X647" s="4">
        <v>15.671501438655801</v>
      </c>
      <c r="Y647" s="4">
        <v>15.9321041629719</v>
      </c>
      <c r="Z647" s="4">
        <v>15.9345449830943</v>
      </c>
      <c r="AA647" s="4">
        <f t="shared" si="43"/>
        <v>15.846050194907333</v>
      </c>
      <c r="AJ647" s="4" t="s">
        <v>4611</v>
      </c>
    </row>
    <row r="648" spans="2:36" x14ac:dyDescent="0.2">
      <c r="B648" s="4" t="s">
        <v>2795</v>
      </c>
      <c r="C648" s="4">
        <v>15.972899999999999</v>
      </c>
      <c r="D648" s="4">
        <v>16.058900000000001</v>
      </c>
      <c r="E648" s="4">
        <v>15.999700000000001</v>
      </c>
      <c r="F648" s="4">
        <f t="shared" si="40"/>
        <v>16.010500000000004</v>
      </c>
      <c r="I648" s="4" t="s">
        <v>2203</v>
      </c>
      <c r="J648" s="4">
        <v>15.835000000000001</v>
      </c>
      <c r="K648" s="4">
        <v>15.966100000000001</v>
      </c>
      <c r="L648" s="4">
        <v>16.3002</v>
      </c>
      <c r="M648" s="4">
        <f t="shared" si="41"/>
        <v>16.033766666666668</v>
      </c>
      <c r="P648" s="4" t="str">
        <f>"clp-7"</f>
        <v>clp-7</v>
      </c>
      <c r="Q648" s="4">
        <v>15.7212482224302</v>
      </c>
      <c r="R648" s="4">
        <v>15.775608170319501</v>
      </c>
      <c r="S648" s="4">
        <v>15.728984474782999</v>
      </c>
      <c r="T648" s="4">
        <f t="shared" si="42"/>
        <v>15.741946955844233</v>
      </c>
      <c r="W648" s="4" t="str">
        <f>"tank-1"</f>
        <v>tank-1</v>
      </c>
      <c r="X648" s="4">
        <v>15.6432790068493</v>
      </c>
      <c r="Y648" s="4">
        <v>15.8626319985195</v>
      </c>
      <c r="Z648" s="4">
        <v>16.028968996081701</v>
      </c>
      <c r="AA648" s="4">
        <f t="shared" si="43"/>
        <v>15.844960000483502</v>
      </c>
      <c r="AJ648" s="4" t="s">
        <v>3545</v>
      </c>
    </row>
    <row r="649" spans="2:36" x14ac:dyDescent="0.2">
      <c r="B649" s="4" t="s">
        <v>1951</v>
      </c>
      <c r="C649" s="4">
        <v>16.084199999999999</v>
      </c>
      <c r="D649" s="4">
        <v>15.835000000000001</v>
      </c>
      <c r="E649" s="4">
        <v>16.0868</v>
      </c>
      <c r="F649" s="4">
        <f t="shared" si="40"/>
        <v>16.001999999999999</v>
      </c>
      <c r="I649" s="4" t="s">
        <v>4004</v>
      </c>
      <c r="J649" s="4">
        <v>15.948700000000001</v>
      </c>
      <c r="K649" s="4">
        <v>15.898099999999999</v>
      </c>
      <c r="L649" s="4">
        <v>16.2439</v>
      </c>
      <c r="M649" s="4">
        <f t="shared" si="41"/>
        <v>16.030233333333332</v>
      </c>
      <c r="P649" s="4" t="str">
        <f>"ZK484.3"</f>
        <v>ZK484.3</v>
      </c>
      <c r="Q649" s="4">
        <v>16.018543992571299</v>
      </c>
      <c r="R649" s="4">
        <v>15.2884194976101</v>
      </c>
      <c r="S649" s="4">
        <v>15.9156331998742</v>
      </c>
      <c r="T649" s="4">
        <f t="shared" si="42"/>
        <v>15.740865563351866</v>
      </c>
      <c r="W649" s="4" t="str">
        <f>"ekl-6"</f>
        <v>ekl-6</v>
      </c>
      <c r="X649" s="4">
        <v>15.830378502017201</v>
      </c>
      <c r="Y649" s="4">
        <v>15.870696465584301</v>
      </c>
      <c r="Z649" s="4">
        <v>15.809241582965599</v>
      </c>
      <c r="AA649" s="4">
        <f t="shared" si="43"/>
        <v>15.836772183522365</v>
      </c>
      <c r="AJ649" s="4" t="s">
        <v>984</v>
      </c>
    </row>
    <row r="650" spans="2:36" x14ac:dyDescent="0.2">
      <c r="B650" s="4" t="s">
        <v>2817</v>
      </c>
      <c r="C650" s="4">
        <v>15.9482</v>
      </c>
      <c r="D650" s="4">
        <v>15.7354</v>
      </c>
      <c r="E650" s="4">
        <v>16.317</v>
      </c>
      <c r="F650" s="4">
        <f t="shared" si="40"/>
        <v>16.0002</v>
      </c>
      <c r="I650" s="4" t="s">
        <v>1916</v>
      </c>
      <c r="J650" s="4">
        <v>16.296199999999999</v>
      </c>
      <c r="K650" s="4">
        <v>16.034400000000002</v>
      </c>
      <c r="L650" s="4">
        <v>15.750299999999999</v>
      </c>
      <c r="M650" s="4">
        <f t="shared" si="41"/>
        <v>16.026966666666667</v>
      </c>
      <c r="P650" s="4" t="str">
        <f>"ZK1320.9"</f>
        <v>ZK1320.9</v>
      </c>
      <c r="Q650" s="4">
        <v>15.9875859601702</v>
      </c>
      <c r="R650" s="4">
        <v>15.570097118546901</v>
      </c>
      <c r="S650" s="4">
        <v>15.664697876728299</v>
      </c>
      <c r="T650" s="4">
        <f t="shared" si="42"/>
        <v>15.740793651815133</v>
      </c>
      <c r="W650" s="4" t="str">
        <f>"ttll-12"</f>
        <v>ttll-12</v>
      </c>
      <c r="X650" s="4">
        <v>15.7512748929508</v>
      </c>
      <c r="Y650" s="4">
        <v>15.964645805763499</v>
      </c>
      <c r="Z650" s="4">
        <v>15.792853216644</v>
      </c>
      <c r="AA650" s="4">
        <f t="shared" si="43"/>
        <v>15.836257971786099</v>
      </c>
      <c r="AJ650" s="4" t="s">
        <v>1141</v>
      </c>
    </row>
    <row r="651" spans="2:36" x14ac:dyDescent="0.2">
      <c r="B651" s="4" t="s">
        <v>2255</v>
      </c>
      <c r="C651" s="4">
        <v>15.9796</v>
      </c>
      <c r="D651" s="4">
        <v>16.198799999999999</v>
      </c>
      <c r="E651" s="4">
        <v>15.821999999999999</v>
      </c>
      <c r="F651" s="4">
        <f t="shared" si="40"/>
        <v>16.000133333333334</v>
      </c>
      <c r="I651" s="4" t="s">
        <v>91</v>
      </c>
      <c r="J651" s="4">
        <v>16.178699999999999</v>
      </c>
      <c r="K651" s="4">
        <v>16.0169</v>
      </c>
      <c r="L651" s="4">
        <v>15.884399999999999</v>
      </c>
      <c r="M651" s="4">
        <f t="shared" si="41"/>
        <v>16.026666666666667</v>
      </c>
      <c r="P651" s="4" t="str">
        <f>"mpdu-1"</f>
        <v>mpdu-1</v>
      </c>
      <c r="Q651" s="4">
        <v>15.453103230622</v>
      </c>
      <c r="R651" s="4">
        <v>15.9081811219241</v>
      </c>
      <c r="S651" s="4">
        <v>15.858111712086</v>
      </c>
      <c r="T651" s="4">
        <f t="shared" si="42"/>
        <v>15.739798688210699</v>
      </c>
      <c r="W651" s="4" t="str">
        <f>"ifp-1"</f>
        <v>ifp-1</v>
      </c>
      <c r="X651" s="4">
        <v>15.1039326381326</v>
      </c>
      <c r="Y651" s="4">
        <v>16.014822008368199</v>
      </c>
      <c r="Z651" s="4">
        <v>16.376608643320701</v>
      </c>
      <c r="AA651" s="4">
        <f t="shared" si="43"/>
        <v>15.831787763273832</v>
      </c>
      <c r="AJ651" s="4" t="s">
        <v>986</v>
      </c>
    </row>
    <row r="652" spans="2:36" x14ac:dyDescent="0.2">
      <c r="B652" s="4" t="s">
        <v>345</v>
      </c>
      <c r="C652" s="4">
        <v>15.7502</v>
      </c>
      <c r="D652" s="4">
        <v>16.389399999999998</v>
      </c>
      <c r="E652" s="4">
        <v>15.8568</v>
      </c>
      <c r="F652" s="4">
        <f t="shared" si="40"/>
        <v>15.998800000000001</v>
      </c>
      <c r="I652" s="4" t="s">
        <v>2380</v>
      </c>
      <c r="J652" s="4">
        <v>15.9236</v>
      </c>
      <c r="K652" s="4">
        <v>15.8993</v>
      </c>
      <c r="L652" s="4">
        <v>16.253799999999998</v>
      </c>
      <c r="M652" s="4">
        <f t="shared" si="41"/>
        <v>16.025566666666666</v>
      </c>
      <c r="P652" s="4" t="str">
        <f>"plp-1"</f>
        <v>plp-1</v>
      </c>
      <c r="Q652" s="4">
        <v>15.7820218728704</v>
      </c>
      <c r="R652" s="4">
        <v>15.7057121948942</v>
      </c>
      <c r="S652" s="4">
        <v>15.7071413468397</v>
      </c>
      <c r="T652" s="4">
        <f t="shared" si="42"/>
        <v>15.731625138201432</v>
      </c>
      <c r="W652" s="4" t="str">
        <f>"sec-24.2"</f>
        <v>sec-24.2</v>
      </c>
      <c r="X652" s="4">
        <v>15.9663844632493</v>
      </c>
      <c r="Y652" s="4">
        <v>15.929088923753399</v>
      </c>
      <c r="Z652" s="4">
        <v>15.591996322466599</v>
      </c>
      <c r="AA652" s="4">
        <f t="shared" si="43"/>
        <v>15.829156569823098</v>
      </c>
      <c r="AJ652" s="4" t="s">
        <v>4202</v>
      </c>
    </row>
    <row r="653" spans="2:36" x14ac:dyDescent="0.2">
      <c r="B653" s="4" t="s">
        <v>3285</v>
      </c>
      <c r="C653" s="4">
        <v>15.8993</v>
      </c>
      <c r="D653" s="4">
        <v>15.9518</v>
      </c>
      <c r="E653" s="4">
        <v>16.140499999999999</v>
      </c>
      <c r="F653" s="4">
        <f t="shared" si="40"/>
        <v>15.997200000000001</v>
      </c>
      <c r="I653" s="4" t="s">
        <v>805</v>
      </c>
      <c r="J653" s="4">
        <v>15.9876</v>
      </c>
      <c r="K653" s="4">
        <v>16.277899999999999</v>
      </c>
      <c r="L653" s="4">
        <v>15.8111</v>
      </c>
      <c r="M653" s="4">
        <f t="shared" si="41"/>
        <v>16.025533333333332</v>
      </c>
      <c r="P653" s="4" t="str">
        <f>"slc-25a10"</f>
        <v>slc-25a10</v>
      </c>
      <c r="Q653" s="4">
        <v>15.6491956923724</v>
      </c>
      <c r="R653" s="4">
        <v>15.5884566261765</v>
      </c>
      <c r="S653" s="4">
        <v>15.943269454407</v>
      </c>
      <c r="T653" s="4">
        <f t="shared" si="42"/>
        <v>15.726973924318633</v>
      </c>
      <c r="W653" s="4" t="str">
        <f>"Y47G6A.15"</f>
        <v>Y47G6A.15</v>
      </c>
      <c r="X653" s="4">
        <v>15.131223507605601</v>
      </c>
      <c r="Y653" s="4">
        <v>15.8241619078001</v>
      </c>
      <c r="Z653" s="4">
        <v>16.525565151746701</v>
      </c>
      <c r="AA653" s="4">
        <f t="shared" si="43"/>
        <v>15.826983522384134</v>
      </c>
      <c r="AJ653" s="4" t="s">
        <v>1497</v>
      </c>
    </row>
    <row r="654" spans="2:36" x14ac:dyDescent="0.2">
      <c r="B654" s="4" t="s">
        <v>2835</v>
      </c>
      <c r="C654" s="4">
        <v>15.995699999999999</v>
      </c>
      <c r="D654" s="4">
        <v>16.000800000000002</v>
      </c>
      <c r="E654" s="4">
        <v>15.9848</v>
      </c>
      <c r="F654" s="4">
        <f t="shared" si="40"/>
        <v>15.993766666666668</v>
      </c>
      <c r="I654" s="4" t="s">
        <v>3051</v>
      </c>
      <c r="J654" s="4">
        <v>15.6005</v>
      </c>
      <c r="K654" s="4">
        <v>15.8179</v>
      </c>
      <c r="L654" s="4">
        <v>16.645900000000001</v>
      </c>
      <c r="M654" s="4">
        <f t="shared" si="41"/>
        <v>16.021433333333334</v>
      </c>
      <c r="P654" s="4" t="str">
        <f>"cox-6c"</f>
        <v>cox-6c</v>
      </c>
      <c r="Q654" s="4">
        <v>15.8124746335294</v>
      </c>
      <c r="R654" s="4">
        <v>15.6403669811304</v>
      </c>
      <c r="S654" s="4">
        <v>15.711431395855801</v>
      </c>
      <c r="T654" s="4">
        <f t="shared" si="42"/>
        <v>15.721424336838533</v>
      </c>
      <c r="W654" s="4" t="str">
        <f>"tomm-70"</f>
        <v>tomm-70</v>
      </c>
      <c r="X654" s="4">
        <v>15.8170297360259</v>
      </c>
      <c r="Y654" s="4">
        <v>15.8902844581162</v>
      </c>
      <c r="Z654" s="4">
        <v>15.770852625106</v>
      </c>
      <c r="AA654" s="4">
        <f t="shared" si="43"/>
        <v>15.826055606416034</v>
      </c>
      <c r="AJ654" s="4" t="s">
        <v>4397</v>
      </c>
    </row>
    <row r="655" spans="2:36" x14ac:dyDescent="0.2">
      <c r="B655" s="4" t="s">
        <v>1071</v>
      </c>
      <c r="C655" s="4">
        <v>16.226700000000001</v>
      </c>
      <c r="D655" s="4">
        <v>15.921200000000001</v>
      </c>
      <c r="E655" s="4">
        <v>15.8324</v>
      </c>
      <c r="F655" s="4">
        <f t="shared" si="40"/>
        <v>15.993433333333334</v>
      </c>
      <c r="I655" s="4" t="s">
        <v>2701</v>
      </c>
      <c r="J655" s="4">
        <v>15.683999999999999</v>
      </c>
      <c r="K655" s="4">
        <v>16.158300000000001</v>
      </c>
      <c r="L655" s="4">
        <v>16.220099999999999</v>
      </c>
      <c r="M655" s="4">
        <f t="shared" si="41"/>
        <v>16.020799999999998</v>
      </c>
      <c r="P655" s="4" t="str">
        <f>"hgap-1"</f>
        <v>hgap-1</v>
      </c>
      <c r="Q655" s="4">
        <v>15.884261617746899</v>
      </c>
      <c r="R655" s="4">
        <v>15.669635302129899</v>
      </c>
      <c r="S655" s="4">
        <v>15.6098663324591</v>
      </c>
      <c r="T655" s="4">
        <f t="shared" si="42"/>
        <v>15.7212544174453</v>
      </c>
      <c r="W655" s="4" t="str">
        <f>"prp-6"</f>
        <v>prp-6</v>
      </c>
      <c r="X655" s="4">
        <v>15.602134994148701</v>
      </c>
      <c r="Y655" s="4">
        <v>15.9930160827869</v>
      </c>
      <c r="Z655" s="4">
        <v>15.880212576066601</v>
      </c>
      <c r="AA655" s="4">
        <f t="shared" si="43"/>
        <v>15.825121217667402</v>
      </c>
      <c r="AJ655" s="4" t="s">
        <v>2932</v>
      </c>
    </row>
    <row r="656" spans="2:36" x14ac:dyDescent="0.2">
      <c r="B656" s="4" t="s">
        <v>3051</v>
      </c>
      <c r="C656" s="4">
        <v>15.596299999999999</v>
      </c>
      <c r="D656" s="4">
        <v>16.183900000000001</v>
      </c>
      <c r="E656" s="4">
        <v>16.197700000000001</v>
      </c>
      <c r="F656" s="4">
        <f t="shared" si="40"/>
        <v>15.992633333333336</v>
      </c>
      <c r="I656" s="4" t="s">
        <v>2667</v>
      </c>
      <c r="J656" s="4">
        <v>16.0763</v>
      </c>
      <c r="K656" s="4">
        <v>15.9704</v>
      </c>
      <c r="L656" s="4">
        <v>16.008500000000002</v>
      </c>
      <c r="M656" s="4">
        <f t="shared" si="41"/>
        <v>16.0184</v>
      </c>
      <c r="P656" s="4" t="str">
        <f>"T04A11.1"</f>
        <v>T04A11.1</v>
      </c>
      <c r="Q656" s="4">
        <v>15.678330997391299</v>
      </c>
      <c r="R656" s="4">
        <v>15.7329924948127</v>
      </c>
      <c r="S656" s="4">
        <v>15.750975762871899</v>
      </c>
      <c r="T656" s="4">
        <f t="shared" si="42"/>
        <v>15.720766418358631</v>
      </c>
      <c r="W656" s="4" t="str">
        <f>"ddx-23"</f>
        <v>ddx-23</v>
      </c>
      <c r="X656" s="4">
        <v>15.9287839596855</v>
      </c>
      <c r="Y656" s="4">
        <v>15.7763337680875</v>
      </c>
      <c r="Z656" s="4">
        <v>15.7666264192345</v>
      </c>
      <c r="AA656" s="4">
        <f t="shared" si="43"/>
        <v>15.823914715669167</v>
      </c>
      <c r="AJ656" s="4" t="s">
        <v>522</v>
      </c>
    </row>
    <row r="657" spans="2:36" x14ac:dyDescent="0.2">
      <c r="B657" s="4" t="s">
        <v>3541</v>
      </c>
      <c r="C657" s="4">
        <v>16.173999999999999</v>
      </c>
      <c r="D657" s="4">
        <v>15.826499999999999</v>
      </c>
      <c r="E657" s="4">
        <v>15.970599999999999</v>
      </c>
      <c r="F657" s="4">
        <f t="shared" si="40"/>
        <v>15.990366666666667</v>
      </c>
      <c r="I657" s="4" t="s">
        <v>3548</v>
      </c>
      <c r="J657" s="4">
        <v>16.031700000000001</v>
      </c>
      <c r="K657" s="4">
        <v>15.963800000000001</v>
      </c>
      <c r="L657" s="4">
        <v>16.049199999999999</v>
      </c>
      <c r="M657" s="4">
        <f t="shared" si="41"/>
        <v>16.014900000000001</v>
      </c>
      <c r="P657" s="4" t="str">
        <f>"eif-2bepsilon"</f>
        <v>eif-2bepsilon</v>
      </c>
      <c r="Q657" s="4">
        <v>15.819950778413601</v>
      </c>
      <c r="R657" s="4">
        <v>15.751756440466201</v>
      </c>
      <c r="S657" s="4">
        <v>15.588999079478601</v>
      </c>
      <c r="T657" s="4">
        <f t="shared" si="42"/>
        <v>15.720235432786135</v>
      </c>
      <c r="W657" s="4" t="str">
        <f>"T04F8.7"</f>
        <v>T04F8.7</v>
      </c>
      <c r="X657" s="4">
        <v>15.184993200162999</v>
      </c>
      <c r="Y657" s="4">
        <v>15.790773794799099</v>
      </c>
      <c r="Z657" s="4">
        <v>16.4846140286162</v>
      </c>
      <c r="AA657" s="4">
        <f t="shared" si="43"/>
        <v>15.820127007859433</v>
      </c>
      <c r="AJ657" s="4" t="s">
        <v>4236</v>
      </c>
    </row>
    <row r="658" spans="2:36" x14ac:dyDescent="0.2">
      <c r="B658" s="4" t="s">
        <v>1433</v>
      </c>
      <c r="C658" s="4">
        <v>16.084199999999999</v>
      </c>
      <c r="D658" s="4">
        <v>16.048200000000001</v>
      </c>
      <c r="E658" s="4">
        <v>15.8316</v>
      </c>
      <c r="F658" s="4">
        <f t="shared" si="40"/>
        <v>15.988000000000001</v>
      </c>
      <c r="I658" s="4" t="s">
        <v>3809</v>
      </c>
      <c r="J658" s="4">
        <v>15.958600000000001</v>
      </c>
      <c r="K658" s="4">
        <v>16.039000000000001</v>
      </c>
      <c r="L658" s="4">
        <v>16.035399999999999</v>
      </c>
      <c r="M658" s="4">
        <f t="shared" si="41"/>
        <v>16.010999999999999</v>
      </c>
      <c r="P658" s="4" t="str">
        <f>"ipgm-1"</f>
        <v>ipgm-1</v>
      </c>
      <c r="Q658" s="4">
        <v>15.9419575260559</v>
      </c>
      <c r="R658" s="4">
        <v>15.5625690774419</v>
      </c>
      <c r="S658" s="4">
        <v>15.646545656150799</v>
      </c>
      <c r="T658" s="4">
        <f t="shared" si="42"/>
        <v>15.717024086549534</v>
      </c>
      <c r="W658" s="4" t="str">
        <f>"trap-2"</f>
        <v>trap-2</v>
      </c>
      <c r="X658" s="4">
        <v>15.985097569317199</v>
      </c>
      <c r="Y658" s="4">
        <v>15.8393315080862</v>
      </c>
      <c r="Z658" s="4">
        <v>15.6301261211088</v>
      </c>
      <c r="AA658" s="4">
        <f t="shared" si="43"/>
        <v>15.818185066170734</v>
      </c>
      <c r="AJ658" s="4" t="s">
        <v>2095</v>
      </c>
    </row>
    <row r="659" spans="2:36" x14ac:dyDescent="0.2">
      <c r="B659" s="4" t="s">
        <v>860</v>
      </c>
      <c r="C659" s="4">
        <v>15.9277</v>
      </c>
      <c r="D659" s="4">
        <v>16.567599999999999</v>
      </c>
      <c r="E659" s="4">
        <v>15.4658</v>
      </c>
      <c r="F659" s="4">
        <f t="shared" si="40"/>
        <v>15.987033333333335</v>
      </c>
      <c r="I659" s="4" t="s">
        <v>63</v>
      </c>
      <c r="J659" s="4">
        <v>16.067299999999999</v>
      </c>
      <c r="K659" s="4">
        <v>15.736700000000001</v>
      </c>
      <c r="L659" s="4">
        <v>16.218</v>
      </c>
      <c r="M659" s="4">
        <f t="shared" si="41"/>
        <v>16.007333333333335</v>
      </c>
      <c r="P659" s="4" t="str">
        <f>"osr-1"</f>
        <v>osr-1</v>
      </c>
      <c r="Q659" s="4">
        <v>16.271685594592501</v>
      </c>
      <c r="R659" s="4">
        <v>15.221386584447901</v>
      </c>
      <c r="S659" s="4">
        <v>15.6495647990739</v>
      </c>
      <c r="T659" s="4">
        <f t="shared" si="42"/>
        <v>15.714212326038101</v>
      </c>
      <c r="W659" s="4" t="str">
        <f>"him-1"</f>
        <v>him-1</v>
      </c>
      <c r="X659" s="4">
        <v>15.873453540291001</v>
      </c>
      <c r="Y659" s="4">
        <v>15.860916811326801</v>
      </c>
      <c r="Z659" s="4">
        <v>15.7036526230611</v>
      </c>
      <c r="AA659" s="4">
        <f t="shared" si="43"/>
        <v>15.812674324892967</v>
      </c>
      <c r="AJ659" s="4" t="s">
        <v>4215</v>
      </c>
    </row>
    <row r="660" spans="2:36" x14ac:dyDescent="0.2">
      <c r="B660" s="4" t="s">
        <v>712</v>
      </c>
      <c r="C660" s="4">
        <v>15.9282</v>
      </c>
      <c r="D660" s="4">
        <v>16.1769</v>
      </c>
      <c r="E660" s="4">
        <v>15.8466</v>
      </c>
      <c r="F660" s="4">
        <f t="shared" si="40"/>
        <v>15.9839</v>
      </c>
      <c r="I660" s="4" t="s">
        <v>1847</v>
      </c>
      <c r="J660" s="4">
        <v>15.939500000000001</v>
      </c>
      <c r="K660" s="4">
        <v>16.335699999999999</v>
      </c>
      <c r="L660" s="4">
        <v>15.7438</v>
      </c>
      <c r="M660" s="4">
        <f t="shared" si="41"/>
        <v>16.006333333333334</v>
      </c>
      <c r="P660" s="4" t="str">
        <f>"dhs-17"</f>
        <v>dhs-17</v>
      </c>
      <c r="Q660" s="4">
        <v>15.988010119351401</v>
      </c>
      <c r="R660" s="4">
        <v>15.576682072261599</v>
      </c>
      <c r="S660" s="4">
        <v>15.569914558082701</v>
      </c>
      <c r="T660" s="4">
        <f t="shared" si="42"/>
        <v>15.7115355832319</v>
      </c>
      <c r="W660" s="4" t="str">
        <f>"abcf-3"</f>
        <v>abcf-3</v>
      </c>
      <c r="X660" s="4">
        <v>15.878736637849601</v>
      </c>
      <c r="Y660" s="4">
        <v>15.7894531098486</v>
      </c>
      <c r="Z660" s="4">
        <v>15.766788628716499</v>
      </c>
      <c r="AA660" s="4">
        <f t="shared" si="43"/>
        <v>15.811659458804899</v>
      </c>
      <c r="AJ660" s="4" t="s">
        <v>3319</v>
      </c>
    </row>
    <row r="661" spans="2:36" x14ac:dyDescent="0.2">
      <c r="B661" s="4" t="s">
        <v>3854</v>
      </c>
      <c r="C661" s="4">
        <v>16.075900000000001</v>
      </c>
      <c r="D661" s="4">
        <v>15.904</v>
      </c>
      <c r="E661" s="4">
        <v>15.9704</v>
      </c>
      <c r="F661" s="4">
        <f t="shared" si="40"/>
        <v>15.983433333333332</v>
      </c>
      <c r="I661" s="4" t="s">
        <v>4639</v>
      </c>
      <c r="J661" s="4">
        <v>15.832100000000001</v>
      </c>
      <c r="K661" s="4">
        <v>15.887700000000001</v>
      </c>
      <c r="L661" s="4">
        <v>16.297599999999999</v>
      </c>
      <c r="M661" s="4">
        <f t="shared" si="41"/>
        <v>16.005799999999997</v>
      </c>
      <c r="P661" s="4" t="str">
        <f>"cul-1"</f>
        <v>cul-1</v>
      </c>
      <c r="Q661" s="4">
        <v>15.5348279045617</v>
      </c>
      <c r="R661" s="4">
        <v>15.7703452704255</v>
      </c>
      <c r="S661" s="4">
        <v>15.828894118937599</v>
      </c>
      <c r="T661" s="4">
        <f t="shared" si="42"/>
        <v>15.711355764641601</v>
      </c>
      <c r="W661" s="4" t="str">
        <f>"dhs-30"</f>
        <v>dhs-30</v>
      </c>
      <c r="X661" s="4">
        <v>15.9986393551593</v>
      </c>
      <c r="Y661" s="4">
        <v>15.7551585584901</v>
      </c>
      <c r="Z661" s="4">
        <v>15.6591106465753</v>
      </c>
      <c r="AA661" s="4">
        <f t="shared" si="43"/>
        <v>15.804302853408233</v>
      </c>
      <c r="AJ661" s="4" t="s">
        <v>3082</v>
      </c>
    </row>
    <row r="662" spans="2:36" x14ac:dyDescent="0.2">
      <c r="B662" s="4" t="s">
        <v>1673</v>
      </c>
      <c r="C662" s="4">
        <v>16.067599999999999</v>
      </c>
      <c r="D662" s="4">
        <v>15.803599999999999</v>
      </c>
      <c r="E662" s="4">
        <v>16.069800000000001</v>
      </c>
      <c r="F662" s="4">
        <f t="shared" si="40"/>
        <v>15.980333333333334</v>
      </c>
      <c r="I662" s="4" t="s">
        <v>2879</v>
      </c>
      <c r="J662" s="4">
        <v>16.4086</v>
      </c>
      <c r="K662" s="4">
        <v>15.5847</v>
      </c>
      <c r="L662" s="4">
        <v>16.017299999999999</v>
      </c>
      <c r="M662" s="4">
        <f t="shared" si="41"/>
        <v>16.003533333333333</v>
      </c>
      <c r="P662" s="4" t="str">
        <f>"mcm-4"</f>
        <v>mcm-4</v>
      </c>
      <c r="Q662" s="4">
        <v>15.797717348699001</v>
      </c>
      <c r="R662" s="4">
        <v>15.723156948721799</v>
      </c>
      <c r="S662" s="4">
        <v>15.610117677781</v>
      </c>
      <c r="T662" s="4">
        <f t="shared" si="42"/>
        <v>15.710330658400601</v>
      </c>
      <c r="W662" s="4" t="str">
        <f>"D1054.10"</f>
        <v>D1054.10</v>
      </c>
      <c r="X662" s="4">
        <v>15.6430838752932</v>
      </c>
      <c r="Y662" s="4">
        <v>15.614077547350499</v>
      </c>
      <c r="Z662" s="4">
        <v>16.148861199160098</v>
      </c>
      <c r="AA662" s="4">
        <f t="shared" si="43"/>
        <v>15.802007540601267</v>
      </c>
      <c r="AJ662" s="4" t="s">
        <v>2948</v>
      </c>
    </row>
    <row r="663" spans="2:36" x14ac:dyDescent="0.2">
      <c r="B663" s="4" t="s">
        <v>2380</v>
      </c>
      <c r="C663" s="4">
        <v>16.052399999999999</v>
      </c>
      <c r="D663" s="4">
        <v>15.8239</v>
      </c>
      <c r="E663" s="4">
        <v>16.055599999999998</v>
      </c>
      <c r="F663" s="4">
        <f t="shared" si="40"/>
        <v>15.9773</v>
      </c>
      <c r="I663" s="4" t="s">
        <v>1712</v>
      </c>
      <c r="J663" s="4">
        <v>15.9625</v>
      </c>
      <c r="K663" s="4">
        <v>15.8597</v>
      </c>
      <c r="L663" s="4">
        <v>16.188400000000001</v>
      </c>
      <c r="M663" s="4">
        <f t="shared" si="41"/>
        <v>16.003533333333333</v>
      </c>
      <c r="P663" s="4" t="str">
        <f>"syf-3"</f>
        <v>syf-3</v>
      </c>
      <c r="Q663" s="4">
        <v>15.746129546363299</v>
      </c>
      <c r="R663" s="4">
        <v>15.764782915714299</v>
      </c>
      <c r="S663" s="4">
        <v>15.616777971219401</v>
      </c>
      <c r="T663" s="4">
        <f t="shared" si="42"/>
        <v>15.709230144432333</v>
      </c>
      <c r="W663" s="4" t="str">
        <f>"cct-5"</f>
        <v>cct-5</v>
      </c>
      <c r="X663" s="4">
        <v>15.9803576081157</v>
      </c>
      <c r="Y663" s="4">
        <v>15.869480697111699</v>
      </c>
      <c r="Z663" s="4">
        <v>15.5459351873575</v>
      </c>
      <c r="AA663" s="4">
        <f t="shared" si="43"/>
        <v>15.798591164194967</v>
      </c>
      <c r="AJ663" s="4" t="s">
        <v>2818</v>
      </c>
    </row>
    <row r="664" spans="2:36" x14ac:dyDescent="0.2">
      <c r="B664" s="4" t="s">
        <v>1627</v>
      </c>
      <c r="C664" s="4">
        <v>15.9893</v>
      </c>
      <c r="D664" s="4">
        <v>15.909000000000001</v>
      </c>
      <c r="E664" s="4">
        <v>16.019400000000001</v>
      </c>
      <c r="F664" s="4">
        <f t="shared" si="40"/>
        <v>15.972566666666665</v>
      </c>
      <c r="I664" s="4" t="s">
        <v>859</v>
      </c>
      <c r="J664" s="4">
        <v>16.134799999999998</v>
      </c>
      <c r="K664" s="4">
        <v>16.042300000000001</v>
      </c>
      <c r="L664" s="4">
        <v>15.8285</v>
      </c>
      <c r="M664" s="4">
        <f t="shared" si="41"/>
        <v>16.001866666666665</v>
      </c>
      <c r="P664" s="4" t="str">
        <f>"asb-1"</f>
        <v>asb-1</v>
      </c>
      <c r="Q664" s="4">
        <v>15.6600911222785</v>
      </c>
      <c r="R664" s="4">
        <v>15.57173407773</v>
      </c>
      <c r="S664" s="4">
        <v>15.8838303549814</v>
      </c>
      <c r="T664" s="4">
        <f t="shared" si="42"/>
        <v>15.705218518329966</v>
      </c>
      <c r="W664" s="4" t="str">
        <f>"cpt-2"</f>
        <v>cpt-2</v>
      </c>
      <c r="X664" s="4">
        <v>15.515391089063</v>
      </c>
      <c r="Y664" s="4">
        <v>15.640197917005599</v>
      </c>
      <c r="Z664" s="4">
        <v>16.234363923788099</v>
      </c>
      <c r="AA664" s="4">
        <f t="shared" si="43"/>
        <v>15.796650976618899</v>
      </c>
      <c r="AJ664" s="4" t="s">
        <v>901</v>
      </c>
    </row>
    <row r="665" spans="2:36" x14ac:dyDescent="0.2">
      <c r="B665" s="4" t="s">
        <v>3007</v>
      </c>
      <c r="C665" s="4">
        <v>15.769500000000001</v>
      </c>
      <c r="D665" s="4">
        <v>16.1891</v>
      </c>
      <c r="E665" s="4">
        <v>15.9565</v>
      </c>
      <c r="F665" s="4">
        <f t="shared" si="40"/>
        <v>15.9717</v>
      </c>
      <c r="I665" s="4" t="s">
        <v>2891</v>
      </c>
      <c r="J665" s="4">
        <v>16.152799999999999</v>
      </c>
      <c r="K665" s="4">
        <v>15.922800000000001</v>
      </c>
      <c r="L665" s="4">
        <v>15.9194</v>
      </c>
      <c r="M665" s="4">
        <f t="shared" si="41"/>
        <v>15.998333333333335</v>
      </c>
      <c r="P665" s="4" t="str">
        <f>"maph-1.1"</f>
        <v>maph-1.1</v>
      </c>
      <c r="Q665" s="4">
        <v>15.729357210781099</v>
      </c>
      <c r="R665" s="4">
        <v>15.5089518091927</v>
      </c>
      <c r="S665" s="4">
        <v>15.8761848950441</v>
      </c>
      <c r="T665" s="4">
        <f t="shared" si="42"/>
        <v>15.704831305005966</v>
      </c>
      <c r="W665" s="4" t="str">
        <f>"rpn-9"</f>
        <v>rpn-9</v>
      </c>
      <c r="X665" s="4">
        <v>15.8830149296857</v>
      </c>
      <c r="Y665" s="4">
        <v>15.864823690840399</v>
      </c>
      <c r="Z665" s="4">
        <v>15.6365947478051</v>
      </c>
      <c r="AA665" s="4">
        <f t="shared" si="43"/>
        <v>15.794811122777068</v>
      </c>
      <c r="AJ665" s="4" t="s">
        <v>3540</v>
      </c>
    </row>
    <row r="666" spans="2:36" x14ac:dyDescent="0.2">
      <c r="B666" s="4" t="s">
        <v>2277</v>
      </c>
      <c r="C666" s="4">
        <v>16.125599999999999</v>
      </c>
      <c r="D666" s="4">
        <v>16.040600000000001</v>
      </c>
      <c r="E666" s="4">
        <v>15.748799999999999</v>
      </c>
      <c r="F666" s="4">
        <f t="shared" si="40"/>
        <v>15.971666666666669</v>
      </c>
      <c r="I666" s="4" t="s">
        <v>1478</v>
      </c>
      <c r="J666" s="4">
        <v>16.293399999999998</v>
      </c>
      <c r="K666" s="4">
        <v>15.4755</v>
      </c>
      <c r="L666" s="4">
        <v>16.2227</v>
      </c>
      <c r="M666" s="4">
        <f t="shared" si="41"/>
        <v>15.997199999999999</v>
      </c>
      <c r="P666" s="4" t="str">
        <f>"egl-30"</f>
        <v>egl-30</v>
      </c>
      <c r="Q666" s="4">
        <v>15.732148350382101</v>
      </c>
      <c r="R666" s="4">
        <v>15.671787829914599</v>
      </c>
      <c r="S666" s="4">
        <v>15.700944596677701</v>
      </c>
      <c r="T666" s="4">
        <f t="shared" si="42"/>
        <v>15.701626925658132</v>
      </c>
      <c r="W666" s="4" t="str">
        <f>"faah-1"</f>
        <v>faah-1</v>
      </c>
      <c r="X666" s="4">
        <v>15.5276211010456</v>
      </c>
      <c r="Y666" s="4">
        <v>15.8610720307222</v>
      </c>
      <c r="Z666" s="4">
        <v>15.9951140884548</v>
      </c>
      <c r="AA666" s="4">
        <f t="shared" si="43"/>
        <v>15.794602406740866</v>
      </c>
      <c r="AJ666" s="4" t="s">
        <v>1187</v>
      </c>
    </row>
    <row r="667" spans="2:36" x14ac:dyDescent="0.2">
      <c r="B667" s="4" t="s">
        <v>316</v>
      </c>
      <c r="C667" s="4">
        <v>16.436299999999999</v>
      </c>
      <c r="D667" s="4">
        <v>15.7354</v>
      </c>
      <c r="E667" s="4">
        <v>15.741400000000001</v>
      </c>
      <c r="F667" s="4">
        <f t="shared" si="40"/>
        <v>15.971033333333333</v>
      </c>
      <c r="I667" s="4" t="s">
        <v>2835</v>
      </c>
      <c r="J667" s="4">
        <v>16.032599999999999</v>
      </c>
      <c r="K667" s="4">
        <v>15.904999999999999</v>
      </c>
      <c r="L667" s="4">
        <v>16.035399999999999</v>
      </c>
      <c r="M667" s="4">
        <f t="shared" si="41"/>
        <v>15.991</v>
      </c>
      <c r="P667" s="4" t="str">
        <f>"ctr-9"</f>
        <v>ctr-9</v>
      </c>
      <c r="Q667" s="4">
        <v>15.7403762933662</v>
      </c>
      <c r="R667" s="4">
        <v>15.735995604180401</v>
      </c>
      <c r="S667" s="4">
        <v>15.61956805933</v>
      </c>
      <c r="T667" s="4">
        <f t="shared" si="42"/>
        <v>15.698646652292199</v>
      </c>
      <c r="W667" s="4" t="str">
        <f>"hrpk-1"</f>
        <v>hrpk-1</v>
      </c>
      <c r="X667" s="4">
        <v>16.047310086634202</v>
      </c>
      <c r="Y667" s="4">
        <v>15.809518462430599</v>
      </c>
      <c r="Z667" s="4">
        <v>15.526584759946999</v>
      </c>
      <c r="AA667" s="4">
        <f t="shared" si="43"/>
        <v>15.794471103003934</v>
      </c>
      <c r="AJ667" s="4" t="s">
        <v>4192</v>
      </c>
    </row>
    <row r="668" spans="2:36" x14ac:dyDescent="0.2">
      <c r="B668" s="4" t="s">
        <v>3374</v>
      </c>
      <c r="C668" s="4">
        <v>15.833</v>
      </c>
      <c r="D668" s="4">
        <v>15.730600000000001</v>
      </c>
      <c r="E668" s="4">
        <v>16.327100000000002</v>
      </c>
      <c r="F668" s="4">
        <f t="shared" si="40"/>
        <v>15.963566666666667</v>
      </c>
      <c r="I668" s="4" t="s">
        <v>462</v>
      </c>
      <c r="J668" s="4">
        <v>15.9742</v>
      </c>
      <c r="K668" s="4">
        <v>16.037700000000001</v>
      </c>
      <c r="L668" s="4">
        <v>15.95</v>
      </c>
      <c r="M668" s="4">
        <f t="shared" si="41"/>
        <v>15.987299999999999</v>
      </c>
      <c r="P668" s="4" t="str">
        <f>"F55F10.1"</f>
        <v>F55F10.1</v>
      </c>
      <c r="Q668" s="4">
        <v>15.852995727450701</v>
      </c>
      <c r="R668" s="4">
        <v>15.671636180712101</v>
      </c>
      <c r="S668" s="4">
        <v>15.568009497872501</v>
      </c>
      <c r="T668" s="4">
        <f t="shared" si="42"/>
        <v>15.697547135345102</v>
      </c>
      <c r="W668" s="4" t="str">
        <f>"clp-4"</f>
        <v>clp-4</v>
      </c>
      <c r="X668" s="4">
        <v>15.7779545279349</v>
      </c>
      <c r="Y668" s="4">
        <v>15.7304141728532</v>
      </c>
      <c r="Z668" s="4">
        <v>15.8637549013177</v>
      </c>
      <c r="AA668" s="4">
        <f t="shared" si="43"/>
        <v>15.790707867368601</v>
      </c>
      <c r="AJ668" s="4" t="s">
        <v>756</v>
      </c>
    </row>
    <row r="669" spans="2:36" x14ac:dyDescent="0.2">
      <c r="B669" s="4" t="s">
        <v>2667</v>
      </c>
      <c r="C669" s="4">
        <v>15.8866</v>
      </c>
      <c r="D669" s="4">
        <v>16.072700000000001</v>
      </c>
      <c r="E669" s="4">
        <v>15.920500000000001</v>
      </c>
      <c r="F669" s="4">
        <f t="shared" si="40"/>
        <v>15.959933333333334</v>
      </c>
      <c r="I669" s="4" t="s">
        <v>3831</v>
      </c>
      <c r="J669" s="4">
        <v>16.220099999999999</v>
      </c>
      <c r="K669" s="4">
        <v>15.9566</v>
      </c>
      <c r="L669" s="4">
        <v>15.7774</v>
      </c>
      <c r="M669" s="4">
        <f t="shared" si="41"/>
        <v>15.984699999999998</v>
      </c>
      <c r="P669" s="4" t="str">
        <f>"let-418"</f>
        <v>let-418</v>
      </c>
      <c r="Q669" s="4">
        <v>15.6831452511262</v>
      </c>
      <c r="R669" s="4">
        <v>15.7030226076094</v>
      </c>
      <c r="S669" s="4">
        <v>15.6954102593714</v>
      </c>
      <c r="T669" s="4">
        <f t="shared" si="42"/>
        <v>15.693859372702335</v>
      </c>
      <c r="W669" s="4" t="str">
        <f>"zyg-9"</f>
        <v>zyg-9</v>
      </c>
      <c r="X669" s="4">
        <v>15.8112475772934</v>
      </c>
      <c r="Y669" s="4">
        <v>15.920311281185599</v>
      </c>
      <c r="Z669" s="4">
        <v>15.631567241573499</v>
      </c>
      <c r="AA669" s="4">
        <f t="shared" si="43"/>
        <v>15.787708700017498</v>
      </c>
      <c r="AJ669" s="4" t="s">
        <v>3592</v>
      </c>
    </row>
    <row r="670" spans="2:36" x14ac:dyDescent="0.2">
      <c r="B670" s="4" t="s">
        <v>1472</v>
      </c>
      <c r="C670" s="4">
        <v>16.036300000000001</v>
      </c>
      <c r="D670" s="4">
        <v>16.1538</v>
      </c>
      <c r="E670" s="4">
        <v>15.686500000000001</v>
      </c>
      <c r="F670" s="4">
        <f t="shared" si="40"/>
        <v>15.958866666666667</v>
      </c>
      <c r="I670" s="4" t="s">
        <v>1072</v>
      </c>
      <c r="J670" s="4">
        <v>15.7814</v>
      </c>
      <c r="K670" s="4">
        <v>15.772399999999999</v>
      </c>
      <c r="L670" s="4">
        <v>16.3933</v>
      </c>
      <c r="M670" s="4">
        <f t="shared" si="41"/>
        <v>15.982366666666666</v>
      </c>
      <c r="P670" s="4" t="str">
        <f>"spt-16"</f>
        <v>spt-16</v>
      </c>
      <c r="Q670" s="4">
        <v>15.2873572035179</v>
      </c>
      <c r="R670" s="4">
        <v>16.055887887990998</v>
      </c>
      <c r="S670" s="4">
        <v>15.736663514876399</v>
      </c>
      <c r="T670" s="4">
        <f t="shared" si="42"/>
        <v>15.693302868795099</v>
      </c>
      <c r="W670" s="4" t="str">
        <f>"C39D10.7"</f>
        <v>C39D10.7</v>
      </c>
      <c r="X670" s="4">
        <v>15.834831400719301</v>
      </c>
      <c r="Y670" s="4">
        <v>15.5192752933348</v>
      </c>
      <c r="Z670" s="4">
        <v>15.993582264361899</v>
      </c>
      <c r="AA670" s="4">
        <f t="shared" si="43"/>
        <v>15.782562986138666</v>
      </c>
      <c r="AJ670" s="4" t="s">
        <v>2771</v>
      </c>
    </row>
    <row r="671" spans="2:36" x14ac:dyDescent="0.2">
      <c r="B671" s="4" t="s">
        <v>2613</v>
      </c>
      <c r="C671" s="4">
        <v>15.93</v>
      </c>
      <c r="D671" s="4">
        <v>15.8598</v>
      </c>
      <c r="E671" s="4">
        <v>16.0839</v>
      </c>
      <c r="F671" s="4">
        <f t="shared" si="40"/>
        <v>15.9579</v>
      </c>
      <c r="I671" s="4" t="s">
        <v>3465</v>
      </c>
      <c r="J671" s="4">
        <v>15.9398</v>
      </c>
      <c r="K671" s="4">
        <v>15.897500000000001</v>
      </c>
      <c r="L671" s="4">
        <v>16.105399999999999</v>
      </c>
      <c r="M671" s="4">
        <f t="shared" si="41"/>
        <v>15.9809</v>
      </c>
      <c r="P671" s="4" t="str">
        <f>"ddx-23"</f>
        <v>ddx-23</v>
      </c>
      <c r="Q671" s="4">
        <v>15.705954520491799</v>
      </c>
      <c r="R671" s="4">
        <v>15.619270425551001</v>
      </c>
      <c r="S671" s="4">
        <v>15.7534278576281</v>
      </c>
      <c r="T671" s="4">
        <f t="shared" si="42"/>
        <v>15.692884267890301</v>
      </c>
      <c r="W671" s="4" t="str">
        <f>"wapl-1"</f>
        <v>wapl-1</v>
      </c>
      <c r="X671" s="4">
        <v>15.805445004429901</v>
      </c>
      <c r="Y671" s="4">
        <v>15.743226364853699</v>
      </c>
      <c r="Z671" s="4">
        <v>15.769050696729099</v>
      </c>
      <c r="AA671" s="4">
        <f t="shared" si="43"/>
        <v>15.772574022004234</v>
      </c>
      <c r="AJ671" s="4" t="s">
        <v>4616</v>
      </c>
    </row>
    <row r="672" spans="2:36" x14ac:dyDescent="0.2">
      <c r="B672" s="4" t="s">
        <v>3630</v>
      </c>
      <c r="C672" s="4">
        <v>16.202000000000002</v>
      </c>
      <c r="D672" s="4">
        <v>15.666499999999999</v>
      </c>
      <c r="E672" s="4">
        <v>15.9946</v>
      </c>
      <c r="F672" s="4">
        <f t="shared" si="40"/>
        <v>15.954366666666667</v>
      </c>
      <c r="I672" s="4" t="s">
        <v>3635</v>
      </c>
      <c r="J672" s="4">
        <v>16.167200000000001</v>
      </c>
      <c r="K672" s="4">
        <v>16.0763</v>
      </c>
      <c r="L672" s="4">
        <v>15.692500000000001</v>
      </c>
      <c r="M672" s="4">
        <f t="shared" si="41"/>
        <v>15.978666666666667</v>
      </c>
      <c r="P672" s="4" t="str">
        <f>"algn-2"</f>
        <v>algn-2</v>
      </c>
      <c r="Q672" s="4">
        <v>15.8428013793361</v>
      </c>
      <c r="R672" s="4">
        <v>15.6763315222094</v>
      </c>
      <c r="S672" s="4">
        <v>15.5495645852656</v>
      </c>
      <c r="T672" s="4">
        <f t="shared" si="42"/>
        <v>15.689565828937035</v>
      </c>
      <c r="W672" s="4" t="str">
        <f>"cyp-34a9"</f>
        <v>cyp-34a9</v>
      </c>
      <c r="X672" s="4">
        <v>15.828817733012899</v>
      </c>
      <c r="Y672" s="4">
        <v>15.8548091967844</v>
      </c>
      <c r="Z672" s="4">
        <v>15.628177938936901</v>
      </c>
      <c r="AA672" s="4">
        <f t="shared" si="43"/>
        <v>15.7706016229114</v>
      </c>
      <c r="AJ672" s="4" t="s">
        <v>4353</v>
      </c>
    </row>
    <row r="673" spans="2:40" x14ac:dyDescent="0.2">
      <c r="B673" s="4" t="s">
        <v>1703</v>
      </c>
      <c r="C673" s="4">
        <v>15.731400000000001</v>
      </c>
      <c r="D673" s="4">
        <v>16.203499999999998</v>
      </c>
      <c r="E673" s="4">
        <v>15.9262</v>
      </c>
      <c r="F673" s="4">
        <f t="shared" si="40"/>
        <v>15.9537</v>
      </c>
      <c r="I673" s="4" t="s">
        <v>3180</v>
      </c>
      <c r="J673" s="4">
        <v>15.964600000000001</v>
      </c>
      <c r="K673" s="4">
        <v>16.007000000000001</v>
      </c>
      <c r="L673" s="4">
        <v>15.9628</v>
      </c>
      <c r="M673" s="4">
        <f t="shared" si="41"/>
        <v>15.978133333333334</v>
      </c>
      <c r="P673" s="4" t="str">
        <f>"puf-9"</f>
        <v>puf-9</v>
      </c>
      <c r="Q673" s="4">
        <v>15.895485316638601</v>
      </c>
      <c r="R673" s="4">
        <v>15.553756404880099</v>
      </c>
      <c r="S673" s="4">
        <v>15.6193481031064</v>
      </c>
      <c r="T673" s="4">
        <f t="shared" si="42"/>
        <v>15.6895299415417</v>
      </c>
      <c r="W673" s="4" t="str">
        <f>"glt-1"</f>
        <v>glt-1</v>
      </c>
      <c r="X673" s="4">
        <v>15.9464561453599</v>
      </c>
      <c r="Y673" s="4">
        <v>15.7568243594911</v>
      </c>
      <c r="Z673" s="4">
        <v>15.608067521292501</v>
      </c>
      <c r="AA673" s="4">
        <f t="shared" si="43"/>
        <v>15.770449342047835</v>
      </c>
      <c r="AJ673" s="4" t="s">
        <v>2071</v>
      </c>
      <c r="AL673" s="46"/>
      <c r="AM673" s="46"/>
      <c r="AN673" s="46"/>
    </row>
    <row r="674" spans="2:40" x14ac:dyDescent="0.2">
      <c r="B674" s="4" t="s">
        <v>4639</v>
      </c>
      <c r="C674" s="4">
        <v>15.398</v>
      </c>
      <c r="D674" s="4">
        <v>16.019500000000001</v>
      </c>
      <c r="E674" s="4">
        <v>16.439299999999999</v>
      </c>
      <c r="F674" s="4">
        <f t="shared" si="40"/>
        <v>15.952266666666667</v>
      </c>
      <c r="I674" s="4" t="s">
        <v>2571</v>
      </c>
      <c r="J674" s="4">
        <v>16.426400000000001</v>
      </c>
      <c r="K674" s="4">
        <v>16.027200000000001</v>
      </c>
      <c r="L674" s="4">
        <v>15.4564</v>
      </c>
      <c r="M674" s="4">
        <f t="shared" si="41"/>
        <v>15.97</v>
      </c>
      <c r="P674" s="4" t="str">
        <f>"unc-22"</f>
        <v>unc-22</v>
      </c>
      <c r="Q674" s="4">
        <v>15.852405767551099</v>
      </c>
      <c r="R674" s="4">
        <v>15.3652080673805</v>
      </c>
      <c r="S674" s="4">
        <v>15.848936087739499</v>
      </c>
      <c r="T674" s="4">
        <f t="shared" si="42"/>
        <v>15.6888499742237</v>
      </c>
      <c r="W674" s="4" t="str">
        <f>"prdh-1"</f>
        <v>prdh-1</v>
      </c>
      <c r="X674" s="4">
        <v>15.519686250002801</v>
      </c>
      <c r="Y674" s="4">
        <v>15.837024994235501</v>
      </c>
      <c r="Z674" s="4">
        <v>15.9513097155191</v>
      </c>
      <c r="AA674" s="4">
        <f t="shared" si="43"/>
        <v>15.769340319919133</v>
      </c>
      <c r="AJ674" s="4" t="s">
        <v>3846</v>
      </c>
    </row>
    <row r="675" spans="2:40" x14ac:dyDescent="0.2">
      <c r="B675" s="4" t="s">
        <v>2676</v>
      </c>
      <c r="C675" s="4">
        <v>15.636100000000001</v>
      </c>
      <c r="D675" s="4">
        <v>16.171099999999999</v>
      </c>
      <c r="E675" s="4">
        <v>16.043800000000001</v>
      </c>
      <c r="F675" s="4">
        <f t="shared" si="40"/>
        <v>15.950333333333333</v>
      </c>
      <c r="I675" s="4" t="s">
        <v>2655</v>
      </c>
      <c r="J675" s="4">
        <v>15.933999999999999</v>
      </c>
      <c r="K675" s="4">
        <v>15.7552</v>
      </c>
      <c r="L675" s="4">
        <v>16.220300000000002</v>
      </c>
      <c r="M675" s="4">
        <f t="shared" si="41"/>
        <v>15.969833333333334</v>
      </c>
      <c r="P675" s="4" t="str">
        <f>"elo-1"</f>
        <v>elo-1</v>
      </c>
      <c r="Q675" s="4">
        <v>15.284778558657701</v>
      </c>
      <c r="R675" s="4">
        <v>15.8599631564596</v>
      </c>
      <c r="S675" s="4">
        <v>15.9183084146837</v>
      </c>
      <c r="T675" s="4">
        <f t="shared" si="42"/>
        <v>15.687683376600333</v>
      </c>
      <c r="W675" s="4" t="str">
        <f>"sgk-1"</f>
        <v>sgk-1</v>
      </c>
      <c r="X675" s="4">
        <v>15.641185346570699</v>
      </c>
      <c r="Y675" s="4">
        <v>15.816361930257299</v>
      </c>
      <c r="Z675" s="4">
        <v>15.8361326595395</v>
      </c>
      <c r="AA675" s="4">
        <f t="shared" si="43"/>
        <v>15.764559978789165</v>
      </c>
      <c r="AJ675" s="4" t="s">
        <v>3533</v>
      </c>
    </row>
    <row r="676" spans="2:40" x14ac:dyDescent="0.2">
      <c r="B676" s="4" t="s">
        <v>2183</v>
      </c>
      <c r="C676" s="4">
        <v>16.008600000000001</v>
      </c>
      <c r="D676" s="4">
        <v>16.099299999999999</v>
      </c>
      <c r="E676" s="4">
        <v>15.7103</v>
      </c>
      <c r="F676" s="4">
        <f t="shared" si="40"/>
        <v>15.939400000000001</v>
      </c>
      <c r="I676" s="4" t="s">
        <v>3577</v>
      </c>
      <c r="J676" s="4">
        <v>15.921900000000001</v>
      </c>
      <c r="K676" s="4">
        <v>16.066199999999998</v>
      </c>
      <c r="L676" s="4">
        <v>15.909800000000001</v>
      </c>
      <c r="M676" s="4">
        <f t="shared" si="41"/>
        <v>15.965966666666667</v>
      </c>
      <c r="P676" s="4" t="str">
        <f>"hil-2"</f>
        <v>hil-2</v>
      </c>
      <c r="Q676" s="4">
        <v>15.8467612997499</v>
      </c>
      <c r="R676" s="4">
        <v>15.825209440102601</v>
      </c>
      <c r="S676" s="4">
        <v>15.3880359119548</v>
      </c>
      <c r="T676" s="4">
        <f t="shared" si="42"/>
        <v>15.686668883935766</v>
      </c>
      <c r="W676" s="4" t="str">
        <f>"ltah-1.1"</f>
        <v>ltah-1.1</v>
      </c>
      <c r="X676" s="4">
        <v>15.896330291274399</v>
      </c>
      <c r="Y676" s="4">
        <v>15.6093538194643</v>
      </c>
      <c r="Z676" s="4">
        <v>15.781878572057201</v>
      </c>
      <c r="AA676" s="4">
        <f t="shared" si="43"/>
        <v>15.7625208942653</v>
      </c>
      <c r="AJ676" s="4" t="s">
        <v>2854</v>
      </c>
    </row>
    <row r="677" spans="2:40" x14ac:dyDescent="0.2">
      <c r="B677" s="4" t="s">
        <v>2973</v>
      </c>
      <c r="C677" s="4">
        <v>15.8407</v>
      </c>
      <c r="D677" s="4">
        <v>15.763199999999999</v>
      </c>
      <c r="E677" s="4">
        <v>16.213200000000001</v>
      </c>
      <c r="F677" s="4">
        <f t="shared" si="40"/>
        <v>15.939033333333333</v>
      </c>
      <c r="I677" s="4" t="s">
        <v>1673</v>
      </c>
      <c r="J677" s="4">
        <v>16.090299999999999</v>
      </c>
      <c r="K677" s="4">
        <v>15.8749</v>
      </c>
      <c r="L677" s="4">
        <v>15.9274</v>
      </c>
      <c r="M677" s="4">
        <f t="shared" si="41"/>
        <v>15.9642</v>
      </c>
      <c r="P677" s="4" t="str">
        <f>"ekl-6"</f>
        <v>ekl-6</v>
      </c>
      <c r="Q677" s="4">
        <v>15.6420861207557</v>
      </c>
      <c r="R677" s="4">
        <v>15.8116725064025</v>
      </c>
      <c r="S677" s="4">
        <v>15.5963535989811</v>
      </c>
      <c r="T677" s="4">
        <f t="shared" si="42"/>
        <v>15.683370742046435</v>
      </c>
      <c r="W677" s="4" t="str">
        <f>"vdac-1"</f>
        <v>vdac-1</v>
      </c>
      <c r="X677" s="4">
        <v>15.959880163337001</v>
      </c>
      <c r="Y677" s="4">
        <v>15.509781075197701</v>
      </c>
      <c r="Z677" s="4">
        <v>15.807758197894801</v>
      </c>
      <c r="AA677" s="4">
        <f t="shared" si="43"/>
        <v>15.759139812143168</v>
      </c>
      <c r="AJ677" s="4" t="s">
        <v>4598</v>
      </c>
    </row>
    <row r="678" spans="2:40" x14ac:dyDescent="0.2">
      <c r="B678" s="4" t="s">
        <v>2394</v>
      </c>
      <c r="C678" s="4">
        <v>16.361799999999999</v>
      </c>
      <c r="D678" s="4">
        <v>15.6861</v>
      </c>
      <c r="E678" s="4">
        <v>15.768700000000001</v>
      </c>
      <c r="F678" s="4">
        <f t="shared" si="40"/>
        <v>15.938866666666668</v>
      </c>
      <c r="I678" s="4" t="s">
        <v>971</v>
      </c>
      <c r="J678" s="4">
        <v>15.5623</v>
      </c>
      <c r="K678" s="4">
        <v>15.6799</v>
      </c>
      <c r="L678" s="4">
        <v>16.638000000000002</v>
      </c>
      <c r="M678" s="4">
        <f t="shared" si="41"/>
        <v>15.960066666666668</v>
      </c>
      <c r="P678" s="4" t="str">
        <f>"npp-9"</f>
        <v>npp-9</v>
      </c>
      <c r="Q678" s="4">
        <v>15.7174628350962</v>
      </c>
      <c r="R678" s="4">
        <v>15.502226597273699</v>
      </c>
      <c r="S678" s="4">
        <v>15.8253944980796</v>
      </c>
      <c r="T678" s="4">
        <f t="shared" si="42"/>
        <v>15.681694643483164</v>
      </c>
      <c r="W678" s="4" t="str">
        <f>"let-716"</f>
        <v>let-716</v>
      </c>
      <c r="X678" s="4">
        <v>15.7198075107466</v>
      </c>
      <c r="Y678" s="4">
        <v>15.8274058019344</v>
      </c>
      <c r="Z678" s="4">
        <v>15.7237523091367</v>
      </c>
      <c r="AA678" s="4">
        <f t="shared" si="43"/>
        <v>15.756988540605901</v>
      </c>
      <c r="AJ678" s="4" t="s">
        <v>1858</v>
      </c>
    </row>
    <row r="679" spans="2:40" x14ac:dyDescent="0.2">
      <c r="B679" s="4" t="s">
        <v>1715</v>
      </c>
      <c r="C679" s="4">
        <v>15.814</v>
      </c>
      <c r="D679" s="4">
        <v>16.224699999999999</v>
      </c>
      <c r="E679" s="4">
        <v>15.774800000000001</v>
      </c>
      <c r="F679" s="4">
        <f t="shared" si="40"/>
        <v>15.937833333333332</v>
      </c>
      <c r="I679" s="4" t="s">
        <v>1710</v>
      </c>
      <c r="J679" s="4">
        <v>16.015699999999999</v>
      </c>
      <c r="K679" s="4">
        <v>15.5662</v>
      </c>
      <c r="L679" s="4">
        <v>16.293299999999999</v>
      </c>
      <c r="M679" s="4">
        <f t="shared" si="41"/>
        <v>15.958399999999997</v>
      </c>
      <c r="P679" s="4" t="str">
        <f>"apa-2"</f>
        <v>apa-2</v>
      </c>
      <c r="Q679" s="4">
        <v>15.6050549508444</v>
      </c>
      <c r="R679" s="4">
        <v>15.6672595864874</v>
      </c>
      <c r="S679" s="4">
        <v>15.7622940003798</v>
      </c>
      <c r="T679" s="4">
        <f t="shared" si="42"/>
        <v>15.678202845903868</v>
      </c>
      <c r="W679" s="4" t="str">
        <f>"hpo-19"</f>
        <v>hpo-19</v>
      </c>
      <c r="X679" s="4">
        <v>15.766328319358299</v>
      </c>
      <c r="Y679" s="4">
        <v>15.7248088357514</v>
      </c>
      <c r="Z679" s="4">
        <v>15.7782991660478</v>
      </c>
      <c r="AA679" s="4">
        <f t="shared" si="43"/>
        <v>15.756478773719166</v>
      </c>
      <c r="AJ679" s="4" t="s">
        <v>2921</v>
      </c>
    </row>
    <row r="680" spans="2:40" x14ac:dyDescent="0.2">
      <c r="B680" s="4" t="s">
        <v>3125</v>
      </c>
      <c r="C680" s="4">
        <v>15.7288</v>
      </c>
      <c r="D680" s="4">
        <v>16.227399999999999</v>
      </c>
      <c r="E680" s="4">
        <v>15.8551</v>
      </c>
      <c r="F680" s="4">
        <f t="shared" si="40"/>
        <v>15.937100000000001</v>
      </c>
      <c r="I680" s="4" t="s">
        <v>2618</v>
      </c>
      <c r="J680" s="4">
        <v>15.6591</v>
      </c>
      <c r="K680" s="4">
        <v>15.873900000000001</v>
      </c>
      <c r="L680" s="4">
        <v>16.334</v>
      </c>
      <c r="M680" s="4">
        <f t="shared" si="41"/>
        <v>15.955666666666668</v>
      </c>
      <c r="P680" s="4" t="str">
        <f>"rpl-43"</f>
        <v>rpl-43</v>
      </c>
      <c r="Q680" s="4">
        <v>15.5933007850336</v>
      </c>
      <c r="R680" s="4">
        <v>15.629290467163401</v>
      </c>
      <c r="S680" s="4">
        <v>15.808208494420899</v>
      </c>
      <c r="T680" s="4">
        <f t="shared" si="42"/>
        <v>15.676933248872635</v>
      </c>
      <c r="W680" s="4" t="str">
        <f>"F49D11.10"</f>
        <v>F49D11.10</v>
      </c>
      <c r="X680" s="4">
        <v>15.739799357679599</v>
      </c>
      <c r="Y680" s="4">
        <v>15.7577021770156</v>
      </c>
      <c r="Z680" s="4">
        <v>15.744955711175701</v>
      </c>
      <c r="AA680" s="4">
        <f t="shared" si="43"/>
        <v>15.747485748623633</v>
      </c>
      <c r="AJ680" s="4" t="s">
        <v>801</v>
      </c>
    </row>
    <row r="681" spans="2:40" x14ac:dyDescent="0.2">
      <c r="B681" s="4" t="s">
        <v>2618</v>
      </c>
      <c r="C681" s="4">
        <v>15.7341</v>
      </c>
      <c r="D681" s="4">
        <v>16.343399999999999</v>
      </c>
      <c r="E681" s="4">
        <v>15.7331</v>
      </c>
      <c r="F681" s="4">
        <f t="shared" si="40"/>
        <v>15.936866666666667</v>
      </c>
      <c r="I681" s="4" t="s">
        <v>7</v>
      </c>
      <c r="J681" s="4">
        <v>16.1708</v>
      </c>
      <c r="K681" s="4">
        <v>15.9321</v>
      </c>
      <c r="L681" s="4">
        <v>15.749499999999999</v>
      </c>
      <c r="M681" s="4">
        <f t="shared" si="41"/>
        <v>15.950799999999999</v>
      </c>
      <c r="P681" s="4" t="str">
        <f>"pkc-1"</f>
        <v>pkc-1</v>
      </c>
      <c r="Q681" s="4">
        <v>15.740742978294399</v>
      </c>
      <c r="R681" s="4">
        <v>15.585737838523899</v>
      </c>
      <c r="S681" s="4">
        <v>15.6910033139552</v>
      </c>
      <c r="T681" s="4">
        <f t="shared" si="42"/>
        <v>15.672494710257832</v>
      </c>
      <c r="W681" s="4" t="str">
        <f>"F21D5.7"</f>
        <v>F21D5.7</v>
      </c>
      <c r="X681" s="4">
        <v>15.7346774177781</v>
      </c>
      <c r="Y681" s="4">
        <v>15.8300935725103</v>
      </c>
      <c r="Z681" s="4">
        <v>15.658847018639699</v>
      </c>
      <c r="AA681" s="4">
        <f t="shared" si="43"/>
        <v>15.741206002976034</v>
      </c>
      <c r="AJ681" s="4" t="s">
        <v>3845</v>
      </c>
    </row>
    <row r="682" spans="2:40" x14ac:dyDescent="0.2">
      <c r="B682" s="4" t="s">
        <v>2203</v>
      </c>
      <c r="C682" s="4">
        <v>15.8865</v>
      </c>
      <c r="D682" s="4">
        <v>15.907500000000001</v>
      </c>
      <c r="E682" s="4">
        <v>16.0123</v>
      </c>
      <c r="F682" s="4">
        <f t="shared" si="40"/>
        <v>15.935433333333334</v>
      </c>
      <c r="I682" s="4" t="s">
        <v>2394</v>
      </c>
      <c r="J682" s="4">
        <v>16.159199999999998</v>
      </c>
      <c r="K682" s="4">
        <v>15.8985</v>
      </c>
      <c r="L682" s="4">
        <v>15.7911</v>
      </c>
      <c r="M682" s="4">
        <f t="shared" si="41"/>
        <v>15.949599999999998</v>
      </c>
      <c r="P682" s="4" t="str">
        <f>"gss-1"</f>
        <v>gss-1</v>
      </c>
      <c r="Q682" s="4">
        <v>15.800004106977299</v>
      </c>
      <c r="R682" s="4">
        <v>15.5480085155181</v>
      </c>
      <c r="S682" s="4">
        <v>15.6687609094461</v>
      </c>
      <c r="T682" s="4">
        <f t="shared" si="42"/>
        <v>15.672257843980498</v>
      </c>
      <c r="W682" s="4" t="str">
        <f>"timm-23"</f>
        <v>timm-23</v>
      </c>
      <c r="X682" s="4">
        <v>15.989984846491</v>
      </c>
      <c r="Y682" s="4">
        <v>15.3511771409131</v>
      </c>
      <c r="Z682" s="4">
        <v>15.8561275180307</v>
      </c>
      <c r="AA682" s="4">
        <f t="shared" si="43"/>
        <v>15.732429835144933</v>
      </c>
      <c r="AJ682" s="4" t="s">
        <v>2050</v>
      </c>
    </row>
    <row r="683" spans="2:40" x14ac:dyDescent="0.2">
      <c r="B683" s="4" t="s">
        <v>3559</v>
      </c>
      <c r="C683" s="4">
        <v>16.375599999999999</v>
      </c>
      <c r="D683" s="4">
        <v>15.3346</v>
      </c>
      <c r="E683" s="4">
        <v>16.094999999999999</v>
      </c>
      <c r="F683" s="4">
        <f t="shared" si="40"/>
        <v>15.935066666666666</v>
      </c>
      <c r="I683" s="4" t="s">
        <v>2769</v>
      </c>
      <c r="J683" s="4">
        <v>16.028300000000002</v>
      </c>
      <c r="K683" s="4">
        <v>15.6669</v>
      </c>
      <c r="L683" s="4">
        <v>16.150500000000001</v>
      </c>
      <c r="M683" s="4">
        <f t="shared" si="41"/>
        <v>15.948566666666666</v>
      </c>
      <c r="P683" s="4" t="str">
        <f>"Y77E11A.7"</f>
        <v>Y77E11A.7</v>
      </c>
      <c r="Q683" s="4">
        <v>15.861192936863601</v>
      </c>
      <c r="R683" s="4">
        <v>15.5146335822444</v>
      </c>
      <c r="S683" s="4">
        <v>15.6409430013363</v>
      </c>
      <c r="T683" s="4">
        <f t="shared" si="42"/>
        <v>15.672256506814767</v>
      </c>
      <c r="W683" s="4" t="str">
        <f>"mrpl-1"</f>
        <v>mrpl-1</v>
      </c>
      <c r="X683" s="4">
        <v>15.7566857892564</v>
      </c>
      <c r="Y683" s="4">
        <v>15.773329837133399</v>
      </c>
      <c r="Z683" s="4">
        <v>15.662590416514</v>
      </c>
      <c r="AA683" s="4">
        <f t="shared" si="43"/>
        <v>15.730868680967932</v>
      </c>
      <c r="AJ683" s="4" t="s">
        <v>544</v>
      </c>
    </row>
    <row r="684" spans="2:40" x14ac:dyDescent="0.2">
      <c r="B684" s="4" t="s">
        <v>3468</v>
      </c>
      <c r="C684" s="4">
        <v>15.6797</v>
      </c>
      <c r="D684" s="4">
        <v>16.319700000000001</v>
      </c>
      <c r="E684" s="4">
        <v>15.803599999999999</v>
      </c>
      <c r="F684" s="4">
        <f t="shared" si="40"/>
        <v>15.934333333333333</v>
      </c>
      <c r="I684" s="4" t="s">
        <v>726</v>
      </c>
      <c r="J684" s="4">
        <v>15.9621</v>
      </c>
      <c r="K684" s="4">
        <v>16.067299999999999</v>
      </c>
      <c r="L684" s="4">
        <v>15.805199999999999</v>
      </c>
      <c r="M684" s="4">
        <f t="shared" si="41"/>
        <v>15.944866666666664</v>
      </c>
      <c r="P684" s="4" t="str">
        <f>"myo-5"</f>
        <v>myo-5</v>
      </c>
      <c r="Q684" s="4">
        <v>15.8695026063026</v>
      </c>
      <c r="R684" s="4">
        <v>15.2511656510428</v>
      </c>
      <c r="S684" s="4">
        <v>15.8850045068406</v>
      </c>
      <c r="T684" s="4">
        <f t="shared" si="42"/>
        <v>15.668557588062001</v>
      </c>
      <c r="W684" s="4" t="str">
        <f>"pud-4"</f>
        <v>pud-4</v>
      </c>
      <c r="X684" s="4">
        <v>15.984219838636699</v>
      </c>
      <c r="Y684" s="4">
        <v>15.589915022798101</v>
      </c>
      <c r="Z684" s="4">
        <v>15.614675326293799</v>
      </c>
      <c r="AA684" s="4">
        <f t="shared" si="43"/>
        <v>15.729603395909534</v>
      </c>
      <c r="AJ684" s="4" t="s">
        <v>4602</v>
      </c>
    </row>
    <row r="685" spans="2:40" x14ac:dyDescent="0.2">
      <c r="B685" s="4" t="s">
        <v>4640</v>
      </c>
      <c r="C685" s="4">
        <v>15.958500000000001</v>
      </c>
      <c r="D685" s="4">
        <v>16.113099999999999</v>
      </c>
      <c r="E685" s="4">
        <v>15.727499999999999</v>
      </c>
      <c r="F685" s="4">
        <f t="shared" si="40"/>
        <v>15.933033333333334</v>
      </c>
      <c r="I685" s="4" t="s">
        <v>944</v>
      </c>
      <c r="J685" s="4">
        <v>15.6752</v>
      </c>
      <c r="K685" s="4">
        <v>16.087399999999999</v>
      </c>
      <c r="L685" s="4">
        <v>16.067</v>
      </c>
      <c r="M685" s="4">
        <f t="shared" si="41"/>
        <v>15.943199999999999</v>
      </c>
      <c r="P685" s="4" t="str">
        <f>"ben-1"</f>
        <v>ben-1</v>
      </c>
      <c r="Q685" s="4">
        <v>15.8959500997302</v>
      </c>
      <c r="R685" s="4">
        <v>15.581404747199301</v>
      </c>
      <c r="S685" s="4">
        <v>15.5174928713577</v>
      </c>
      <c r="T685" s="4">
        <f t="shared" si="42"/>
        <v>15.664949239429069</v>
      </c>
      <c r="W685" s="4" t="str">
        <f>"kin-1"</f>
        <v>kin-1</v>
      </c>
      <c r="X685" s="4">
        <v>15.6336150784292</v>
      </c>
      <c r="Y685" s="4">
        <v>15.784355549429</v>
      </c>
      <c r="Z685" s="4">
        <v>15.7615758348712</v>
      </c>
      <c r="AA685" s="4">
        <f t="shared" si="43"/>
        <v>15.726515487576465</v>
      </c>
      <c r="AJ685" s="4" t="s">
        <v>4548</v>
      </c>
    </row>
    <row r="686" spans="2:40" x14ac:dyDescent="0.2">
      <c r="B686" s="4" t="s">
        <v>3464</v>
      </c>
      <c r="C686" s="4">
        <v>16.565200000000001</v>
      </c>
      <c r="D686" s="4">
        <v>15.3309</v>
      </c>
      <c r="E686" s="4">
        <v>15.883699999999999</v>
      </c>
      <c r="F686" s="4">
        <f t="shared" si="40"/>
        <v>15.926600000000001</v>
      </c>
      <c r="I686" s="4" t="s">
        <v>3602</v>
      </c>
      <c r="J686" s="4">
        <v>15.9916</v>
      </c>
      <c r="K686" s="4">
        <v>15.5802</v>
      </c>
      <c r="L686" s="4">
        <v>16.252600000000001</v>
      </c>
      <c r="M686" s="4">
        <f t="shared" si="41"/>
        <v>15.941466666666665</v>
      </c>
      <c r="P686" s="4" t="str">
        <f>"isp-1"</f>
        <v>isp-1</v>
      </c>
      <c r="Q686" s="4">
        <v>15.755939183639899</v>
      </c>
      <c r="R686" s="4">
        <v>15.5154212647824</v>
      </c>
      <c r="S686" s="4">
        <v>15.7206518067216</v>
      </c>
      <c r="T686" s="4">
        <f t="shared" si="42"/>
        <v>15.664004085047965</v>
      </c>
      <c r="W686" s="4" t="str">
        <f>"cth-2"</f>
        <v>cth-2</v>
      </c>
      <c r="X686" s="4">
        <v>16.131162251649801</v>
      </c>
      <c r="Y686" s="4">
        <v>15.2878952963498</v>
      </c>
      <c r="Z686" s="4">
        <v>15.756950026535</v>
      </c>
      <c r="AA686" s="4">
        <f t="shared" si="43"/>
        <v>15.7253358581782</v>
      </c>
      <c r="AJ686" s="4" t="s">
        <v>3292</v>
      </c>
    </row>
    <row r="687" spans="2:40" x14ac:dyDescent="0.2">
      <c r="B687" s="4" t="s">
        <v>1157</v>
      </c>
      <c r="C687" s="4">
        <v>15.6807</v>
      </c>
      <c r="D687" s="4">
        <v>16.301300000000001</v>
      </c>
      <c r="E687" s="4">
        <v>15.7898</v>
      </c>
      <c r="F687" s="4">
        <f t="shared" si="40"/>
        <v>15.923933333333332</v>
      </c>
      <c r="I687" s="4" t="s">
        <v>4265</v>
      </c>
      <c r="J687" s="4">
        <v>14.136699999999999</v>
      </c>
      <c r="K687" s="4">
        <v>15.4315</v>
      </c>
      <c r="L687" s="4">
        <v>18.254100000000001</v>
      </c>
      <c r="M687" s="4">
        <f t="shared" si="41"/>
        <v>15.940766666666667</v>
      </c>
      <c r="P687" s="4" t="str">
        <f>"Y75B8A.24"</f>
        <v>Y75B8A.24</v>
      </c>
      <c r="Q687" s="4">
        <v>15.655056926028999</v>
      </c>
      <c r="R687" s="4">
        <v>15.706547499843399</v>
      </c>
      <c r="S687" s="4">
        <v>15.625575766575899</v>
      </c>
      <c r="T687" s="4">
        <f t="shared" si="42"/>
        <v>15.662393397482766</v>
      </c>
      <c r="W687" s="4" t="str">
        <f>"eif-2bepsilon"</f>
        <v>eif-2bepsilon</v>
      </c>
      <c r="X687" s="4">
        <v>15.705059324770099</v>
      </c>
      <c r="Y687" s="4">
        <v>15.7535663786746</v>
      </c>
      <c r="Z687" s="4">
        <v>15.7058342308514</v>
      </c>
      <c r="AA687" s="4">
        <f t="shared" si="43"/>
        <v>15.721486644765365</v>
      </c>
      <c r="AJ687" s="4" t="s">
        <v>855</v>
      </c>
    </row>
    <row r="688" spans="2:40" x14ac:dyDescent="0.2">
      <c r="B688" s="4" t="s">
        <v>2744</v>
      </c>
      <c r="C688" s="4">
        <v>15.863799999999999</v>
      </c>
      <c r="D688" s="4">
        <v>15.858000000000001</v>
      </c>
      <c r="E688" s="4">
        <v>16.021000000000001</v>
      </c>
      <c r="F688" s="4">
        <f t="shared" si="40"/>
        <v>15.914266666666668</v>
      </c>
      <c r="I688" s="4" t="s">
        <v>2442</v>
      </c>
      <c r="J688" s="4">
        <v>15.9816</v>
      </c>
      <c r="K688" s="4">
        <v>15.7255</v>
      </c>
      <c r="L688" s="4">
        <v>16.1144</v>
      </c>
      <c r="M688" s="4">
        <f t="shared" si="41"/>
        <v>15.9405</v>
      </c>
      <c r="P688" s="4" t="str">
        <f>"C29F7.2"</f>
        <v>C29F7.2</v>
      </c>
      <c r="Q688" s="4">
        <v>15.7098905975642</v>
      </c>
      <c r="R688" s="4">
        <v>15.6128503247891</v>
      </c>
      <c r="S688" s="4">
        <v>15.610948207793699</v>
      </c>
      <c r="T688" s="4">
        <f t="shared" si="42"/>
        <v>15.644563043382334</v>
      </c>
      <c r="W688" s="4" t="str">
        <f>"rde-12"</f>
        <v>rde-12</v>
      </c>
      <c r="X688" s="4">
        <v>15.7885136810778</v>
      </c>
      <c r="Y688" s="4">
        <v>15.7783839152443</v>
      </c>
      <c r="Z688" s="4">
        <v>15.5974557883283</v>
      </c>
      <c r="AA688" s="4">
        <f t="shared" si="43"/>
        <v>15.721451128216799</v>
      </c>
      <c r="AJ688" s="4" t="s">
        <v>3093</v>
      </c>
    </row>
    <row r="689" spans="2:56" x14ac:dyDescent="0.2">
      <c r="B689" s="4" t="s">
        <v>791</v>
      </c>
      <c r="C689" s="4">
        <v>15.899800000000001</v>
      </c>
      <c r="D689" s="4">
        <v>15.5909</v>
      </c>
      <c r="E689" s="4">
        <v>16.249099999999999</v>
      </c>
      <c r="F689" s="4">
        <f t="shared" si="40"/>
        <v>15.913266666666667</v>
      </c>
      <c r="I689" s="4" t="s">
        <v>2297</v>
      </c>
      <c r="J689" s="4">
        <v>16.064299999999999</v>
      </c>
      <c r="K689" s="4">
        <v>15.9541</v>
      </c>
      <c r="L689" s="4">
        <v>15.7973</v>
      </c>
      <c r="M689" s="4">
        <f t="shared" si="41"/>
        <v>15.938566666666667</v>
      </c>
      <c r="P689" s="4" t="str">
        <f>"top-3"</f>
        <v>top-3</v>
      </c>
      <c r="Q689" s="4">
        <v>16.0120341591395</v>
      </c>
      <c r="R689" s="4">
        <v>15.397829224441301</v>
      </c>
      <c r="S689" s="4">
        <v>15.5225324885524</v>
      </c>
      <c r="T689" s="4">
        <f t="shared" si="42"/>
        <v>15.644131957377732</v>
      </c>
      <c r="W689" s="4" t="str">
        <f>"let-418"</f>
        <v>let-418</v>
      </c>
      <c r="X689" s="4">
        <v>15.716027677594299</v>
      </c>
      <c r="Y689" s="4">
        <v>15.769468555268199</v>
      </c>
      <c r="Z689" s="4">
        <v>15.6781693122095</v>
      </c>
      <c r="AA689" s="4">
        <f t="shared" si="43"/>
        <v>15.721221848357333</v>
      </c>
      <c r="AJ689" s="4" t="s">
        <v>4287</v>
      </c>
    </row>
    <row r="690" spans="2:56" x14ac:dyDescent="0.2">
      <c r="B690" s="4" t="s">
        <v>422</v>
      </c>
      <c r="C690" s="4">
        <v>15.9001</v>
      </c>
      <c r="D690" s="4">
        <v>16.186900000000001</v>
      </c>
      <c r="E690" s="4">
        <v>15.647</v>
      </c>
      <c r="F690" s="4">
        <f t="shared" si="40"/>
        <v>15.911333333333333</v>
      </c>
      <c r="I690" s="4" t="s">
        <v>3930</v>
      </c>
      <c r="J690" s="4">
        <v>16.213699999999999</v>
      </c>
      <c r="K690" s="4">
        <v>15.8248</v>
      </c>
      <c r="L690" s="4">
        <v>15.7753</v>
      </c>
      <c r="M690" s="4">
        <f t="shared" si="41"/>
        <v>15.937933333333334</v>
      </c>
      <c r="P690" s="4" t="str">
        <f>"swsn-6"</f>
        <v>swsn-6</v>
      </c>
      <c r="Q690" s="4">
        <v>15.6727259247881</v>
      </c>
      <c r="R690" s="4">
        <v>15.52165049373</v>
      </c>
      <c r="S690" s="4">
        <v>15.730175609358801</v>
      </c>
      <c r="T690" s="4">
        <f t="shared" si="42"/>
        <v>15.641517342625633</v>
      </c>
      <c r="W690" s="4" t="str">
        <f>"F58F12.1"</f>
        <v>F58F12.1</v>
      </c>
      <c r="X690" s="4">
        <v>15.927895064644099</v>
      </c>
      <c r="Y690" s="4">
        <v>15.6810968240106</v>
      </c>
      <c r="Z690" s="4">
        <v>15.550955063942199</v>
      </c>
      <c r="AA690" s="4">
        <f t="shared" si="43"/>
        <v>15.719982317532299</v>
      </c>
      <c r="AJ690" s="4" t="s">
        <v>1037</v>
      </c>
    </row>
    <row r="691" spans="2:56" x14ac:dyDescent="0.2">
      <c r="B691" s="4" t="s">
        <v>4641</v>
      </c>
      <c r="C691" s="4">
        <v>16.455500000000001</v>
      </c>
      <c r="D691" s="4">
        <v>15.4864</v>
      </c>
      <c r="E691" s="4">
        <v>15.790800000000001</v>
      </c>
      <c r="F691" s="4">
        <f t="shared" si="40"/>
        <v>15.9109</v>
      </c>
      <c r="I691" s="4" t="s">
        <v>3925</v>
      </c>
      <c r="J691" s="4">
        <v>16.275200000000002</v>
      </c>
      <c r="K691" s="4">
        <v>16.327400000000001</v>
      </c>
      <c r="L691" s="4">
        <v>15.209899999999999</v>
      </c>
      <c r="M691" s="4">
        <f t="shared" si="41"/>
        <v>15.9375</v>
      </c>
      <c r="P691" s="4" t="str">
        <f>"immp-2"</f>
        <v>immp-2</v>
      </c>
      <c r="Q691" s="4">
        <v>15.7211965837737</v>
      </c>
      <c r="R691" s="4">
        <v>15.479607716593801</v>
      </c>
      <c r="S691" s="4">
        <v>15.715420017902</v>
      </c>
      <c r="T691" s="4">
        <f t="shared" si="42"/>
        <v>15.638741439423166</v>
      </c>
      <c r="W691" s="4" t="str">
        <f>"rnp-7"</f>
        <v>rnp-7</v>
      </c>
      <c r="X691" s="4">
        <v>15.813266149831099</v>
      </c>
      <c r="Y691" s="4">
        <v>15.6513492523999</v>
      </c>
      <c r="Z691" s="4">
        <v>15.693756070696899</v>
      </c>
      <c r="AA691" s="4">
        <f t="shared" si="43"/>
        <v>15.719457157642632</v>
      </c>
      <c r="AJ691" s="4" t="s">
        <v>2842</v>
      </c>
    </row>
    <row r="692" spans="2:56" x14ac:dyDescent="0.2">
      <c r="B692" s="4" t="s">
        <v>731</v>
      </c>
      <c r="C692" s="4">
        <v>15.603</v>
      </c>
      <c r="D692" s="4">
        <v>16.220500000000001</v>
      </c>
      <c r="E692" s="4">
        <v>15.9078</v>
      </c>
      <c r="F692" s="4">
        <f t="shared" si="40"/>
        <v>15.910433333333335</v>
      </c>
      <c r="I692" s="4" t="s">
        <v>1891</v>
      </c>
      <c r="J692" s="4">
        <v>15.985200000000001</v>
      </c>
      <c r="K692" s="4">
        <v>15.9617</v>
      </c>
      <c r="L692" s="4">
        <v>15.8629</v>
      </c>
      <c r="M692" s="4">
        <f t="shared" si="41"/>
        <v>15.936599999999999</v>
      </c>
      <c r="P692" s="4" t="str">
        <f>"pod-1"</f>
        <v>pod-1</v>
      </c>
      <c r="Q692" s="4">
        <v>15.5062246147819</v>
      </c>
      <c r="R692" s="4">
        <v>15.644303751445401</v>
      </c>
      <c r="S692" s="4">
        <v>15.732868096332799</v>
      </c>
      <c r="T692" s="4">
        <f t="shared" si="42"/>
        <v>15.627798820853366</v>
      </c>
      <c r="W692" s="4" t="str">
        <f>"K02A6.3"</f>
        <v>K02A6.3</v>
      </c>
      <c r="X692" s="4">
        <v>15.7988845397088</v>
      </c>
      <c r="Y692" s="4">
        <v>15.706932766461</v>
      </c>
      <c r="Z692" s="4">
        <v>15.644132555187101</v>
      </c>
      <c r="AA692" s="4">
        <f t="shared" si="43"/>
        <v>15.716649953785634</v>
      </c>
      <c r="AJ692" s="4" t="s">
        <v>547</v>
      </c>
    </row>
    <row r="693" spans="2:56" x14ac:dyDescent="0.2">
      <c r="B693" s="4" t="s">
        <v>2715</v>
      </c>
      <c r="C693" s="4">
        <v>16.036200000000001</v>
      </c>
      <c r="D693" s="4">
        <v>16.071899999999999</v>
      </c>
      <c r="E693" s="4">
        <v>15.622299999999999</v>
      </c>
      <c r="F693" s="4">
        <f t="shared" si="40"/>
        <v>15.910133333333334</v>
      </c>
      <c r="I693" s="4" t="s">
        <v>169</v>
      </c>
      <c r="J693" s="4">
        <v>15.7799</v>
      </c>
      <c r="K693" s="4">
        <v>16.6205</v>
      </c>
      <c r="L693" s="4">
        <v>15.4077</v>
      </c>
      <c r="M693" s="4">
        <f t="shared" si="41"/>
        <v>15.936033333333333</v>
      </c>
      <c r="P693" s="4" t="str">
        <f>"par-6"</f>
        <v>par-6</v>
      </c>
      <c r="Q693" s="4">
        <v>15.7480621602766</v>
      </c>
      <c r="R693" s="4">
        <v>15.4955626260864</v>
      </c>
      <c r="S693" s="4">
        <v>15.637694458493501</v>
      </c>
      <c r="T693" s="4">
        <f t="shared" si="42"/>
        <v>15.627106414952166</v>
      </c>
      <c r="W693" s="4" t="str">
        <f>"lys-7"</f>
        <v>lys-7</v>
      </c>
      <c r="X693" s="4">
        <v>15.655206169579399</v>
      </c>
      <c r="Y693" s="4">
        <v>15.6529058718746</v>
      </c>
      <c r="Z693" s="4">
        <v>15.835374750605199</v>
      </c>
      <c r="AA693" s="4">
        <f t="shared" si="43"/>
        <v>15.714495597353066</v>
      </c>
      <c r="AJ693" s="4" t="s">
        <v>549</v>
      </c>
      <c r="BD693" s="46"/>
    </row>
    <row r="694" spans="2:56" x14ac:dyDescent="0.2">
      <c r="B694" s="4" t="s">
        <v>2707</v>
      </c>
      <c r="C694" s="4">
        <v>15.869300000000001</v>
      </c>
      <c r="D694" s="4">
        <v>15.923</v>
      </c>
      <c r="E694" s="4">
        <v>15.929399999999999</v>
      </c>
      <c r="F694" s="4">
        <f t="shared" si="40"/>
        <v>15.907233333333332</v>
      </c>
      <c r="I694" s="4" t="s">
        <v>3910</v>
      </c>
      <c r="J694" s="4">
        <v>16.049700000000001</v>
      </c>
      <c r="K694" s="4">
        <v>16.076499999999999</v>
      </c>
      <c r="L694" s="4">
        <v>15.678599999999999</v>
      </c>
      <c r="M694" s="4">
        <f t="shared" si="41"/>
        <v>15.934933333333333</v>
      </c>
      <c r="P694" s="4" t="str">
        <f>"ppw-1"</f>
        <v>ppw-1</v>
      </c>
      <c r="Q694" s="4">
        <v>15.6495797155007</v>
      </c>
      <c r="R694" s="4">
        <v>15.575569658614</v>
      </c>
      <c r="S694" s="4">
        <v>15.6451935970546</v>
      </c>
      <c r="T694" s="4">
        <f t="shared" si="42"/>
        <v>15.623447657056433</v>
      </c>
      <c r="W694" s="4" t="str">
        <f>"acs-22"</f>
        <v>acs-22</v>
      </c>
      <c r="X694" s="4">
        <v>15.7568168506576</v>
      </c>
      <c r="Y694" s="4">
        <v>15.791754185063301</v>
      </c>
      <c r="Z694" s="4">
        <v>15.594267019836</v>
      </c>
      <c r="AA694" s="4">
        <f t="shared" si="43"/>
        <v>15.7142793518523</v>
      </c>
      <c r="AJ694" s="4" t="s">
        <v>4144</v>
      </c>
      <c r="AO694" s="46"/>
    </row>
    <row r="695" spans="2:56" x14ac:dyDescent="0.2">
      <c r="B695" s="4" t="s">
        <v>3375</v>
      </c>
      <c r="C695" s="4">
        <v>15.936299999999999</v>
      </c>
      <c r="D695" s="4">
        <v>16.091000000000001</v>
      </c>
      <c r="E695" s="4">
        <v>15.6943</v>
      </c>
      <c r="F695" s="4">
        <f t="shared" si="40"/>
        <v>15.907199999999998</v>
      </c>
      <c r="I695" s="4" t="s">
        <v>2898</v>
      </c>
      <c r="J695" s="4">
        <v>15.707599999999999</v>
      </c>
      <c r="K695" s="4">
        <v>16.1692</v>
      </c>
      <c r="L695" s="4">
        <v>15.925700000000001</v>
      </c>
      <c r="M695" s="4">
        <f t="shared" si="41"/>
        <v>15.934166666666668</v>
      </c>
      <c r="P695" s="4" t="str">
        <f>"sir-2.2"</f>
        <v>sir-2.2</v>
      </c>
      <c r="Q695" s="4">
        <v>15.9739335081976</v>
      </c>
      <c r="R695" s="4">
        <v>15.3209922165028</v>
      </c>
      <c r="S695" s="4">
        <v>15.547402496958499</v>
      </c>
      <c r="T695" s="4">
        <f t="shared" si="42"/>
        <v>15.614109407219631</v>
      </c>
      <c r="W695" s="4" t="str">
        <f>"set-27"</f>
        <v>set-27</v>
      </c>
      <c r="X695" s="4">
        <v>15.722205514729501</v>
      </c>
      <c r="Y695" s="4">
        <v>15.622038746739801</v>
      </c>
      <c r="Z695" s="4">
        <v>15.7826111067791</v>
      </c>
      <c r="AA695" s="4">
        <f t="shared" si="43"/>
        <v>15.708951789416133</v>
      </c>
      <c r="AJ695" s="4" t="s">
        <v>290</v>
      </c>
    </row>
    <row r="696" spans="2:56" x14ac:dyDescent="0.2">
      <c r="B696" s="4" t="s">
        <v>169</v>
      </c>
      <c r="C696" s="4">
        <v>16.145399999999999</v>
      </c>
      <c r="D696" s="4">
        <v>15.446099999999999</v>
      </c>
      <c r="E696" s="4">
        <v>16.126300000000001</v>
      </c>
      <c r="F696" s="4">
        <f t="shared" si="40"/>
        <v>15.905933333333332</v>
      </c>
      <c r="I696" s="4" t="s">
        <v>2613</v>
      </c>
      <c r="J696" s="4">
        <v>15.803800000000001</v>
      </c>
      <c r="K696" s="4">
        <v>16.028500000000001</v>
      </c>
      <c r="L696" s="4">
        <v>15.962300000000001</v>
      </c>
      <c r="M696" s="4">
        <f t="shared" si="41"/>
        <v>15.931533333333334</v>
      </c>
      <c r="P696" s="4" t="str">
        <f>"hrpl-1"</f>
        <v>hrpl-1</v>
      </c>
      <c r="Q696" s="4">
        <v>15.695081586486401</v>
      </c>
      <c r="R696" s="4">
        <v>15.5917778454808</v>
      </c>
      <c r="S696" s="4">
        <v>15.545929607382901</v>
      </c>
      <c r="T696" s="4">
        <f t="shared" si="42"/>
        <v>15.610929679783368</v>
      </c>
      <c r="W696" s="4" t="str">
        <f>"rsp-8"</f>
        <v>rsp-8</v>
      </c>
      <c r="X696" s="4">
        <v>15.5248175868942</v>
      </c>
      <c r="Y696" s="4">
        <v>15.851319191756099</v>
      </c>
      <c r="Z696" s="4">
        <v>15.7443759433504</v>
      </c>
      <c r="AA696" s="4">
        <f t="shared" si="43"/>
        <v>15.706837574000232</v>
      </c>
      <c r="AJ696" s="4" t="s">
        <v>4130</v>
      </c>
    </row>
    <row r="697" spans="2:56" x14ac:dyDescent="0.2">
      <c r="B697" s="4" t="s">
        <v>892</v>
      </c>
      <c r="C697" s="4">
        <v>15.5914</v>
      </c>
      <c r="D697" s="4">
        <v>16.226900000000001</v>
      </c>
      <c r="E697" s="4">
        <v>15.8957</v>
      </c>
      <c r="F697" s="4">
        <f t="shared" si="40"/>
        <v>15.904666666666666</v>
      </c>
      <c r="I697" s="4" t="s">
        <v>1656</v>
      </c>
      <c r="J697" s="4">
        <v>16.253799999999998</v>
      </c>
      <c r="K697" s="4">
        <v>15.7546</v>
      </c>
      <c r="L697" s="4">
        <v>15.7842</v>
      </c>
      <c r="M697" s="4">
        <f t="shared" si="41"/>
        <v>15.930866666666665</v>
      </c>
      <c r="P697" s="4" t="str">
        <f>"acl-14"</f>
        <v>acl-14</v>
      </c>
      <c r="Q697" s="4">
        <v>15.4323646194403</v>
      </c>
      <c r="R697" s="4">
        <v>15.5814022417419</v>
      </c>
      <c r="S697" s="4">
        <v>15.815881062440299</v>
      </c>
      <c r="T697" s="4">
        <f t="shared" si="42"/>
        <v>15.609882641207498</v>
      </c>
      <c r="W697" s="4" t="str">
        <f>"prdx-6"</f>
        <v>prdx-6</v>
      </c>
      <c r="X697" s="4">
        <v>15.992352523344399</v>
      </c>
      <c r="Y697" s="4">
        <v>15.698427902569501</v>
      </c>
      <c r="Z697" s="4">
        <v>15.4265221422342</v>
      </c>
      <c r="AA697" s="4">
        <f t="shared" si="43"/>
        <v>15.705767522716032</v>
      </c>
      <c r="AJ697" s="4" t="s">
        <v>3671</v>
      </c>
    </row>
    <row r="698" spans="2:56" x14ac:dyDescent="0.2">
      <c r="B698" s="4" t="s">
        <v>3276</v>
      </c>
      <c r="C698" s="4">
        <v>15.7494</v>
      </c>
      <c r="D698" s="4">
        <v>16.1633</v>
      </c>
      <c r="E698" s="4">
        <v>15.7957</v>
      </c>
      <c r="F698" s="4">
        <f t="shared" si="40"/>
        <v>15.902799999999999</v>
      </c>
      <c r="I698" s="4" t="s">
        <v>4636</v>
      </c>
      <c r="J698" s="4">
        <v>15.974500000000001</v>
      </c>
      <c r="K698" s="4">
        <v>16.051100000000002</v>
      </c>
      <c r="L698" s="4">
        <v>15.7643</v>
      </c>
      <c r="M698" s="4">
        <f t="shared" si="41"/>
        <v>15.929966666666667</v>
      </c>
      <c r="P698" s="4" t="str">
        <f>"unc-70"</f>
        <v>unc-70</v>
      </c>
      <c r="Q698" s="4">
        <v>15.612679037351199</v>
      </c>
      <c r="R698" s="4">
        <v>15.468768141745601</v>
      </c>
      <c r="S698" s="4">
        <v>15.7434942342299</v>
      </c>
      <c r="T698" s="4">
        <f t="shared" si="42"/>
        <v>15.608313804442233</v>
      </c>
      <c r="W698" s="4" t="str">
        <f>"txdc-12.2"</f>
        <v>txdc-12.2</v>
      </c>
      <c r="X698" s="4">
        <v>15.3498997262617</v>
      </c>
      <c r="Y698" s="4">
        <v>15.939483080301301</v>
      </c>
      <c r="Z698" s="4">
        <v>15.8159837305524</v>
      </c>
      <c r="AA698" s="4">
        <f t="shared" si="43"/>
        <v>15.701788845705133</v>
      </c>
      <c r="AJ698" s="4" t="s">
        <v>2919</v>
      </c>
    </row>
    <row r="699" spans="2:56" x14ac:dyDescent="0.2">
      <c r="B699" s="4" t="s">
        <v>2108</v>
      </c>
      <c r="C699" s="4">
        <v>15.907500000000001</v>
      </c>
      <c r="D699" s="4">
        <v>15.9978</v>
      </c>
      <c r="E699" s="4">
        <v>15.7958</v>
      </c>
      <c r="F699" s="4">
        <f t="shared" si="40"/>
        <v>15.900366666666665</v>
      </c>
      <c r="I699" s="4" t="s">
        <v>1965</v>
      </c>
      <c r="J699" s="4">
        <v>15.9245</v>
      </c>
      <c r="K699" s="4">
        <v>16.013300000000001</v>
      </c>
      <c r="L699" s="4">
        <v>15.84</v>
      </c>
      <c r="M699" s="4">
        <f t="shared" si="41"/>
        <v>15.925933333333333</v>
      </c>
      <c r="P699" s="4" t="str">
        <f>"mrck-1"</f>
        <v>mrck-1</v>
      </c>
      <c r="Q699" s="4">
        <v>15.738660789333601</v>
      </c>
      <c r="R699" s="4">
        <v>15.467295524282299</v>
      </c>
      <c r="S699" s="4">
        <v>15.5838619219865</v>
      </c>
      <c r="T699" s="4">
        <f t="shared" si="42"/>
        <v>15.596606078534132</v>
      </c>
      <c r="W699" s="4" t="str">
        <f>"madd-3"</f>
        <v>madd-3</v>
      </c>
      <c r="X699" s="4">
        <v>15.4952237816996</v>
      </c>
      <c r="Y699" s="4">
        <v>15.746356330285099</v>
      </c>
      <c r="Z699" s="4">
        <v>15.859031314299401</v>
      </c>
      <c r="AA699" s="4">
        <f t="shared" si="43"/>
        <v>15.700203808761367</v>
      </c>
      <c r="AJ699" s="4" t="s">
        <v>868</v>
      </c>
    </row>
    <row r="700" spans="2:56" x14ac:dyDescent="0.2">
      <c r="B700" s="4" t="s">
        <v>54</v>
      </c>
      <c r="C700" s="4">
        <v>15.7699</v>
      </c>
      <c r="D700" s="4">
        <v>16.277699999999999</v>
      </c>
      <c r="E700" s="4">
        <v>15.6347</v>
      </c>
      <c r="F700" s="4">
        <f t="shared" si="40"/>
        <v>15.894100000000002</v>
      </c>
      <c r="I700" s="4" t="s">
        <v>604</v>
      </c>
      <c r="J700" s="4">
        <v>16.035</v>
      </c>
      <c r="K700" s="4">
        <v>15.6869</v>
      </c>
      <c r="L700" s="4">
        <v>16.054300000000001</v>
      </c>
      <c r="M700" s="4">
        <f t="shared" si="41"/>
        <v>15.925400000000002</v>
      </c>
      <c r="P700" s="4" t="str">
        <f>"vps-29"</f>
        <v>vps-29</v>
      </c>
      <c r="Q700" s="4">
        <v>15.7237494785408</v>
      </c>
      <c r="R700" s="4">
        <v>15.439236062374301</v>
      </c>
      <c r="S700" s="4">
        <v>15.614081835039601</v>
      </c>
      <c r="T700" s="4">
        <f t="shared" si="42"/>
        <v>15.5923557919849</v>
      </c>
      <c r="W700" s="4" t="str">
        <f>"mca-1"</f>
        <v>mca-1</v>
      </c>
      <c r="X700" s="4">
        <v>15.7694208894296</v>
      </c>
      <c r="Y700" s="4">
        <v>15.565265208348499</v>
      </c>
      <c r="Z700" s="4">
        <v>15.7637282642608</v>
      </c>
      <c r="AA700" s="4">
        <f t="shared" si="43"/>
        <v>15.699471454012967</v>
      </c>
      <c r="AJ700" s="4" t="s">
        <v>2393</v>
      </c>
    </row>
    <row r="701" spans="2:56" x14ac:dyDescent="0.2">
      <c r="B701" s="4" t="s">
        <v>3530</v>
      </c>
      <c r="C701" s="4">
        <v>15.9412</v>
      </c>
      <c r="D701" s="4">
        <v>15.778600000000001</v>
      </c>
      <c r="E701" s="4">
        <v>15.9595</v>
      </c>
      <c r="F701" s="4">
        <f t="shared" si="40"/>
        <v>15.893099999999999</v>
      </c>
      <c r="I701" s="4" t="s">
        <v>3494</v>
      </c>
      <c r="J701" s="4">
        <v>15.826700000000001</v>
      </c>
      <c r="K701" s="4">
        <v>16.056899999999999</v>
      </c>
      <c r="L701" s="4">
        <v>15.8781</v>
      </c>
      <c r="M701" s="4">
        <f t="shared" si="41"/>
        <v>15.920566666666668</v>
      </c>
      <c r="P701" s="4" t="str">
        <f>"eps-8"</f>
        <v>eps-8</v>
      </c>
      <c r="Q701" s="4">
        <v>15.84368459305</v>
      </c>
      <c r="R701" s="4">
        <v>15.4404021310161</v>
      </c>
      <c r="S701" s="4">
        <v>15.492899423932499</v>
      </c>
      <c r="T701" s="4">
        <f t="shared" si="42"/>
        <v>15.592328715999534</v>
      </c>
      <c r="W701" s="4" t="str">
        <f>"rpl-32"</f>
        <v>rpl-32</v>
      </c>
      <c r="X701" s="4">
        <v>15.291692866639901</v>
      </c>
      <c r="Y701" s="4">
        <v>15.9058035259881</v>
      </c>
      <c r="Z701" s="4">
        <v>15.892415110909299</v>
      </c>
      <c r="AA701" s="4">
        <f t="shared" si="43"/>
        <v>15.696637167845767</v>
      </c>
      <c r="AJ701" s="4" t="s">
        <v>4142</v>
      </c>
    </row>
    <row r="702" spans="2:56" x14ac:dyDescent="0.2">
      <c r="B702" s="4" t="s">
        <v>1635</v>
      </c>
      <c r="C702" s="4">
        <v>15.9308</v>
      </c>
      <c r="D702" s="4">
        <v>15.958</v>
      </c>
      <c r="E702" s="4">
        <v>15.7889</v>
      </c>
      <c r="F702" s="4">
        <f t="shared" si="40"/>
        <v>15.892566666666667</v>
      </c>
      <c r="I702" s="4" t="s">
        <v>2527</v>
      </c>
      <c r="J702" s="4">
        <v>15.786099999999999</v>
      </c>
      <c r="K702" s="4">
        <v>16.234300000000001</v>
      </c>
      <c r="L702" s="4">
        <v>15.736800000000001</v>
      </c>
      <c r="M702" s="4">
        <f t="shared" si="41"/>
        <v>15.919066666666668</v>
      </c>
      <c r="P702" s="4" t="str">
        <f>"hum-4"</f>
        <v>hum-4</v>
      </c>
      <c r="Q702" s="4">
        <v>15.5996775867461</v>
      </c>
      <c r="R702" s="4">
        <v>15.5020985524901</v>
      </c>
      <c r="S702" s="4">
        <v>15.6654378382516</v>
      </c>
      <c r="T702" s="4">
        <f t="shared" si="42"/>
        <v>15.589071325829266</v>
      </c>
      <c r="W702" s="4" t="str">
        <f>"rab-39"</f>
        <v>rab-39</v>
      </c>
      <c r="X702" s="4">
        <v>15.559385564266</v>
      </c>
      <c r="Y702" s="4">
        <v>15.667272332455299</v>
      </c>
      <c r="Z702" s="4">
        <v>15.862366240011401</v>
      </c>
      <c r="AA702" s="4">
        <f t="shared" si="43"/>
        <v>15.696341378910901</v>
      </c>
      <c r="AJ702" s="4" t="s">
        <v>2959</v>
      </c>
    </row>
    <row r="703" spans="2:56" x14ac:dyDescent="0.2">
      <c r="B703" s="4" t="s">
        <v>3548</v>
      </c>
      <c r="C703" s="4">
        <v>15.895899999999999</v>
      </c>
      <c r="D703" s="4">
        <v>16.214200000000002</v>
      </c>
      <c r="E703" s="4">
        <v>15.5632</v>
      </c>
      <c r="F703" s="4">
        <f t="shared" si="40"/>
        <v>15.891100000000002</v>
      </c>
      <c r="I703" s="4" t="s">
        <v>731</v>
      </c>
      <c r="J703" s="4">
        <v>16.0474</v>
      </c>
      <c r="K703" s="4">
        <v>15.6625</v>
      </c>
      <c r="L703" s="4">
        <v>16.0381</v>
      </c>
      <c r="M703" s="4">
        <f t="shared" si="41"/>
        <v>15.915999999999999</v>
      </c>
      <c r="P703" s="4" t="str">
        <f>"cyp-34a9"</f>
        <v>cyp-34a9</v>
      </c>
      <c r="Q703" s="4">
        <v>15.497681167926</v>
      </c>
      <c r="R703" s="4">
        <v>15.538051535280401</v>
      </c>
      <c r="S703" s="4">
        <v>15.7216602291656</v>
      </c>
      <c r="T703" s="4">
        <f t="shared" si="42"/>
        <v>15.585797644124</v>
      </c>
      <c r="W703" s="4" t="str">
        <f>"K03B4.1"</f>
        <v>K03B4.1</v>
      </c>
      <c r="X703" s="4">
        <v>15.6390687190038</v>
      </c>
      <c r="Y703" s="4">
        <v>15.634707572912999</v>
      </c>
      <c r="Z703" s="4">
        <v>15.7951525539219</v>
      </c>
      <c r="AA703" s="4">
        <f t="shared" si="43"/>
        <v>15.689642948612899</v>
      </c>
      <c r="AJ703" s="4" t="s">
        <v>4552</v>
      </c>
    </row>
    <row r="704" spans="2:56" x14ac:dyDescent="0.2">
      <c r="B704" s="4" t="s">
        <v>3602</v>
      </c>
      <c r="C704" s="4">
        <v>15.896699999999999</v>
      </c>
      <c r="D704" s="4">
        <v>15.561500000000001</v>
      </c>
      <c r="E704" s="4">
        <v>16.215</v>
      </c>
      <c r="F704" s="4">
        <f t="shared" si="40"/>
        <v>15.891066666666665</v>
      </c>
      <c r="I704" s="4" t="s">
        <v>2078</v>
      </c>
      <c r="J704" s="4">
        <v>15.775499999999999</v>
      </c>
      <c r="K704" s="4">
        <v>15.8057</v>
      </c>
      <c r="L704" s="4">
        <v>16.1645</v>
      </c>
      <c r="M704" s="4">
        <f t="shared" si="41"/>
        <v>15.915233333333333</v>
      </c>
      <c r="P704" s="4" t="str">
        <f>"rfc-2"</f>
        <v>rfc-2</v>
      </c>
      <c r="Q704" s="4">
        <v>15.694659418017199</v>
      </c>
      <c r="R704" s="4">
        <v>15.539187118592601</v>
      </c>
      <c r="S704" s="4">
        <v>15.5121978177734</v>
      </c>
      <c r="T704" s="4">
        <f t="shared" si="42"/>
        <v>15.582014784794401</v>
      </c>
      <c r="W704" s="4" t="str">
        <f>"B0416.5"</f>
        <v>B0416.5</v>
      </c>
      <c r="X704" s="4">
        <v>15.8822028936405</v>
      </c>
      <c r="Y704" s="4">
        <v>15.661606143789999</v>
      </c>
      <c r="Z704" s="4">
        <v>15.5229359318286</v>
      </c>
      <c r="AA704" s="4">
        <f t="shared" si="43"/>
        <v>15.688914989753032</v>
      </c>
      <c r="AJ704" s="4" t="s">
        <v>3022</v>
      </c>
    </row>
    <row r="705" spans="2:40" x14ac:dyDescent="0.2">
      <c r="B705" s="4" t="s">
        <v>3605</v>
      </c>
      <c r="C705" s="4">
        <v>15.7303</v>
      </c>
      <c r="D705" s="4">
        <v>15.8454</v>
      </c>
      <c r="E705" s="4">
        <v>16.085599999999999</v>
      </c>
      <c r="F705" s="4">
        <f t="shared" si="40"/>
        <v>15.887099999999998</v>
      </c>
      <c r="I705" s="4" t="s">
        <v>3340</v>
      </c>
      <c r="J705" s="4">
        <v>15.7211</v>
      </c>
      <c r="K705" s="4">
        <v>15.8409</v>
      </c>
      <c r="L705" s="4">
        <v>16.163699999999999</v>
      </c>
      <c r="M705" s="4">
        <f t="shared" si="41"/>
        <v>15.908566666666665</v>
      </c>
      <c r="P705" s="4" t="str">
        <f>"ncx-2"</f>
        <v>ncx-2</v>
      </c>
      <c r="Q705" s="4">
        <v>15.3775491920295</v>
      </c>
      <c r="R705" s="4">
        <v>15.5614673169603</v>
      </c>
      <c r="S705" s="4">
        <v>15.7977681116753</v>
      </c>
      <c r="T705" s="4">
        <f t="shared" si="42"/>
        <v>15.578928206888369</v>
      </c>
      <c r="W705" s="4" t="str">
        <f>"dis-3"</f>
        <v>dis-3</v>
      </c>
      <c r="X705" s="4">
        <v>15.6582078742194</v>
      </c>
      <c r="Y705" s="4">
        <v>15.7529079682134</v>
      </c>
      <c r="Z705" s="4">
        <v>15.654977267686601</v>
      </c>
      <c r="AA705" s="4">
        <f t="shared" si="43"/>
        <v>15.688697703373132</v>
      </c>
      <c r="AJ705" s="4" t="s">
        <v>1354</v>
      </c>
    </row>
    <row r="706" spans="2:40" x14ac:dyDescent="0.2">
      <c r="B706" s="4" t="s">
        <v>409</v>
      </c>
      <c r="C706" s="4">
        <v>15.601000000000001</v>
      </c>
      <c r="D706" s="4">
        <v>16.069600000000001</v>
      </c>
      <c r="E706" s="4">
        <v>15.9788</v>
      </c>
      <c r="F706" s="4">
        <f t="shared" ref="F706:F769" si="44">(C706+D706+E706)/3</f>
        <v>15.883133333333333</v>
      </c>
      <c r="I706" s="4" t="s">
        <v>3702</v>
      </c>
      <c r="J706" s="4">
        <v>16.063099999999999</v>
      </c>
      <c r="K706" s="4">
        <v>15.8672</v>
      </c>
      <c r="L706" s="4">
        <v>15.791700000000001</v>
      </c>
      <c r="M706" s="4">
        <f t="shared" ref="M706:M769" si="45">(J706+K706+L706)/3</f>
        <v>15.907333333333334</v>
      </c>
      <c r="P706" s="4" t="str">
        <f>"F27D4.1"</f>
        <v>F27D4.1</v>
      </c>
      <c r="Q706" s="4">
        <v>15.97592434321</v>
      </c>
      <c r="R706" s="4">
        <v>15.2905385653112</v>
      </c>
      <c r="S706" s="4">
        <v>15.455470032352601</v>
      </c>
      <c r="T706" s="4">
        <f t="shared" ref="T706:T769" si="46">(Q706+R706+S706)/3</f>
        <v>15.573977646957934</v>
      </c>
      <c r="W706" s="4" t="str">
        <f>"asg-2"</f>
        <v>asg-2</v>
      </c>
      <c r="X706" s="4">
        <v>15.6459478844491</v>
      </c>
      <c r="Y706" s="4">
        <v>15.771308439619601</v>
      </c>
      <c r="Z706" s="4">
        <v>15.6459708858517</v>
      </c>
      <c r="AA706" s="4">
        <f t="shared" ref="AA706:AA769" si="47">(X706+Y706+Z706)/3</f>
        <v>15.6877424033068</v>
      </c>
      <c r="AJ706" s="4" t="s">
        <v>4553</v>
      </c>
    </row>
    <row r="707" spans="2:40" x14ac:dyDescent="0.2">
      <c r="B707" s="4" t="s">
        <v>952</v>
      </c>
      <c r="C707" s="4">
        <v>16.410900000000002</v>
      </c>
      <c r="D707" s="4">
        <v>15.8079</v>
      </c>
      <c r="E707" s="4">
        <v>15.4305</v>
      </c>
      <c r="F707" s="4">
        <f t="shared" si="44"/>
        <v>15.883100000000001</v>
      </c>
      <c r="I707" s="4" t="s">
        <v>744</v>
      </c>
      <c r="J707" s="4">
        <v>16.312000000000001</v>
      </c>
      <c r="K707" s="4">
        <v>15.853400000000001</v>
      </c>
      <c r="L707" s="4">
        <v>15.553699999999999</v>
      </c>
      <c r="M707" s="4">
        <f t="shared" si="45"/>
        <v>15.906366666666669</v>
      </c>
      <c r="P707" s="4" t="str">
        <f>"popl-1"</f>
        <v>popl-1</v>
      </c>
      <c r="Q707" s="4">
        <v>15.4988967273318</v>
      </c>
      <c r="R707" s="4">
        <v>15.358306605185801</v>
      </c>
      <c r="S707" s="4">
        <v>15.8585642448247</v>
      </c>
      <c r="T707" s="4">
        <f t="shared" si="46"/>
        <v>15.571922525780765</v>
      </c>
      <c r="W707" s="4" t="str">
        <f>"aqp-7"</f>
        <v>aqp-7</v>
      </c>
      <c r="X707" s="4">
        <v>15.908542160172701</v>
      </c>
      <c r="Y707" s="4">
        <v>15.4160532883845</v>
      </c>
      <c r="Z707" s="4">
        <v>15.724727423168201</v>
      </c>
      <c r="AA707" s="4">
        <f t="shared" si="47"/>
        <v>15.683107623908468</v>
      </c>
      <c r="AJ707" s="4" t="s">
        <v>3941</v>
      </c>
    </row>
    <row r="708" spans="2:40" x14ac:dyDescent="0.2">
      <c r="B708" s="4" t="s">
        <v>323</v>
      </c>
      <c r="C708" s="4">
        <v>16.044699999999999</v>
      </c>
      <c r="D708" s="4">
        <v>15.8924</v>
      </c>
      <c r="E708" s="4">
        <v>15.7044</v>
      </c>
      <c r="F708" s="4">
        <f t="shared" si="44"/>
        <v>15.8805</v>
      </c>
      <c r="I708" s="4" t="s">
        <v>1717</v>
      </c>
      <c r="J708" s="4">
        <v>16.204899999999999</v>
      </c>
      <c r="K708" s="4">
        <v>15.932399999999999</v>
      </c>
      <c r="L708" s="4">
        <v>15.569000000000001</v>
      </c>
      <c r="M708" s="4">
        <f t="shared" si="45"/>
        <v>15.902099999999999</v>
      </c>
      <c r="P708" s="4" t="str">
        <f>"pgp-2"</f>
        <v>pgp-2</v>
      </c>
      <c r="Q708" s="4">
        <v>15.382432918925399</v>
      </c>
      <c r="R708" s="4">
        <v>15.5904969891397</v>
      </c>
      <c r="S708" s="4">
        <v>15.731276922927799</v>
      </c>
      <c r="T708" s="4">
        <f t="shared" si="46"/>
        <v>15.568068943664299</v>
      </c>
      <c r="W708" s="4" t="str">
        <f>"ttn-1"</f>
        <v>ttn-1</v>
      </c>
      <c r="X708" s="4">
        <v>15.447995315648701</v>
      </c>
      <c r="Y708" s="4">
        <v>15.654752409380899</v>
      </c>
      <c r="Z708" s="4">
        <v>15.9232561539964</v>
      </c>
      <c r="AA708" s="4">
        <f t="shared" si="47"/>
        <v>15.675334626342</v>
      </c>
      <c r="AJ708" s="4" t="s">
        <v>3496</v>
      </c>
    </row>
    <row r="709" spans="2:40" x14ac:dyDescent="0.2">
      <c r="B709" s="4" t="s">
        <v>2954</v>
      </c>
      <c r="C709" s="4">
        <v>15.970700000000001</v>
      </c>
      <c r="D709" s="4">
        <v>15.6256</v>
      </c>
      <c r="E709" s="4">
        <v>16.0398</v>
      </c>
      <c r="F709" s="4">
        <f t="shared" si="44"/>
        <v>15.8787</v>
      </c>
      <c r="I709" s="4" t="s">
        <v>2795</v>
      </c>
      <c r="J709" s="4">
        <v>15.8941</v>
      </c>
      <c r="K709" s="4">
        <v>16.091999999999999</v>
      </c>
      <c r="L709" s="4">
        <v>15.7155</v>
      </c>
      <c r="M709" s="4">
        <f t="shared" si="45"/>
        <v>15.900533333333334</v>
      </c>
      <c r="P709" s="4" t="str">
        <f>"gst-36"</f>
        <v>gst-36</v>
      </c>
      <c r="Q709" s="4">
        <v>15.438996863396</v>
      </c>
      <c r="R709" s="4">
        <v>15.5692487277558</v>
      </c>
      <c r="S709" s="4">
        <v>15.685567765413101</v>
      </c>
      <c r="T709" s="4">
        <f t="shared" si="46"/>
        <v>15.5646044521883</v>
      </c>
      <c r="W709" s="4" t="str">
        <f>"ZK813.1"</f>
        <v>ZK813.1</v>
      </c>
      <c r="X709" s="4">
        <v>15.555978980143699</v>
      </c>
      <c r="Y709" s="4">
        <v>15.400213950272599</v>
      </c>
      <c r="Z709" s="4">
        <v>16.0620518868899</v>
      </c>
      <c r="AA709" s="4">
        <f t="shared" si="47"/>
        <v>15.672748272435399</v>
      </c>
      <c r="AJ709" s="4" t="s">
        <v>4168</v>
      </c>
    </row>
    <row r="710" spans="2:40" x14ac:dyDescent="0.2">
      <c r="B710" s="4" t="s">
        <v>3753</v>
      </c>
      <c r="C710" s="4">
        <v>15.7857</v>
      </c>
      <c r="D710" s="4">
        <v>16.073699999999999</v>
      </c>
      <c r="E710" s="4">
        <v>15.775</v>
      </c>
      <c r="F710" s="4">
        <f t="shared" si="44"/>
        <v>15.878133333333333</v>
      </c>
      <c r="I710" s="4" t="s">
        <v>3605</v>
      </c>
      <c r="J710" s="4">
        <v>15.9529</v>
      </c>
      <c r="K710" s="4">
        <v>15.8299</v>
      </c>
      <c r="L710" s="4">
        <v>15.9047</v>
      </c>
      <c r="M710" s="4">
        <f t="shared" si="45"/>
        <v>15.895833333333334</v>
      </c>
      <c r="P710" s="4" t="str">
        <f>"timm-23"</f>
        <v>timm-23</v>
      </c>
      <c r="Q710" s="4">
        <v>15.410655283138</v>
      </c>
      <c r="R710" s="4">
        <v>15.755315975808299</v>
      </c>
      <c r="S710" s="4">
        <v>15.525549274321699</v>
      </c>
      <c r="T710" s="4">
        <f t="shared" si="46"/>
        <v>15.563840177755999</v>
      </c>
      <c r="W710" s="4" t="str">
        <f>"mtx-1"</f>
        <v>mtx-1</v>
      </c>
      <c r="X710" s="4">
        <v>15.680409272985001</v>
      </c>
      <c r="Y710" s="4">
        <v>15.7767823129817</v>
      </c>
      <c r="Z710" s="4">
        <v>15.551757779263999</v>
      </c>
      <c r="AA710" s="4">
        <f t="shared" si="47"/>
        <v>15.669649788410233</v>
      </c>
      <c r="AJ710" s="4" t="s">
        <v>2629</v>
      </c>
    </row>
    <row r="711" spans="2:40" x14ac:dyDescent="0.2">
      <c r="B711" s="4" t="s">
        <v>2711</v>
      </c>
      <c r="C711" s="4">
        <v>15.9384</v>
      </c>
      <c r="D711" s="4">
        <v>15.8758</v>
      </c>
      <c r="E711" s="4">
        <v>15.8169</v>
      </c>
      <c r="F711" s="4">
        <f t="shared" si="44"/>
        <v>15.877033333333335</v>
      </c>
      <c r="I711" s="4" t="s">
        <v>3630</v>
      </c>
      <c r="J711" s="4">
        <v>15.666600000000001</v>
      </c>
      <c r="K711" s="4">
        <v>15.9655</v>
      </c>
      <c r="L711" s="4">
        <v>16.048200000000001</v>
      </c>
      <c r="M711" s="4">
        <f t="shared" si="45"/>
        <v>15.893433333333334</v>
      </c>
      <c r="P711" s="4" t="str">
        <f>"trap-4"</f>
        <v>trap-4</v>
      </c>
      <c r="Q711" s="4">
        <v>15.516623644935899</v>
      </c>
      <c r="R711" s="4">
        <v>15.464559822346301</v>
      </c>
      <c r="S711" s="4">
        <v>15.680884850403601</v>
      </c>
      <c r="T711" s="4">
        <f t="shared" si="46"/>
        <v>15.554022772561934</v>
      </c>
      <c r="W711" s="4" t="str">
        <f>"pgam-5"</f>
        <v>pgam-5</v>
      </c>
      <c r="X711" s="4">
        <v>15.684844372785401</v>
      </c>
      <c r="Y711" s="4">
        <v>15.779770948924799</v>
      </c>
      <c r="Z711" s="4">
        <v>15.5386562749757</v>
      </c>
      <c r="AA711" s="4">
        <f t="shared" si="47"/>
        <v>15.6677571988953</v>
      </c>
      <c r="AJ711" s="4" t="s">
        <v>3798</v>
      </c>
    </row>
    <row r="712" spans="2:40" x14ac:dyDescent="0.2">
      <c r="B712" s="4" t="s">
        <v>1324</v>
      </c>
      <c r="C712" s="4">
        <v>15.960100000000001</v>
      </c>
      <c r="D712" s="4">
        <v>15.9642</v>
      </c>
      <c r="E712" s="4">
        <v>15.704700000000001</v>
      </c>
      <c r="F712" s="4">
        <f t="shared" si="44"/>
        <v>15.876333333333335</v>
      </c>
      <c r="I712" s="4" t="s">
        <v>2711</v>
      </c>
      <c r="J712" s="4">
        <v>15.950100000000001</v>
      </c>
      <c r="K712" s="4">
        <v>15.7255</v>
      </c>
      <c r="L712" s="4">
        <v>15.992000000000001</v>
      </c>
      <c r="M712" s="4">
        <f t="shared" si="45"/>
        <v>15.889200000000002</v>
      </c>
      <c r="P712" s="4" t="str">
        <f>"ubc-13"</f>
        <v>ubc-13</v>
      </c>
      <c r="Q712" s="4">
        <v>15.464894994920799</v>
      </c>
      <c r="R712" s="4">
        <v>15.477880416226499</v>
      </c>
      <c r="S712" s="4">
        <v>15.707118785096201</v>
      </c>
      <c r="T712" s="4">
        <f t="shared" si="46"/>
        <v>15.549964732081166</v>
      </c>
      <c r="W712" s="4" t="str">
        <f>"F10C2.4"</f>
        <v>F10C2.4</v>
      </c>
      <c r="X712" s="4">
        <v>15.9340133484785</v>
      </c>
      <c r="Y712" s="4">
        <v>15.5748338628472</v>
      </c>
      <c r="Z712" s="4">
        <v>15.4889105528489</v>
      </c>
      <c r="AA712" s="4">
        <f t="shared" si="47"/>
        <v>15.665919254724868</v>
      </c>
      <c r="AJ712" s="4" t="s">
        <v>4525</v>
      </c>
    </row>
    <row r="713" spans="2:40" x14ac:dyDescent="0.2">
      <c r="B713" s="4" t="s">
        <v>4642</v>
      </c>
      <c r="C713" s="4">
        <v>16.0426</v>
      </c>
      <c r="D713" s="4">
        <v>15.4016</v>
      </c>
      <c r="E713" s="4">
        <v>16.183900000000001</v>
      </c>
      <c r="F713" s="4">
        <f t="shared" si="44"/>
        <v>15.876033333333334</v>
      </c>
      <c r="I713" s="4" t="s">
        <v>1232</v>
      </c>
      <c r="J713" s="4">
        <v>15.963900000000001</v>
      </c>
      <c r="K713" s="4">
        <v>15.9453</v>
      </c>
      <c r="L713" s="4">
        <v>15.751099999999999</v>
      </c>
      <c r="M713" s="4">
        <f t="shared" si="45"/>
        <v>15.886766666666666</v>
      </c>
      <c r="P713" s="4" t="str">
        <f>"frm-4"</f>
        <v>frm-4</v>
      </c>
      <c r="Q713" s="4">
        <v>15.537272124085099</v>
      </c>
      <c r="R713" s="4">
        <v>15.444406617424001</v>
      </c>
      <c r="S713" s="4">
        <v>15.6630615202799</v>
      </c>
      <c r="T713" s="4">
        <f t="shared" si="46"/>
        <v>15.548246753929666</v>
      </c>
      <c r="W713" s="4" t="str">
        <f>"cut-1"</f>
        <v>cut-1</v>
      </c>
      <c r="X713" s="4">
        <v>15.297469767690201</v>
      </c>
      <c r="Y713" s="4">
        <v>15.5733713654925</v>
      </c>
      <c r="Z713" s="4">
        <v>16.1033992612698</v>
      </c>
      <c r="AA713" s="4">
        <f t="shared" si="47"/>
        <v>15.658080131484168</v>
      </c>
      <c r="AJ713" s="4" t="s">
        <v>1278</v>
      </c>
    </row>
    <row r="714" spans="2:40" x14ac:dyDescent="0.2">
      <c r="B714" s="4" t="s">
        <v>3619</v>
      </c>
      <c r="C714" s="4">
        <v>15.8317</v>
      </c>
      <c r="D714" s="4">
        <v>16.1509</v>
      </c>
      <c r="E714" s="4">
        <v>15.644600000000001</v>
      </c>
      <c r="F714" s="4">
        <f t="shared" si="44"/>
        <v>15.875733333333335</v>
      </c>
      <c r="I714" s="4" t="s">
        <v>3173</v>
      </c>
      <c r="J714" s="4">
        <v>16.3093</v>
      </c>
      <c r="K714" s="4">
        <v>15.8637</v>
      </c>
      <c r="L714" s="4">
        <v>15.4788</v>
      </c>
      <c r="M714" s="4">
        <f t="shared" si="45"/>
        <v>15.883933333333333</v>
      </c>
      <c r="P714" s="4" t="str">
        <f>"nsun-4"</f>
        <v>nsun-4</v>
      </c>
      <c r="Q714" s="4">
        <v>15.7546560777817</v>
      </c>
      <c r="R714" s="4">
        <v>15.3290607309614</v>
      </c>
      <c r="S714" s="4">
        <v>15.5497743516607</v>
      </c>
      <c r="T714" s="4">
        <f t="shared" si="46"/>
        <v>15.544497053467934</v>
      </c>
      <c r="W714" s="4" t="str">
        <f>"F30F8.9"</f>
        <v>F30F8.9</v>
      </c>
      <c r="X714" s="4">
        <v>15.4820204674135</v>
      </c>
      <c r="Y714" s="4">
        <v>15.832821755085201</v>
      </c>
      <c r="Z714" s="4">
        <v>15.6501161286567</v>
      </c>
      <c r="AA714" s="4">
        <f t="shared" si="47"/>
        <v>15.6549861170518</v>
      </c>
      <c r="AJ714" s="4" t="s">
        <v>4545</v>
      </c>
    </row>
    <row r="715" spans="2:40" x14ac:dyDescent="0.2">
      <c r="B715" s="4" t="s">
        <v>4603</v>
      </c>
      <c r="C715" s="4">
        <v>16.2331</v>
      </c>
      <c r="D715" s="4">
        <v>15.5381</v>
      </c>
      <c r="E715" s="4">
        <v>15.8469</v>
      </c>
      <c r="F715" s="4">
        <f t="shared" si="44"/>
        <v>15.8727</v>
      </c>
      <c r="I715" s="4" t="s">
        <v>911</v>
      </c>
      <c r="J715" s="4">
        <v>15.9544</v>
      </c>
      <c r="K715" s="4">
        <v>15.792899999999999</v>
      </c>
      <c r="L715" s="4">
        <v>15.9001</v>
      </c>
      <c r="M715" s="4">
        <f t="shared" si="45"/>
        <v>15.882466666666666</v>
      </c>
      <c r="P715" s="4" t="str">
        <f>"abcf-3"</f>
        <v>abcf-3</v>
      </c>
      <c r="Q715" s="4">
        <v>15.749828159662099</v>
      </c>
      <c r="R715" s="4">
        <v>15.541627853684799</v>
      </c>
      <c r="S715" s="4">
        <v>15.3388510324232</v>
      </c>
      <c r="T715" s="4">
        <f t="shared" si="46"/>
        <v>15.543435681923365</v>
      </c>
      <c r="W715" s="4" t="str">
        <f>"F26E4.3"</f>
        <v>F26E4.3</v>
      </c>
      <c r="X715" s="4">
        <v>15.261072215012399</v>
      </c>
      <c r="Y715" s="4">
        <v>15.5659200646871</v>
      </c>
      <c r="Z715" s="4">
        <v>16.128896114222201</v>
      </c>
      <c r="AA715" s="4">
        <f t="shared" si="47"/>
        <v>15.6519627979739</v>
      </c>
      <c r="AJ715" s="4" t="s">
        <v>2979</v>
      </c>
      <c r="AK715" s="46"/>
    </row>
    <row r="716" spans="2:40" x14ac:dyDescent="0.2">
      <c r="B716" s="4" t="s">
        <v>3282</v>
      </c>
      <c r="C716" s="4">
        <v>16.298400000000001</v>
      </c>
      <c r="D716" s="4">
        <v>15.341200000000001</v>
      </c>
      <c r="E716" s="4">
        <v>15.9764</v>
      </c>
      <c r="F716" s="4">
        <f t="shared" si="44"/>
        <v>15.872</v>
      </c>
      <c r="I716" s="4" t="s">
        <v>3538</v>
      </c>
      <c r="J716" s="4">
        <v>16.476600000000001</v>
      </c>
      <c r="K716" s="4">
        <v>16.040099999999999</v>
      </c>
      <c r="L716" s="4">
        <v>15.1159</v>
      </c>
      <c r="M716" s="4">
        <f t="shared" si="45"/>
        <v>15.877533333333332</v>
      </c>
      <c r="P716" s="4" t="str">
        <f>"erfa-3"</f>
        <v>erfa-3</v>
      </c>
      <c r="Q716" s="4">
        <v>15.463236331041299</v>
      </c>
      <c r="R716" s="4">
        <v>15.5752710563448</v>
      </c>
      <c r="S716" s="4">
        <v>15.584058604453899</v>
      </c>
      <c r="T716" s="4">
        <f t="shared" si="46"/>
        <v>15.540855330613333</v>
      </c>
      <c r="W716" s="4" t="str">
        <f>"dur-1"</f>
        <v>dur-1</v>
      </c>
      <c r="X716" s="4">
        <v>15.239712671021501</v>
      </c>
      <c r="Y716" s="4">
        <v>15.702719731822</v>
      </c>
      <c r="Z716" s="4">
        <v>16.010580631840199</v>
      </c>
      <c r="AA716" s="4">
        <f t="shared" si="47"/>
        <v>15.651004344894567</v>
      </c>
      <c r="AJ716" s="4" t="s">
        <v>1940</v>
      </c>
      <c r="AL716" s="1"/>
      <c r="AM716" s="1"/>
      <c r="AN716" s="1"/>
    </row>
    <row r="717" spans="2:40" x14ac:dyDescent="0.2">
      <c r="B717" s="4" t="s">
        <v>3340</v>
      </c>
      <c r="C717" s="4">
        <v>15.8475</v>
      </c>
      <c r="D717" s="4">
        <v>15.895899999999999</v>
      </c>
      <c r="E717" s="4">
        <v>15.869</v>
      </c>
      <c r="F717" s="4">
        <f t="shared" si="44"/>
        <v>15.870800000000001</v>
      </c>
      <c r="I717" s="4" t="s">
        <v>1765</v>
      </c>
      <c r="J717" s="4">
        <v>15.7826</v>
      </c>
      <c r="K717" s="4">
        <v>15.8962</v>
      </c>
      <c r="L717" s="4">
        <v>15.9315</v>
      </c>
      <c r="M717" s="4">
        <f t="shared" si="45"/>
        <v>15.870100000000001</v>
      </c>
      <c r="P717" s="4" t="str">
        <f>"nath-10"</f>
        <v>nath-10</v>
      </c>
      <c r="Q717" s="4">
        <v>15.568791374695399</v>
      </c>
      <c r="R717" s="4">
        <v>15.655634798825901</v>
      </c>
      <c r="S717" s="4">
        <v>15.3894870213744</v>
      </c>
      <c r="T717" s="4">
        <f t="shared" si="46"/>
        <v>15.537971064965234</v>
      </c>
      <c r="W717" s="4" t="str">
        <f>"ostd-1"</f>
        <v>ostd-1</v>
      </c>
      <c r="X717" s="4">
        <v>15.9535133183307</v>
      </c>
      <c r="Y717" s="4">
        <v>15.519010131777501</v>
      </c>
      <c r="Z717" s="4">
        <v>15.476604116911499</v>
      </c>
      <c r="AA717" s="4">
        <f t="shared" si="47"/>
        <v>15.649709189006566</v>
      </c>
      <c r="AJ717" s="4" t="s">
        <v>1867</v>
      </c>
      <c r="AL717" s="1"/>
      <c r="AM717" s="1"/>
      <c r="AN717" s="1"/>
    </row>
    <row r="718" spans="2:40" x14ac:dyDescent="0.2">
      <c r="B718" s="4" t="s">
        <v>1847</v>
      </c>
      <c r="C718" s="4">
        <v>15.947699999999999</v>
      </c>
      <c r="D718" s="4">
        <v>16.1568</v>
      </c>
      <c r="E718" s="4">
        <v>15.506500000000001</v>
      </c>
      <c r="F718" s="4">
        <f t="shared" si="44"/>
        <v>15.870333333333335</v>
      </c>
      <c r="I718" s="4" t="s">
        <v>3374</v>
      </c>
      <c r="J718" s="4">
        <v>15.7685</v>
      </c>
      <c r="K718" s="4">
        <v>16.0183</v>
      </c>
      <c r="L718" s="4">
        <v>15.8125</v>
      </c>
      <c r="M718" s="4">
        <f t="shared" si="45"/>
        <v>15.866433333333333</v>
      </c>
      <c r="P718" s="4" t="str">
        <f>"mcm-6"</f>
        <v>mcm-6</v>
      </c>
      <c r="Q718" s="4">
        <v>15.610682067443699</v>
      </c>
      <c r="R718" s="4">
        <v>15.5152647135102</v>
      </c>
      <c r="S718" s="4">
        <v>15.4811109838704</v>
      </c>
      <c r="T718" s="4">
        <f t="shared" si="46"/>
        <v>15.535685921608099</v>
      </c>
      <c r="W718" s="4" t="str">
        <f>"srdh-1"</f>
        <v>srdh-1</v>
      </c>
      <c r="X718" s="4">
        <v>15.8351422251028</v>
      </c>
      <c r="Y718" s="4">
        <v>15.5347443467308</v>
      </c>
      <c r="Z718" s="4">
        <v>15.568714232262201</v>
      </c>
      <c r="AA718" s="4">
        <f t="shared" si="47"/>
        <v>15.646200268031933</v>
      </c>
      <c r="AJ718" s="4" t="s">
        <v>1559</v>
      </c>
      <c r="AL718" s="1"/>
      <c r="AM718" s="1"/>
      <c r="AN718" s="1"/>
    </row>
    <row r="719" spans="2:40" x14ac:dyDescent="0.2">
      <c r="B719" s="4" t="s">
        <v>3122</v>
      </c>
      <c r="C719" s="4">
        <v>15.3445</v>
      </c>
      <c r="D719" s="4">
        <v>15.941000000000001</v>
      </c>
      <c r="E719" s="4">
        <v>16.3249</v>
      </c>
      <c r="F719" s="4">
        <f t="shared" si="44"/>
        <v>15.870133333333333</v>
      </c>
      <c r="I719" s="4" t="s">
        <v>1493</v>
      </c>
      <c r="J719" s="4">
        <v>16.0578</v>
      </c>
      <c r="K719" s="4">
        <v>15.8894</v>
      </c>
      <c r="L719" s="4">
        <v>15.6408</v>
      </c>
      <c r="M719" s="4">
        <f t="shared" si="45"/>
        <v>15.862666666666668</v>
      </c>
      <c r="P719" s="4" t="str">
        <f>"arx-2"</f>
        <v>arx-2</v>
      </c>
      <c r="Q719" s="4">
        <v>15.690102300112301</v>
      </c>
      <c r="R719" s="4">
        <v>15.4260594305895</v>
      </c>
      <c r="S719" s="4">
        <v>15.488709161705</v>
      </c>
      <c r="T719" s="4">
        <f t="shared" si="46"/>
        <v>15.534956964135601</v>
      </c>
      <c r="W719" s="4" t="str">
        <f>"sucg-1"</f>
        <v>sucg-1</v>
      </c>
      <c r="X719" s="4">
        <v>15.370906339238401</v>
      </c>
      <c r="Y719" s="4">
        <v>15.6986632040889</v>
      </c>
      <c r="Z719" s="4">
        <v>15.864592395896301</v>
      </c>
      <c r="AA719" s="4">
        <f t="shared" si="47"/>
        <v>15.644720646407867</v>
      </c>
      <c r="AJ719" s="4" t="s">
        <v>555</v>
      </c>
      <c r="AL719" s="1"/>
      <c r="AM719" s="1"/>
      <c r="AN719" s="1"/>
    </row>
    <row r="720" spans="2:40" x14ac:dyDescent="0.2">
      <c r="B720" s="4" t="s">
        <v>2582</v>
      </c>
      <c r="C720" s="4">
        <v>15.8371</v>
      </c>
      <c r="D720" s="4">
        <v>16.047999999999998</v>
      </c>
      <c r="E720" s="4">
        <v>15.7082</v>
      </c>
      <c r="F720" s="4">
        <f t="shared" si="44"/>
        <v>15.864433333333332</v>
      </c>
      <c r="I720" s="4" t="s">
        <v>768</v>
      </c>
      <c r="J720" s="4">
        <v>15.3512</v>
      </c>
      <c r="K720" s="4">
        <v>16.188800000000001</v>
      </c>
      <c r="L720" s="4">
        <v>16.044899999999998</v>
      </c>
      <c r="M720" s="4">
        <f t="shared" si="45"/>
        <v>15.861633333333332</v>
      </c>
      <c r="P720" s="4" t="str">
        <f>"vha-2"</f>
        <v>vha-2</v>
      </c>
      <c r="Q720" s="4">
        <v>14.975259729696299</v>
      </c>
      <c r="R720" s="4">
        <v>15.812444673617501</v>
      </c>
      <c r="S720" s="4">
        <v>15.8133398702597</v>
      </c>
      <c r="T720" s="4">
        <f t="shared" si="46"/>
        <v>15.533681424524501</v>
      </c>
      <c r="W720" s="4" t="str">
        <f>"nono-1"</f>
        <v>nono-1</v>
      </c>
      <c r="X720" s="4">
        <v>15.717683394538399</v>
      </c>
      <c r="Y720" s="4">
        <v>15.6839218810668</v>
      </c>
      <c r="Z720" s="4">
        <v>15.5195227075302</v>
      </c>
      <c r="AA720" s="4">
        <f t="shared" si="47"/>
        <v>15.640375994378466</v>
      </c>
      <c r="AJ720" s="4" t="s">
        <v>2455</v>
      </c>
      <c r="AL720" s="1"/>
      <c r="AM720" s="1"/>
      <c r="AN720" s="1"/>
    </row>
    <row r="721" spans="2:40" x14ac:dyDescent="0.2">
      <c r="B721" s="4" t="s">
        <v>2541</v>
      </c>
      <c r="C721" s="4">
        <v>15.834899999999999</v>
      </c>
      <c r="D721" s="4">
        <v>15.631</v>
      </c>
      <c r="E721" s="4">
        <v>16.124600000000001</v>
      </c>
      <c r="F721" s="4">
        <f t="shared" si="44"/>
        <v>15.8635</v>
      </c>
      <c r="I721" s="4" t="s">
        <v>1791</v>
      </c>
      <c r="J721" s="4">
        <v>16.013100000000001</v>
      </c>
      <c r="K721" s="4">
        <v>16.895299999999999</v>
      </c>
      <c r="L721" s="4">
        <v>14.660600000000001</v>
      </c>
      <c r="M721" s="4">
        <f t="shared" si="45"/>
        <v>15.856333333333334</v>
      </c>
      <c r="P721" s="4" t="str">
        <f>"C29H12.2"</f>
        <v>C29H12.2</v>
      </c>
      <c r="Q721" s="4">
        <v>15.4824498210132</v>
      </c>
      <c r="R721" s="4">
        <v>15.5554198122492</v>
      </c>
      <c r="S721" s="4">
        <v>15.557536048408901</v>
      </c>
      <c r="T721" s="4">
        <f t="shared" si="46"/>
        <v>15.531801893890433</v>
      </c>
      <c r="W721" s="4" t="str">
        <f>"hgap-1"</f>
        <v>hgap-1</v>
      </c>
      <c r="X721" s="4">
        <v>15.582469025272299</v>
      </c>
      <c r="Y721" s="4">
        <v>15.6494481216482</v>
      </c>
      <c r="Z721" s="4">
        <v>15.686708396886599</v>
      </c>
      <c r="AA721" s="4">
        <f t="shared" si="47"/>
        <v>15.639541847935702</v>
      </c>
      <c r="AJ721" s="4" t="s">
        <v>548</v>
      </c>
      <c r="AL721" s="1"/>
      <c r="AM721" s="1"/>
      <c r="AN721" s="1"/>
    </row>
    <row r="722" spans="2:40" x14ac:dyDescent="0.2">
      <c r="B722" s="4" t="s">
        <v>797</v>
      </c>
      <c r="C722" s="4">
        <v>15.686500000000001</v>
      </c>
      <c r="D722" s="4">
        <v>15.9786</v>
      </c>
      <c r="E722" s="4">
        <v>15.9217</v>
      </c>
      <c r="F722" s="4">
        <f t="shared" si="44"/>
        <v>15.862266666666669</v>
      </c>
      <c r="I722" s="4" t="s">
        <v>3619</v>
      </c>
      <c r="J722" s="4">
        <v>15.8719</v>
      </c>
      <c r="K722" s="4">
        <v>15.6313</v>
      </c>
      <c r="L722" s="4">
        <v>16.049099999999999</v>
      </c>
      <c r="M722" s="4">
        <f t="shared" si="45"/>
        <v>15.850766666666667</v>
      </c>
      <c r="P722" s="4" t="str">
        <f>"E01A2.2"</f>
        <v>E01A2.2</v>
      </c>
      <c r="Q722" s="4">
        <v>15.324863272192299</v>
      </c>
      <c r="R722" s="4">
        <v>15.5527836667556</v>
      </c>
      <c r="S722" s="4">
        <v>15.712595137394301</v>
      </c>
      <c r="T722" s="4">
        <f t="shared" si="46"/>
        <v>15.530080692114067</v>
      </c>
      <c r="W722" s="4" t="str">
        <f>"sir-2.2"</f>
        <v>sir-2.2</v>
      </c>
      <c r="X722" s="4">
        <v>15.4996043971863</v>
      </c>
      <c r="Y722" s="4">
        <v>15.560980428334901</v>
      </c>
      <c r="Z722" s="4">
        <v>15.8566315173841</v>
      </c>
      <c r="AA722" s="4">
        <f t="shared" si="47"/>
        <v>15.639072114301767</v>
      </c>
      <c r="AJ722" s="4" t="s">
        <v>4119</v>
      </c>
      <c r="AL722" s="1"/>
      <c r="AM722" s="1"/>
      <c r="AN722" s="1"/>
    </row>
    <row r="723" spans="2:40" x14ac:dyDescent="0.2">
      <c r="B723" s="4" t="s">
        <v>2297</v>
      </c>
      <c r="C723" s="4">
        <v>15.737</v>
      </c>
      <c r="D723" s="4">
        <v>15.801299999999999</v>
      </c>
      <c r="E723" s="4">
        <v>16.040900000000001</v>
      </c>
      <c r="F723" s="4">
        <f t="shared" si="44"/>
        <v>15.859733333333333</v>
      </c>
      <c r="I723" s="4" t="s">
        <v>579</v>
      </c>
      <c r="J723" s="4">
        <v>15.8887</v>
      </c>
      <c r="K723" s="4">
        <v>15.798299999999999</v>
      </c>
      <c r="L723" s="4">
        <v>15.8636</v>
      </c>
      <c r="M723" s="4">
        <f t="shared" si="45"/>
        <v>15.850199999999999</v>
      </c>
      <c r="P723" s="4" t="str">
        <f>"F58F12.1"</f>
        <v>F58F12.1</v>
      </c>
      <c r="Q723" s="4">
        <v>15.6217017463691</v>
      </c>
      <c r="R723" s="4">
        <v>15.2091703692541</v>
      </c>
      <c r="S723" s="4">
        <v>15.7488551319643</v>
      </c>
      <c r="T723" s="4">
        <f t="shared" si="46"/>
        <v>15.526575749195834</v>
      </c>
      <c r="W723" s="4" t="str">
        <f>"immp-2"</f>
        <v>immp-2</v>
      </c>
      <c r="X723" s="4">
        <v>15.5045501689759</v>
      </c>
      <c r="Y723" s="4">
        <v>15.900205722096601</v>
      </c>
      <c r="Z723" s="4">
        <v>15.5069672797667</v>
      </c>
      <c r="AA723" s="4">
        <f t="shared" si="47"/>
        <v>15.637241056946401</v>
      </c>
      <c r="AJ723" s="4" t="s">
        <v>871</v>
      </c>
      <c r="AL723" s="1"/>
      <c r="AM723" s="1"/>
      <c r="AN723" s="1"/>
    </row>
    <row r="724" spans="2:40" x14ac:dyDescent="0.2">
      <c r="B724" s="4" t="s">
        <v>1053</v>
      </c>
      <c r="C724" s="4">
        <v>15.6944</v>
      </c>
      <c r="D724" s="4">
        <v>15.957000000000001</v>
      </c>
      <c r="E724" s="4">
        <v>15.9261</v>
      </c>
      <c r="F724" s="4">
        <f t="shared" si="44"/>
        <v>15.859166666666667</v>
      </c>
      <c r="I724" s="4" t="s">
        <v>223</v>
      </c>
      <c r="J724" s="4">
        <v>15.820499999999999</v>
      </c>
      <c r="K724" s="4">
        <v>15.861599999999999</v>
      </c>
      <c r="L724" s="4">
        <v>15.8591</v>
      </c>
      <c r="M724" s="4">
        <f t="shared" si="45"/>
        <v>15.847066666666665</v>
      </c>
      <c r="P724" s="4" t="str">
        <f>"zyg-9"</f>
        <v>zyg-9</v>
      </c>
      <c r="Q724" s="4">
        <v>15.564195223399601</v>
      </c>
      <c r="R724" s="4">
        <v>15.5702981711779</v>
      </c>
      <c r="S724" s="4">
        <v>15.4449254099148</v>
      </c>
      <c r="T724" s="4">
        <f t="shared" si="46"/>
        <v>15.526472934830766</v>
      </c>
      <c r="W724" s="4" t="str">
        <f>"Y55F3AM.13"</f>
        <v>Y55F3AM.13</v>
      </c>
      <c r="X724" s="4">
        <v>15.723296915755</v>
      </c>
      <c r="Y724" s="4">
        <v>15.717558415782801</v>
      </c>
      <c r="Z724" s="4">
        <v>15.468215521546901</v>
      </c>
      <c r="AA724" s="4">
        <f t="shared" si="47"/>
        <v>15.636356951028233</v>
      </c>
      <c r="AJ724" s="4" t="s">
        <v>2146</v>
      </c>
      <c r="AL724" s="1"/>
      <c r="AM724" s="1"/>
      <c r="AN724" s="1"/>
    </row>
    <row r="725" spans="2:40" x14ac:dyDescent="0.2">
      <c r="B725" s="4" t="s">
        <v>1232</v>
      </c>
      <c r="C725" s="4">
        <v>15.763</v>
      </c>
      <c r="D725" s="4">
        <v>16.049900000000001</v>
      </c>
      <c r="E725" s="4">
        <v>15.763999999999999</v>
      </c>
      <c r="F725" s="4">
        <f t="shared" si="44"/>
        <v>15.858966666666666</v>
      </c>
      <c r="I725" s="4" t="s">
        <v>660</v>
      </c>
      <c r="J725" s="4">
        <v>15.8828</v>
      </c>
      <c r="K725" s="4">
        <v>16.312799999999999</v>
      </c>
      <c r="L725" s="4">
        <v>15.343999999999999</v>
      </c>
      <c r="M725" s="4">
        <f t="shared" si="45"/>
        <v>15.846533333333333</v>
      </c>
      <c r="P725" s="4" t="str">
        <f>"mrpl-13"</f>
        <v>mrpl-13</v>
      </c>
      <c r="Q725" s="4">
        <v>16.190270158201301</v>
      </c>
      <c r="R725" s="4">
        <v>15.2621432574139</v>
      </c>
      <c r="S725" s="4">
        <v>15.1212638929844</v>
      </c>
      <c r="T725" s="4">
        <f t="shared" si="46"/>
        <v>15.524559102866533</v>
      </c>
      <c r="W725" s="4" t="str">
        <f>"tag-196"</f>
        <v>tag-196</v>
      </c>
      <c r="X725" s="4">
        <v>15.472281896763</v>
      </c>
      <c r="Y725" s="4">
        <v>15.728780128900601</v>
      </c>
      <c r="Z725" s="4">
        <v>15.7005150165392</v>
      </c>
      <c r="AA725" s="4">
        <f t="shared" si="47"/>
        <v>15.633859014067601</v>
      </c>
      <c r="AJ725" s="4" t="s">
        <v>4317</v>
      </c>
      <c r="AL725" s="1"/>
      <c r="AM725" s="1"/>
      <c r="AN725" s="1"/>
    </row>
    <row r="726" spans="2:40" x14ac:dyDescent="0.2">
      <c r="B726" s="4" t="s">
        <v>3972</v>
      </c>
      <c r="C726" s="4">
        <v>15.916</v>
      </c>
      <c r="D726" s="4">
        <v>16.125</v>
      </c>
      <c r="E726" s="4">
        <v>15.533799999999999</v>
      </c>
      <c r="F726" s="4">
        <f t="shared" si="44"/>
        <v>15.858266666666665</v>
      </c>
      <c r="I726" s="4" t="s">
        <v>3382</v>
      </c>
      <c r="J726" s="4">
        <v>16.1023</v>
      </c>
      <c r="K726" s="4">
        <v>15.2881</v>
      </c>
      <c r="L726" s="4">
        <v>16.143999999999998</v>
      </c>
      <c r="M726" s="4">
        <f t="shared" si="45"/>
        <v>15.844799999999999</v>
      </c>
      <c r="P726" s="4" t="str">
        <f>"hpo-29"</f>
        <v>hpo-29</v>
      </c>
      <c r="Q726" s="4">
        <v>15.3121826956144</v>
      </c>
      <c r="R726" s="4">
        <v>15.676880213530399</v>
      </c>
      <c r="S726" s="4">
        <v>15.5807025619388</v>
      </c>
      <c r="T726" s="4">
        <f t="shared" si="46"/>
        <v>15.523255157027867</v>
      </c>
      <c r="W726" s="4" t="str">
        <f>"sdha-2"</f>
        <v>sdha-2</v>
      </c>
      <c r="X726" s="4">
        <v>15.5219374836788</v>
      </c>
      <c r="Y726" s="4">
        <v>15.600064881910599</v>
      </c>
      <c r="Z726" s="4">
        <v>15.7726745274454</v>
      </c>
      <c r="AA726" s="4">
        <f t="shared" si="47"/>
        <v>15.631558964344933</v>
      </c>
      <c r="AJ726" s="4" t="s">
        <v>4371</v>
      </c>
      <c r="AL726" s="1"/>
      <c r="AM726" s="1"/>
      <c r="AN726" s="1"/>
    </row>
    <row r="727" spans="2:40" x14ac:dyDescent="0.2">
      <c r="B727" s="4" t="s">
        <v>2559</v>
      </c>
      <c r="C727" s="4">
        <v>15.8286</v>
      </c>
      <c r="D727" s="4">
        <v>15.8817</v>
      </c>
      <c r="E727" s="4">
        <v>15.845800000000001</v>
      </c>
      <c r="F727" s="4">
        <f t="shared" si="44"/>
        <v>15.852033333333333</v>
      </c>
      <c r="I727" s="4" t="s">
        <v>3210</v>
      </c>
      <c r="J727" s="4">
        <v>15.554</v>
      </c>
      <c r="K727" s="4">
        <v>15.8582</v>
      </c>
      <c r="L727" s="4">
        <v>16.106200000000001</v>
      </c>
      <c r="M727" s="4">
        <f t="shared" si="45"/>
        <v>15.839466666666667</v>
      </c>
      <c r="P727" s="4" t="str">
        <f>"gpd-1"</f>
        <v>gpd-1</v>
      </c>
      <c r="Q727" s="4">
        <v>16.118846292687198</v>
      </c>
      <c r="R727" s="4">
        <v>15.2900674192711</v>
      </c>
      <c r="S727" s="4">
        <v>15.1604271281946</v>
      </c>
      <c r="T727" s="4">
        <f t="shared" si="46"/>
        <v>15.523113613384298</v>
      </c>
      <c r="W727" s="4" t="str">
        <f>"hsp-12.2"</f>
        <v>hsp-12.2</v>
      </c>
      <c r="X727" s="4">
        <v>15.7775208055142</v>
      </c>
      <c r="Y727" s="4">
        <v>15.548682521965601</v>
      </c>
      <c r="Z727" s="4">
        <v>15.553862486416</v>
      </c>
      <c r="AA727" s="4">
        <f t="shared" si="47"/>
        <v>15.626688604631935</v>
      </c>
      <c r="AJ727" s="4" t="s">
        <v>4135</v>
      </c>
      <c r="AL727" s="1"/>
      <c r="AM727" s="1"/>
      <c r="AN727" s="1"/>
    </row>
    <row r="728" spans="2:40" x14ac:dyDescent="0.2">
      <c r="B728" s="4" t="s">
        <v>2138</v>
      </c>
      <c r="C728" s="4">
        <v>15.761200000000001</v>
      </c>
      <c r="D728" s="4">
        <v>15.9107</v>
      </c>
      <c r="E728" s="4">
        <v>15.8681</v>
      </c>
      <c r="F728" s="4">
        <f t="shared" si="44"/>
        <v>15.846666666666666</v>
      </c>
      <c r="I728" s="4" t="s">
        <v>951</v>
      </c>
      <c r="J728" s="4">
        <v>15.5617</v>
      </c>
      <c r="K728" s="4">
        <v>15.501200000000001</v>
      </c>
      <c r="L728" s="4">
        <v>16.453499999999998</v>
      </c>
      <c r="M728" s="4">
        <f t="shared" si="45"/>
        <v>15.838799999999999</v>
      </c>
      <c r="P728" s="4" t="str">
        <f>"acs-11"</f>
        <v>acs-11</v>
      </c>
      <c r="Q728" s="4">
        <v>15.679067045310299</v>
      </c>
      <c r="R728" s="4">
        <v>15.4656711668562</v>
      </c>
      <c r="S728" s="4">
        <v>15.416334806887701</v>
      </c>
      <c r="T728" s="4">
        <f t="shared" si="46"/>
        <v>15.520357673018069</v>
      </c>
      <c r="W728" s="4" t="str">
        <f>"Y51H7C.13"</f>
        <v>Y51H7C.13</v>
      </c>
      <c r="X728" s="4">
        <v>15.003163590674101</v>
      </c>
      <c r="Y728" s="4">
        <v>15.5994617010737</v>
      </c>
      <c r="Z728" s="4">
        <v>16.276738978418098</v>
      </c>
      <c r="AA728" s="4">
        <f t="shared" si="47"/>
        <v>15.626454756721964</v>
      </c>
      <c r="AJ728" s="4" t="s">
        <v>3288</v>
      </c>
      <c r="AL728" s="1"/>
      <c r="AM728" s="1"/>
      <c r="AN728" s="1"/>
    </row>
    <row r="729" spans="2:40" x14ac:dyDescent="0.2">
      <c r="B729" s="4" t="s">
        <v>2217</v>
      </c>
      <c r="C729" s="4">
        <v>15.8957</v>
      </c>
      <c r="D729" s="4">
        <v>15.7119</v>
      </c>
      <c r="E729" s="4">
        <v>15.9293</v>
      </c>
      <c r="F729" s="4">
        <f t="shared" si="44"/>
        <v>15.845633333333332</v>
      </c>
      <c r="I729" s="4" t="s">
        <v>1251</v>
      </c>
      <c r="J729" s="4">
        <v>15.6503</v>
      </c>
      <c r="K729" s="4">
        <v>15.9323</v>
      </c>
      <c r="L729" s="4">
        <v>15.932700000000001</v>
      </c>
      <c r="M729" s="4">
        <f t="shared" si="45"/>
        <v>15.838433333333333</v>
      </c>
      <c r="P729" s="4" t="str">
        <f>"tag-196"</f>
        <v>tag-196</v>
      </c>
      <c r="Q729" s="4">
        <v>15.473549769747899</v>
      </c>
      <c r="R729" s="4">
        <v>15.650351043332</v>
      </c>
      <c r="S729" s="4">
        <v>15.435041427825</v>
      </c>
      <c r="T729" s="4">
        <f t="shared" si="46"/>
        <v>15.519647413634965</v>
      </c>
      <c r="W729" s="4" t="str">
        <f>"frm-1"</f>
        <v>frm-1</v>
      </c>
      <c r="X729" s="4">
        <v>15.450086048397999</v>
      </c>
      <c r="Y729" s="4">
        <v>15.7535971201343</v>
      </c>
      <c r="Z729" s="4">
        <v>15.674891406101899</v>
      </c>
      <c r="AA729" s="4">
        <f t="shared" si="47"/>
        <v>15.626191524878067</v>
      </c>
      <c r="AJ729" s="4" t="s">
        <v>3674</v>
      </c>
      <c r="AL729" s="1"/>
      <c r="AM729" s="1"/>
      <c r="AN729" s="1"/>
    </row>
    <row r="730" spans="2:40" x14ac:dyDescent="0.2">
      <c r="B730" s="4" t="s">
        <v>2684</v>
      </c>
      <c r="C730" s="4">
        <v>15.9231</v>
      </c>
      <c r="D730" s="4">
        <v>15.7933</v>
      </c>
      <c r="E730" s="4">
        <v>15.7631</v>
      </c>
      <c r="F730" s="4">
        <f t="shared" si="44"/>
        <v>15.826500000000001</v>
      </c>
      <c r="I730" s="4" t="s">
        <v>3109</v>
      </c>
      <c r="J730" s="4">
        <v>15.597099999999999</v>
      </c>
      <c r="K730" s="4">
        <v>15.836600000000001</v>
      </c>
      <c r="L730" s="4">
        <v>16.0687</v>
      </c>
      <c r="M730" s="4">
        <f t="shared" si="45"/>
        <v>15.834133333333334</v>
      </c>
      <c r="P730" s="4" t="str">
        <f>"F30F8.9"</f>
        <v>F30F8.9</v>
      </c>
      <c r="Q730" s="4">
        <v>15.4553555062786</v>
      </c>
      <c r="R730" s="4">
        <v>15.5886643291522</v>
      </c>
      <c r="S730" s="4">
        <v>15.508116079762701</v>
      </c>
      <c r="T730" s="4">
        <f t="shared" si="46"/>
        <v>15.517378638397835</v>
      </c>
      <c r="W730" s="4" t="str">
        <f>"acl-14"</f>
        <v>acl-14</v>
      </c>
      <c r="X730" s="4">
        <v>15.6968993373854</v>
      </c>
      <c r="Y730" s="4">
        <v>15.605412684788901</v>
      </c>
      <c r="Z730" s="4">
        <v>15.576083116815701</v>
      </c>
      <c r="AA730" s="4">
        <f t="shared" si="47"/>
        <v>15.626131712996667</v>
      </c>
      <c r="AJ730" s="4" t="s">
        <v>4319</v>
      </c>
      <c r="AL730" s="1"/>
      <c r="AM730" s="1"/>
      <c r="AN730" s="1"/>
    </row>
    <row r="731" spans="2:40" x14ac:dyDescent="0.2">
      <c r="B731" s="4" t="s">
        <v>524</v>
      </c>
      <c r="C731" s="4">
        <v>15.5642</v>
      </c>
      <c r="D731" s="4">
        <v>15.95</v>
      </c>
      <c r="E731" s="4">
        <v>15.955399999999999</v>
      </c>
      <c r="F731" s="4">
        <f t="shared" si="44"/>
        <v>15.8232</v>
      </c>
      <c r="I731" s="4" t="s">
        <v>4032</v>
      </c>
      <c r="J731" s="4">
        <v>15.597799999999999</v>
      </c>
      <c r="K731" s="4">
        <v>16.364999999999998</v>
      </c>
      <c r="L731" s="4">
        <v>15.535399999999999</v>
      </c>
      <c r="M731" s="4">
        <f t="shared" si="45"/>
        <v>15.832733333333332</v>
      </c>
      <c r="P731" s="4" t="str">
        <f>"Y54H5A.2"</f>
        <v>Y54H5A.2</v>
      </c>
      <c r="Q731" s="4">
        <v>15.654055997472501</v>
      </c>
      <c r="R731" s="4">
        <v>15.5124506163473</v>
      </c>
      <c r="S731" s="4">
        <v>15.3854149426124</v>
      </c>
      <c r="T731" s="4">
        <f t="shared" si="46"/>
        <v>15.517307185477399</v>
      </c>
      <c r="W731" s="4" t="str">
        <f>"ptp-2"</f>
        <v>ptp-2</v>
      </c>
      <c r="X731" s="4">
        <v>15.5095760901388</v>
      </c>
      <c r="Y731" s="4">
        <v>15.722996933391199</v>
      </c>
      <c r="Z731" s="4">
        <v>15.6367016880283</v>
      </c>
      <c r="AA731" s="4">
        <f t="shared" si="47"/>
        <v>15.623091570519435</v>
      </c>
      <c r="AJ731" s="4" t="s">
        <v>2856</v>
      </c>
      <c r="AL731" s="1"/>
      <c r="AM731" s="1"/>
      <c r="AN731" s="1"/>
    </row>
    <row r="732" spans="2:40" x14ac:dyDescent="0.2">
      <c r="B732" s="4" t="s">
        <v>3810</v>
      </c>
      <c r="C732" s="4">
        <v>15.859</v>
      </c>
      <c r="D732" s="4">
        <v>16.084199999999999</v>
      </c>
      <c r="E732" s="4">
        <v>15.526400000000001</v>
      </c>
      <c r="F732" s="4">
        <f t="shared" si="44"/>
        <v>15.8232</v>
      </c>
      <c r="I732" s="4" t="s">
        <v>952</v>
      </c>
      <c r="J732" s="4">
        <v>16.047000000000001</v>
      </c>
      <c r="K732" s="4">
        <v>15.681100000000001</v>
      </c>
      <c r="L732" s="4">
        <v>15.7646</v>
      </c>
      <c r="M732" s="4">
        <f t="shared" si="45"/>
        <v>15.8309</v>
      </c>
      <c r="P732" s="4" t="str">
        <f>"hecd-1"</f>
        <v>hecd-1</v>
      </c>
      <c r="Q732" s="4">
        <v>15.498597966215501</v>
      </c>
      <c r="R732" s="4">
        <v>15.5895899810705</v>
      </c>
      <c r="S732" s="4">
        <v>15.460899419268699</v>
      </c>
      <c r="T732" s="4">
        <f t="shared" si="46"/>
        <v>15.516362455518234</v>
      </c>
      <c r="W732" s="4" t="str">
        <f>"C29H12.2"</f>
        <v>C29H12.2</v>
      </c>
      <c r="X732" s="4">
        <v>15.776794518708201</v>
      </c>
      <c r="Y732" s="4">
        <v>15.5300266219063</v>
      </c>
      <c r="Z732" s="4">
        <v>15.5579347829498</v>
      </c>
      <c r="AA732" s="4">
        <f t="shared" si="47"/>
        <v>15.621585307854767</v>
      </c>
      <c r="AJ732" s="4" t="s">
        <v>3643</v>
      </c>
      <c r="AL732" s="1"/>
      <c r="AM732" s="1"/>
      <c r="AN732" s="1"/>
    </row>
    <row r="733" spans="2:40" x14ac:dyDescent="0.2">
      <c r="B733" s="4" t="s">
        <v>2055</v>
      </c>
      <c r="C733" s="4">
        <v>15.7567</v>
      </c>
      <c r="D733" s="4">
        <v>15.6775</v>
      </c>
      <c r="E733" s="4">
        <v>16.031500000000001</v>
      </c>
      <c r="F733" s="4">
        <f t="shared" si="44"/>
        <v>15.821899999999999</v>
      </c>
      <c r="I733" s="4" t="s">
        <v>596</v>
      </c>
      <c r="J733" s="4">
        <v>16.005099999999999</v>
      </c>
      <c r="K733" s="4">
        <v>15.883800000000001</v>
      </c>
      <c r="L733" s="4">
        <v>15.5943</v>
      </c>
      <c r="M733" s="4">
        <f t="shared" si="45"/>
        <v>15.827733333333333</v>
      </c>
      <c r="P733" s="4" t="str">
        <f>"Y71H10B.1"</f>
        <v>Y71H10B.1</v>
      </c>
      <c r="Q733" s="4">
        <v>15.2503112959969</v>
      </c>
      <c r="R733" s="4">
        <v>15.6079280335265</v>
      </c>
      <c r="S733" s="4">
        <v>15.680420299389599</v>
      </c>
      <c r="T733" s="4">
        <f t="shared" si="46"/>
        <v>15.512886542970998</v>
      </c>
      <c r="W733" s="4" t="str">
        <f>"ctr-9"</f>
        <v>ctr-9</v>
      </c>
      <c r="X733" s="4">
        <v>15.5895896175149</v>
      </c>
      <c r="Y733" s="4">
        <v>15.556535135208099</v>
      </c>
      <c r="Z733" s="4">
        <v>15.7035709510912</v>
      </c>
      <c r="AA733" s="4">
        <f t="shared" si="47"/>
        <v>15.616565234604733</v>
      </c>
      <c r="AJ733" s="4" t="s">
        <v>480</v>
      </c>
      <c r="AL733" s="1"/>
      <c r="AM733" s="1"/>
      <c r="AN733" s="1"/>
    </row>
    <row r="734" spans="2:40" x14ac:dyDescent="0.2">
      <c r="B734" s="4" t="s">
        <v>1334</v>
      </c>
      <c r="C734" s="4">
        <v>15.5586</v>
      </c>
      <c r="D734" s="4">
        <v>15.855600000000001</v>
      </c>
      <c r="E734" s="4">
        <v>16.04</v>
      </c>
      <c r="F734" s="4">
        <f t="shared" si="44"/>
        <v>15.818066666666667</v>
      </c>
      <c r="I734" s="4" t="s">
        <v>2300</v>
      </c>
      <c r="J734" s="4">
        <v>16.084299999999999</v>
      </c>
      <c r="K734" s="4">
        <v>16.0029</v>
      </c>
      <c r="L734" s="4">
        <v>15.3934</v>
      </c>
      <c r="M734" s="4">
        <f t="shared" si="45"/>
        <v>15.826866666666666</v>
      </c>
      <c r="P734" s="4" t="str">
        <f>"unc-1"</f>
        <v>unc-1</v>
      </c>
      <c r="Q734" s="4">
        <v>15.694390022488699</v>
      </c>
      <c r="R734" s="4">
        <v>15.251119189082701</v>
      </c>
      <c r="S734" s="4">
        <v>15.5838255190247</v>
      </c>
      <c r="T734" s="4">
        <f t="shared" si="46"/>
        <v>15.509778243532033</v>
      </c>
      <c r="W734" s="4" t="str">
        <f>"drh-3"</f>
        <v>drh-3</v>
      </c>
      <c r="X734" s="4">
        <v>15.6029878023653</v>
      </c>
      <c r="Y734" s="4">
        <v>15.7207783511216</v>
      </c>
      <c r="Z734" s="4">
        <v>15.5110345918582</v>
      </c>
      <c r="AA734" s="4">
        <f t="shared" si="47"/>
        <v>15.611600248448367</v>
      </c>
      <c r="AJ734" s="4" t="s">
        <v>4411</v>
      </c>
      <c r="AL734" s="1"/>
      <c r="AM734" s="1"/>
      <c r="AN734" s="1"/>
    </row>
    <row r="735" spans="2:40" x14ac:dyDescent="0.2">
      <c r="B735" s="4" t="s">
        <v>3180</v>
      </c>
      <c r="C735" s="4">
        <v>16.017700000000001</v>
      </c>
      <c r="D735" s="4">
        <v>15.6876</v>
      </c>
      <c r="E735" s="4">
        <v>15.739599999999999</v>
      </c>
      <c r="F735" s="4">
        <f t="shared" si="44"/>
        <v>15.814966666666669</v>
      </c>
      <c r="I735" s="4" t="s">
        <v>166</v>
      </c>
      <c r="J735" s="4">
        <v>15.9307</v>
      </c>
      <c r="K735" s="4">
        <v>15.7155</v>
      </c>
      <c r="L735" s="4">
        <v>15.829499999999999</v>
      </c>
      <c r="M735" s="4">
        <f t="shared" si="45"/>
        <v>15.825233333333335</v>
      </c>
      <c r="P735" s="4" t="str">
        <f>"ndua-1"</f>
        <v>ndua-1</v>
      </c>
      <c r="Q735" s="4">
        <v>15.8957856261444</v>
      </c>
      <c r="R735" s="4">
        <v>15.2252085915717</v>
      </c>
      <c r="S735" s="4">
        <v>15.4040806866858</v>
      </c>
      <c r="T735" s="4">
        <f t="shared" si="46"/>
        <v>15.508358301467302</v>
      </c>
      <c r="W735" s="4" t="str">
        <f>"syf-3"</f>
        <v>syf-3</v>
      </c>
      <c r="X735" s="4">
        <v>15.4755748036157</v>
      </c>
      <c r="Y735" s="4">
        <v>15.4320148019924</v>
      </c>
      <c r="Z735" s="4">
        <v>15.9107900081579</v>
      </c>
      <c r="AA735" s="4">
        <f t="shared" si="47"/>
        <v>15.606126537922</v>
      </c>
      <c r="AJ735" s="4" t="s">
        <v>3734</v>
      </c>
      <c r="AL735" s="1"/>
      <c r="AM735" s="1"/>
      <c r="AN735" s="1"/>
    </row>
    <row r="736" spans="2:40" x14ac:dyDescent="0.2">
      <c r="B736" s="4" t="s">
        <v>2311</v>
      </c>
      <c r="C736" s="4">
        <v>15.779199999999999</v>
      </c>
      <c r="D736" s="4">
        <v>15.8368</v>
      </c>
      <c r="E736" s="4">
        <v>15.824199999999999</v>
      </c>
      <c r="F736" s="4">
        <f t="shared" si="44"/>
        <v>15.8134</v>
      </c>
      <c r="I736" s="4" t="s">
        <v>2396</v>
      </c>
      <c r="J736" s="4">
        <v>15.8178</v>
      </c>
      <c r="K736" s="4">
        <v>15.5168</v>
      </c>
      <c r="L736" s="4">
        <v>16.136800000000001</v>
      </c>
      <c r="M736" s="4">
        <f t="shared" si="45"/>
        <v>15.8238</v>
      </c>
      <c r="P736" s="4" t="str">
        <f>"C47B2.2"</f>
        <v>C47B2.2</v>
      </c>
      <c r="Q736" s="4">
        <v>15.516963214845299</v>
      </c>
      <c r="R736" s="4">
        <v>15.4163939781573</v>
      </c>
      <c r="S736" s="4">
        <v>15.5876039732984</v>
      </c>
      <c r="T736" s="4">
        <f t="shared" si="46"/>
        <v>15.506987055433667</v>
      </c>
      <c r="W736" s="4" t="str">
        <f>"unc-70"</f>
        <v>unc-70</v>
      </c>
      <c r="X736" s="4">
        <v>15.629767309694101</v>
      </c>
      <c r="Y736" s="4">
        <v>15.4211970271763</v>
      </c>
      <c r="Z736" s="4">
        <v>15.7657671169669</v>
      </c>
      <c r="AA736" s="4">
        <f t="shared" si="47"/>
        <v>15.6055771512791</v>
      </c>
      <c r="AJ736" s="4" t="s">
        <v>3447</v>
      </c>
      <c r="AL736" s="1"/>
      <c r="AM736" s="1"/>
      <c r="AN736" s="1"/>
    </row>
    <row r="737" spans="2:41" x14ac:dyDescent="0.2">
      <c r="B737" s="4" t="s">
        <v>700</v>
      </c>
      <c r="C737" s="4">
        <v>15.814500000000001</v>
      </c>
      <c r="D737" s="4">
        <v>15.9884</v>
      </c>
      <c r="E737" s="4">
        <v>15.634</v>
      </c>
      <c r="F737" s="4">
        <f t="shared" si="44"/>
        <v>15.8123</v>
      </c>
      <c r="I737" s="4" t="s">
        <v>3075</v>
      </c>
      <c r="J737" s="4">
        <v>16.028600000000001</v>
      </c>
      <c r="K737" s="4">
        <v>15.932499999999999</v>
      </c>
      <c r="L737" s="4">
        <v>15.5054</v>
      </c>
      <c r="M737" s="4">
        <f t="shared" si="45"/>
        <v>15.822166666666668</v>
      </c>
      <c r="P737" s="4" t="str">
        <f>"asp-4"</f>
        <v>asp-4</v>
      </c>
      <c r="Q737" s="4">
        <v>15.400378198817601</v>
      </c>
      <c r="R737" s="4">
        <v>15.5755987450524</v>
      </c>
      <c r="S737" s="4">
        <v>15.544113866599201</v>
      </c>
      <c r="T737" s="4">
        <f t="shared" si="46"/>
        <v>15.506696936823067</v>
      </c>
      <c r="W737" s="4" t="str">
        <f>"czw-1"</f>
        <v>czw-1</v>
      </c>
      <c r="X737" s="4">
        <v>15.6864005924879</v>
      </c>
      <c r="Y737" s="4">
        <v>15.5440269677404</v>
      </c>
      <c r="Z737" s="4">
        <v>15.5841539776292</v>
      </c>
      <c r="AA737" s="4">
        <f t="shared" si="47"/>
        <v>15.604860512619167</v>
      </c>
      <c r="AJ737" s="1" t="s">
        <v>134</v>
      </c>
      <c r="AL737" s="1"/>
      <c r="AM737" s="1"/>
      <c r="AN737" s="1"/>
      <c r="AO737" s="1"/>
    </row>
    <row r="738" spans="2:41" x14ac:dyDescent="0.2">
      <c r="B738" s="4" t="s">
        <v>2125</v>
      </c>
      <c r="C738" s="4">
        <v>15.857100000000001</v>
      </c>
      <c r="D738" s="4">
        <v>15.788500000000001</v>
      </c>
      <c r="E738" s="4">
        <v>15.788399999999999</v>
      </c>
      <c r="F738" s="4">
        <f t="shared" si="44"/>
        <v>15.811333333333332</v>
      </c>
      <c r="I738" s="4" t="s">
        <v>2125</v>
      </c>
      <c r="J738" s="4">
        <v>15.889200000000001</v>
      </c>
      <c r="K738" s="4">
        <v>15.6257</v>
      </c>
      <c r="L738" s="4">
        <v>15.9374</v>
      </c>
      <c r="M738" s="4">
        <f t="shared" si="45"/>
        <v>15.817433333333334</v>
      </c>
      <c r="P738" s="4" t="str">
        <f>"cup-2"</f>
        <v>cup-2</v>
      </c>
      <c r="Q738" s="4">
        <v>15.283877663146001</v>
      </c>
      <c r="R738" s="4">
        <v>15.619503326863301</v>
      </c>
      <c r="S738" s="4">
        <v>15.616015212273799</v>
      </c>
      <c r="T738" s="4">
        <f t="shared" si="46"/>
        <v>15.506465400761035</v>
      </c>
      <c r="W738" s="4" t="str">
        <f>"prmt-1"</f>
        <v>prmt-1</v>
      </c>
      <c r="X738" s="4">
        <v>15.6300801347674</v>
      </c>
      <c r="Y738" s="4">
        <v>15.5956287671097</v>
      </c>
      <c r="Z738" s="4">
        <v>15.5884039634385</v>
      </c>
      <c r="AA738" s="4">
        <f t="shared" si="47"/>
        <v>15.604704288438533</v>
      </c>
      <c r="AJ738" s="1" t="s">
        <v>628</v>
      </c>
      <c r="AL738" s="1"/>
      <c r="AM738" s="1"/>
      <c r="AN738" s="1"/>
      <c r="AO738" s="1"/>
    </row>
    <row r="739" spans="2:41" x14ac:dyDescent="0.2">
      <c r="B739" s="4" t="s">
        <v>1696</v>
      </c>
      <c r="C739" s="4">
        <v>15.7052</v>
      </c>
      <c r="D739" s="4">
        <v>15.882</v>
      </c>
      <c r="E739" s="4">
        <v>15.843400000000001</v>
      </c>
      <c r="F739" s="4">
        <f t="shared" si="44"/>
        <v>15.8102</v>
      </c>
      <c r="I739" s="4" t="s">
        <v>1002</v>
      </c>
      <c r="J739" s="4">
        <v>15.8574</v>
      </c>
      <c r="K739" s="4">
        <v>16.102599999999999</v>
      </c>
      <c r="L739" s="4">
        <v>15.4886</v>
      </c>
      <c r="M739" s="4">
        <f t="shared" si="45"/>
        <v>15.8162</v>
      </c>
      <c r="P739" s="4" t="str">
        <f>"mthf-1"</f>
        <v>mthf-1</v>
      </c>
      <c r="Q739" s="4">
        <v>15.6120664971143</v>
      </c>
      <c r="R739" s="4">
        <v>15.586572221874899</v>
      </c>
      <c r="S739" s="4">
        <v>15.317267476716101</v>
      </c>
      <c r="T739" s="4">
        <f t="shared" si="46"/>
        <v>15.505302065235099</v>
      </c>
      <c r="W739" s="4" t="str">
        <f>"adr-1"</f>
        <v>adr-1</v>
      </c>
      <c r="X739" s="4">
        <v>15.570015357953899</v>
      </c>
      <c r="Y739" s="4">
        <v>15.6472069058306</v>
      </c>
      <c r="Z739" s="4">
        <v>15.5962231240748</v>
      </c>
      <c r="AA739" s="4">
        <f t="shared" si="47"/>
        <v>15.604481795953101</v>
      </c>
      <c r="AJ739" s="1" t="s">
        <v>814</v>
      </c>
      <c r="AL739" s="1"/>
      <c r="AM739" s="1"/>
      <c r="AN739" s="1"/>
      <c r="AO739" s="1"/>
    </row>
    <row r="740" spans="2:41" x14ac:dyDescent="0.2">
      <c r="B740" s="4" t="s">
        <v>660</v>
      </c>
      <c r="C740" s="4">
        <v>15.7835</v>
      </c>
      <c r="D740" s="4">
        <v>15.998100000000001</v>
      </c>
      <c r="E740" s="4">
        <v>15.633599999999999</v>
      </c>
      <c r="F740" s="4">
        <f t="shared" si="44"/>
        <v>15.805066666666667</v>
      </c>
      <c r="I740" s="4" t="s">
        <v>276</v>
      </c>
      <c r="J740" s="4">
        <v>15.9763</v>
      </c>
      <c r="K740" s="4">
        <v>15.621</v>
      </c>
      <c r="L740" s="4">
        <v>15.8497</v>
      </c>
      <c r="M740" s="4">
        <f t="shared" si="45"/>
        <v>15.815666666666667</v>
      </c>
      <c r="P740" s="4" t="str">
        <f>"aqp-7"</f>
        <v>aqp-7</v>
      </c>
      <c r="Q740" s="4">
        <v>15.086412424644999</v>
      </c>
      <c r="R740" s="4">
        <v>15.6133233743957</v>
      </c>
      <c r="S740" s="4">
        <v>15.813790666638001</v>
      </c>
      <c r="T740" s="4">
        <f t="shared" si="46"/>
        <v>15.5045088218929</v>
      </c>
      <c r="W740" s="4" t="str">
        <f>"arf-1.2"</f>
        <v>arf-1.2</v>
      </c>
      <c r="X740" s="4">
        <v>15.8050489629577</v>
      </c>
      <c r="Y740" s="4">
        <v>15.5578078126794</v>
      </c>
      <c r="Z740" s="4">
        <v>15.438732175085701</v>
      </c>
      <c r="AA740" s="4">
        <f t="shared" si="47"/>
        <v>15.600529650240935</v>
      </c>
      <c r="AJ740" s="1" t="s">
        <v>634</v>
      </c>
      <c r="AL740" s="1"/>
      <c r="AM740" s="1"/>
      <c r="AN740" s="1"/>
      <c r="AO740" s="1"/>
    </row>
    <row r="741" spans="2:41" x14ac:dyDescent="0.2">
      <c r="B741" s="4" t="s">
        <v>1881</v>
      </c>
      <c r="C741" s="4">
        <v>15.8193</v>
      </c>
      <c r="D741" s="4">
        <v>15.9671</v>
      </c>
      <c r="E741" s="4">
        <v>15.620699999999999</v>
      </c>
      <c r="F741" s="4">
        <f t="shared" si="44"/>
        <v>15.802366666666666</v>
      </c>
      <c r="I741" s="4" t="s">
        <v>3468</v>
      </c>
      <c r="J741" s="4">
        <v>15.6469</v>
      </c>
      <c r="K741" s="4">
        <v>15.8231</v>
      </c>
      <c r="L741" s="4">
        <v>15.9742</v>
      </c>
      <c r="M741" s="4">
        <f t="shared" si="45"/>
        <v>15.814733333333331</v>
      </c>
      <c r="P741" s="4" t="str">
        <f>"cox-6A"</f>
        <v>cox-6A</v>
      </c>
      <c r="Q741" s="4">
        <v>15.552420151950701</v>
      </c>
      <c r="R741" s="4">
        <v>15.3939222276706</v>
      </c>
      <c r="S741" s="4">
        <v>15.566078588377399</v>
      </c>
      <c r="T741" s="4">
        <f t="shared" si="46"/>
        <v>15.504140322666233</v>
      </c>
      <c r="W741" s="4" t="str">
        <f>"frm-4"</f>
        <v>frm-4</v>
      </c>
      <c r="X741" s="4">
        <v>15.559900218883399</v>
      </c>
      <c r="Y741" s="4">
        <v>15.651439219704301</v>
      </c>
      <c r="Z741" s="4">
        <v>15.578819795107</v>
      </c>
      <c r="AA741" s="4">
        <f t="shared" si="47"/>
        <v>15.596719744564901</v>
      </c>
      <c r="AJ741" s="1" t="s">
        <v>955</v>
      </c>
      <c r="AL741" s="1"/>
      <c r="AM741" s="1"/>
      <c r="AN741" s="1"/>
      <c r="AO741" s="1"/>
    </row>
    <row r="742" spans="2:41" x14ac:dyDescent="0.2">
      <c r="B742" s="4" t="s">
        <v>3628</v>
      </c>
      <c r="C742" s="4">
        <v>15.8363</v>
      </c>
      <c r="D742" s="4">
        <v>15.649699999999999</v>
      </c>
      <c r="E742" s="4">
        <v>15.9191</v>
      </c>
      <c r="F742" s="4">
        <f t="shared" si="44"/>
        <v>15.801699999999999</v>
      </c>
      <c r="I742" s="4" t="s">
        <v>2684</v>
      </c>
      <c r="J742" s="4">
        <v>15.690300000000001</v>
      </c>
      <c r="K742" s="4">
        <v>15.795500000000001</v>
      </c>
      <c r="L742" s="4">
        <v>15.9503</v>
      </c>
      <c r="M742" s="4">
        <f t="shared" si="45"/>
        <v>15.812033333333334</v>
      </c>
      <c r="P742" s="4" t="str">
        <f>"dhs-30"</f>
        <v>dhs-30</v>
      </c>
      <c r="Q742" s="4">
        <v>15.3777183268726</v>
      </c>
      <c r="R742" s="4">
        <v>15.4231972376889</v>
      </c>
      <c r="S742" s="4">
        <v>15.705680002947201</v>
      </c>
      <c r="T742" s="4">
        <f t="shared" si="46"/>
        <v>15.5021985225029</v>
      </c>
      <c r="W742" s="4" t="str">
        <f>"rpl-43"</f>
        <v>rpl-43</v>
      </c>
      <c r="X742" s="4">
        <v>15.5839580116116</v>
      </c>
      <c r="Y742" s="4">
        <v>15.633680156812799</v>
      </c>
      <c r="Z742" s="4">
        <v>15.571905037036901</v>
      </c>
      <c r="AA742" s="4">
        <f t="shared" si="47"/>
        <v>15.596514401820434</v>
      </c>
      <c r="AJ742" s="1" t="s">
        <v>638</v>
      </c>
      <c r="AL742" s="1"/>
      <c r="AM742" s="1"/>
      <c r="AN742" s="1"/>
      <c r="AO742" s="1"/>
    </row>
    <row r="743" spans="2:41" x14ac:dyDescent="0.2">
      <c r="B743" s="4" t="s">
        <v>98</v>
      </c>
      <c r="C743" s="4">
        <v>15.8538</v>
      </c>
      <c r="D743" s="4">
        <v>15.7372</v>
      </c>
      <c r="E743" s="4">
        <v>15.8109</v>
      </c>
      <c r="F743" s="4">
        <f t="shared" si="44"/>
        <v>15.800633333333332</v>
      </c>
      <c r="I743" s="4" t="s">
        <v>1849</v>
      </c>
      <c r="J743" s="4">
        <v>15.815799999999999</v>
      </c>
      <c r="K743" s="4">
        <v>16.0412</v>
      </c>
      <c r="L743" s="4">
        <v>15.574</v>
      </c>
      <c r="M743" s="4">
        <f t="shared" si="45"/>
        <v>15.810333333333332</v>
      </c>
      <c r="P743" s="4" t="str">
        <f>"rab-1"</f>
        <v>rab-1</v>
      </c>
      <c r="Q743" s="4">
        <v>15.7830655745872</v>
      </c>
      <c r="R743" s="4">
        <v>15.119156840371399</v>
      </c>
      <c r="S743" s="4">
        <v>15.602365537976601</v>
      </c>
      <c r="T743" s="4">
        <f t="shared" si="46"/>
        <v>15.501529317645067</v>
      </c>
      <c r="W743" s="4" t="str">
        <f>"gsp-1"</f>
        <v>gsp-1</v>
      </c>
      <c r="X743" s="4">
        <v>15.777087168220699</v>
      </c>
      <c r="Y743" s="4">
        <v>15.4485510464285</v>
      </c>
      <c r="Z743" s="4">
        <v>15.5550541648823</v>
      </c>
      <c r="AA743" s="4">
        <f t="shared" si="47"/>
        <v>15.593564126510501</v>
      </c>
      <c r="AJ743" s="1" t="s">
        <v>956</v>
      </c>
      <c r="AL743" s="1"/>
      <c r="AM743" s="1"/>
      <c r="AN743" s="1"/>
      <c r="AO743" s="1"/>
    </row>
    <row r="744" spans="2:41" x14ac:dyDescent="0.2">
      <c r="B744" s="4" t="s">
        <v>788</v>
      </c>
      <c r="C744" s="4">
        <v>15.5862</v>
      </c>
      <c r="D744" s="4">
        <v>16.033100000000001</v>
      </c>
      <c r="E744" s="4">
        <v>15.7719</v>
      </c>
      <c r="F744" s="4">
        <f t="shared" si="44"/>
        <v>15.797066666666668</v>
      </c>
      <c r="I744" s="4" t="s">
        <v>1892</v>
      </c>
      <c r="J744" s="4">
        <v>15.7898</v>
      </c>
      <c r="K744" s="4">
        <v>15.968999999999999</v>
      </c>
      <c r="L744" s="4">
        <v>15.6648</v>
      </c>
      <c r="M744" s="4">
        <f t="shared" si="45"/>
        <v>15.807866666666667</v>
      </c>
      <c r="P744" s="4" t="str">
        <f>"T10B11.6"</f>
        <v>T10B11.6</v>
      </c>
      <c r="Q744" s="4">
        <v>15.661737954695999</v>
      </c>
      <c r="R744" s="4">
        <v>15.4481018934751</v>
      </c>
      <c r="S744" s="4">
        <v>15.390878859130799</v>
      </c>
      <c r="T744" s="4">
        <f t="shared" si="46"/>
        <v>15.500239569100634</v>
      </c>
      <c r="W744" s="4" t="str">
        <f>"F21H7.5"</f>
        <v>F21H7.5</v>
      </c>
      <c r="X744" s="4">
        <v>15.653054002727099</v>
      </c>
      <c r="Y744" s="4">
        <v>15.643524644674599</v>
      </c>
      <c r="Z744" s="4">
        <v>15.4829867186071</v>
      </c>
      <c r="AA744" s="4">
        <f t="shared" si="47"/>
        <v>15.593188455336266</v>
      </c>
      <c r="AJ744" s="1" t="s">
        <v>631</v>
      </c>
      <c r="AL744" s="1"/>
      <c r="AM744" s="1"/>
      <c r="AN744" s="1"/>
      <c r="AO744" s="1"/>
    </row>
    <row r="745" spans="2:41" x14ac:dyDescent="0.2">
      <c r="B745" s="4" t="s">
        <v>2476</v>
      </c>
      <c r="C745" s="4">
        <v>16.0442</v>
      </c>
      <c r="D745" s="4">
        <v>15.4909</v>
      </c>
      <c r="E745" s="4">
        <v>15.8249</v>
      </c>
      <c r="F745" s="4">
        <f t="shared" si="44"/>
        <v>15.786666666666667</v>
      </c>
      <c r="I745" s="4" t="s">
        <v>4641</v>
      </c>
      <c r="J745" s="4">
        <v>16.404499999999999</v>
      </c>
      <c r="K745" s="4">
        <v>14.7865</v>
      </c>
      <c r="L745" s="4">
        <v>16.229700000000001</v>
      </c>
      <c r="M745" s="4">
        <f t="shared" si="45"/>
        <v>15.806899999999999</v>
      </c>
      <c r="P745" s="4" t="str">
        <f>"hum-1"</f>
        <v>hum-1</v>
      </c>
      <c r="Q745" s="4">
        <v>15.3500278533265</v>
      </c>
      <c r="R745" s="4">
        <v>15.4984978134298</v>
      </c>
      <c r="S745" s="4">
        <v>15.6338728492504</v>
      </c>
      <c r="T745" s="4">
        <f t="shared" si="46"/>
        <v>15.494132838668902</v>
      </c>
      <c r="W745" s="4" t="str">
        <f>"cdc-42"</f>
        <v>cdc-42</v>
      </c>
      <c r="X745" s="4">
        <v>15.7946867073807</v>
      </c>
      <c r="Y745" s="4">
        <v>15.493847623066801</v>
      </c>
      <c r="Z745" s="4">
        <v>15.462473064370799</v>
      </c>
      <c r="AA745" s="4">
        <f t="shared" si="47"/>
        <v>15.583669131606101</v>
      </c>
      <c r="AJ745" s="1" t="s">
        <v>635</v>
      </c>
      <c r="AL745" s="1"/>
      <c r="AM745" s="1"/>
      <c r="AN745" s="1"/>
      <c r="AO745" s="1"/>
    </row>
    <row r="746" spans="2:41" x14ac:dyDescent="0.2">
      <c r="B746" s="4" t="s">
        <v>6</v>
      </c>
      <c r="C746" s="4">
        <v>15.681699999999999</v>
      </c>
      <c r="D746" s="4">
        <v>15.8866</v>
      </c>
      <c r="E746" s="4">
        <v>15.791600000000001</v>
      </c>
      <c r="F746" s="4">
        <f t="shared" si="44"/>
        <v>15.786633333333334</v>
      </c>
      <c r="I746" s="4" t="s">
        <v>788</v>
      </c>
      <c r="J746" s="4">
        <v>15.742699999999999</v>
      </c>
      <c r="K746" s="4">
        <v>16.1416</v>
      </c>
      <c r="L746" s="4">
        <v>15.5276</v>
      </c>
      <c r="M746" s="4">
        <f t="shared" si="45"/>
        <v>15.803966666666668</v>
      </c>
      <c r="P746" s="4" t="str">
        <f>"lact-3"</f>
        <v>lact-3</v>
      </c>
      <c r="Q746" s="4">
        <v>15.3866457234859</v>
      </c>
      <c r="R746" s="4">
        <v>15.513200418989401</v>
      </c>
      <c r="S746" s="4">
        <v>15.5773519076812</v>
      </c>
      <c r="T746" s="4">
        <f t="shared" si="46"/>
        <v>15.492399350052168</v>
      </c>
      <c r="W746" s="4" t="str">
        <f>"pmp-1"</f>
        <v>pmp-1</v>
      </c>
      <c r="X746" s="4">
        <v>15.5620529601192</v>
      </c>
      <c r="Y746" s="4">
        <v>15.547958272021299</v>
      </c>
      <c r="Z746" s="4">
        <v>15.6312846255839</v>
      </c>
      <c r="AA746" s="4">
        <f t="shared" si="47"/>
        <v>15.5804319525748</v>
      </c>
      <c r="AJ746" s="1" t="s">
        <v>637</v>
      </c>
      <c r="AL746" s="1"/>
      <c r="AM746" s="1"/>
      <c r="AN746" s="1"/>
      <c r="AO746" s="1"/>
    </row>
    <row r="747" spans="2:41" x14ac:dyDescent="0.2">
      <c r="B747" s="4" t="s">
        <v>1379</v>
      </c>
      <c r="C747" s="4">
        <v>15.8809</v>
      </c>
      <c r="D747" s="4">
        <v>15.7866</v>
      </c>
      <c r="E747" s="4">
        <v>15.6911</v>
      </c>
      <c r="F747" s="4">
        <f t="shared" si="44"/>
        <v>15.786200000000001</v>
      </c>
      <c r="I747" s="4" t="s">
        <v>1349</v>
      </c>
      <c r="J747" s="4">
        <v>15.970800000000001</v>
      </c>
      <c r="K747" s="4">
        <v>15.536899999999999</v>
      </c>
      <c r="L747" s="4">
        <v>15.894</v>
      </c>
      <c r="M747" s="4">
        <f t="shared" si="45"/>
        <v>15.800566666666667</v>
      </c>
      <c r="P747" s="4" t="str">
        <f>"acs-14"</f>
        <v>acs-14</v>
      </c>
      <c r="Q747" s="4">
        <v>15.385569778843401</v>
      </c>
      <c r="R747" s="4">
        <v>15.6915933317116</v>
      </c>
      <c r="S747" s="4">
        <v>15.386184858898</v>
      </c>
      <c r="T747" s="4">
        <f t="shared" si="46"/>
        <v>15.487782656484333</v>
      </c>
      <c r="W747" s="4" t="str">
        <f>"cyn-7"</f>
        <v>cyn-7</v>
      </c>
      <c r="X747" s="4">
        <v>15.4490796873076</v>
      </c>
      <c r="Y747" s="4">
        <v>15.4240397491197</v>
      </c>
      <c r="Z747" s="4">
        <v>15.864298692113501</v>
      </c>
      <c r="AA747" s="4">
        <f t="shared" si="47"/>
        <v>15.579139376180267</v>
      </c>
      <c r="AJ747" s="1" t="s">
        <v>171</v>
      </c>
      <c r="AL747" s="1"/>
      <c r="AM747" s="1"/>
      <c r="AN747" s="1"/>
      <c r="AO747" s="1"/>
    </row>
    <row r="748" spans="2:41" x14ac:dyDescent="0.2">
      <c r="B748" s="4" t="s">
        <v>2528</v>
      </c>
      <c r="C748" s="4">
        <v>15.6249</v>
      </c>
      <c r="D748" s="4">
        <v>16.232399999999998</v>
      </c>
      <c r="E748" s="4">
        <v>15.5007</v>
      </c>
      <c r="F748" s="4">
        <f t="shared" si="44"/>
        <v>15.786</v>
      </c>
      <c r="I748" s="4" t="s">
        <v>2131</v>
      </c>
      <c r="J748" s="4">
        <v>15.7</v>
      </c>
      <c r="K748" s="4">
        <v>15.850099999999999</v>
      </c>
      <c r="L748" s="4">
        <v>15.8375</v>
      </c>
      <c r="M748" s="4">
        <f t="shared" si="45"/>
        <v>15.795866666666667</v>
      </c>
      <c r="P748" s="4" t="str">
        <f>"mrpl-1"</f>
        <v>mrpl-1</v>
      </c>
      <c r="Q748" s="4">
        <v>15.5576434003563</v>
      </c>
      <c r="R748" s="4">
        <v>15.422012889462</v>
      </c>
      <c r="S748" s="4">
        <v>15.4680713859403</v>
      </c>
      <c r="T748" s="4">
        <f t="shared" si="46"/>
        <v>15.482575891919533</v>
      </c>
      <c r="W748" s="4" t="str">
        <f>"T09B4.5"</f>
        <v>T09B4.5</v>
      </c>
      <c r="X748" s="4">
        <v>14.9382771240802</v>
      </c>
      <c r="Y748" s="4">
        <v>15.7973397537572</v>
      </c>
      <c r="Z748" s="4">
        <v>15.994276882014301</v>
      </c>
      <c r="AA748" s="4">
        <f t="shared" si="47"/>
        <v>15.576631253283901</v>
      </c>
      <c r="AJ748" s="1" t="s">
        <v>367</v>
      </c>
      <c r="AL748" s="1"/>
      <c r="AM748" s="1"/>
      <c r="AN748" s="1"/>
      <c r="AO748" s="1"/>
    </row>
    <row r="749" spans="2:41" x14ac:dyDescent="0.2">
      <c r="B749" s="4" t="s">
        <v>378</v>
      </c>
      <c r="C749" s="4">
        <v>16.157299999999999</v>
      </c>
      <c r="D749" s="4">
        <v>15.319900000000001</v>
      </c>
      <c r="E749" s="4">
        <v>15.879099999999999</v>
      </c>
      <c r="F749" s="4">
        <f t="shared" si="44"/>
        <v>15.785433333333332</v>
      </c>
      <c r="I749" s="4" t="s">
        <v>891</v>
      </c>
      <c r="J749" s="4">
        <v>16.275099999999998</v>
      </c>
      <c r="K749" s="4">
        <v>16.1433</v>
      </c>
      <c r="L749" s="4">
        <v>14.964499999999999</v>
      </c>
      <c r="M749" s="4">
        <f t="shared" si="45"/>
        <v>15.7943</v>
      </c>
      <c r="P749" s="4" t="str">
        <f>"sto-4"</f>
        <v>sto-4</v>
      </c>
      <c r="Q749" s="4">
        <v>15.573280760533301</v>
      </c>
      <c r="R749" s="4">
        <v>15.336383986818699</v>
      </c>
      <c r="S749" s="4">
        <v>15.536582063781699</v>
      </c>
      <c r="T749" s="4">
        <f t="shared" si="46"/>
        <v>15.4820822703779</v>
      </c>
      <c r="W749" s="4" t="str">
        <f>"hecd-1"</f>
        <v>hecd-1</v>
      </c>
      <c r="X749" s="4">
        <v>15.605386972388001</v>
      </c>
      <c r="Y749" s="4">
        <v>15.613106444042099</v>
      </c>
      <c r="Z749" s="4">
        <v>15.477863255850901</v>
      </c>
      <c r="AA749" s="4">
        <f t="shared" si="47"/>
        <v>15.565452224093667</v>
      </c>
      <c r="AJ749" s="1" t="s">
        <v>957</v>
      </c>
      <c r="AL749" s="1"/>
      <c r="AM749" s="1"/>
      <c r="AN749" s="1"/>
      <c r="AO749" s="1"/>
    </row>
    <row r="750" spans="2:41" x14ac:dyDescent="0.2">
      <c r="B750" s="4" t="s">
        <v>3625</v>
      </c>
      <c r="C750" s="4">
        <v>15.666399999999999</v>
      </c>
      <c r="D750" s="4">
        <v>15.9026</v>
      </c>
      <c r="E750" s="4">
        <v>15.7677</v>
      </c>
      <c r="F750" s="4">
        <f t="shared" si="44"/>
        <v>15.7789</v>
      </c>
      <c r="I750" s="4" t="s">
        <v>297</v>
      </c>
      <c r="J750" s="4">
        <v>15.5364</v>
      </c>
      <c r="K750" s="4">
        <v>16.152999999999999</v>
      </c>
      <c r="L750" s="4">
        <v>15.683199999999999</v>
      </c>
      <c r="M750" s="4">
        <f t="shared" si="45"/>
        <v>15.790866666666666</v>
      </c>
      <c r="P750" s="4" t="str">
        <f>"ech-7"</f>
        <v>ech-7</v>
      </c>
      <c r="Q750" s="4">
        <v>16.101268055293001</v>
      </c>
      <c r="R750" s="4">
        <v>14.5843063487068</v>
      </c>
      <c r="S750" s="4">
        <v>15.7586077788251</v>
      </c>
      <c r="T750" s="4">
        <f t="shared" si="46"/>
        <v>15.481394060941634</v>
      </c>
      <c r="W750" s="4" t="str">
        <f>"cdk-1"</f>
        <v>cdk-1</v>
      </c>
      <c r="X750" s="4">
        <v>15.475419117733001</v>
      </c>
      <c r="Y750" s="4">
        <v>15.597500579903899</v>
      </c>
      <c r="Z750" s="4">
        <v>15.6101182667025</v>
      </c>
      <c r="AA750" s="4">
        <f t="shared" si="47"/>
        <v>15.5610126547798</v>
      </c>
      <c r="AJ750" s="1" t="s">
        <v>645</v>
      </c>
      <c r="AL750" s="1"/>
      <c r="AM750" s="1"/>
      <c r="AN750" s="1"/>
      <c r="AO750" s="1"/>
    </row>
    <row r="751" spans="2:41" x14ac:dyDescent="0.2">
      <c r="B751" s="4" t="s">
        <v>744</v>
      </c>
      <c r="C751" s="4">
        <v>15.5679</v>
      </c>
      <c r="D751" s="4">
        <v>15.9284</v>
      </c>
      <c r="E751" s="4">
        <v>15.828900000000001</v>
      </c>
      <c r="F751" s="4">
        <f t="shared" si="44"/>
        <v>15.775066666666666</v>
      </c>
      <c r="I751" s="4" t="s">
        <v>3276</v>
      </c>
      <c r="J751" s="4">
        <v>15.81</v>
      </c>
      <c r="K751" s="4">
        <v>15.6104</v>
      </c>
      <c r="L751" s="4">
        <v>15.9459</v>
      </c>
      <c r="M751" s="4">
        <f t="shared" si="45"/>
        <v>15.788766666666668</v>
      </c>
      <c r="P751" s="4" t="str">
        <f>"F55C10.4"</f>
        <v>F55C10.4</v>
      </c>
      <c r="Q751" s="4">
        <v>15.510788928067401</v>
      </c>
      <c r="R751" s="4">
        <v>15.481846864869199</v>
      </c>
      <c r="S751" s="4">
        <v>15.450390970819599</v>
      </c>
      <c r="T751" s="4">
        <f t="shared" si="46"/>
        <v>15.481008921252068</v>
      </c>
      <c r="W751" s="4" t="str">
        <f>"Y71H10B.1"</f>
        <v>Y71H10B.1</v>
      </c>
      <c r="X751" s="4">
        <v>15.690702457483701</v>
      </c>
      <c r="Y751" s="4">
        <v>15.485838482890401</v>
      </c>
      <c r="Z751" s="4">
        <v>15.487529961184901</v>
      </c>
      <c r="AA751" s="4">
        <f t="shared" si="47"/>
        <v>15.554690300519667</v>
      </c>
      <c r="AJ751" s="1" t="s">
        <v>82</v>
      </c>
      <c r="AL751" s="1"/>
      <c r="AM751" s="1"/>
      <c r="AN751" s="1"/>
      <c r="AO751" s="1"/>
    </row>
    <row r="752" spans="2:41" x14ac:dyDescent="0.2">
      <c r="B752" s="4" t="s">
        <v>1237</v>
      </c>
      <c r="C752" s="4">
        <v>15.7668</v>
      </c>
      <c r="D752" s="4">
        <v>15.774800000000001</v>
      </c>
      <c r="E752" s="4">
        <v>15.775</v>
      </c>
      <c r="F752" s="4">
        <f t="shared" si="44"/>
        <v>15.7722</v>
      </c>
      <c r="I752" s="4" t="s">
        <v>1516</v>
      </c>
      <c r="J752" s="4">
        <v>14.9298</v>
      </c>
      <c r="K752" s="4">
        <v>15.756399999999999</v>
      </c>
      <c r="L752" s="4">
        <v>16.6767</v>
      </c>
      <c r="M752" s="4">
        <f t="shared" si="45"/>
        <v>15.787633333333332</v>
      </c>
      <c r="P752" s="4" t="str">
        <f>"ZK1098.4"</f>
        <v>ZK1098.4</v>
      </c>
      <c r="Q752" s="4">
        <v>15.4511305984035</v>
      </c>
      <c r="R752" s="4">
        <v>15.5621352664377</v>
      </c>
      <c r="S752" s="4">
        <v>15.4262535056567</v>
      </c>
      <c r="T752" s="4">
        <f t="shared" si="46"/>
        <v>15.479839790165968</v>
      </c>
      <c r="W752" s="4" t="str">
        <f>"ifa-4"</f>
        <v>ifa-4</v>
      </c>
      <c r="X752" s="4">
        <v>15.1458956294997</v>
      </c>
      <c r="Y752" s="4">
        <v>15.4278693548493</v>
      </c>
      <c r="Z752" s="4">
        <v>16.0882985437825</v>
      </c>
      <c r="AA752" s="4">
        <f t="shared" si="47"/>
        <v>15.554021176043832</v>
      </c>
      <c r="AJ752" s="1" t="s">
        <v>406</v>
      </c>
      <c r="AL752" s="1"/>
      <c r="AM752" s="1"/>
      <c r="AN752" s="1"/>
      <c r="AO752" s="1"/>
    </row>
    <row r="753" spans="2:41" x14ac:dyDescent="0.2">
      <c r="B753" s="4" t="s">
        <v>3659</v>
      </c>
      <c r="C753" s="4">
        <v>15.4369</v>
      </c>
      <c r="D753" s="4">
        <v>16.322399999999998</v>
      </c>
      <c r="E753" s="4">
        <v>15.540100000000001</v>
      </c>
      <c r="F753" s="4">
        <f t="shared" si="44"/>
        <v>15.766466666666666</v>
      </c>
      <c r="I753" s="4" t="s">
        <v>3467</v>
      </c>
      <c r="J753" s="4">
        <v>15.865399999999999</v>
      </c>
      <c r="K753" s="4">
        <v>16.2182</v>
      </c>
      <c r="L753" s="4">
        <v>15.273</v>
      </c>
      <c r="M753" s="4">
        <f t="shared" si="45"/>
        <v>15.785533333333333</v>
      </c>
      <c r="P753" s="4" t="str">
        <f>"sucl-2"</f>
        <v>sucl-2</v>
      </c>
      <c r="Q753" s="4">
        <v>15.4710143287914</v>
      </c>
      <c r="R753" s="4">
        <v>15.463061993728299</v>
      </c>
      <c r="S753" s="4">
        <v>15.4995490975219</v>
      </c>
      <c r="T753" s="4">
        <f t="shared" si="46"/>
        <v>15.477875140013866</v>
      </c>
      <c r="W753" s="4" t="str">
        <f>"acs-11"</f>
        <v>acs-11</v>
      </c>
      <c r="X753" s="4">
        <v>15.255008896632001</v>
      </c>
      <c r="Y753" s="4">
        <v>15.2962840116975</v>
      </c>
      <c r="Z753" s="4">
        <v>16.110241421713699</v>
      </c>
      <c r="AA753" s="4">
        <f t="shared" si="47"/>
        <v>15.553844776681066</v>
      </c>
      <c r="AJ753" s="1" t="s">
        <v>649</v>
      </c>
      <c r="AL753" s="1"/>
      <c r="AM753" s="1"/>
      <c r="AN753" s="1"/>
      <c r="AO753" s="1"/>
    </row>
    <row r="754" spans="2:41" x14ac:dyDescent="0.2">
      <c r="B754" s="4" t="s">
        <v>3656</v>
      </c>
      <c r="C754" s="4">
        <v>15.632199999999999</v>
      </c>
      <c r="D754" s="4">
        <v>16.104700000000001</v>
      </c>
      <c r="E754" s="4">
        <v>15.561999999999999</v>
      </c>
      <c r="F754" s="4">
        <f t="shared" si="44"/>
        <v>15.766299999999999</v>
      </c>
      <c r="I754" s="4" t="s">
        <v>4061</v>
      </c>
      <c r="J754" s="4">
        <v>15.630100000000001</v>
      </c>
      <c r="K754" s="4">
        <v>16.161100000000001</v>
      </c>
      <c r="L754" s="4">
        <v>15.563800000000001</v>
      </c>
      <c r="M754" s="4">
        <f t="shared" si="45"/>
        <v>15.785000000000002</v>
      </c>
      <c r="P754" s="4" t="str">
        <f>"rab-11.1"</f>
        <v>rab-11.1</v>
      </c>
      <c r="Q754" s="4">
        <v>15.946121659139299</v>
      </c>
      <c r="R754" s="4">
        <v>14.976212090252099</v>
      </c>
      <c r="S754" s="4">
        <v>15.508744502406699</v>
      </c>
      <c r="T754" s="4">
        <f t="shared" si="46"/>
        <v>15.477026083932699</v>
      </c>
      <c r="W754" s="4" t="str">
        <f>"pap-1"</f>
        <v>pap-1</v>
      </c>
      <c r="X754" s="4">
        <v>15.4787337739227</v>
      </c>
      <c r="Y754" s="4">
        <v>15.5366937453606</v>
      </c>
      <c r="Z754" s="4">
        <v>15.642442728031099</v>
      </c>
      <c r="AA754" s="4">
        <f t="shared" si="47"/>
        <v>15.552623415771466</v>
      </c>
      <c r="AJ754" s="1" t="s">
        <v>958</v>
      </c>
      <c r="AL754" s="1"/>
      <c r="AM754" s="1"/>
      <c r="AN754" s="1"/>
      <c r="AO754" s="1"/>
    </row>
    <row r="755" spans="2:41" x14ac:dyDescent="0.2">
      <c r="B755" s="4" t="s">
        <v>3323</v>
      </c>
      <c r="C755" s="4">
        <v>15.929</v>
      </c>
      <c r="D755" s="4">
        <v>15.601900000000001</v>
      </c>
      <c r="E755" s="4">
        <v>15.766299999999999</v>
      </c>
      <c r="F755" s="4">
        <f t="shared" si="44"/>
        <v>15.765733333333335</v>
      </c>
      <c r="I755" s="4" t="s">
        <v>3648</v>
      </c>
      <c r="J755" s="4">
        <v>15.8348</v>
      </c>
      <c r="K755" s="4">
        <v>15.9077</v>
      </c>
      <c r="L755" s="4">
        <v>15.61</v>
      </c>
      <c r="M755" s="4">
        <f t="shared" si="45"/>
        <v>15.784166666666666</v>
      </c>
      <c r="P755" s="4" t="str">
        <f>"puf-12"</f>
        <v>puf-12</v>
      </c>
      <c r="Q755" s="4">
        <v>15.3769315615152</v>
      </c>
      <c r="R755" s="4">
        <v>15.677259616410501</v>
      </c>
      <c r="S755" s="4">
        <v>15.3715823582718</v>
      </c>
      <c r="T755" s="4">
        <f t="shared" si="46"/>
        <v>15.475257845399168</v>
      </c>
      <c r="W755" s="4" t="str">
        <f>"Y47D9A.1"</f>
        <v>Y47D9A.1</v>
      </c>
      <c r="X755" s="4">
        <v>15.4368424008586</v>
      </c>
      <c r="Y755" s="4">
        <v>15.5896758148321</v>
      </c>
      <c r="Z755" s="4">
        <v>15.6313042679686</v>
      </c>
      <c r="AA755" s="4">
        <f t="shared" si="47"/>
        <v>15.552607494553101</v>
      </c>
      <c r="AJ755" s="1" t="s">
        <v>648</v>
      </c>
      <c r="AL755" s="1"/>
      <c r="AM755" s="1"/>
      <c r="AN755" s="1"/>
      <c r="AO755" s="1"/>
    </row>
    <row r="756" spans="2:41" x14ac:dyDescent="0.2">
      <c r="B756" s="4" t="s">
        <v>2009</v>
      </c>
      <c r="C756" s="4">
        <v>15.4754</v>
      </c>
      <c r="D756" s="4">
        <v>16.2639</v>
      </c>
      <c r="E756" s="4">
        <v>15.553100000000001</v>
      </c>
      <c r="F756" s="4">
        <f t="shared" si="44"/>
        <v>15.764133333333334</v>
      </c>
      <c r="I756" s="4" t="s">
        <v>1677</v>
      </c>
      <c r="J756" s="4">
        <v>15.809200000000001</v>
      </c>
      <c r="K756" s="4">
        <v>15.782299999999999</v>
      </c>
      <c r="L756" s="4">
        <v>15.759499999999999</v>
      </c>
      <c r="M756" s="4">
        <f t="shared" si="45"/>
        <v>15.783666666666667</v>
      </c>
      <c r="P756" s="4" t="str">
        <f>"sec-23"</f>
        <v>sec-23</v>
      </c>
      <c r="Q756" s="4">
        <v>15.4249907843743</v>
      </c>
      <c r="R756" s="4">
        <v>15.5025081234865</v>
      </c>
      <c r="S756" s="4">
        <v>15.494926177669401</v>
      </c>
      <c r="T756" s="4">
        <f t="shared" si="46"/>
        <v>15.474141695176733</v>
      </c>
      <c r="W756" s="4" t="str">
        <f>"apm-1"</f>
        <v>apm-1</v>
      </c>
      <c r="X756" s="4">
        <v>15.749058289265101</v>
      </c>
      <c r="Y756" s="4">
        <v>15.428206735587599</v>
      </c>
      <c r="Z756" s="4">
        <v>15.474586527823501</v>
      </c>
      <c r="AA756" s="4">
        <f t="shared" si="47"/>
        <v>15.550617184225402</v>
      </c>
      <c r="AJ756" s="1" t="s">
        <v>650</v>
      </c>
      <c r="AL756" s="1"/>
      <c r="AM756" s="1"/>
      <c r="AN756" s="1"/>
      <c r="AO756" s="1"/>
    </row>
    <row r="757" spans="2:41" x14ac:dyDescent="0.2">
      <c r="B757" s="4" t="s">
        <v>2230</v>
      </c>
      <c r="C757" s="4">
        <v>16.055399999999999</v>
      </c>
      <c r="D757" s="4">
        <v>15.476100000000001</v>
      </c>
      <c r="E757" s="4">
        <v>15.753</v>
      </c>
      <c r="F757" s="4">
        <f t="shared" si="44"/>
        <v>15.7615</v>
      </c>
      <c r="I757" s="4" t="s">
        <v>2274</v>
      </c>
      <c r="J757" s="4">
        <v>15.862500000000001</v>
      </c>
      <c r="K757" s="4">
        <v>15.6691</v>
      </c>
      <c r="L757" s="4">
        <v>15.811400000000001</v>
      </c>
      <c r="M757" s="4">
        <f t="shared" si="45"/>
        <v>15.781000000000001</v>
      </c>
      <c r="P757" s="4" t="str">
        <f>"gip-2"</f>
        <v>gip-2</v>
      </c>
      <c r="Q757" s="4">
        <v>15.610500515174801</v>
      </c>
      <c r="R757" s="4">
        <v>15.4811143253326</v>
      </c>
      <c r="S757" s="4">
        <v>15.3262038805718</v>
      </c>
      <c r="T757" s="4">
        <f t="shared" si="46"/>
        <v>15.472606240359733</v>
      </c>
      <c r="W757" s="4" t="str">
        <f>"aco-1"</f>
        <v>aco-1</v>
      </c>
      <c r="X757" s="4">
        <v>15.461944493904699</v>
      </c>
      <c r="Y757" s="4">
        <v>15.479536463676499</v>
      </c>
      <c r="Z757" s="4">
        <v>15.7079616130315</v>
      </c>
      <c r="AA757" s="4">
        <f t="shared" si="47"/>
        <v>15.549814190204232</v>
      </c>
      <c r="AJ757" s="1" t="s">
        <v>652</v>
      </c>
      <c r="AL757" s="1"/>
      <c r="AM757" s="1"/>
      <c r="AN757" s="1"/>
      <c r="AO757" s="1"/>
    </row>
    <row r="758" spans="2:41" x14ac:dyDescent="0.2">
      <c r="B758" s="4" t="s">
        <v>1517</v>
      </c>
      <c r="C758" s="4">
        <v>15.7096</v>
      </c>
      <c r="D758" s="4">
        <v>15.4781</v>
      </c>
      <c r="E758" s="4">
        <v>16.094200000000001</v>
      </c>
      <c r="F758" s="4">
        <f t="shared" si="44"/>
        <v>15.760633333333333</v>
      </c>
      <c r="I758" s="4" t="s">
        <v>3383</v>
      </c>
      <c r="J758" s="4">
        <v>15.6952</v>
      </c>
      <c r="K758" s="4">
        <v>15.864599999999999</v>
      </c>
      <c r="L758" s="4">
        <v>15.776300000000001</v>
      </c>
      <c r="M758" s="4">
        <f t="shared" si="45"/>
        <v>15.778700000000001</v>
      </c>
      <c r="P758" s="4" t="str">
        <f>"npp-22"</f>
        <v>npp-22</v>
      </c>
      <c r="Q758" s="4">
        <v>15.488494467276199</v>
      </c>
      <c r="R758" s="4">
        <v>15.4495169282562</v>
      </c>
      <c r="S758" s="4">
        <v>15.478888605703199</v>
      </c>
      <c r="T758" s="4">
        <f t="shared" si="46"/>
        <v>15.472300000411865</v>
      </c>
      <c r="W758" s="4" t="str">
        <f>"hum-4"</f>
        <v>hum-4</v>
      </c>
      <c r="X758" s="4">
        <v>15.489421616273599</v>
      </c>
      <c r="Y758" s="4">
        <v>15.506148464178599</v>
      </c>
      <c r="Z758" s="4">
        <v>15.646612983219301</v>
      </c>
      <c r="AA758" s="4">
        <f t="shared" si="47"/>
        <v>15.547394354557165</v>
      </c>
      <c r="AJ758" s="1" t="s">
        <v>651</v>
      </c>
      <c r="AK758" s="1"/>
      <c r="AL758" s="1"/>
      <c r="AM758" s="1"/>
      <c r="AN758" s="1"/>
      <c r="AO758" s="1"/>
    </row>
    <row r="759" spans="2:41" x14ac:dyDescent="0.2">
      <c r="B759" s="4" t="s">
        <v>1349</v>
      </c>
      <c r="C759" s="4">
        <v>15.8056</v>
      </c>
      <c r="D759" s="4">
        <v>15.6904</v>
      </c>
      <c r="E759" s="4">
        <v>15.7836</v>
      </c>
      <c r="F759" s="4">
        <f t="shared" si="44"/>
        <v>15.759866666666667</v>
      </c>
      <c r="I759" s="4" t="s">
        <v>708</v>
      </c>
      <c r="J759" s="4">
        <v>15.6418</v>
      </c>
      <c r="K759" s="4">
        <v>15.7499</v>
      </c>
      <c r="L759" s="4">
        <v>15.9414</v>
      </c>
      <c r="M759" s="4">
        <f t="shared" si="45"/>
        <v>15.777700000000001</v>
      </c>
      <c r="P759" s="4" t="str">
        <f>"rps-21"</f>
        <v>rps-21</v>
      </c>
      <c r="Q759" s="4">
        <v>15.4361960517251</v>
      </c>
      <c r="R759" s="4">
        <v>15.2630247255057</v>
      </c>
      <c r="S759" s="4">
        <v>15.704614111406499</v>
      </c>
      <c r="T759" s="4">
        <f t="shared" si="46"/>
        <v>15.4679449628791</v>
      </c>
      <c r="W759" s="4" t="str">
        <f>"aak-2"</f>
        <v>aak-2</v>
      </c>
      <c r="X759" s="4">
        <v>15.54004773716</v>
      </c>
      <c r="Y759" s="4">
        <v>15.650919018668199</v>
      </c>
      <c r="Z759" s="4">
        <v>15.4496250948966</v>
      </c>
      <c r="AA759" s="4">
        <f t="shared" si="47"/>
        <v>15.546863950241601</v>
      </c>
      <c r="AJ759" s="1" t="s">
        <v>647</v>
      </c>
      <c r="AK759" s="1"/>
      <c r="AL759" s="1"/>
      <c r="AM759" s="1"/>
      <c r="AN759" s="1"/>
      <c r="AO759" s="1"/>
    </row>
    <row r="760" spans="2:41" x14ac:dyDescent="0.2">
      <c r="B760" s="4" t="s">
        <v>2527</v>
      </c>
      <c r="C760" s="4">
        <v>15.7865</v>
      </c>
      <c r="D760" s="4">
        <v>15.9306</v>
      </c>
      <c r="E760" s="4">
        <v>15.5572</v>
      </c>
      <c r="F760" s="4">
        <f t="shared" si="44"/>
        <v>15.758100000000001</v>
      </c>
      <c r="I760" s="4" t="s">
        <v>3098</v>
      </c>
      <c r="J760" s="4">
        <v>15.944900000000001</v>
      </c>
      <c r="K760" s="4">
        <v>15.6065</v>
      </c>
      <c r="L760" s="4">
        <v>15.7742</v>
      </c>
      <c r="M760" s="4">
        <f t="shared" si="45"/>
        <v>15.7752</v>
      </c>
      <c r="P760" s="4" t="str">
        <f>"bpl-1"</f>
        <v>bpl-1</v>
      </c>
      <c r="Q760" s="4">
        <v>15.4657664236104</v>
      </c>
      <c r="R760" s="4">
        <v>15.37779333652</v>
      </c>
      <c r="S760" s="4">
        <v>15.5441190025835</v>
      </c>
      <c r="T760" s="4">
        <f t="shared" si="46"/>
        <v>15.462559587571301</v>
      </c>
      <c r="W760" s="4" t="str">
        <f>"F55F10.1"</f>
        <v>F55F10.1</v>
      </c>
      <c r="X760" s="4">
        <v>15.4812396524039</v>
      </c>
      <c r="Y760" s="4">
        <v>15.6055527632001</v>
      </c>
      <c r="Z760" s="4">
        <v>15.550878609069001</v>
      </c>
      <c r="AA760" s="4">
        <f t="shared" si="47"/>
        <v>15.545890341557667</v>
      </c>
      <c r="AJ760" s="1" t="s">
        <v>401</v>
      </c>
      <c r="AK760" s="1"/>
      <c r="AL760" s="1"/>
      <c r="AM760" s="1"/>
      <c r="AN760" s="1"/>
      <c r="AO760" s="1"/>
    </row>
    <row r="761" spans="2:41" x14ac:dyDescent="0.2">
      <c r="B761" s="4" t="s">
        <v>709</v>
      </c>
      <c r="C761" s="4">
        <v>15.480700000000001</v>
      </c>
      <c r="D761" s="4">
        <v>15.8559</v>
      </c>
      <c r="E761" s="4">
        <v>15.9063</v>
      </c>
      <c r="F761" s="4">
        <f t="shared" si="44"/>
        <v>15.747633333333333</v>
      </c>
      <c r="I761" s="4" t="s">
        <v>1523</v>
      </c>
      <c r="J761" s="4">
        <v>15.2018</v>
      </c>
      <c r="K761" s="4">
        <v>15.275</v>
      </c>
      <c r="L761" s="4">
        <v>16.839099999999998</v>
      </c>
      <c r="M761" s="4">
        <f t="shared" si="45"/>
        <v>15.771966666666666</v>
      </c>
      <c r="P761" s="4" t="str">
        <f>"C16A3.5"</f>
        <v>C16A3.5</v>
      </c>
      <c r="Q761" s="4">
        <v>15.6786679124881</v>
      </c>
      <c r="R761" s="4">
        <v>15.335480312717101</v>
      </c>
      <c r="S761" s="4">
        <v>15.362592601460101</v>
      </c>
      <c r="T761" s="4">
        <f t="shared" si="46"/>
        <v>15.458913608888432</v>
      </c>
      <c r="W761" s="4" t="str">
        <f>"cul-3"</f>
        <v>cul-3</v>
      </c>
      <c r="X761" s="4">
        <v>15.4947968104807</v>
      </c>
      <c r="Y761" s="4">
        <v>15.5200452019431</v>
      </c>
      <c r="Z761" s="4">
        <v>15.6151719898784</v>
      </c>
      <c r="AA761" s="4">
        <f t="shared" si="47"/>
        <v>15.543338000767399</v>
      </c>
      <c r="AJ761" s="1" t="s">
        <v>959</v>
      </c>
      <c r="AK761" s="1"/>
      <c r="AL761" s="1"/>
      <c r="AM761" s="1"/>
      <c r="AN761" s="1"/>
      <c r="AO761" s="1"/>
    </row>
    <row r="762" spans="2:41" x14ac:dyDescent="0.2">
      <c r="B762" s="4" t="s">
        <v>4004</v>
      </c>
      <c r="C762" s="4">
        <v>15.586399999999999</v>
      </c>
      <c r="D762" s="4">
        <v>15.745900000000001</v>
      </c>
      <c r="E762" s="4">
        <v>15.9048</v>
      </c>
      <c r="F762" s="4">
        <f t="shared" si="44"/>
        <v>15.745699999999999</v>
      </c>
      <c r="I762" s="4" t="s">
        <v>4643</v>
      </c>
      <c r="J762" s="4">
        <v>15.7971</v>
      </c>
      <c r="K762" s="4">
        <v>15.851900000000001</v>
      </c>
      <c r="L762" s="4">
        <v>15.665800000000001</v>
      </c>
      <c r="M762" s="4">
        <f t="shared" si="45"/>
        <v>15.771600000000001</v>
      </c>
      <c r="P762" s="4" t="str">
        <f>"coq-6"</f>
        <v>coq-6</v>
      </c>
      <c r="Q762" s="4">
        <v>15.381167766868501</v>
      </c>
      <c r="R762" s="4">
        <v>15.4642602621169</v>
      </c>
      <c r="S762" s="4">
        <v>15.509991189854899</v>
      </c>
      <c r="T762" s="4">
        <f t="shared" si="46"/>
        <v>15.451806406280101</v>
      </c>
      <c r="W762" s="4" t="str">
        <f>"dyci-1"</f>
        <v>dyci-1</v>
      </c>
      <c r="X762" s="4">
        <v>15.673879959611099</v>
      </c>
      <c r="Y762" s="4">
        <v>15.668167588048201</v>
      </c>
      <c r="Z762" s="4">
        <v>15.282841035504401</v>
      </c>
      <c r="AA762" s="4">
        <f t="shared" si="47"/>
        <v>15.541629527721232</v>
      </c>
      <c r="AJ762" s="1" t="s">
        <v>653</v>
      </c>
      <c r="AK762" s="1"/>
      <c r="AL762" s="1"/>
      <c r="AM762" s="1"/>
      <c r="AN762" s="1"/>
      <c r="AO762" s="1"/>
    </row>
    <row r="763" spans="2:41" x14ac:dyDescent="0.2">
      <c r="B763" s="4" t="s">
        <v>2701</v>
      </c>
      <c r="C763" s="4">
        <v>15.771800000000001</v>
      </c>
      <c r="D763" s="4">
        <v>15.563700000000001</v>
      </c>
      <c r="E763" s="4">
        <v>15.8973</v>
      </c>
      <c r="F763" s="4">
        <f t="shared" si="44"/>
        <v>15.744266666666668</v>
      </c>
      <c r="I763" s="4" t="s">
        <v>3878</v>
      </c>
      <c r="J763" s="4">
        <v>15.7751</v>
      </c>
      <c r="K763" s="4">
        <v>15.591200000000001</v>
      </c>
      <c r="L763" s="4">
        <v>15.9436</v>
      </c>
      <c r="M763" s="4">
        <f t="shared" si="45"/>
        <v>15.769966666666667</v>
      </c>
      <c r="P763" s="4" t="str">
        <f>"npp-5"</f>
        <v>npp-5</v>
      </c>
      <c r="Q763" s="4">
        <v>15.5619706896598</v>
      </c>
      <c r="R763" s="4">
        <v>15.391660315362699</v>
      </c>
      <c r="S763" s="4">
        <v>15.4001103390925</v>
      </c>
      <c r="T763" s="4">
        <f t="shared" si="46"/>
        <v>15.451247114705</v>
      </c>
      <c r="W763" s="4" t="str">
        <f>"egl-30"</f>
        <v>egl-30</v>
      </c>
      <c r="X763" s="4">
        <v>15.562663080637501</v>
      </c>
      <c r="Y763" s="4">
        <v>15.501866546221001</v>
      </c>
      <c r="Z763" s="4">
        <v>15.543629645388201</v>
      </c>
      <c r="AA763" s="4">
        <f t="shared" si="47"/>
        <v>15.536053090748901</v>
      </c>
      <c r="AJ763" s="1" t="s">
        <v>655</v>
      </c>
      <c r="AK763" s="1"/>
      <c r="AL763" s="1"/>
      <c r="AM763" s="1"/>
      <c r="AN763" s="1"/>
      <c r="AO763" s="1"/>
    </row>
    <row r="764" spans="2:41" x14ac:dyDescent="0.2">
      <c r="B764" s="4" t="s">
        <v>2208</v>
      </c>
      <c r="C764" s="4">
        <v>15.7723</v>
      </c>
      <c r="D764" s="4">
        <v>15.6029</v>
      </c>
      <c r="E764" s="4">
        <v>15.8508</v>
      </c>
      <c r="F764" s="4">
        <f t="shared" si="44"/>
        <v>15.741999999999999</v>
      </c>
      <c r="I764" s="4" t="s">
        <v>3804</v>
      </c>
      <c r="J764" s="4">
        <v>15.939</v>
      </c>
      <c r="K764" s="4">
        <v>15.616099999999999</v>
      </c>
      <c r="L764" s="4">
        <v>15.7494</v>
      </c>
      <c r="M764" s="4">
        <f t="shared" si="45"/>
        <v>15.768166666666666</v>
      </c>
      <c r="P764" s="4" t="str">
        <f>"ifb-1"</f>
        <v>ifb-1</v>
      </c>
      <c r="Q764" s="4">
        <v>15.7713761552533</v>
      </c>
      <c r="R764" s="4">
        <v>14.990801393196699</v>
      </c>
      <c r="S764" s="4">
        <v>15.5897951409552</v>
      </c>
      <c r="T764" s="4">
        <f t="shared" si="46"/>
        <v>15.450657563135067</v>
      </c>
      <c r="W764" s="4" t="str">
        <f>"mac-1"</f>
        <v>mac-1</v>
      </c>
      <c r="X764" s="4">
        <v>15.5563495416985</v>
      </c>
      <c r="Y764" s="4">
        <v>15.548246458024501</v>
      </c>
      <c r="Z764" s="4">
        <v>15.492708538203001</v>
      </c>
      <c r="AA764" s="4">
        <f t="shared" si="47"/>
        <v>15.532434845975336</v>
      </c>
      <c r="AJ764" s="1" t="s">
        <v>677</v>
      </c>
      <c r="AK764" s="1"/>
      <c r="AL764" s="1"/>
      <c r="AM764" s="1"/>
      <c r="AN764" s="1"/>
      <c r="AO764" s="1"/>
    </row>
    <row r="765" spans="2:41" x14ac:dyDescent="0.2">
      <c r="B765" s="4" t="s">
        <v>155</v>
      </c>
      <c r="C765" s="4">
        <v>15.658300000000001</v>
      </c>
      <c r="D765" s="4">
        <v>15.907</v>
      </c>
      <c r="E765" s="4">
        <v>15.655200000000001</v>
      </c>
      <c r="F765" s="4">
        <f t="shared" si="44"/>
        <v>15.740166666666667</v>
      </c>
      <c r="I765" s="4" t="s">
        <v>1745</v>
      </c>
      <c r="J765" s="4">
        <v>15.7052</v>
      </c>
      <c r="K765" s="4">
        <v>15.8649</v>
      </c>
      <c r="L765" s="4">
        <v>15.731199999999999</v>
      </c>
      <c r="M765" s="4">
        <f t="shared" si="45"/>
        <v>15.767099999999999</v>
      </c>
      <c r="P765" s="4" t="str">
        <f>"sec-24.2"</f>
        <v>sec-24.2</v>
      </c>
      <c r="Q765" s="4">
        <v>15.357308887178</v>
      </c>
      <c r="R765" s="4">
        <v>15.6042651824561</v>
      </c>
      <c r="S765" s="4">
        <v>15.390103397390099</v>
      </c>
      <c r="T765" s="4">
        <f t="shared" si="46"/>
        <v>15.450559155674734</v>
      </c>
      <c r="W765" s="4" t="str">
        <f>"T25B9.2"</f>
        <v>T25B9.2</v>
      </c>
      <c r="X765" s="4">
        <v>15.4979837251704</v>
      </c>
      <c r="Y765" s="4">
        <v>15.4567753867411</v>
      </c>
      <c r="Z765" s="4">
        <v>15.641304632240301</v>
      </c>
      <c r="AA765" s="4">
        <f t="shared" si="47"/>
        <v>15.532021248050599</v>
      </c>
      <c r="AJ765" s="1" t="s">
        <v>824</v>
      </c>
      <c r="AK765" s="1"/>
      <c r="AL765" s="1"/>
      <c r="AM765" s="1"/>
      <c r="AN765" s="1"/>
      <c r="AO765" s="1"/>
    </row>
    <row r="766" spans="2:41" x14ac:dyDescent="0.2">
      <c r="B766" s="4" t="s">
        <v>3312</v>
      </c>
      <c r="C766" s="4">
        <v>15.6319</v>
      </c>
      <c r="D766" s="4">
        <v>15.784700000000001</v>
      </c>
      <c r="E766" s="4">
        <v>15.7971</v>
      </c>
      <c r="F766" s="4">
        <f t="shared" si="44"/>
        <v>15.737900000000002</v>
      </c>
      <c r="I766" s="4" t="s">
        <v>3020</v>
      </c>
      <c r="J766" s="4">
        <v>15.755699999999999</v>
      </c>
      <c r="K766" s="4">
        <v>15.814500000000001</v>
      </c>
      <c r="L766" s="4">
        <v>15.7278</v>
      </c>
      <c r="M766" s="4">
        <f t="shared" si="45"/>
        <v>15.766</v>
      </c>
      <c r="P766" s="4" t="str">
        <f>"dhs-12"</f>
        <v>dhs-12</v>
      </c>
      <c r="Q766" s="4">
        <v>15.235083845453699</v>
      </c>
      <c r="R766" s="4">
        <v>15.6079075861745</v>
      </c>
      <c r="S766" s="4">
        <v>15.499558610685201</v>
      </c>
      <c r="T766" s="4">
        <f t="shared" si="46"/>
        <v>15.447516680771132</v>
      </c>
      <c r="W766" s="4" t="str">
        <f>"ifo-1"</f>
        <v>ifo-1</v>
      </c>
      <c r="X766" s="4">
        <v>14.731377391806699</v>
      </c>
      <c r="Y766" s="4">
        <v>15.7435306856616</v>
      </c>
      <c r="Z766" s="4">
        <v>16.1149106326483</v>
      </c>
      <c r="AA766" s="4">
        <f t="shared" si="47"/>
        <v>15.529939570038868</v>
      </c>
      <c r="AJ766" s="1" t="s">
        <v>659</v>
      </c>
      <c r="AK766" s="1"/>
      <c r="AL766" s="1"/>
      <c r="AM766" s="1"/>
      <c r="AN766" s="1"/>
      <c r="AO766" s="1"/>
    </row>
    <row r="767" spans="2:41" x14ac:dyDescent="0.2">
      <c r="B767" s="4" t="s">
        <v>57</v>
      </c>
      <c r="C767" s="4">
        <v>15.5244</v>
      </c>
      <c r="D767" s="4">
        <v>15.8225</v>
      </c>
      <c r="E767" s="4">
        <v>15.855600000000001</v>
      </c>
      <c r="F767" s="4">
        <f t="shared" si="44"/>
        <v>15.734166666666667</v>
      </c>
      <c r="I767" s="4" t="s">
        <v>2138</v>
      </c>
      <c r="J767" s="4">
        <v>15.713900000000001</v>
      </c>
      <c r="K767" s="4">
        <v>15.8124</v>
      </c>
      <c r="L767" s="4">
        <v>15.7685</v>
      </c>
      <c r="M767" s="4">
        <f t="shared" si="45"/>
        <v>15.764933333333332</v>
      </c>
      <c r="P767" s="4" t="str">
        <f>"hrpu-2"</f>
        <v>hrpu-2</v>
      </c>
      <c r="Q767" s="4">
        <v>15.421925043864899</v>
      </c>
      <c r="R767" s="4">
        <v>15.4322289922204</v>
      </c>
      <c r="S767" s="4">
        <v>15.4877711662335</v>
      </c>
      <c r="T767" s="4">
        <f t="shared" si="46"/>
        <v>15.447308400772933</v>
      </c>
      <c r="W767" s="4" t="str">
        <f>"acdh-11"</f>
        <v>acdh-11</v>
      </c>
      <c r="X767" s="4">
        <v>15.385643980589901</v>
      </c>
      <c r="Y767" s="4">
        <v>15.497335301354401</v>
      </c>
      <c r="Z767" s="4">
        <v>15.702234279693901</v>
      </c>
      <c r="AA767" s="4">
        <f t="shared" si="47"/>
        <v>15.528404520546067</v>
      </c>
      <c r="AJ767" s="1" t="s">
        <v>532</v>
      </c>
      <c r="AK767" s="1"/>
      <c r="AL767" s="1"/>
      <c r="AM767" s="1"/>
      <c r="AN767" s="1"/>
      <c r="AO767" s="1"/>
    </row>
    <row r="768" spans="2:41" x14ac:dyDescent="0.2">
      <c r="B768" s="4" t="s">
        <v>2102</v>
      </c>
      <c r="C768" s="4">
        <v>15.8062</v>
      </c>
      <c r="D768" s="4">
        <v>15.847200000000001</v>
      </c>
      <c r="E768" s="4">
        <v>15.5336</v>
      </c>
      <c r="F768" s="4">
        <f t="shared" si="44"/>
        <v>15.728999999999999</v>
      </c>
      <c r="I768" s="4" t="s">
        <v>1537</v>
      </c>
      <c r="J768" s="4">
        <v>15.649699999999999</v>
      </c>
      <c r="K768" s="4">
        <v>15.5518</v>
      </c>
      <c r="L768" s="4">
        <v>16.088799999999999</v>
      </c>
      <c r="M768" s="4">
        <f t="shared" si="45"/>
        <v>15.763433333333333</v>
      </c>
      <c r="P768" s="4" t="str">
        <f>"nduf-5"</f>
        <v>nduf-5</v>
      </c>
      <c r="Q768" s="4">
        <v>15.495263971166199</v>
      </c>
      <c r="R768" s="4">
        <v>15.331612703128901</v>
      </c>
      <c r="S768" s="4">
        <v>15.514939064872801</v>
      </c>
      <c r="T768" s="4">
        <f t="shared" si="46"/>
        <v>15.447271913055966</v>
      </c>
      <c r="W768" s="4" t="str">
        <f>"W07E11.1"</f>
        <v>W07E11.1</v>
      </c>
      <c r="X768" s="4">
        <v>15.5015945773943</v>
      </c>
      <c r="Y768" s="4">
        <v>15.4901137255309</v>
      </c>
      <c r="Z768" s="4">
        <v>15.5919764947982</v>
      </c>
      <c r="AA768" s="4">
        <f t="shared" si="47"/>
        <v>15.527894932574467</v>
      </c>
      <c r="AJ768" s="1" t="s">
        <v>960</v>
      </c>
      <c r="AK768" s="1"/>
      <c r="AL768" s="1"/>
      <c r="AM768" s="1"/>
      <c r="AN768" s="1"/>
      <c r="AO768" s="1"/>
    </row>
    <row r="769" spans="2:41" x14ac:dyDescent="0.2">
      <c r="B769" s="4" t="s">
        <v>3998</v>
      </c>
      <c r="C769" s="4">
        <v>15.7103</v>
      </c>
      <c r="D769" s="4">
        <v>15.831799999999999</v>
      </c>
      <c r="E769" s="4">
        <v>15.643700000000001</v>
      </c>
      <c r="F769" s="4">
        <f t="shared" si="44"/>
        <v>15.7286</v>
      </c>
      <c r="I769" s="4" t="s">
        <v>453</v>
      </c>
      <c r="J769" s="4">
        <v>15.8269</v>
      </c>
      <c r="K769" s="4">
        <v>16.1126</v>
      </c>
      <c r="L769" s="4">
        <v>15.3504</v>
      </c>
      <c r="M769" s="4">
        <f t="shared" si="45"/>
        <v>15.763300000000001</v>
      </c>
      <c r="P769" s="4" t="str">
        <f>"ras-1"</f>
        <v>ras-1</v>
      </c>
      <c r="Q769" s="4">
        <v>15.591769484303001</v>
      </c>
      <c r="R769" s="4">
        <v>15.409651797059899</v>
      </c>
      <c r="S769" s="4">
        <v>15.335402669924401</v>
      </c>
      <c r="T769" s="4">
        <f t="shared" si="46"/>
        <v>15.445607983762434</v>
      </c>
      <c r="W769" s="4" t="str">
        <f>"trap-1"</f>
        <v>trap-1</v>
      </c>
      <c r="X769" s="4">
        <v>15.8247466832788</v>
      </c>
      <c r="Y769" s="4">
        <v>15.5663076561198</v>
      </c>
      <c r="Z769" s="4">
        <v>15.191906766200001</v>
      </c>
      <c r="AA769" s="4">
        <f t="shared" si="47"/>
        <v>15.5276537018662</v>
      </c>
      <c r="AJ769" s="1" t="s">
        <v>654</v>
      </c>
      <c r="AK769" s="1"/>
      <c r="AL769" s="1"/>
      <c r="AM769" s="1"/>
      <c r="AN769" s="1"/>
      <c r="AO769" s="1"/>
    </row>
    <row r="770" spans="2:41" x14ac:dyDescent="0.2">
      <c r="B770" s="4" t="s">
        <v>446</v>
      </c>
      <c r="C770" s="4">
        <v>15.654500000000001</v>
      </c>
      <c r="D770" s="4">
        <v>15.920400000000001</v>
      </c>
      <c r="E770" s="4">
        <v>15.609500000000001</v>
      </c>
      <c r="F770" s="4">
        <f t="shared" ref="F770:F833" si="48">(C770+D770+E770)/3</f>
        <v>15.728133333333332</v>
      </c>
      <c r="I770" s="4" t="s">
        <v>2937</v>
      </c>
      <c r="J770" s="4">
        <v>15.582100000000001</v>
      </c>
      <c r="K770" s="4">
        <v>15.7401</v>
      </c>
      <c r="L770" s="4">
        <v>15.9405</v>
      </c>
      <c r="M770" s="4">
        <f t="shared" ref="M770:M833" si="49">(J770+K770+L770)/3</f>
        <v>15.754233333333334</v>
      </c>
      <c r="P770" s="4" t="str">
        <f>"mrpl-44"</f>
        <v>mrpl-44</v>
      </c>
      <c r="Q770" s="4">
        <v>15.7796303821385</v>
      </c>
      <c r="R770" s="4">
        <v>15.22307308834</v>
      </c>
      <c r="S770" s="4">
        <v>15.3292145023745</v>
      </c>
      <c r="T770" s="4">
        <f t="shared" ref="T770:T833" si="50">(Q770+R770+S770)/3</f>
        <v>15.443972657617666</v>
      </c>
      <c r="W770" s="4" t="str">
        <f>"Y49E10.29"</f>
        <v>Y49E10.29</v>
      </c>
      <c r="X770" s="4">
        <v>15.5062322769567</v>
      </c>
      <c r="Y770" s="4">
        <v>15.2995557918406</v>
      </c>
      <c r="Z770" s="4">
        <v>15.7747944223677</v>
      </c>
      <c r="AA770" s="4">
        <f t="shared" ref="AA770:AA833" si="51">(X770+Y770+Z770)/3</f>
        <v>15.526860830388332</v>
      </c>
      <c r="AJ770" s="1" t="s">
        <v>658</v>
      </c>
      <c r="AK770" s="1"/>
      <c r="AL770" s="1"/>
      <c r="AM770" s="1"/>
      <c r="AN770" s="1"/>
      <c r="AO770" s="1"/>
    </row>
    <row r="771" spans="2:41" x14ac:dyDescent="0.2">
      <c r="B771" s="4" t="s">
        <v>4644</v>
      </c>
      <c r="C771" s="4">
        <v>15.3279</v>
      </c>
      <c r="D771" s="4">
        <v>15.8698</v>
      </c>
      <c r="E771" s="4">
        <v>15.9757</v>
      </c>
      <c r="F771" s="4">
        <f t="shared" si="48"/>
        <v>15.724466666666666</v>
      </c>
      <c r="I771" s="4" t="s">
        <v>3952</v>
      </c>
      <c r="J771" s="4">
        <v>15.622199999999999</v>
      </c>
      <c r="K771" s="4">
        <v>15.956099999999999</v>
      </c>
      <c r="L771" s="4">
        <v>15.675599999999999</v>
      </c>
      <c r="M771" s="4">
        <f t="shared" si="49"/>
        <v>15.751300000000001</v>
      </c>
      <c r="P771" s="4" t="str">
        <f>"rbc-1"</f>
        <v>rbc-1</v>
      </c>
      <c r="Q771" s="4">
        <v>15.490566314305999</v>
      </c>
      <c r="R771" s="4">
        <v>15.4129973498718</v>
      </c>
      <c r="S771" s="4">
        <v>15.421383767073699</v>
      </c>
      <c r="T771" s="4">
        <f t="shared" si="50"/>
        <v>15.441649143750501</v>
      </c>
      <c r="W771" s="4" t="str">
        <f>"imph-1"</f>
        <v>imph-1</v>
      </c>
      <c r="X771" s="4">
        <v>15.480263800293599</v>
      </c>
      <c r="Y771" s="4">
        <v>15.6474554588487</v>
      </c>
      <c r="Z771" s="4">
        <v>15.446374817033099</v>
      </c>
      <c r="AA771" s="4">
        <f t="shared" si="51"/>
        <v>15.5246980253918</v>
      </c>
      <c r="AJ771" s="1" t="s">
        <v>606</v>
      </c>
      <c r="AK771" s="1"/>
      <c r="AL771" s="1"/>
      <c r="AM771" s="1"/>
      <c r="AN771" s="1"/>
      <c r="AO771" s="1"/>
    </row>
    <row r="772" spans="2:41" x14ac:dyDescent="0.2">
      <c r="B772" s="4" t="s">
        <v>2689</v>
      </c>
      <c r="C772" s="4">
        <v>15.4231</v>
      </c>
      <c r="D772" s="4">
        <v>16.091000000000001</v>
      </c>
      <c r="E772" s="4">
        <v>15.6508</v>
      </c>
      <c r="F772" s="4">
        <f t="shared" si="48"/>
        <v>15.721633333333335</v>
      </c>
      <c r="I772" s="4" t="s">
        <v>670</v>
      </c>
      <c r="J772" s="4">
        <v>15.2897</v>
      </c>
      <c r="K772" s="4">
        <v>15.741400000000001</v>
      </c>
      <c r="L772" s="4">
        <v>16.215900000000001</v>
      </c>
      <c r="M772" s="4">
        <f t="shared" si="49"/>
        <v>15.749000000000001</v>
      </c>
      <c r="P772" s="4" t="str">
        <f>"ears-1"</f>
        <v>ears-1</v>
      </c>
      <c r="Q772" s="4">
        <v>15.352871827568601</v>
      </c>
      <c r="R772" s="4">
        <v>15.3993929203221</v>
      </c>
      <c r="S772" s="4">
        <v>15.567283427520101</v>
      </c>
      <c r="T772" s="4">
        <f t="shared" si="50"/>
        <v>15.4398493918036</v>
      </c>
      <c r="W772" s="4" t="str">
        <f>"C16A3.5"</f>
        <v>C16A3.5</v>
      </c>
      <c r="X772" s="4">
        <v>15.2541307570947</v>
      </c>
      <c r="Y772" s="4">
        <v>15.610305984439099</v>
      </c>
      <c r="Z772" s="4">
        <v>15.7065552562687</v>
      </c>
      <c r="AA772" s="4">
        <f t="shared" si="51"/>
        <v>15.5236639992675</v>
      </c>
      <c r="AJ772" s="1" t="s">
        <v>660</v>
      </c>
      <c r="AK772" s="1"/>
      <c r="AL772" s="1"/>
      <c r="AM772" s="1"/>
      <c r="AN772" s="1"/>
      <c r="AO772" s="1"/>
    </row>
    <row r="773" spans="2:41" x14ac:dyDescent="0.2">
      <c r="B773" s="4" t="s">
        <v>4643</v>
      </c>
      <c r="C773" s="4">
        <v>15.6989</v>
      </c>
      <c r="D773" s="4">
        <v>15.436400000000001</v>
      </c>
      <c r="E773" s="4">
        <v>16.024699999999999</v>
      </c>
      <c r="F773" s="4">
        <f t="shared" si="48"/>
        <v>15.719999999999999</v>
      </c>
      <c r="I773" s="4" t="s">
        <v>3556</v>
      </c>
      <c r="J773" s="4">
        <v>15.9749</v>
      </c>
      <c r="K773" s="4">
        <v>15.7561</v>
      </c>
      <c r="L773" s="4">
        <v>15.515700000000001</v>
      </c>
      <c r="M773" s="4">
        <f t="shared" si="49"/>
        <v>15.748900000000001</v>
      </c>
      <c r="P773" s="4" t="str">
        <f>"fum-1"</f>
        <v>fum-1</v>
      </c>
      <c r="Q773" s="4">
        <v>15.510936034077099</v>
      </c>
      <c r="R773" s="4">
        <v>15.3225588709556</v>
      </c>
      <c r="S773" s="4">
        <v>15.476764171198401</v>
      </c>
      <c r="T773" s="4">
        <f t="shared" si="50"/>
        <v>15.436753025410368</v>
      </c>
      <c r="W773" s="4" t="str">
        <f>"F55C10.4"</f>
        <v>F55C10.4</v>
      </c>
      <c r="X773" s="4">
        <v>15.409860705842901</v>
      </c>
      <c r="Y773" s="4">
        <v>15.408902297712199</v>
      </c>
      <c r="Z773" s="4">
        <v>15.747877034682601</v>
      </c>
      <c r="AA773" s="4">
        <f t="shared" si="51"/>
        <v>15.522213346079234</v>
      </c>
      <c r="AJ773" s="1" t="s">
        <v>961</v>
      </c>
      <c r="AK773" s="1"/>
      <c r="AL773" s="1"/>
      <c r="AM773" s="1"/>
      <c r="AN773" s="1"/>
      <c r="AO773" s="1"/>
    </row>
    <row r="774" spans="2:41" x14ac:dyDescent="0.2">
      <c r="B774" s="4" t="s">
        <v>4570</v>
      </c>
      <c r="C774" s="4">
        <v>15.8017</v>
      </c>
      <c r="D774" s="4">
        <v>15.6698</v>
      </c>
      <c r="E774" s="4">
        <v>15.688000000000001</v>
      </c>
      <c r="F774" s="4">
        <f t="shared" si="48"/>
        <v>15.719833333333334</v>
      </c>
      <c r="I774" s="4" t="s">
        <v>2395</v>
      </c>
      <c r="J774" s="4">
        <v>15.9902</v>
      </c>
      <c r="K774" s="4">
        <v>15.6374</v>
      </c>
      <c r="L774" s="4">
        <v>15.6183</v>
      </c>
      <c r="M774" s="4">
        <f t="shared" si="49"/>
        <v>15.748633333333332</v>
      </c>
      <c r="P774" s="4" t="str">
        <f>"pmp-2"</f>
        <v>pmp-2</v>
      </c>
      <c r="Q774" s="4">
        <v>15.3790498708893</v>
      </c>
      <c r="R774" s="4">
        <v>15.615537658637599</v>
      </c>
      <c r="S774" s="4">
        <v>15.300155518530101</v>
      </c>
      <c r="T774" s="4">
        <f t="shared" si="50"/>
        <v>15.431581016019001</v>
      </c>
      <c r="W774" s="4" t="str">
        <f>"apg-1"</f>
        <v>apg-1</v>
      </c>
      <c r="X774" s="4">
        <v>15.5343740658179</v>
      </c>
      <c r="Y774" s="4">
        <v>15.608506973525399</v>
      </c>
      <c r="Z774" s="4">
        <v>15.411570202694399</v>
      </c>
      <c r="AA774" s="4">
        <f t="shared" si="51"/>
        <v>15.518150414012567</v>
      </c>
      <c r="AJ774" s="1" t="s">
        <v>657</v>
      </c>
      <c r="AK774" s="1"/>
      <c r="AL774" s="1"/>
      <c r="AM774" s="1"/>
      <c r="AN774" s="1"/>
      <c r="AO774" s="1"/>
    </row>
    <row r="775" spans="2:41" x14ac:dyDescent="0.2">
      <c r="B775" s="4" t="s">
        <v>1002</v>
      </c>
      <c r="C775" s="4">
        <v>15.5626</v>
      </c>
      <c r="D775" s="4">
        <v>15.916700000000001</v>
      </c>
      <c r="E775" s="4">
        <v>15.677199999999999</v>
      </c>
      <c r="F775" s="4">
        <f t="shared" si="48"/>
        <v>15.718833333333334</v>
      </c>
      <c r="I775" s="4" t="s">
        <v>1434</v>
      </c>
      <c r="J775" s="4">
        <v>16.153400000000001</v>
      </c>
      <c r="K775" s="4">
        <v>15.5116</v>
      </c>
      <c r="L775" s="4">
        <v>15.5808</v>
      </c>
      <c r="M775" s="4">
        <f t="shared" si="49"/>
        <v>15.748600000000001</v>
      </c>
      <c r="P775" s="4" t="str">
        <f>"let-2"</f>
        <v>let-2</v>
      </c>
      <c r="Q775" s="4">
        <v>15.826344407992099</v>
      </c>
      <c r="R775" s="4">
        <v>14.827297698602599</v>
      </c>
      <c r="S775" s="4">
        <v>15.618309150144499</v>
      </c>
      <c r="T775" s="4">
        <f t="shared" si="50"/>
        <v>15.4239837522464</v>
      </c>
      <c r="W775" s="4" t="str">
        <f>"Y46E12BL.2"</f>
        <v>Y46E12BL.2</v>
      </c>
      <c r="X775" s="4">
        <v>15.349803060975701</v>
      </c>
      <c r="Y775" s="4">
        <v>15.6655104852973</v>
      </c>
      <c r="Z775" s="4">
        <v>15.5374967887983</v>
      </c>
      <c r="AA775" s="4">
        <f t="shared" si="51"/>
        <v>15.517603445023767</v>
      </c>
      <c r="AJ775" s="1" t="s">
        <v>780</v>
      </c>
      <c r="AK775" s="1"/>
      <c r="AL775" s="1"/>
      <c r="AM775" s="1"/>
      <c r="AN775" s="1"/>
      <c r="AO775" s="1"/>
    </row>
    <row r="776" spans="2:41" x14ac:dyDescent="0.2">
      <c r="B776" s="4" t="s">
        <v>3098</v>
      </c>
      <c r="C776" s="4">
        <v>15.670299999999999</v>
      </c>
      <c r="D776" s="4">
        <v>15.7704</v>
      </c>
      <c r="E776" s="4">
        <v>15.699400000000001</v>
      </c>
      <c r="F776" s="4">
        <f t="shared" si="48"/>
        <v>15.713366666666667</v>
      </c>
      <c r="I776" s="4" t="s">
        <v>1924</v>
      </c>
      <c r="J776" s="4">
        <v>15.8469</v>
      </c>
      <c r="K776" s="4">
        <v>15.5626</v>
      </c>
      <c r="L776" s="4">
        <v>15.8293</v>
      </c>
      <c r="M776" s="4">
        <f t="shared" si="49"/>
        <v>15.746266666666665</v>
      </c>
      <c r="P776" s="4" t="str">
        <f>"fars-2"</f>
        <v>fars-2</v>
      </c>
      <c r="Q776" s="4">
        <v>15.6536079039903</v>
      </c>
      <c r="R776" s="4">
        <v>15.2945073996492</v>
      </c>
      <c r="S776" s="4">
        <v>15.321608752125501</v>
      </c>
      <c r="T776" s="4">
        <f t="shared" si="50"/>
        <v>15.423241351921668</v>
      </c>
      <c r="W776" s="4" t="str">
        <f>"Y54E10A.10"</f>
        <v>Y54E10A.10</v>
      </c>
      <c r="X776" s="4">
        <v>15.0257364559123</v>
      </c>
      <c r="Y776" s="4">
        <v>15.8490183599449</v>
      </c>
      <c r="Z776" s="4">
        <v>15.6721965284472</v>
      </c>
      <c r="AA776" s="4">
        <f t="shared" si="51"/>
        <v>15.515650448101468</v>
      </c>
      <c r="AJ776" s="1" t="s">
        <v>892</v>
      </c>
      <c r="AK776" s="1"/>
      <c r="AL776" s="1"/>
      <c r="AM776" s="1"/>
      <c r="AN776" s="1"/>
      <c r="AO776" s="1"/>
    </row>
    <row r="777" spans="2:41" x14ac:dyDescent="0.2">
      <c r="B777" s="4" t="s">
        <v>3239</v>
      </c>
      <c r="C777" s="4">
        <v>15.9322</v>
      </c>
      <c r="D777" s="4">
        <v>15.645</v>
      </c>
      <c r="E777" s="4">
        <v>15.551500000000001</v>
      </c>
      <c r="F777" s="4">
        <f t="shared" si="48"/>
        <v>15.709566666666666</v>
      </c>
      <c r="I777" s="4" t="s">
        <v>673</v>
      </c>
      <c r="J777" s="4">
        <v>15.181900000000001</v>
      </c>
      <c r="K777" s="4">
        <v>15.6653</v>
      </c>
      <c r="L777" s="4">
        <v>16.388200000000001</v>
      </c>
      <c r="M777" s="4">
        <f t="shared" si="49"/>
        <v>15.745133333333333</v>
      </c>
      <c r="P777" s="4" t="str">
        <f>"nkb-3"</f>
        <v>nkb-3</v>
      </c>
      <c r="Q777" s="4">
        <v>15.4153721641818</v>
      </c>
      <c r="R777" s="4">
        <v>15.4343563633701</v>
      </c>
      <c r="S777" s="4">
        <v>15.418523860765699</v>
      </c>
      <c r="T777" s="4">
        <f t="shared" si="50"/>
        <v>15.422750796105866</v>
      </c>
      <c r="W777" s="4" t="str">
        <f>"dpy-18"</f>
        <v>dpy-18</v>
      </c>
      <c r="X777" s="4">
        <v>15.2677380614968</v>
      </c>
      <c r="Y777" s="4">
        <v>15.5866555126716</v>
      </c>
      <c r="Z777" s="4">
        <v>15.675308085286099</v>
      </c>
      <c r="AA777" s="4">
        <f t="shared" si="51"/>
        <v>15.509900553151498</v>
      </c>
      <c r="AJ777" s="1" t="s">
        <v>662</v>
      </c>
      <c r="AK777" s="1"/>
      <c r="AL777" s="1"/>
      <c r="AM777" s="1"/>
      <c r="AN777" s="1"/>
      <c r="AO777" s="1"/>
    </row>
    <row r="778" spans="2:41" x14ac:dyDescent="0.2">
      <c r="B778" s="4" t="s">
        <v>2011</v>
      </c>
      <c r="C778" s="4">
        <v>15.798299999999999</v>
      </c>
      <c r="D778" s="4">
        <v>15.4253</v>
      </c>
      <c r="E778" s="4">
        <v>15.899699999999999</v>
      </c>
      <c r="F778" s="4">
        <f t="shared" si="48"/>
        <v>15.707766666666666</v>
      </c>
      <c r="I778" s="4" t="s">
        <v>1198</v>
      </c>
      <c r="J778" s="4">
        <v>15.837899999999999</v>
      </c>
      <c r="K778" s="4">
        <v>15.5937</v>
      </c>
      <c r="L778" s="4">
        <v>15.802099999999999</v>
      </c>
      <c r="M778" s="4">
        <f t="shared" si="49"/>
        <v>15.744566666666666</v>
      </c>
      <c r="P778" s="4" t="str">
        <f>"plin-1"</f>
        <v>plin-1</v>
      </c>
      <c r="Q778" s="4">
        <v>15.5720500480508</v>
      </c>
      <c r="R778" s="4">
        <v>15.460364991426299</v>
      </c>
      <c r="S778" s="4">
        <v>15.2297109738115</v>
      </c>
      <c r="T778" s="4">
        <f t="shared" si="50"/>
        <v>15.4207086710962</v>
      </c>
      <c r="W778" s="4" t="str">
        <f>"sftb-1"</f>
        <v>sftb-1</v>
      </c>
      <c r="X778" s="4">
        <v>15.3778750890897</v>
      </c>
      <c r="Y778" s="4">
        <v>15.6284991484599</v>
      </c>
      <c r="Z778" s="4">
        <v>15.511996150894699</v>
      </c>
      <c r="AA778" s="4">
        <f t="shared" si="51"/>
        <v>15.506123462814765</v>
      </c>
      <c r="AJ778" s="1" t="s">
        <v>962</v>
      </c>
      <c r="AK778" s="1"/>
      <c r="AL778" s="1"/>
      <c r="AM778" s="1"/>
      <c r="AN778" s="1"/>
      <c r="AO778" s="1"/>
    </row>
    <row r="779" spans="2:41" x14ac:dyDescent="0.2">
      <c r="B779" s="4" t="s">
        <v>71</v>
      </c>
      <c r="C779" s="4">
        <v>15.7331</v>
      </c>
      <c r="D779" s="4">
        <v>15.8222</v>
      </c>
      <c r="E779" s="4">
        <v>15.542899999999999</v>
      </c>
      <c r="F779" s="4">
        <f t="shared" si="48"/>
        <v>15.699400000000002</v>
      </c>
      <c r="I779" s="4" t="s">
        <v>4428</v>
      </c>
      <c r="J779" s="4">
        <v>15.9178</v>
      </c>
      <c r="K779" s="4">
        <v>15.5464</v>
      </c>
      <c r="L779" s="4">
        <v>15.7692</v>
      </c>
      <c r="M779" s="4">
        <f t="shared" si="49"/>
        <v>15.744466666666666</v>
      </c>
      <c r="P779" s="4" t="str">
        <f>"eif-3.B"</f>
        <v>eif-3.B</v>
      </c>
      <c r="Q779" s="4">
        <v>15.2637885438476</v>
      </c>
      <c r="R779" s="4">
        <v>15.4196579133718</v>
      </c>
      <c r="S779" s="4">
        <v>15.576721524630599</v>
      </c>
      <c r="T779" s="4">
        <f t="shared" si="50"/>
        <v>15.420055993950001</v>
      </c>
      <c r="W779" s="4" t="str">
        <f>"C47B2.2"</f>
        <v>C47B2.2</v>
      </c>
      <c r="X779" s="4">
        <v>15.52892315063</v>
      </c>
      <c r="Y779" s="4">
        <v>15.498541998560199</v>
      </c>
      <c r="Z779" s="4">
        <v>15.4716238242899</v>
      </c>
      <c r="AA779" s="4">
        <f t="shared" si="51"/>
        <v>15.499696324493366</v>
      </c>
      <c r="AJ779" s="1" t="s">
        <v>664</v>
      </c>
      <c r="AK779" s="1"/>
      <c r="AL779" s="1"/>
      <c r="AM779" s="1"/>
      <c r="AN779" s="1"/>
      <c r="AO779" s="1"/>
    </row>
    <row r="780" spans="2:41" x14ac:dyDescent="0.2">
      <c r="B780" s="4" t="s">
        <v>1717</v>
      </c>
      <c r="C780" s="4">
        <v>15.953200000000001</v>
      </c>
      <c r="D780" s="4">
        <v>15.1287</v>
      </c>
      <c r="E780" s="4">
        <v>15.9955</v>
      </c>
      <c r="F780" s="4">
        <f t="shared" si="48"/>
        <v>15.692466666666666</v>
      </c>
      <c r="I780" s="4" t="s">
        <v>2697</v>
      </c>
      <c r="J780" s="4">
        <v>15.7873</v>
      </c>
      <c r="K780" s="4">
        <v>15.603300000000001</v>
      </c>
      <c r="L780" s="4">
        <v>15.839</v>
      </c>
      <c r="M780" s="4">
        <f t="shared" si="49"/>
        <v>15.7432</v>
      </c>
      <c r="P780" s="4" t="str">
        <f>"cul-3"</f>
        <v>cul-3</v>
      </c>
      <c r="Q780" s="4">
        <v>15.3897398433595</v>
      </c>
      <c r="R780" s="4">
        <v>15.4869410144812</v>
      </c>
      <c r="S780" s="4">
        <v>15.3741627571723</v>
      </c>
      <c r="T780" s="4">
        <f t="shared" si="50"/>
        <v>15.416947871670999</v>
      </c>
      <c r="W780" s="4" t="str">
        <f>"lact-3"</f>
        <v>lact-3</v>
      </c>
      <c r="X780" s="4">
        <v>15.4878665070549</v>
      </c>
      <c r="Y780" s="4">
        <v>15.584626835792999</v>
      </c>
      <c r="Z780" s="4">
        <v>15.4228565546101</v>
      </c>
      <c r="AA780" s="4">
        <f t="shared" si="51"/>
        <v>15.498449965819333</v>
      </c>
      <c r="AJ780" s="1" t="s">
        <v>684</v>
      </c>
      <c r="AK780" s="1"/>
      <c r="AL780" s="1"/>
      <c r="AM780" s="1"/>
      <c r="AN780" s="1"/>
      <c r="AO780" s="1"/>
    </row>
    <row r="781" spans="2:41" x14ac:dyDescent="0.2">
      <c r="B781" s="4" t="s">
        <v>2365</v>
      </c>
      <c r="C781" s="4">
        <v>15.879799999999999</v>
      </c>
      <c r="D781" s="4">
        <v>15.6807</v>
      </c>
      <c r="E781" s="4">
        <v>15.513299999999999</v>
      </c>
      <c r="F781" s="4">
        <f t="shared" si="48"/>
        <v>15.691266666666666</v>
      </c>
      <c r="I781" s="4" t="s">
        <v>3753</v>
      </c>
      <c r="J781" s="4">
        <v>15.8058</v>
      </c>
      <c r="K781" s="4">
        <v>15.7554</v>
      </c>
      <c r="L781" s="4">
        <v>15.6684</v>
      </c>
      <c r="M781" s="4">
        <f t="shared" si="49"/>
        <v>15.7432</v>
      </c>
      <c r="P781" s="4" t="str">
        <f>"pde-4"</f>
        <v>pde-4</v>
      </c>
      <c r="Q781" s="4">
        <v>15.781843317004499</v>
      </c>
      <c r="R781" s="4">
        <v>15.179387547009799</v>
      </c>
      <c r="S781" s="4">
        <v>15.288537847863299</v>
      </c>
      <c r="T781" s="4">
        <f t="shared" si="50"/>
        <v>15.416589570625865</v>
      </c>
      <c r="W781" s="4" t="str">
        <f>"F27D4.1"</f>
        <v>F27D4.1</v>
      </c>
      <c r="X781" s="4">
        <v>15.8866844243359</v>
      </c>
      <c r="Y781" s="4">
        <v>15.135020389944099</v>
      </c>
      <c r="Z781" s="4">
        <v>15.4702936343594</v>
      </c>
      <c r="AA781" s="4">
        <f t="shared" si="51"/>
        <v>15.497332816213133</v>
      </c>
      <c r="AJ781" s="1" t="s">
        <v>891</v>
      </c>
      <c r="AK781" s="1"/>
      <c r="AL781" s="1"/>
      <c r="AM781" s="1"/>
      <c r="AN781" s="1"/>
      <c r="AO781" s="1"/>
    </row>
    <row r="782" spans="2:41" x14ac:dyDescent="0.2">
      <c r="B782" s="4" t="s">
        <v>1714</v>
      </c>
      <c r="C782" s="4">
        <v>15.567500000000001</v>
      </c>
      <c r="D782" s="4">
        <v>15.709199999999999</v>
      </c>
      <c r="E782" s="4">
        <v>15.789899999999999</v>
      </c>
      <c r="F782" s="4">
        <f t="shared" si="48"/>
        <v>15.688866666666664</v>
      </c>
      <c r="I782" s="4" t="s">
        <v>2365</v>
      </c>
      <c r="J782" s="4">
        <v>15.839499999999999</v>
      </c>
      <c r="K782" s="4">
        <v>15.644399999999999</v>
      </c>
      <c r="L782" s="4">
        <v>15.7425</v>
      </c>
      <c r="M782" s="4">
        <f t="shared" si="49"/>
        <v>15.742133333333333</v>
      </c>
      <c r="P782" s="4" t="str">
        <f>"T28D6.6"</f>
        <v>T28D6.6</v>
      </c>
      <c r="Q782" s="4">
        <v>15.350475754903901</v>
      </c>
      <c r="R782" s="4">
        <v>15.353257837863699</v>
      </c>
      <c r="S782" s="4">
        <v>15.5429451120264</v>
      </c>
      <c r="T782" s="4">
        <f t="shared" si="50"/>
        <v>15.415559568264667</v>
      </c>
      <c r="W782" s="4" t="str">
        <f>"rha-2"</f>
        <v>rha-2</v>
      </c>
      <c r="X782" s="4">
        <v>15.3262428720783</v>
      </c>
      <c r="Y782" s="4">
        <v>15.6035523396947</v>
      </c>
      <c r="Z782" s="4">
        <v>15.5617864121285</v>
      </c>
      <c r="AA782" s="4">
        <f t="shared" si="51"/>
        <v>15.497193874633831</v>
      </c>
      <c r="AJ782" s="1" t="s">
        <v>701</v>
      </c>
      <c r="AK782" s="1"/>
      <c r="AL782" s="1"/>
      <c r="AM782" s="1"/>
      <c r="AN782" s="1"/>
      <c r="AO782" s="1"/>
    </row>
    <row r="783" spans="2:41" x14ac:dyDescent="0.2">
      <c r="B783" s="4" t="s">
        <v>2442</v>
      </c>
      <c r="C783" s="4">
        <v>16.024899999999999</v>
      </c>
      <c r="D783" s="4">
        <v>14.825699999999999</v>
      </c>
      <c r="E783" s="4">
        <v>16.2056</v>
      </c>
      <c r="F783" s="4">
        <f t="shared" si="48"/>
        <v>15.685400000000001</v>
      </c>
      <c r="I783" s="4" t="s">
        <v>2523</v>
      </c>
      <c r="J783" s="4">
        <v>16.313400000000001</v>
      </c>
      <c r="K783" s="4">
        <v>15.487</v>
      </c>
      <c r="L783" s="4">
        <v>15.422000000000001</v>
      </c>
      <c r="M783" s="4">
        <f t="shared" si="49"/>
        <v>15.740800000000002</v>
      </c>
      <c r="P783" s="4" t="str">
        <f>"T07D3.9"</f>
        <v>T07D3.9</v>
      </c>
      <c r="Q783" s="4">
        <v>15.4646735263956</v>
      </c>
      <c r="R783" s="4">
        <v>15.391206059903899</v>
      </c>
      <c r="S783" s="4">
        <v>15.390651428888001</v>
      </c>
      <c r="T783" s="4">
        <f t="shared" si="50"/>
        <v>15.415510338395833</v>
      </c>
      <c r="W783" s="4" t="str">
        <f>"F56A11.5"</f>
        <v>F56A11.5</v>
      </c>
      <c r="X783" s="4">
        <v>15.685587782755601</v>
      </c>
      <c r="Y783" s="4">
        <v>15.456811117670901</v>
      </c>
      <c r="Z783" s="4">
        <v>15.3459051098367</v>
      </c>
      <c r="AA783" s="4">
        <f t="shared" si="51"/>
        <v>15.4961013367544</v>
      </c>
      <c r="AJ783" s="1" t="s">
        <v>673</v>
      </c>
      <c r="AK783" s="1"/>
      <c r="AL783" s="1"/>
      <c r="AM783" s="1"/>
      <c r="AN783" s="1"/>
      <c r="AO783" s="1"/>
    </row>
    <row r="784" spans="2:41" x14ac:dyDescent="0.2">
      <c r="B784" s="4" t="s">
        <v>3641</v>
      </c>
      <c r="C784" s="4">
        <v>15.796200000000001</v>
      </c>
      <c r="D784" s="4">
        <v>15.594200000000001</v>
      </c>
      <c r="E784" s="4">
        <v>15.6557</v>
      </c>
      <c r="F784" s="4">
        <f t="shared" si="48"/>
        <v>15.682033333333331</v>
      </c>
      <c r="I784" s="4" t="s">
        <v>1324</v>
      </c>
      <c r="J784" s="4">
        <v>15.814500000000001</v>
      </c>
      <c r="K784" s="4">
        <v>15.902100000000001</v>
      </c>
      <c r="L784" s="4">
        <v>15.5022</v>
      </c>
      <c r="M784" s="4">
        <f t="shared" si="49"/>
        <v>15.739600000000001</v>
      </c>
      <c r="P784" s="4" t="str">
        <f>"sar-1"</f>
        <v>sar-1</v>
      </c>
      <c r="Q784" s="4">
        <v>15.5498933044253</v>
      </c>
      <c r="R784" s="4">
        <v>15.5511234520096</v>
      </c>
      <c r="S784" s="4">
        <v>15.1275527709925</v>
      </c>
      <c r="T784" s="4">
        <f t="shared" si="50"/>
        <v>15.409523175809134</v>
      </c>
      <c r="W784" s="4" t="str">
        <f>"ribo-1"</f>
        <v>ribo-1</v>
      </c>
      <c r="X784" s="4">
        <v>15.864123665236001</v>
      </c>
      <c r="Y784" s="4">
        <v>15.458491165358501</v>
      </c>
      <c r="Z784" s="4">
        <v>15.1554896903741</v>
      </c>
      <c r="AA784" s="4">
        <f t="shared" si="51"/>
        <v>15.492701506989533</v>
      </c>
      <c r="AJ784" s="1" t="s">
        <v>679</v>
      </c>
      <c r="AK784" s="1"/>
      <c r="AL784" s="1"/>
      <c r="AM784" s="1"/>
      <c r="AN784" s="1"/>
      <c r="AO784" s="1"/>
    </row>
    <row r="785" spans="2:41" x14ac:dyDescent="0.2">
      <c r="B785" s="4" t="s">
        <v>2181</v>
      </c>
      <c r="C785" s="4">
        <v>15.740600000000001</v>
      </c>
      <c r="D785" s="4">
        <v>15.837999999999999</v>
      </c>
      <c r="E785" s="4">
        <v>15.4617</v>
      </c>
      <c r="F785" s="4">
        <f t="shared" si="48"/>
        <v>15.680100000000001</v>
      </c>
      <c r="I785" s="4" t="s">
        <v>3564</v>
      </c>
      <c r="J785" s="4">
        <v>15.588900000000001</v>
      </c>
      <c r="K785" s="4">
        <v>15.658200000000001</v>
      </c>
      <c r="L785" s="4">
        <v>15.9579</v>
      </c>
      <c r="M785" s="4">
        <f t="shared" si="49"/>
        <v>15.735000000000001</v>
      </c>
      <c r="P785" s="4" t="str">
        <f>"ears-2"</f>
        <v>ears-2</v>
      </c>
      <c r="Q785" s="4">
        <v>15.678602312718301</v>
      </c>
      <c r="R785" s="4">
        <v>15.347822611082799</v>
      </c>
      <c r="S785" s="4">
        <v>15.198799917260599</v>
      </c>
      <c r="T785" s="4">
        <f t="shared" si="50"/>
        <v>15.408408280353902</v>
      </c>
      <c r="W785" s="4" t="str">
        <f>"lonp-2"</f>
        <v>lonp-2</v>
      </c>
      <c r="X785" s="4">
        <v>15.4218229376044</v>
      </c>
      <c r="Y785" s="4">
        <v>15.431942703325699</v>
      </c>
      <c r="Z785" s="4">
        <v>15.6119559431197</v>
      </c>
      <c r="AA785" s="4">
        <f t="shared" si="51"/>
        <v>15.488573861349934</v>
      </c>
      <c r="AJ785" s="1" t="s">
        <v>964</v>
      </c>
      <c r="AK785" s="1"/>
      <c r="AL785" s="1"/>
      <c r="AM785" s="1"/>
      <c r="AN785" s="1"/>
      <c r="AO785" s="1"/>
    </row>
    <row r="786" spans="2:41" x14ac:dyDescent="0.2">
      <c r="B786" s="4" t="s">
        <v>2298</v>
      </c>
      <c r="C786" s="4">
        <v>15.848599999999999</v>
      </c>
      <c r="D786" s="4">
        <v>15.719099999999999</v>
      </c>
      <c r="E786" s="4">
        <v>15.4702</v>
      </c>
      <c r="F786" s="4">
        <f t="shared" si="48"/>
        <v>15.6793</v>
      </c>
      <c r="I786" s="4" t="s">
        <v>1530</v>
      </c>
      <c r="J786" s="4">
        <v>14.077500000000001</v>
      </c>
      <c r="K786" s="4">
        <v>15.301299999999999</v>
      </c>
      <c r="L786" s="4">
        <v>17.8248</v>
      </c>
      <c r="M786" s="4">
        <f t="shared" si="49"/>
        <v>15.734533333333331</v>
      </c>
      <c r="P786" s="4" t="str">
        <f>"hpo-19"</f>
        <v>hpo-19</v>
      </c>
      <c r="Q786" s="4">
        <v>15.246518817851101</v>
      </c>
      <c r="R786" s="4">
        <v>15.3199349775754</v>
      </c>
      <c r="S786" s="4">
        <v>15.655376553104899</v>
      </c>
      <c r="T786" s="4">
        <f t="shared" si="50"/>
        <v>15.4072767828438</v>
      </c>
      <c r="W786" s="4" t="str">
        <f>"Y66A7A.4"</f>
        <v>Y66A7A.4</v>
      </c>
      <c r="X786" s="4">
        <v>15.545457619803701</v>
      </c>
      <c r="Y786" s="4">
        <v>15.498085079906501</v>
      </c>
      <c r="Z786" s="4">
        <v>15.418713498009501</v>
      </c>
      <c r="AA786" s="4">
        <f t="shared" si="51"/>
        <v>15.487418732573234</v>
      </c>
      <c r="AJ786" s="1" t="s">
        <v>965</v>
      </c>
      <c r="AK786" s="1"/>
      <c r="AL786" s="1"/>
      <c r="AM786" s="1"/>
      <c r="AN786" s="1"/>
      <c r="AO786" s="1"/>
    </row>
    <row r="787" spans="2:41" x14ac:dyDescent="0.2">
      <c r="B787" s="4" t="s">
        <v>2671</v>
      </c>
      <c r="C787" s="4">
        <v>15.7013</v>
      </c>
      <c r="D787" s="4">
        <v>15.6076</v>
      </c>
      <c r="E787" s="4">
        <v>15.7133</v>
      </c>
      <c r="F787" s="4">
        <f t="shared" si="48"/>
        <v>15.674066666666667</v>
      </c>
      <c r="I787" s="4" t="s">
        <v>180</v>
      </c>
      <c r="J787" s="4">
        <v>15.845599999999999</v>
      </c>
      <c r="K787" s="4">
        <v>15.548999999999999</v>
      </c>
      <c r="L787" s="4">
        <v>15.8078</v>
      </c>
      <c r="M787" s="4">
        <f t="shared" si="49"/>
        <v>15.734133333333332</v>
      </c>
      <c r="P787" s="4" t="str">
        <f>"F10C2.4"</f>
        <v>F10C2.4</v>
      </c>
      <c r="Q787" s="4">
        <v>15.4627890339424</v>
      </c>
      <c r="R787" s="4">
        <v>15.408084442659099</v>
      </c>
      <c r="S787" s="4">
        <v>15.348359997585099</v>
      </c>
      <c r="T787" s="4">
        <f t="shared" si="50"/>
        <v>15.406411158062198</v>
      </c>
      <c r="W787" s="4" t="str">
        <f>"pro-3"</f>
        <v>pro-3</v>
      </c>
      <c r="X787" s="4">
        <v>15.3692706286933</v>
      </c>
      <c r="Y787" s="4">
        <v>15.567431851296</v>
      </c>
      <c r="Z787" s="4">
        <v>15.5215111958906</v>
      </c>
      <c r="AA787" s="4">
        <f t="shared" si="51"/>
        <v>15.486071225293301</v>
      </c>
      <c r="AJ787" s="1" t="s">
        <v>661</v>
      </c>
      <c r="AK787" s="1"/>
      <c r="AL787" s="1"/>
      <c r="AM787" s="1"/>
      <c r="AN787" s="1"/>
      <c r="AO787" s="1"/>
    </row>
    <row r="788" spans="2:41" x14ac:dyDescent="0.2">
      <c r="B788" s="4" t="s">
        <v>2717</v>
      </c>
      <c r="C788" s="4">
        <v>15.680999999999999</v>
      </c>
      <c r="D788" s="4">
        <v>15.7554</v>
      </c>
      <c r="E788" s="4">
        <v>15.582100000000001</v>
      </c>
      <c r="F788" s="4">
        <f t="shared" si="48"/>
        <v>15.672833333333335</v>
      </c>
      <c r="I788" s="4" t="s">
        <v>2230</v>
      </c>
      <c r="J788" s="4">
        <v>15.7887</v>
      </c>
      <c r="K788" s="4">
        <v>15.9099</v>
      </c>
      <c r="L788" s="4">
        <v>15.5029</v>
      </c>
      <c r="M788" s="4">
        <f t="shared" si="49"/>
        <v>15.733833333333331</v>
      </c>
      <c r="P788" s="4" t="str">
        <f>"iff-2"</f>
        <v>iff-2</v>
      </c>
      <c r="Q788" s="4">
        <v>15.470579418783601</v>
      </c>
      <c r="R788" s="4">
        <v>15.260311019045099</v>
      </c>
      <c r="S788" s="4">
        <v>15.482101026021301</v>
      </c>
      <c r="T788" s="4">
        <f t="shared" si="50"/>
        <v>15.40433048795</v>
      </c>
      <c r="W788" s="4" t="str">
        <f>"F14F7.5"</f>
        <v>F14F7.5</v>
      </c>
      <c r="X788" s="4">
        <v>15.587942280193699</v>
      </c>
      <c r="Y788" s="4">
        <v>15.4449134727112</v>
      </c>
      <c r="Z788" s="4">
        <v>15.412909417221799</v>
      </c>
      <c r="AA788" s="4">
        <f t="shared" si="51"/>
        <v>15.481921723375565</v>
      </c>
      <c r="AJ788" s="1" t="s">
        <v>681</v>
      </c>
      <c r="AK788" s="1"/>
      <c r="AL788" s="1"/>
      <c r="AM788" s="1"/>
      <c r="AN788" s="1"/>
      <c r="AO788" s="1"/>
    </row>
    <row r="789" spans="2:41" x14ac:dyDescent="0.2">
      <c r="B789" s="4" t="s">
        <v>2274</v>
      </c>
      <c r="C789" s="4">
        <v>15.488</v>
      </c>
      <c r="D789" s="4">
        <v>15.8384</v>
      </c>
      <c r="E789" s="4">
        <v>15.6904</v>
      </c>
      <c r="F789" s="4">
        <f t="shared" si="48"/>
        <v>15.672266666666667</v>
      </c>
      <c r="I789" s="4" t="s">
        <v>3811</v>
      </c>
      <c r="J789" s="4">
        <v>15.6957</v>
      </c>
      <c r="K789" s="4">
        <v>15.697699999999999</v>
      </c>
      <c r="L789" s="4">
        <v>15.788600000000001</v>
      </c>
      <c r="M789" s="4">
        <f t="shared" si="49"/>
        <v>15.727333333333334</v>
      </c>
      <c r="P789" s="4" t="str">
        <f>"acdh-11"</f>
        <v>acdh-11</v>
      </c>
      <c r="Q789" s="4">
        <v>15.678760039225001</v>
      </c>
      <c r="R789" s="4">
        <v>15.261925395355901</v>
      </c>
      <c r="S789" s="4">
        <v>15.269213807743499</v>
      </c>
      <c r="T789" s="4">
        <f t="shared" si="50"/>
        <v>15.403299747441466</v>
      </c>
      <c r="W789" s="4" t="str">
        <f>"fum-1"</f>
        <v>fum-1</v>
      </c>
      <c r="X789" s="4">
        <v>15.4290103830457</v>
      </c>
      <c r="Y789" s="4">
        <v>15.426958049851301</v>
      </c>
      <c r="Z789" s="4">
        <v>15.589062528558101</v>
      </c>
      <c r="AA789" s="4">
        <f t="shared" si="51"/>
        <v>15.481676987151701</v>
      </c>
      <c r="AJ789" s="1" t="s">
        <v>773</v>
      </c>
      <c r="AK789" s="1"/>
      <c r="AL789" s="1"/>
      <c r="AM789" s="1"/>
      <c r="AN789" s="1"/>
      <c r="AO789" s="1"/>
    </row>
    <row r="790" spans="2:41" x14ac:dyDescent="0.2">
      <c r="B790" s="4" t="s">
        <v>951</v>
      </c>
      <c r="C790" s="4">
        <v>15.565200000000001</v>
      </c>
      <c r="D790" s="4">
        <v>15.9533</v>
      </c>
      <c r="E790" s="4">
        <v>15.4976</v>
      </c>
      <c r="F790" s="4">
        <f t="shared" si="48"/>
        <v>15.672033333333333</v>
      </c>
      <c r="I790" s="4" t="s">
        <v>1557</v>
      </c>
      <c r="J790" s="4">
        <v>15.6486</v>
      </c>
      <c r="K790" s="4">
        <v>15.3165</v>
      </c>
      <c r="L790" s="4">
        <v>16.209700000000002</v>
      </c>
      <c r="M790" s="4">
        <f t="shared" si="49"/>
        <v>15.724933333333334</v>
      </c>
      <c r="P790" s="4" t="str">
        <f>"thoc-2"</f>
        <v>thoc-2</v>
      </c>
      <c r="Q790" s="4">
        <v>15.2120288344146</v>
      </c>
      <c r="R790" s="4">
        <v>15.5777741627531</v>
      </c>
      <c r="S790" s="4">
        <v>15.4025130757153</v>
      </c>
      <c r="T790" s="4">
        <f t="shared" si="50"/>
        <v>15.397438690960998</v>
      </c>
      <c r="W790" s="4" t="str">
        <f>"cox-6c"</f>
        <v>cox-6c</v>
      </c>
      <c r="X790" s="4">
        <v>15.5315014962136</v>
      </c>
      <c r="Y790" s="4">
        <v>15.287514119376199</v>
      </c>
      <c r="Z790" s="4">
        <v>15.616211880222799</v>
      </c>
      <c r="AA790" s="4">
        <f t="shared" si="51"/>
        <v>15.478409165270866</v>
      </c>
      <c r="AJ790" s="1" t="s">
        <v>697</v>
      </c>
      <c r="AK790" s="1"/>
      <c r="AL790" s="1"/>
      <c r="AM790" s="1"/>
      <c r="AN790" s="1"/>
      <c r="AO790" s="1"/>
    </row>
    <row r="791" spans="2:41" x14ac:dyDescent="0.2">
      <c r="B791" s="4" t="s">
        <v>3732</v>
      </c>
      <c r="C791" s="4">
        <v>15.678699999999999</v>
      </c>
      <c r="D791" s="4">
        <v>15.71</v>
      </c>
      <c r="E791" s="4">
        <v>15.6242</v>
      </c>
      <c r="F791" s="4">
        <f t="shared" si="48"/>
        <v>15.670966666666667</v>
      </c>
      <c r="I791" s="4" t="s">
        <v>1074</v>
      </c>
      <c r="J791" s="4">
        <v>15.360799999999999</v>
      </c>
      <c r="K791" s="4">
        <v>16.204699999999999</v>
      </c>
      <c r="L791" s="4">
        <v>15.602499999999999</v>
      </c>
      <c r="M791" s="4">
        <f t="shared" si="49"/>
        <v>15.722666666666667</v>
      </c>
      <c r="P791" s="4" t="str">
        <f>"pgam-5"</f>
        <v>pgam-5</v>
      </c>
      <c r="Q791" s="4">
        <v>15.560707702605599</v>
      </c>
      <c r="R791" s="4">
        <v>15.3483585533544</v>
      </c>
      <c r="S791" s="4">
        <v>15.280845604280699</v>
      </c>
      <c r="T791" s="4">
        <f t="shared" si="50"/>
        <v>15.3966372867469</v>
      </c>
      <c r="W791" s="4" t="str">
        <f>"pgp-6"</f>
        <v>pgp-6</v>
      </c>
      <c r="X791" s="4">
        <v>15.4893701746836</v>
      </c>
      <c r="Y791" s="4">
        <v>15.450166564440501</v>
      </c>
      <c r="Z791" s="4">
        <v>15.495327689409899</v>
      </c>
      <c r="AA791" s="4">
        <f t="shared" si="51"/>
        <v>15.478288142844667</v>
      </c>
      <c r="AJ791" s="1" t="s">
        <v>699</v>
      </c>
      <c r="AK791" s="1"/>
      <c r="AL791" s="1"/>
      <c r="AM791" s="1"/>
      <c r="AN791" s="1"/>
      <c r="AO791" s="1"/>
    </row>
    <row r="792" spans="2:41" x14ac:dyDescent="0.2">
      <c r="B792" s="4" t="s">
        <v>4064</v>
      </c>
      <c r="C792" s="4">
        <v>15.751899999999999</v>
      </c>
      <c r="D792" s="4">
        <v>15.885999999999999</v>
      </c>
      <c r="E792" s="4">
        <v>15.3744</v>
      </c>
      <c r="F792" s="4">
        <f t="shared" si="48"/>
        <v>15.670766666666665</v>
      </c>
      <c r="I792" s="4" t="s">
        <v>2830</v>
      </c>
      <c r="J792" s="4">
        <v>15.846</v>
      </c>
      <c r="K792" s="4">
        <v>15.6479</v>
      </c>
      <c r="L792" s="4">
        <v>15.6639</v>
      </c>
      <c r="M792" s="4">
        <f t="shared" si="49"/>
        <v>15.719266666666668</v>
      </c>
      <c r="P792" s="4" t="str">
        <f>"vab-10"</f>
        <v>vab-10</v>
      </c>
      <c r="Q792" s="4">
        <v>15.609850031135499</v>
      </c>
      <c r="R792" s="4">
        <v>15.028405478318801</v>
      </c>
      <c r="S792" s="4">
        <v>15.5439345149454</v>
      </c>
      <c r="T792" s="4">
        <f t="shared" si="50"/>
        <v>15.394063341466568</v>
      </c>
      <c r="W792" s="4" t="str">
        <f>"csn-1"</f>
        <v>csn-1</v>
      </c>
      <c r="X792" s="4">
        <v>15.4532738785131</v>
      </c>
      <c r="Y792" s="4">
        <v>15.6323442157719</v>
      </c>
      <c r="Z792" s="4">
        <v>15.3192230318716</v>
      </c>
      <c r="AA792" s="4">
        <f t="shared" si="51"/>
        <v>15.468280375385532</v>
      </c>
      <c r="AJ792" s="1" t="s">
        <v>666</v>
      </c>
      <c r="AK792" s="1"/>
      <c r="AL792" s="1"/>
      <c r="AM792" s="1"/>
      <c r="AN792" s="1"/>
      <c r="AO792" s="1"/>
    </row>
    <row r="793" spans="2:41" x14ac:dyDescent="0.2">
      <c r="B793" s="4" t="s">
        <v>2621</v>
      </c>
      <c r="C793" s="4">
        <v>15.854799999999999</v>
      </c>
      <c r="D793" s="4">
        <v>15.9861</v>
      </c>
      <c r="E793" s="4">
        <v>15.165900000000001</v>
      </c>
      <c r="F793" s="4">
        <f t="shared" si="48"/>
        <v>15.668933333333333</v>
      </c>
      <c r="I793" s="4" t="s">
        <v>735</v>
      </c>
      <c r="J793" s="4">
        <v>15.7651</v>
      </c>
      <c r="K793" s="4">
        <v>15.609</v>
      </c>
      <c r="L793" s="4">
        <v>15.757999999999999</v>
      </c>
      <c r="M793" s="4">
        <f t="shared" si="49"/>
        <v>15.710699999999997</v>
      </c>
      <c r="P793" s="4" t="str">
        <f>"cox-4"</f>
        <v>cox-4</v>
      </c>
      <c r="Q793" s="4">
        <v>15.242557456584001</v>
      </c>
      <c r="R793" s="4">
        <v>15.501283696450299</v>
      </c>
      <c r="S793" s="4">
        <v>15.430951441689899</v>
      </c>
      <c r="T793" s="4">
        <f t="shared" si="50"/>
        <v>15.391597531574732</v>
      </c>
      <c r="W793" s="4" t="str">
        <f>"C09B9.7"</f>
        <v>C09B9.7</v>
      </c>
      <c r="X793" s="4">
        <v>15.2902422632768</v>
      </c>
      <c r="Y793" s="4">
        <v>15.428987435725199</v>
      </c>
      <c r="Z793" s="4">
        <v>15.6828523797688</v>
      </c>
      <c r="AA793" s="4">
        <f t="shared" si="51"/>
        <v>15.4673606929236</v>
      </c>
      <c r="AJ793" s="1" t="s">
        <v>966</v>
      </c>
      <c r="AK793" s="1"/>
      <c r="AL793" s="1"/>
      <c r="AM793" s="1"/>
      <c r="AN793" s="1"/>
      <c r="AO793" s="1"/>
    </row>
    <row r="794" spans="2:41" x14ac:dyDescent="0.2">
      <c r="B794" s="4" t="s">
        <v>524</v>
      </c>
      <c r="C794" s="4">
        <v>15.231</v>
      </c>
      <c r="D794" s="4">
        <v>16.123200000000001</v>
      </c>
      <c r="E794" s="4">
        <v>15.65</v>
      </c>
      <c r="F794" s="4">
        <f t="shared" si="48"/>
        <v>15.668066666666666</v>
      </c>
      <c r="I794" s="4" t="s">
        <v>769</v>
      </c>
      <c r="J794" s="4">
        <v>15.608599999999999</v>
      </c>
      <c r="K794" s="4">
        <v>15.0717</v>
      </c>
      <c r="L794" s="4">
        <v>16.45</v>
      </c>
      <c r="M794" s="4">
        <f t="shared" si="49"/>
        <v>15.710099999999999</v>
      </c>
      <c r="P794" s="4" t="str">
        <f>"hpo-8"</f>
        <v>hpo-8</v>
      </c>
      <c r="Q794" s="4">
        <v>14.8176262713773</v>
      </c>
      <c r="R794" s="4">
        <v>15.3951744840762</v>
      </c>
      <c r="S794" s="4">
        <v>15.9618133273416</v>
      </c>
      <c r="T794" s="4">
        <f t="shared" si="50"/>
        <v>15.391538027598367</v>
      </c>
      <c r="W794" s="4" t="str">
        <f>"fars-2"</f>
        <v>fars-2</v>
      </c>
      <c r="X794" s="4">
        <v>15.271625071719599</v>
      </c>
      <c r="Y794" s="4">
        <v>15.2779140527173</v>
      </c>
      <c r="Z794" s="4">
        <v>15.8523117004142</v>
      </c>
      <c r="AA794" s="4">
        <f t="shared" si="51"/>
        <v>15.467283608283699</v>
      </c>
      <c r="AJ794" s="1" t="s">
        <v>707</v>
      </c>
      <c r="AK794" s="1"/>
      <c r="AL794" s="1"/>
      <c r="AM794" s="1"/>
      <c r="AN794" s="1"/>
      <c r="AO794" s="1"/>
    </row>
    <row r="795" spans="2:41" x14ac:dyDescent="0.2">
      <c r="B795" s="4" t="s">
        <v>3878</v>
      </c>
      <c r="C795" s="4">
        <v>15.979699999999999</v>
      </c>
      <c r="D795" s="4">
        <v>15.5129</v>
      </c>
      <c r="E795" s="4">
        <v>15.51</v>
      </c>
      <c r="F795" s="4">
        <f t="shared" si="48"/>
        <v>15.667533333333333</v>
      </c>
      <c r="I795" s="4" t="s">
        <v>2717</v>
      </c>
      <c r="J795" s="4">
        <v>15.6151</v>
      </c>
      <c r="K795" s="4">
        <v>15.9803</v>
      </c>
      <c r="L795" s="4">
        <v>15.5342</v>
      </c>
      <c r="M795" s="4">
        <f t="shared" si="49"/>
        <v>15.709866666666665</v>
      </c>
      <c r="P795" s="4" t="str">
        <f>"aco-1"</f>
        <v>aco-1</v>
      </c>
      <c r="Q795" s="4">
        <v>15.3458511425438</v>
      </c>
      <c r="R795" s="4">
        <v>15.3087478296304</v>
      </c>
      <c r="S795" s="4">
        <v>15.516641784231901</v>
      </c>
      <c r="T795" s="4">
        <f t="shared" si="50"/>
        <v>15.3904135854687</v>
      </c>
      <c r="W795" s="4" t="str">
        <f>"pptr-1"</f>
        <v>pptr-1</v>
      </c>
      <c r="X795" s="4">
        <v>15.423578646163801</v>
      </c>
      <c r="Y795" s="4">
        <v>15.5949195554351</v>
      </c>
      <c r="Z795" s="4">
        <v>15.380379439666701</v>
      </c>
      <c r="AA795" s="4">
        <f t="shared" si="51"/>
        <v>15.466292547088534</v>
      </c>
      <c r="AJ795" s="1" t="s">
        <v>34</v>
      </c>
      <c r="AK795" s="1"/>
      <c r="AL795" s="1"/>
      <c r="AM795" s="1"/>
      <c r="AN795" s="1"/>
      <c r="AO795" s="1"/>
    </row>
    <row r="796" spans="2:41" x14ac:dyDescent="0.2">
      <c r="B796" s="4" t="s">
        <v>4061</v>
      </c>
      <c r="C796" s="4">
        <v>15.482799999999999</v>
      </c>
      <c r="D796" s="4">
        <v>15.9161</v>
      </c>
      <c r="E796" s="4">
        <v>15.6029</v>
      </c>
      <c r="F796" s="4">
        <f t="shared" si="48"/>
        <v>15.667266666666665</v>
      </c>
      <c r="I796" s="4" t="s">
        <v>57</v>
      </c>
      <c r="J796" s="4">
        <v>15.656499999999999</v>
      </c>
      <c r="K796" s="4">
        <v>15.744300000000001</v>
      </c>
      <c r="L796" s="4">
        <v>15.728</v>
      </c>
      <c r="M796" s="4">
        <f t="shared" si="49"/>
        <v>15.7096</v>
      </c>
      <c r="P796" s="4" t="str">
        <f>"B0416.5"</f>
        <v>B0416.5</v>
      </c>
      <c r="Q796" s="4">
        <v>15.0770747550528</v>
      </c>
      <c r="R796" s="4">
        <v>15.400889973316101</v>
      </c>
      <c r="S796" s="4">
        <v>15.686304415814501</v>
      </c>
      <c r="T796" s="4">
        <f t="shared" si="50"/>
        <v>15.388089714727803</v>
      </c>
      <c r="W796" s="4" t="str">
        <f>"tns-1"</f>
        <v>tns-1</v>
      </c>
      <c r="X796" s="4">
        <v>15.2679256738801</v>
      </c>
      <c r="Y796" s="4">
        <v>15.4579631774512</v>
      </c>
      <c r="Z796" s="4">
        <v>15.6716952839634</v>
      </c>
      <c r="AA796" s="4">
        <f t="shared" si="51"/>
        <v>15.465861378431567</v>
      </c>
      <c r="AJ796" s="1" t="s">
        <v>674</v>
      </c>
      <c r="AK796" s="1"/>
      <c r="AL796" s="1"/>
      <c r="AM796" s="1"/>
      <c r="AN796" s="1"/>
      <c r="AO796" s="1"/>
    </row>
    <row r="797" spans="2:41" x14ac:dyDescent="0.2">
      <c r="B797" s="4" t="s">
        <v>579</v>
      </c>
      <c r="C797" s="4">
        <v>15.642099999999999</v>
      </c>
      <c r="D797" s="4">
        <v>15.7235</v>
      </c>
      <c r="E797" s="4">
        <v>15.6343</v>
      </c>
      <c r="F797" s="4">
        <f t="shared" si="48"/>
        <v>15.666633333333332</v>
      </c>
      <c r="I797" s="4" t="s">
        <v>1959</v>
      </c>
      <c r="J797" s="4">
        <v>15.6929</v>
      </c>
      <c r="K797" s="4">
        <v>15.6149</v>
      </c>
      <c r="L797" s="4">
        <v>15.8185</v>
      </c>
      <c r="M797" s="4">
        <f t="shared" si="49"/>
        <v>15.708766666666667</v>
      </c>
      <c r="P797" s="4" t="str">
        <f>"prpf-4"</f>
        <v>prpf-4</v>
      </c>
      <c r="Q797" s="4">
        <v>15.4350398802471</v>
      </c>
      <c r="R797" s="4">
        <v>15.4526369243888</v>
      </c>
      <c r="S797" s="4">
        <v>15.2709288916107</v>
      </c>
      <c r="T797" s="4">
        <f t="shared" si="50"/>
        <v>15.386201898748867</v>
      </c>
      <c r="W797" s="4" t="str">
        <f>"unc-108"</f>
        <v>unc-108</v>
      </c>
      <c r="X797" s="4">
        <v>15.720746749054699</v>
      </c>
      <c r="Y797" s="4">
        <v>15.3090211766454</v>
      </c>
      <c r="Z797" s="4">
        <v>15.365206530541</v>
      </c>
      <c r="AA797" s="4">
        <f t="shared" si="51"/>
        <v>15.4649914854137</v>
      </c>
      <c r="AJ797" s="1" t="s">
        <v>913</v>
      </c>
      <c r="AK797" s="1"/>
      <c r="AL797" s="1"/>
      <c r="AM797" s="1"/>
      <c r="AN797" s="1"/>
      <c r="AO797" s="1"/>
    </row>
    <row r="798" spans="2:41" x14ac:dyDescent="0.2">
      <c r="B798" s="4" t="s">
        <v>1363</v>
      </c>
      <c r="C798" s="4">
        <v>15.396800000000001</v>
      </c>
      <c r="D798" s="4">
        <v>15.837199999999999</v>
      </c>
      <c r="E798" s="4">
        <v>15.7638</v>
      </c>
      <c r="F798" s="4">
        <f t="shared" si="48"/>
        <v>15.665933333333333</v>
      </c>
      <c r="I798" s="4" t="s">
        <v>2676</v>
      </c>
      <c r="J798" s="4">
        <v>15.571</v>
      </c>
      <c r="K798" s="4">
        <v>15.9612</v>
      </c>
      <c r="L798" s="4">
        <v>15.5898</v>
      </c>
      <c r="M798" s="4">
        <f t="shared" si="49"/>
        <v>15.707333333333333</v>
      </c>
      <c r="P798" s="4" t="str">
        <f>"mrp-5"</f>
        <v>mrp-5</v>
      </c>
      <c r="Q798" s="4">
        <v>15.2177572840009</v>
      </c>
      <c r="R798" s="4">
        <v>15.438100786056101</v>
      </c>
      <c r="S798" s="4">
        <v>15.4981444610025</v>
      </c>
      <c r="T798" s="4">
        <f t="shared" si="50"/>
        <v>15.384667510353168</v>
      </c>
      <c r="W798" s="4" t="str">
        <f>"lmd-3"</f>
        <v>lmd-3</v>
      </c>
      <c r="X798" s="4">
        <v>15.4762162328821</v>
      </c>
      <c r="Y798" s="4">
        <v>15.377446417082901</v>
      </c>
      <c r="Z798" s="4">
        <v>15.538964856862</v>
      </c>
      <c r="AA798" s="4">
        <f t="shared" si="51"/>
        <v>15.464209168942334</v>
      </c>
      <c r="AJ798" s="1" t="s">
        <v>729</v>
      </c>
      <c r="AK798" s="1"/>
      <c r="AL798" s="1"/>
      <c r="AM798" s="1"/>
      <c r="AN798" s="1"/>
      <c r="AO798" s="1"/>
    </row>
    <row r="799" spans="2:41" x14ac:dyDescent="0.2">
      <c r="B799" s="4" t="s">
        <v>3903</v>
      </c>
      <c r="C799" s="4">
        <v>15.5693</v>
      </c>
      <c r="D799" s="4">
        <v>15.911899999999999</v>
      </c>
      <c r="E799" s="4">
        <v>15.5151</v>
      </c>
      <c r="F799" s="4">
        <f t="shared" si="48"/>
        <v>15.665433333333334</v>
      </c>
      <c r="I799" s="4" t="s">
        <v>1511</v>
      </c>
      <c r="J799" s="4">
        <v>14.574</v>
      </c>
      <c r="K799" s="4">
        <v>15.3222</v>
      </c>
      <c r="L799" s="4">
        <v>17.2209</v>
      </c>
      <c r="M799" s="4">
        <f t="shared" si="49"/>
        <v>15.7057</v>
      </c>
      <c r="P799" s="4" t="str">
        <f>"dad-1"</f>
        <v>dad-1</v>
      </c>
      <c r="Q799" s="4">
        <v>15.366594571180499</v>
      </c>
      <c r="R799" s="4">
        <v>15.1600481612913</v>
      </c>
      <c r="S799" s="4">
        <v>15.626743528812399</v>
      </c>
      <c r="T799" s="4">
        <f t="shared" si="50"/>
        <v>15.384462087094732</v>
      </c>
      <c r="W799" s="4" t="str">
        <f>"atp-3"</f>
        <v>atp-3</v>
      </c>
      <c r="X799" s="4">
        <v>15.335933880172</v>
      </c>
      <c r="Y799" s="4">
        <v>15.4928578274112</v>
      </c>
      <c r="Z799" s="4">
        <v>15.561263723478101</v>
      </c>
      <c r="AA799" s="4">
        <f t="shared" si="51"/>
        <v>15.463351810353766</v>
      </c>
      <c r="AJ799" s="1" t="s">
        <v>969</v>
      </c>
      <c r="AK799" s="1"/>
      <c r="AL799" s="1"/>
      <c r="AM799" s="1"/>
      <c r="AN799" s="1"/>
      <c r="AO799" s="1"/>
    </row>
    <row r="800" spans="2:41" x14ac:dyDescent="0.2">
      <c r="B800" s="4" t="s">
        <v>3531</v>
      </c>
      <c r="C800" s="4">
        <v>15.8041</v>
      </c>
      <c r="D800" s="4">
        <v>15.555099999999999</v>
      </c>
      <c r="E800" s="4">
        <v>15.625400000000001</v>
      </c>
      <c r="F800" s="4">
        <f t="shared" si="48"/>
        <v>15.661533333333333</v>
      </c>
      <c r="I800" s="4" t="s">
        <v>1513</v>
      </c>
      <c r="J800" s="4">
        <v>15.4969</v>
      </c>
      <c r="K800" s="4">
        <v>15.3942</v>
      </c>
      <c r="L800" s="4">
        <v>16.219899999999999</v>
      </c>
      <c r="M800" s="4">
        <f t="shared" si="49"/>
        <v>15.703666666666669</v>
      </c>
      <c r="P800" s="4" t="str">
        <f>"pnk-1"</f>
        <v>pnk-1</v>
      </c>
      <c r="Q800" s="4">
        <v>15.5704199260098</v>
      </c>
      <c r="R800" s="4">
        <v>15.2778903739908</v>
      </c>
      <c r="S800" s="4">
        <v>15.3042518551421</v>
      </c>
      <c r="T800" s="4">
        <f t="shared" si="50"/>
        <v>15.384187385047566</v>
      </c>
      <c r="W800" s="4" t="str">
        <f>"gfat-1"</f>
        <v>gfat-1</v>
      </c>
      <c r="X800" s="4">
        <v>15.4396891090158</v>
      </c>
      <c r="Y800" s="4">
        <v>15.5247355304354</v>
      </c>
      <c r="Z800" s="4">
        <v>15.4164780869424</v>
      </c>
      <c r="AA800" s="4">
        <f t="shared" si="51"/>
        <v>15.460300908797867</v>
      </c>
      <c r="AJ800" s="1" t="s">
        <v>192</v>
      </c>
      <c r="AK800" s="1"/>
      <c r="AL800" s="1"/>
      <c r="AM800" s="1"/>
      <c r="AN800" s="1"/>
      <c r="AO800" s="1"/>
    </row>
    <row r="801" spans="2:41" x14ac:dyDescent="0.2">
      <c r="B801" s="4" t="s">
        <v>726</v>
      </c>
      <c r="C801" s="4">
        <v>15.6092</v>
      </c>
      <c r="D801" s="4">
        <v>15.6023</v>
      </c>
      <c r="E801" s="4">
        <v>15.770099999999999</v>
      </c>
      <c r="F801" s="4">
        <f t="shared" si="48"/>
        <v>15.660533333333333</v>
      </c>
      <c r="I801" s="4" t="s">
        <v>3080</v>
      </c>
      <c r="J801" s="4">
        <v>15.734</v>
      </c>
      <c r="K801" s="4">
        <v>15.7776</v>
      </c>
      <c r="L801" s="4">
        <v>15.596500000000001</v>
      </c>
      <c r="M801" s="4">
        <f t="shared" si="49"/>
        <v>15.7027</v>
      </c>
      <c r="P801" s="4" t="str">
        <f>"pqn-53"</f>
        <v>pqn-53</v>
      </c>
      <c r="Q801" s="4">
        <v>15.4940050945119</v>
      </c>
      <c r="R801" s="4">
        <v>15.226582179396001</v>
      </c>
      <c r="S801" s="4">
        <v>15.426591724609899</v>
      </c>
      <c r="T801" s="4">
        <f t="shared" si="50"/>
        <v>15.382392999505933</v>
      </c>
      <c r="W801" s="4" t="str">
        <f>"mtr-4"</f>
        <v>mtr-4</v>
      </c>
      <c r="X801" s="4">
        <v>15.6622992700214</v>
      </c>
      <c r="Y801" s="4">
        <v>15.4084886672176</v>
      </c>
      <c r="Z801" s="4">
        <v>15.3078572149898</v>
      </c>
      <c r="AA801" s="4">
        <f t="shared" si="51"/>
        <v>15.459548384076266</v>
      </c>
      <c r="AJ801" s="1" t="s">
        <v>700</v>
      </c>
      <c r="AK801" s="1"/>
      <c r="AL801" s="1"/>
      <c r="AM801" s="1"/>
      <c r="AN801" s="1"/>
      <c r="AO801" s="1"/>
    </row>
    <row r="802" spans="2:41" x14ac:dyDescent="0.2">
      <c r="B802" s="4" t="s">
        <v>166</v>
      </c>
      <c r="C802" s="4">
        <v>15.5153</v>
      </c>
      <c r="D802" s="4">
        <v>16.041799999999999</v>
      </c>
      <c r="E802" s="4">
        <v>15.4185</v>
      </c>
      <c r="F802" s="4">
        <f t="shared" si="48"/>
        <v>15.658533333333333</v>
      </c>
      <c r="I802" s="4" t="s">
        <v>998</v>
      </c>
      <c r="J802" s="4">
        <v>15.4877</v>
      </c>
      <c r="K802" s="4">
        <v>15.5291</v>
      </c>
      <c r="L802" s="4">
        <v>16.089200000000002</v>
      </c>
      <c r="M802" s="4">
        <f t="shared" si="49"/>
        <v>15.702</v>
      </c>
      <c r="P802" s="4" t="str">
        <f>"F14F7.5"</f>
        <v>F14F7.5</v>
      </c>
      <c r="Q802" s="4">
        <v>15.3618784811816</v>
      </c>
      <c r="R802" s="4">
        <v>15.2544733987888</v>
      </c>
      <c r="S802" s="4">
        <v>15.5260242171914</v>
      </c>
      <c r="T802" s="4">
        <f t="shared" si="50"/>
        <v>15.380792032387268</v>
      </c>
      <c r="W802" s="4" t="str">
        <f>"prdx-3"</f>
        <v>prdx-3</v>
      </c>
      <c r="X802" s="4">
        <v>15.4250236899566</v>
      </c>
      <c r="Y802" s="4">
        <v>15.4525133385623</v>
      </c>
      <c r="Z802" s="4">
        <v>15.491703587310299</v>
      </c>
      <c r="AA802" s="4">
        <f t="shared" si="51"/>
        <v>15.456413538609732</v>
      </c>
      <c r="AJ802" s="1" t="s">
        <v>713</v>
      </c>
      <c r="AK802" s="1"/>
      <c r="AL802" s="1"/>
      <c r="AM802" s="1"/>
      <c r="AN802" s="1"/>
      <c r="AO802" s="1"/>
    </row>
    <row r="803" spans="2:41" x14ac:dyDescent="0.2">
      <c r="B803" s="4" t="s">
        <v>2177</v>
      </c>
      <c r="C803" s="4">
        <v>15.507300000000001</v>
      </c>
      <c r="D803" s="4">
        <v>15.634600000000001</v>
      </c>
      <c r="E803" s="4">
        <v>15.833500000000001</v>
      </c>
      <c r="F803" s="4">
        <f t="shared" si="48"/>
        <v>15.658466666666667</v>
      </c>
      <c r="I803" s="4" t="s">
        <v>1405</v>
      </c>
      <c r="J803" s="4">
        <v>15.549200000000001</v>
      </c>
      <c r="K803" s="4">
        <v>15.963699999999999</v>
      </c>
      <c r="L803" s="4">
        <v>15.588900000000001</v>
      </c>
      <c r="M803" s="4">
        <f t="shared" si="49"/>
        <v>15.700600000000001</v>
      </c>
      <c r="P803" s="4" t="str">
        <f>"cpz-2"</f>
        <v>cpz-2</v>
      </c>
      <c r="Q803" s="4">
        <v>15.1605361975062</v>
      </c>
      <c r="R803" s="4">
        <v>15.4329327079992</v>
      </c>
      <c r="S803" s="4">
        <v>15.5342545747553</v>
      </c>
      <c r="T803" s="4">
        <f t="shared" si="50"/>
        <v>15.375907826753567</v>
      </c>
      <c r="W803" s="4" t="str">
        <f>"rbc-1"</f>
        <v>rbc-1</v>
      </c>
      <c r="X803" s="4">
        <v>15.5313002288172</v>
      </c>
      <c r="Y803" s="4">
        <v>15.498981504286</v>
      </c>
      <c r="Z803" s="4">
        <v>15.336846558677999</v>
      </c>
      <c r="AA803" s="4">
        <f t="shared" si="51"/>
        <v>15.455709430593734</v>
      </c>
      <c r="AJ803" s="1" t="s">
        <v>712</v>
      </c>
      <c r="AK803" s="1"/>
      <c r="AL803" s="1"/>
      <c r="AM803" s="1"/>
      <c r="AN803" s="1"/>
      <c r="AO803" s="1"/>
    </row>
    <row r="804" spans="2:41" x14ac:dyDescent="0.2">
      <c r="B804" s="4" t="s">
        <v>2120</v>
      </c>
      <c r="C804" s="4">
        <v>15.5245</v>
      </c>
      <c r="D804" s="4">
        <v>15.682499999999999</v>
      </c>
      <c r="E804" s="4">
        <v>15.757099999999999</v>
      </c>
      <c r="F804" s="4">
        <f t="shared" si="48"/>
        <v>15.6547</v>
      </c>
      <c r="I804" s="4" t="s">
        <v>188</v>
      </c>
      <c r="J804" s="4">
        <v>15.7744</v>
      </c>
      <c r="K804" s="4">
        <v>15.770899999999999</v>
      </c>
      <c r="L804" s="4">
        <v>15.5518</v>
      </c>
      <c r="M804" s="4">
        <f t="shared" si="49"/>
        <v>15.699033333333333</v>
      </c>
      <c r="P804" s="4" t="str">
        <f>"nkb-1"</f>
        <v>nkb-1</v>
      </c>
      <c r="Q804" s="4">
        <v>15.5266793170418</v>
      </c>
      <c r="R804" s="4">
        <v>15.223515352474699</v>
      </c>
      <c r="S804" s="4">
        <v>15.375144699448899</v>
      </c>
      <c r="T804" s="4">
        <f t="shared" si="50"/>
        <v>15.375113122988466</v>
      </c>
      <c r="W804" s="4" t="str">
        <f>"lcmt-1"</f>
        <v>lcmt-1</v>
      </c>
      <c r="X804" s="4">
        <v>15.5545409283231</v>
      </c>
      <c r="Y804" s="4">
        <v>15.460793207102199</v>
      </c>
      <c r="Z804" s="4">
        <v>15.3504659939896</v>
      </c>
      <c r="AA804" s="4">
        <f t="shared" si="51"/>
        <v>15.455266709804967</v>
      </c>
      <c r="AJ804" s="1" t="s">
        <v>907</v>
      </c>
      <c r="AK804" s="1"/>
      <c r="AL804" s="1"/>
      <c r="AM804" s="1"/>
      <c r="AN804" s="1"/>
      <c r="AO804" s="1"/>
    </row>
    <row r="805" spans="2:41" x14ac:dyDescent="0.2">
      <c r="B805" s="4" t="s">
        <v>3274</v>
      </c>
      <c r="C805" s="4">
        <v>15.307700000000001</v>
      </c>
      <c r="D805" s="4">
        <v>15.5655</v>
      </c>
      <c r="E805" s="4">
        <v>16.077999999999999</v>
      </c>
      <c r="F805" s="4">
        <f t="shared" si="48"/>
        <v>15.650399999999999</v>
      </c>
      <c r="I805" s="4" t="s">
        <v>3732</v>
      </c>
      <c r="J805" s="4">
        <v>15.638299999999999</v>
      </c>
      <c r="K805" s="4">
        <v>15.5991</v>
      </c>
      <c r="L805" s="4">
        <v>15.8482</v>
      </c>
      <c r="M805" s="4">
        <f t="shared" si="49"/>
        <v>15.6952</v>
      </c>
      <c r="P805" s="4" t="str">
        <f>"pkc-3"</f>
        <v>pkc-3</v>
      </c>
      <c r="Q805" s="4">
        <v>15.365296241102399</v>
      </c>
      <c r="R805" s="4">
        <v>15.391683711986801</v>
      </c>
      <c r="S805" s="4">
        <v>15.3601034603166</v>
      </c>
      <c r="T805" s="4">
        <f t="shared" si="50"/>
        <v>15.372361137801933</v>
      </c>
      <c r="W805" s="4" t="str">
        <f>"dli-1"</f>
        <v>dli-1</v>
      </c>
      <c r="X805" s="4">
        <v>15.501035854827199</v>
      </c>
      <c r="Y805" s="4">
        <v>15.4948314622239</v>
      </c>
      <c r="Z805" s="4">
        <v>15.3596604637659</v>
      </c>
      <c r="AA805" s="4">
        <f t="shared" si="51"/>
        <v>15.451842593605667</v>
      </c>
      <c r="AJ805" s="1" t="s">
        <v>764</v>
      </c>
      <c r="AK805" s="1"/>
      <c r="AL805" s="1"/>
      <c r="AM805" s="1"/>
      <c r="AN805" s="1"/>
      <c r="AO805" s="1"/>
    </row>
    <row r="806" spans="2:41" x14ac:dyDescent="0.2">
      <c r="B806" s="4" t="s">
        <v>2697</v>
      </c>
      <c r="C806" s="4">
        <v>15.8269</v>
      </c>
      <c r="D806" s="4">
        <v>14.9519</v>
      </c>
      <c r="E806" s="4">
        <v>16.1723</v>
      </c>
      <c r="F806" s="4">
        <f t="shared" si="48"/>
        <v>15.650366666666665</v>
      </c>
      <c r="I806" s="4" t="s">
        <v>1621</v>
      </c>
      <c r="J806" s="4">
        <v>15.5565</v>
      </c>
      <c r="K806" s="4">
        <v>15.5748</v>
      </c>
      <c r="L806" s="4">
        <v>15.9543</v>
      </c>
      <c r="M806" s="4">
        <f t="shared" si="49"/>
        <v>15.6952</v>
      </c>
      <c r="P806" s="4" t="str">
        <f>"spl-1"</f>
        <v>spl-1</v>
      </c>
      <c r="Q806" s="4">
        <v>15.524933318289699</v>
      </c>
      <c r="R806" s="4">
        <v>15.299781617294901</v>
      </c>
      <c r="S806" s="4">
        <v>15.290487820087501</v>
      </c>
      <c r="T806" s="4">
        <f t="shared" si="50"/>
        <v>15.3717342518907</v>
      </c>
      <c r="W806" s="4" t="str">
        <f>"Y69A2AR.16"</f>
        <v>Y69A2AR.16</v>
      </c>
      <c r="X806" s="4">
        <v>15.3378857761563</v>
      </c>
      <c r="Y806" s="4">
        <v>15.5461206668899</v>
      </c>
      <c r="Z806" s="4">
        <v>15.460866819286601</v>
      </c>
      <c r="AA806" s="4">
        <f t="shared" si="51"/>
        <v>15.448291087444266</v>
      </c>
      <c r="AJ806" s="1" t="s">
        <v>689</v>
      </c>
      <c r="AK806" s="1"/>
      <c r="AL806" s="1"/>
      <c r="AM806" s="1"/>
      <c r="AN806" s="1"/>
      <c r="AO806" s="1"/>
    </row>
    <row r="807" spans="2:41" x14ac:dyDescent="0.2">
      <c r="B807" s="4" t="s">
        <v>4206</v>
      </c>
      <c r="C807" s="4">
        <v>16.006799999999998</v>
      </c>
      <c r="D807" s="4">
        <v>15.2164</v>
      </c>
      <c r="E807" s="4">
        <v>15.718</v>
      </c>
      <c r="F807" s="4">
        <f t="shared" si="48"/>
        <v>15.647066666666666</v>
      </c>
      <c r="I807" s="4" t="s">
        <v>2217</v>
      </c>
      <c r="J807" s="4">
        <v>15.9369</v>
      </c>
      <c r="K807" s="4">
        <v>15.9063</v>
      </c>
      <c r="L807" s="4">
        <v>15.2287</v>
      </c>
      <c r="M807" s="4">
        <f t="shared" si="49"/>
        <v>15.690633333333333</v>
      </c>
      <c r="P807" s="4" t="str">
        <f>"pgp-6"</f>
        <v>pgp-6</v>
      </c>
      <c r="Q807" s="4">
        <v>15.178942875431799</v>
      </c>
      <c r="R807" s="4">
        <v>15.457306906181101</v>
      </c>
      <c r="S807" s="4">
        <v>15.4781674959425</v>
      </c>
      <c r="T807" s="4">
        <f t="shared" si="50"/>
        <v>15.371472425851801</v>
      </c>
      <c r="W807" s="4" t="str">
        <f>"ears-2"</f>
        <v>ears-2</v>
      </c>
      <c r="X807" s="4">
        <v>15.230249570899099</v>
      </c>
      <c r="Y807" s="4">
        <v>15.4336218303726</v>
      </c>
      <c r="Z807" s="4">
        <v>15.6758761669062</v>
      </c>
      <c r="AA807" s="4">
        <f t="shared" si="51"/>
        <v>15.446582522725967</v>
      </c>
      <c r="AJ807" s="1" t="s">
        <v>839</v>
      </c>
      <c r="AK807" s="1"/>
      <c r="AO807" s="1"/>
    </row>
    <row r="808" spans="2:41" x14ac:dyDescent="0.2">
      <c r="B808" s="4" t="s">
        <v>3715</v>
      </c>
      <c r="C808" s="4">
        <v>15.6721</v>
      </c>
      <c r="D808" s="4">
        <v>15.8887</v>
      </c>
      <c r="E808" s="4">
        <v>15.372999999999999</v>
      </c>
      <c r="F808" s="4">
        <f t="shared" si="48"/>
        <v>15.644599999999999</v>
      </c>
      <c r="I808" s="4" t="s">
        <v>1755</v>
      </c>
      <c r="J808" s="4">
        <v>15.339399999999999</v>
      </c>
      <c r="K808" s="4">
        <v>16.100100000000001</v>
      </c>
      <c r="L808" s="4">
        <v>15.628500000000001</v>
      </c>
      <c r="M808" s="4">
        <f t="shared" si="49"/>
        <v>15.689333333333336</v>
      </c>
      <c r="P808" s="4" t="str">
        <f>"vdac-1"</f>
        <v>vdac-1</v>
      </c>
      <c r="Q808" s="4">
        <v>15.2443193863103</v>
      </c>
      <c r="R808" s="4">
        <v>15.3788533575862</v>
      </c>
      <c r="S808" s="4">
        <v>15.482659615611301</v>
      </c>
      <c r="T808" s="4">
        <f t="shared" si="50"/>
        <v>15.3686107865026</v>
      </c>
      <c r="W808" s="4" t="str">
        <f>"nduf-5"</f>
        <v>nduf-5</v>
      </c>
      <c r="X808" s="4">
        <v>15.2632018672393</v>
      </c>
      <c r="Y808" s="4">
        <v>15.572108597654999</v>
      </c>
      <c r="Z808" s="4">
        <v>15.5042310038013</v>
      </c>
      <c r="AA808" s="4">
        <f t="shared" si="51"/>
        <v>15.446513822898533</v>
      </c>
      <c r="AJ808" s="1" t="s">
        <v>739</v>
      </c>
      <c r="AK808" s="1"/>
      <c r="AO808" s="1"/>
    </row>
    <row r="809" spans="2:41" x14ac:dyDescent="0.2">
      <c r="B809" s="4" t="s">
        <v>1615</v>
      </c>
      <c r="C809" s="4">
        <v>15.7235</v>
      </c>
      <c r="D809" s="4">
        <v>15.727499999999999</v>
      </c>
      <c r="E809" s="4">
        <v>15.471</v>
      </c>
      <c r="F809" s="4">
        <f t="shared" si="48"/>
        <v>15.640666666666666</v>
      </c>
      <c r="I809" s="4" t="s">
        <v>2970</v>
      </c>
      <c r="J809" s="4">
        <v>15.2356</v>
      </c>
      <c r="K809" s="4">
        <v>15.911099999999999</v>
      </c>
      <c r="L809" s="4">
        <v>15.9071</v>
      </c>
      <c r="M809" s="4">
        <f t="shared" si="49"/>
        <v>15.684599999999998</v>
      </c>
      <c r="P809" s="4" t="str">
        <f>"pud-3"</f>
        <v>pud-3</v>
      </c>
      <c r="Q809" s="4">
        <v>15.353766490597</v>
      </c>
      <c r="R809" s="4">
        <v>15.336267532254301</v>
      </c>
      <c r="S809" s="4">
        <v>15.414168691902301</v>
      </c>
      <c r="T809" s="4">
        <f t="shared" si="50"/>
        <v>15.368067571584533</v>
      </c>
      <c r="W809" s="4" t="str">
        <f>"wdr-4"</f>
        <v>wdr-4</v>
      </c>
      <c r="X809" s="4">
        <v>15.483541597890699</v>
      </c>
      <c r="Y809" s="4">
        <v>15.438098749167301</v>
      </c>
      <c r="Z809" s="4">
        <v>15.416976287147801</v>
      </c>
      <c r="AA809" s="4">
        <f t="shared" si="51"/>
        <v>15.446205544735269</v>
      </c>
      <c r="AJ809" s="1" t="s">
        <v>724</v>
      </c>
      <c r="AK809" s="1"/>
      <c r="AO809" s="1"/>
    </row>
    <row r="810" spans="2:41" x14ac:dyDescent="0.2">
      <c r="B810" s="4" t="s">
        <v>3020</v>
      </c>
      <c r="C810" s="4">
        <v>15.493399999999999</v>
      </c>
      <c r="D810" s="4">
        <v>15.8531</v>
      </c>
      <c r="E810" s="4">
        <v>15.5749</v>
      </c>
      <c r="F810" s="4">
        <f t="shared" si="48"/>
        <v>15.640466666666667</v>
      </c>
      <c r="I810" s="4" t="s">
        <v>3282</v>
      </c>
      <c r="J810" s="4">
        <v>15.5829</v>
      </c>
      <c r="K810" s="4">
        <v>15.8378</v>
      </c>
      <c r="L810" s="4">
        <v>15.617800000000001</v>
      </c>
      <c r="M810" s="4">
        <f t="shared" si="49"/>
        <v>15.679499999999999</v>
      </c>
      <c r="P810" s="4" t="str">
        <f>"dyci-1"</f>
        <v>dyci-1</v>
      </c>
      <c r="Q810" s="4">
        <v>15.457901572681701</v>
      </c>
      <c r="R810" s="4">
        <v>15.3174357683954</v>
      </c>
      <c r="S810" s="4">
        <v>15.3216178019353</v>
      </c>
      <c r="T810" s="4">
        <f t="shared" si="50"/>
        <v>15.365651714337467</v>
      </c>
      <c r="W810" s="4" t="str">
        <f>"rab-1"</f>
        <v>rab-1</v>
      </c>
      <c r="X810" s="4">
        <v>15.6189819825786</v>
      </c>
      <c r="Y810" s="4">
        <v>15.374186746076701</v>
      </c>
      <c r="Z810" s="4">
        <v>15.3431835678208</v>
      </c>
      <c r="AA810" s="4">
        <f t="shared" si="51"/>
        <v>15.445450765492033</v>
      </c>
      <c r="AJ810" s="1" t="s">
        <v>970</v>
      </c>
      <c r="AK810" s="1"/>
      <c r="AO810" s="1"/>
    </row>
    <row r="811" spans="2:41" x14ac:dyDescent="0.2">
      <c r="B811" s="4" t="s">
        <v>1557</v>
      </c>
      <c r="C811" s="4">
        <v>15.608000000000001</v>
      </c>
      <c r="D811" s="4">
        <v>15.438700000000001</v>
      </c>
      <c r="E811" s="4">
        <v>15.860200000000001</v>
      </c>
      <c r="F811" s="4">
        <f t="shared" si="48"/>
        <v>15.635633333333333</v>
      </c>
      <c r="I811" s="4" t="s">
        <v>323</v>
      </c>
      <c r="J811" s="4">
        <v>15.6623</v>
      </c>
      <c r="K811" s="4">
        <v>15.505000000000001</v>
      </c>
      <c r="L811" s="4">
        <v>15.8703</v>
      </c>
      <c r="M811" s="4">
        <f t="shared" si="49"/>
        <v>15.6792</v>
      </c>
      <c r="P811" s="4" t="str">
        <f>"F48A9.2"</f>
        <v>F48A9.2</v>
      </c>
      <c r="Q811" s="4">
        <v>14.510043757019099</v>
      </c>
      <c r="R811" s="4">
        <v>15.839145043402899</v>
      </c>
      <c r="S811" s="4">
        <v>15.730810730965301</v>
      </c>
      <c r="T811" s="4">
        <f t="shared" si="50"/>
        <v>15.359999843795768</v>
      </c>
      <c r="W811" s="4" t="str">
        <f>"R186.8"</f>
        <v>R186.8</v>
      </c>
      <c r="X811" s="4">
        <v>15.066074974242801</v>
      </c>
      <c r="Y811" s="4">
        <v>15.635804263101999</v>
      </c>
      <c r="Z811" s="4">
        <v>15.627003337271301</v>
      </c>
      <c r="AA811" s="4">
        <f t="shared" si="51"/>
        <v>15.442960858205367</v>
      </c>
      <c r="AJ811" s="1" t="s">
        <v>727</v>
      </c>
      <c r="AK811" s="1"/>
      <c r="AO811" s="1"/>
    </row>
    <row r="812" spans="2:41" x14ac:dyDescent="0.2">
      <c r="B812" s="4" t="s">
        <v>1462</v>
      </c>
      <c r="C812" s="4">
        <v>15.7765</v>
      </c>
      <c r="D812" s="4">
        <v>15.436400000000001</v>
      </c>
      <c r="E812" s="4">
        <v>15.6935</v>
      </c>
      <c r="F812" s="4">
        <f t="shared" si="48"/>
        <v>15.635466666666668</v>
      </c>
      <c r="I812" s="4" t="s">
        <v>3978</v>
      </c>
      <c r="J812" s="4">
        <v>15.633800000000001</v>
      </c>
      <c r="K812" s="4">
        <v>15.491899999999999</v>
      </c>
      <c r="L812" s="4">
        <v>15.9091</v>
      </c>
      <c r="M812" s="4">
        <f t="shared" si="49"/>
        <v>15.678266666666667</v>
      </c>
      <c r="P812" s="4" t="str">
        <f>"vps-45"</f>
        <v>vps-45</v>
      </c>
      <c r="Q812" s="4">
        <v>15.288301712529501</v>
      </c>
      <c r="R812" s="4">
        <v>15.390010253931701</v>
      </c>
      <c r="S812" s="4">
        <v>15.386518806006499</v>
      </c>
      <c r="T812" s="4">
        <f t="shared" si="50"/>
        <v>15.354943590822566</v>
      </c>
      <c r="W812" s="4" t="str">
        <f>"srf-3"</f>
        <v>srf-3</v>
      </c>
      <c r="X812" s="4">
        <v>15.5854375849717</v>
      </c>
      <c r="Y812" s="4">
        <v>15.614406264978699</v>
      </c>
      <c r="Z812" s="4">
        <v>15.1132048824749</v>
      </c>
      <c r="AA812" s="4">
        <f t="shared" si="51"/>
        <v>15.437682910808434</v>
      </c>
      <c r="AJ812" s="1" t="s">
        <v>685</v>
      </c>
      <c r="AK812" s="1"/>
      <c r="AO812" s="1"/>
    </row>
    <row r="813" spans="2:41" x14ac:dyDescent="0.2">
      <c r="B813" s="4" t="s">
        <v>3246</v>
      </c>
      <c r="C813" s="4">
        <v>15.7157</v>
      </c>
      <c r="D813" s="4">
        <v>15.630699999999999</v>
      </c>
      <c r="E813" s="4">
        <v>15.5571</v>
      </c>
      <c r="F813" s="4">
        <f t="shared" si="48"/>
        <v>15.634500000000001</v>
      </c>
      <c r="I813" s="4" t="s">
        <v>4550</v>
      </c>
      <c r="J813" s="4">
        <v>15.563499999999999</v>
      </c>
      <c r="K813" s="4">
        <v>15.9444</v>
      </c>
      <c r="L813" s="4">
        <v>15.5144</v>
      </c>
      <c r="M813" s="4">
        <f t="shared" si="49"/>
        <v>15.674100000000001</v>
      </c>
      <c r="P813" s="4" t="str">
        <f>"ima-3"</f>
        <v>ima-3</v>
      </c>
      <c r="Q813" s="4">
        <v>15.372728167742499</v>
      </c>
      <c r="R813" s="4">
        <v>15.2470121286891</v>
      </c>
      <c r="S813" s="4">
        <v>15.4433604439264</v>
      </c>
      <c r="T813" s="4">
        <f t="shared" si="50"/>
        <v>15.354366913452667</v>
      </c>
      <c r="W813" s="4" t="str">
        <f>"K05C4.2"</f>
        <v>K05C4.2</v>
      </c>
      <c r="X813" s="4">
        <v>15.3877722119092</v>
      </c>
      <c r="Y813" s="4">
        <v>15.496502104596299</v>
      </c>
      <c r="Z813" s="4">
        <v>15.422281620612599</v>
      </c>
      <c r="AA813" s="4">
        <f t="shared" si="51"/>
        <v>15.435518645706033</v>
      </c>
      <c r="AJ813" s="1" t="s">
        <v>834</v>
      </c>
      <c r="AK813" s="1"/>
      <c r="AO813" s="1"/>
    </row>
    <row r="814" spans="2:41" x14ac:dyDescent="0.2">
      <c r="B814" s="4" t="s">
        <v>2936</v>
      </c>
      <c r="C814" s="4">
        <v>15.806699999999999</v>
      </c>
      <c r="D814" s="4">
        <v>15.5472</v>
      </c>
      <c r="E814" s="4">
        <v>15.5442</v>
      </c>
      <c r="F814" s="4">
        <f t="shared" si="48"/>
        <v>15.6327</v>
      </c>
      <c r="I814" s="4" t="s">
        <v>2011</v>
      </c>
      <c r="J814" s="4">
        <v>15.982200000000001</v>
      </c>
      <c r="K814" s="4">
        <v>15.3224</v>
      </c>
      <c r="L814" s="4">
        <v>15.712300000000001</v>
      </c>
      <c r="M814" s="4">
        <f t="shared" si="49"/>
        <v>15.6723</v>
      </c>
      <c r="P814" s="4" t="str">
        <f>"let-630"</f>
        <v>let-630</v>
      </c>
      <c r="Q814" s="4">
        <v>15.533426385146001</v>
      </c>
      <c r="R814" s="4">
        <v>15.421210564058301</v>
      </c>
      <c r="S814" s="4">
        <v>15.1083403182302</v>
      </c>
      <c r="T814" s="4">
        <f t="shared" si="50"/>
        <v>15.3543257558115</v>
      </c>
      <c r="W814" s="4" t="str">
        <f>"rab-11.1"</f>
        <v>rab-11.1</v>
      </c>
      <c r="X814" s="4">
        <v>16.020649001326799</v>
      </c>
      <c r="Y814" s="4">
        <v>15.2070885531692</v>
      </c>
      <c r="Z814" s="4">
        <v>15.077718762436801</v>
      </c>
      <c r="AA814" s="4">
        <f t="shared" si="51"/>
        <v>15.435152105644265</v>
      </c>
      <c r="AJ814" s="1" t="s">
        <v>731</v>
      </c>
      <c r="AK814" s="1"/>
      <c r="AO814" s="1"/>
    </row>
    <row r="815" spans="2:41" x14ac:dyDescent="0.2">
      <c r="B815" s="4" t="s">
        <v>1849</v>
      </c>
      <c r="C815" s="4">
        <v>15.6692</v>
      </c>
      <c r="D815" s="4">
        <v>15.770899999999999</v>
      </c>
      <c r="E815" s="4">
        <v>15.4552</v>
      </c>
      <c r="F815" s="4">
        <f t="shared" si="48"/>
        <v>15.631766666666666</v>
      </c>
      <c r="I815" s="4" t="s">
        <v>964</v>
      </c>
      <c r="J815" s="4">
        <v>14.686400000000001</v>
      </c>
      <c r="K815" s="4">
        <v>15.8421</v>
      </c>
      <c r="L815" s="4">
        <v>16.487200000000001</v>
      </c>
      <c r="M815" s="4">
        <f t="shared" si="49"/>
        <v>15.671900000000001</v>
      </c>
      <c r="P815" s="4" t="str">
        <f>"prdx-6"</f>
        <v>prdx-6</v>
      </c>
      <c r="Q815" s="4">
        <v>15.3778564089698</v>
      </c>
      <c r="R815" s="4">
        <v>15.210121962741701</v>
      </c>
      <c r="S815" s="4">
        <v>15.4744226623061</v>
      </c>
      <c r="T815" s="4">
        <f t="shared" si="50"/>
        <v>15.354133678005866</v>
      </c>
      <c r="W815" s="4" t="str">
        <f>"sar-1"</f>
        <v>sar-1</v>
      </c>
      <c r="X815" s="4">
        <v>15.564915339145401</v>
      </c>
      <c r="Y815" s="4">
        <v>15.5383739267625</v>
      </c>
      <c r="Z815" s="4">
        <v>15.1947849028659</v>
      </c>
      <c r="AA815" s="4">
        <f t="shared" si="51"/>
        <v>15.432691389591268</v>
      </c>
      <c r="AJ815" s="1" t="s">
        <v>909</v>
      </c>
      <c r="AK815" s="1"/>
      <c r="AO815" s="1"/>
    </row>
    <row r="816" spans="2:41" x14ac:dyDescent="0.2">
      <c r="B816" s="4" t="s">
        <v>1218</v>
      </c>
      <c r="C816" s="4">
        <v>15.8629</v>
      </c>
      <c r="D816" s="4">
        <v>15.501200000000001</v>
      </c>
      <c r="E816" s="4">
        <v>15.5265</v>
      </c>
      <c r="F816" s="4">
        <f t="shared" si="48"/>
        <v>15.6302</v>
      </c>
      <c r="I816" s="4" t="s">
        <v>381</v>
      </c>
      <c r="J816" s="4">
        <v>15.7765</v>
      </c>
      <c r="K816" s="4">
        <v>15.6256</v>
      </c>
      <c r="L816" s="4">
        <v>15.604100000000001</v>
      </c>
      <c r="M816" s="4">
        <f t="shared" si="49"/>
        <v>15.668733333333334</v>
      </c>
      <c r="P816" s="4" t="str">
        <f>"ctl-2"</f>
        <v>ctl-2</v>
      </c>
      <c r="Q816" s="4">
        <v>15.480596099722</v>
      </c>
      <c r="R816" s="4">
        <v>15.4771268384248</v>
      </c>
      <c r="S816" s="4">
        <v>15.101782232015999</v>
      </c>
      <c r="T816" s="4">
        <f t="shared" si="50"/>
        <v>15.353168390054266</v>
      </c>
      <c r="W816" s="4" t="str">
        <f>"Y54H5A.2"</f>
        <v>Y54H5A.2</v>
      </c>
      <c r="X816" s="4">
        <v>15.4880540409526</v>
      </c>
      <c r="Y816" s="4">
        <v>15.477533099136499</v>
      </c>
      <c r="Z816" s="4">
        <v>15.323423462225</v>
      </c>
      <c r="AA816" s="4">
        <f t="shared" si="51"/>
        <v>15.429670200771367</v>
      </c>
      <c r="AJ816" s="1" t="s">
        <v>971</v>
      </c>
      <c r="AK816" s="1"/>
      <c r="AO816" s="1"/>
    </row>
    <row r="817" spans="2:41" x14ac:dyDescent="0.2">
      <c r="B817" s="4" t="s">
        <v>1846</v>
      </c>
      <c r="C817" s="4">
        <v>15.558</v>
      </c>
      <c r="D817" s="4">
        <v>16.072600000000001</v>
      </c>
      <c r="E817" s="4">
        <v>15.2592</v>
      </c>
      <c r="F817" s="4">
        <f t="shared" si="48"/>
        <v>15.629933333333334</v>
      </c>
      <c r="I817" s="4" t="s">
        <v>1066</v>
      </c>
      <c r="J817" s="4">
        <v>15.2773</v>
      </c>
      <c r="K817" s="4">
        <v>15.5039</v>
      </c>
      <c r="L817" s="4">
        <v>16.221399999999999</v>
      </c>
      <c r="M817" s="4">
        <f t="shared" si="49"/>
        <v>15.667533333333333</v>
      </c>
      <c r="P817" s="4" t="str">
        <f>"vbh-1"</f>
        <v>vbh-1</v>
      </c>
      <c r="Q817" s="4">
        <v>15.3953773717727</v>
      </c>
      <c r="R817" s="4">
        <v>15.311008018449</v>
      </c>
      <c r="S817" s="4">
        <v>15.350302751780999</v>
      </c>
      <c r="T817" s="4">
        <f t="shared" si="50"/>
        <v>15.352229380667566</v>
      </c>
      <c r="W817" s="4" t="str">
        <f>"isp-1"</f>
        <v>isp-1</v>
      </c>
      <c r="X817" s="4">
        <v>15.509629800124801</v>
      </c>
      <c r="Y817" s="4">
        <v>15.4072975370065</v>
      </c>
      <c r="Z817" s="4">
        <v>15.3706786741845</v>
      </c>
      <c r="AA817" s="4">
        <f t="shared" si="51"/>
        <v>15.429202003771934</v>
      </c>
      <c r="AJ817" s="1" t="s">
        <v>826</v>
      </c>
      <c r="AK817" s="1"/>
      <c r="AO817" s="1"/>
    </row>
    <row r="818" spans="2:41" x14ac:dyDescent="0.2">
      <c r="B818" s="4" t="s">
        <v>3542</v>
      </c>
      <c r="C818" s="4">
        <v>15.678000000000001</v>
      </c>
      <c r="D818" s="4">
        <v>15.6327</v>
      </c>
      <c r="E818" s="4">
        <v>15.5761</v>
      </c>
      <c r="F818" s="4">
        <f t="shared" si="48"/>
        <v>15.628933333333334</v>
      </c>
      <c r="I818" s="4" t="s">
        <v>1933</v>
      </c>
      <c r="J818" s="4">
        <v>15.5402</v>
      </c>
      <c r="K818" s="4">
        <v>15.557</v>
      </c>
      <c r="L818" s="4">
        <v>15.9048</v>
      </c>
      <c r="M818" s="4">
        <f t="shared" si="49"/>
        <v>15.667333333333334</v>
      </c>
      <c r="P818" s="4" t="str">
        <f>"unc-104"</f>
        <v>unc-104</v>
      </c>
      <c r="Q818" s="4">
        <v>15.548347308312501</v>
      </c>
      <c r="R818" s="4">
        <v>15.3120430353011</v>
      </c>
      <c r="S818" s="4">
        <v>15.1861468618531</v>
      </c>
      <c r="T818" s="4">
        <f t="shared" si="50"/>
        <v>15.348845735155569</v>
      </c>
      <c r="W818" s="4" t="str">
        <f>"F48A9.2"</f>
        <v>F48A9.2</v>
      </c>
      <c r="X818" s="4">
        <v>15.266029251972601</v>
      </c>
      <c r="Y818" s="4">
        <v>15.580893772999101</v>
      </c>
      <c r="Z818" s="4">
        <v>15.4402055844724</v>
      </c>
      <c r="AA818" s="4">
        <f t="shared" si="51"/>
        <v>15.429042869814701</v>
      </c>
      <c r="AJ818" s="1" t="s">
        <v>882</v>
      </c>
      <c r="AK818" s="1"/>
      <c r="AO818" s="1"/>
    </row>
    <row r="819" spans="2:41" x14ac:dyDescent="0.2">
      <c r="B819" s="4" t="s">
        <v>4645</v>
      </c>
      <c r="C819" s="4">
        <v>15.8363</v>
      </c>
      <c r="D819" s="4">
        <v>15.5847</v>
      </c>
      <c r="E819" s="4">
        <v>15.4627</v>
      </c>
      <c r="F819" s="4">
        <f t="shared" si="48"/>
        <v>15.627899999999999</v>
      </c>
      <c r="I819" s="4" t="s">
        <v>2177</v>
      </c>
      <c r="J819" s="4">
        <v>15.712999999999999</v>
      </c>
      <c r="K819" s="4">
        <v>15.8116</v>
      </c>
      <c r="L819" s="4">
        <v>15.458600000000001</v>
      </c>
      <c r="M819" s="4">
        <f t="shared" si="49"/>
        <v>15.661066666666665</v>
      </c>
      <c r="P819" s="4" t="str">
        <f>"ehbp-1"</f>
        <v>ehbp-1</v>
      </c>
      <c r="Q819" s="4">
        <v>15.3897951547155</v>
      </c>
      <c r="R819" s="4">
        <v>15.3598977310526</v>
      </c>
      <c r="S819" s="4">
        <v>15.2911587091802</v>
      </c>
      <c r="T819" s="4">
        <f t="shared" si="50"/>
        <v>15.346950531649433</v>
      </c>
      <c r="W819" s="4" t="str">
        <f>"csn-4"</f>
        <v>csn-4</v>
      </c>
      <c r="X819" s="4">
        <v>15.3690986041341</v>
      </c>
      <c r="Y819" s="4">
        <v>15.447890258276001</v>
      </c>
      <c r="Z819" s="4">
        <v>15.467578749775599</v>
      </c>
      <c r="AA819" s="4">
        <f t="shared" si="51"/>
        <v>15.4281892040619</v>
      </c>
      <c r="AJ819" s="1" t="s">
        <v>718</v>
      </c>
      <c r="AK819" s="1"/>
      <c r="AO819" s="1"/>
    </row>
    <row r="820" spans="2:41" x14ac:dyDescent="0.2">
      <c r="B820" s="4" t="s">
        <v>2857</v>
      </c>
      <c r="C820" s="4">
        <v>15.763500000000001</v>
      </c>
      <c r="D820" s="4">
        <v>15.3979</v>
      </c>
      <c r="E820" s="4">
        <v>15.6997</v>
      </c>
      <c r="F820" s="4">
        <f t="shared" si="48"/>
        <v>15.620366666666667</v>
      </c>
      <c r="I820" s="4" t="s">
        <v>3243</v>
      </c>
      <c r="J820" s="4">
        <v>15.533899999999999</v>
      </c>
      <c r="K820" s="4">
        <v>15.482799999999999</v>
      </c>
      <c r="L820" s="4">
        <v>15.963100000000001</v>
      </c>
      <c r="M820" s="4">
        <f t="shared" si="49"/>
        <v>15.659933333333333</v>
      </c>
      <c r="P820" s="4" t="str">
        <f>"hsp-16.11"</f>
        <v>hsp-16.11</v>
      </c>
      <c r="Q820" s="4">
        <v>15.446194977720101</v>
      </c>
      <c r="R820" s="4">
        <v>14.980396251356</v>
      </c>
      <c r="S820" s="4">
        <v>15.608623181696</v>
      </c>
      <c r="T820" s="4">
        <f t="shared" si="50"/>
        <v>15.345071470257366</v>
      </c>
      <c r="W820" s="4" t="str">
        <f>"gsa-1"</f>
        <v>gsa-1</v>
      </c>
      <c r="X820" s="4">
        <v>15.215905942671601</v>
      </c>
      <c r="Y820" s="4">
        <v>15.431826752154601</v>
      </c>
      <c r="Z820" s="4">
        <v>15.635243067671199</v>
      </c>
      <c r="AA820" s="4">
        <f t="shared" si="51"/>
        <v>15.427658587499133</v>
      </c>
      <c r="AJ820" s="1" t="s">
        <v>691</v>
      </c>
      <c r="AK820" s="1"/>
      <c r="AO820" s="1"/>
    </row>
    <row r="821" spans="2:41" x14ac:dyDescent="0.2">
      <c r="B821" s="4" t="s">
        <v>4068</v>
      </c>
      <c r="C821" s="4">
        <v>15.688499999999999</v>
      </c>
      <c r="D821" s="4">
        <v>15.914</v>
      </c>
      <c r="E821" s="4">
        <v>15.255699999999999</v>
      </c>
      <c r="F821" s="4">
        <f t="shared" si="48"/>
        <v>15.619399999999999</v>
      </c>
      <c r="I821" s="4" t="s">
        <v>2238</v>
      </c>
      <c r="J821" s="4">
        <v>15.372</v>
      </c>
      <c r="K821" s="4">
        <v>15.8134</v>
      </c>
      <c r="L821" s="4">
        <v>15.7859</v>
      </c>
      <c r="M821" s="4">
        <f t="shared" si="49"/>
        <v>15.6571</v>
      </c>
      <c r="P821" s="4" t="str">
        <f>"rpl-38"</f>
        <v>rpl-38</v>
      </c>
      <c r="Q821" s="4">
        <v>15.400520917957399</v>
      </c>
      <c r="R821" s="4">
        <v>15.1984051570772</v>
      </c>
      <c r="S821" s="4">
        <v>15.427499428843401</v>
      </c>
      <c r="T821" s="4">
        <f t="shared" si="50"/>
        <v>15.342141834626</v>
      </c>
      <c r="W821" s="4" t="str">
        <f>"T04F3.1"</f>
        <v>T04F3.1</v>
      </c>
      <c r="X821" s="4">
        <v>15.4774573786001</v>
      </c>
      <c r="Y821" s="4">
        <v>15.3649273120309</v>
      </c>
      <c r="Z821" s="4">
        <v>15.4190643341749</v>
      </c>
      <c r="AA821" s="4">
        <f t="shared" si="51"/>
        <v>15.420483008268633</v>
      </c>
      <c r="AJ821" s="1" t="s">
        <v>720</v>
      </c>
      <c r="AK821" s="1"/>
      <c r="AO821" s="1"/>
    </row>
    <row r="822" spans="2:41" x14ac:dyDescent="0.2">
      <c r="B822" s="4" t="s">
        <v>1639</v>
      </c>
      <c r="C822" s="4">
        <v>15.7971</v>
      </c>
      <c r="D822" s="4">
        <v>15.3927</v>
      </c>
      <c r="E822" s="4">
        <v>15.657299999999999</v>
      </c>
      <c r="F822" s="4">
        <f t="shared" si="48"/>
        <v>15.615699999999999</v>
      </c>
      <c r="I822" s="4" t="s">
        <v>3049</v>
      </c>
      <c r="J822" s="4">
        <v>15.5654</v>
      </c>
      <c r="K822" s="4">
        <v>15.6526</v>
      </c>
      <c r="L822" s="4">
        <v>15.7508</v>
      </c>
      <c r="M822" s="4">
        <f t="shared" si="49"/>
        <v>15.656266666666667</v>
      </c>
      <c r="P822" s="4" t="str">
        <f>"M106.3"</f>
        <v>M106.3</v>
      </c>
      <c r="Q822" s="4">
        <v>15.2243487952157</v>
      </c>
      <c r="R822" s="4">
        <v>15.4645467476027</v>
      </c>
      <c r="S822" s="4">
        <v>15.327423036912201</v>
      </c>
      <c r="T822" s="4">
        <f t="shared" si="50"/>
        <v>15.3387728599102</v>
      </c>
      <c r="W822" s="4" t="str">
        <f>"sec-11"</f>
        <v>sec-11</v>
      </c>
      <c r="X822" s="4">
        <v>15.4611331461851</v>
      </c>
      <c r="Y822" s="4">
        <v>15.4453338613738</v>
      </c>
      <c r="Z822" s="4">
        <v>15.352793435138199</v>
      </c>
      <c r="AA822" s="4">
        <f t="shared" si="51"/>
        <v>15.419753480899033</v>
      </c>
      <c r="AJ822" s="1" t="s">
        <v>409</v>
      </c>
      <c r="AK822" s="1"/>
      <c r="AO822" s="1"/>
    </row>
    <row r="823" spans="2:41" x14ac:dyDescent="0.2">
      <c r="B823" s="4" t="s">
        <v>3705</v>
      </c>
      <c r="C823" s="4">
        <v>15.6129</v>
      </c>
      <c r="D823" s="4">
        <v>15.5128</v>
      </c>
      <c r="E823" s="4">
        <v>15.703900000000001</v>
      </c>
      <c r="F823" s="4">
        <f t="shared" si="48"/>
        <v>15.609866666666667</v>
      </c>
      <c r="I823" s="4" t="s">
        <v>2802</v>
      </c>
      <c r="J823" s="4">
        <v>15.8971</v>
      </c>
      <c r="K823" s="4">
        <v>15.606999999999999</v>
      </c>
      <c r="L823" s="4">
        <v>15.442600000000001</v>
      </c>
      <c r="M823" s="4">
        <f t="shared" si="49"/>
        <v>15.648899999999999</v>
      </c>
      <c r="P823" s="4" t="str">
        <f>"argn-1"</f>
        <v>argn-1</v>
      </c>
      <c r="Q823" s="4">
        <v>15.564069392964001</v>
      </c>
      <c r="R823" s="4">
        <v>15.0408453947101</v>
      </c>
      <c r="S823" s="4">
        <v>15.4106131169343</v>
      </c>
      <c r="T823" s="4">
        <f t="shared" si="50"/>
        <v>15.338509301536135</v>
      </c>
      <c r="W823" s="4" t="str">
        <f>"emb-5"</f>
        <v>emb-5</v>
      </c>
      <c r="X823" s="4">
        <v>15.2652931895619</v>
      </c>
      <c r="Y823" s="4">
        <v>15.4072657285222</v>
      </c>
      <c r="Z823" s="4">
        <v>15.581189328721999</v>
      </c>
      <c r="AA823" s="4">
        <f t="shared" si="51"/>
        <v>15.417916082268698</v>
      </c>
      <c r="AJ823" s="1" t="s">
        <v>899</v>
      </c>
      <c r="AK823" s="1"/>
      <c r="AO823" s="1"/>
    </row>
    <row r="824" spans="2:41" x14ac:dyDescent="0.2">
      <c r="B824" s="4" t="s">
        <v>3465</v>
      </c>
      <c r="C824" s="4">
        <v>15.766</v>
      </c>
      <c r="D824" s="4">
        <v>15.465</v>
      </c>
      <c r="E824" s="4">
        <v>15.596399999999999</v>
      </c>
      <c r="F824" s="4">
        <f t="shared" si="48"/>
        <v>15.609133333333332</v>
      </c>
      <c r="I824" s="4" t="s">
        <v>1347</v>
      </c>
      <c r="J824" s="4">
        <v>15.753500000000001</v>
      </c>
      <c r="K824" s="4">
        <v>15.295299999999999</v>
      </c>
      <c r="L824" s="4">
        <v>15.897600000000001</v>
      </c>
      <c r="M824" s="4">
        <f t="shared" si="49"/>
        <v>15.6488</v>
      </c>
      <c r="P824" s="4" t="str">
        <f>"pgl-3"</f>
        <v>pgl-3</v>
      </c>
      <c r="Q824" s="4">
        <v>15.2251024776939</v>
      </c>
      <c r="R824" s="4">
        <v>15.413707516726101</v>
      </c>
      <c r="S824" s="4">
        <v>15.3765660935582</v>
      </c>
      <c r="T824" s="4">
        <f t="shared" si="50"/>
        <v>15.338458695992733</v>
      </c>
      <c r="W824" s="4" t="str">
        <f>"ucr-2.2"</f>
        <v>ucr-2.2</v>
      </c>
      <c r="X824" s="4">
        <v>15.421480558410799</v>
      </c>
      <c r="Y824" s="4">
        <v>15.359239011175299</v>
      </c>
      <c r="Z824" s="4">
        <v>15.459119142467101</v>
      </c>
      <c r="AA824" s="4">
        <f t="shared" si="51"/>
        <v>15.4132795706844</v>
      </c>
      <c r="AJ824" s="1" t="s">
        <v>696</v>
      </c>
      <c r="AK824" s="1"/>
      <c r="AO824" s="1"/>
    </row>
    <row r="825" spans="2:41" x14ac:dyDescent="0.2">
      <c r="B825" s="4" t="s">
        <v>2474</v>
      </c>
      <c r="C825" s="4">
        <v>15.647600000000001</v>
      </c>
      <c r="D825" s="4">
        <v>15.649100000000001</v>
      </c>
      <c r="E825" s="4">
        <v>15.529</v>
      </c>
      <c r="F825" s="4">
        <f t="shared" si="48"/>
        <v>15.608566666666666</v>
      </c>
      <c r="I825" s="4" t="s">
        <v>1669</v>
      </c>
      <c r="J825" s="4">
        <v>15.7188</v>
      </c>
      <c r="K825" s="4">
        <v>15.5236</v>
      </c>
      <c r="L825" s="4">
        <v>15.702199999999999</v>
      </c>
      <c r="M825" s="4">
        <f t="shared" si="49"/>
        <v>15.648200000000001</v>
      </c>
      <c r="P825" s="4" t="str">
        <f>"men-1"</f>
        <v>men-1</v>
      </c>
      <c r="Q825" s="4">
        <v>15.659562273518199</v>
      </c>
      <c r="R825" s="4">
        <v>15.1807654406834</v>
      </c>
      <c r="S825" s="4">
        <v>15.1412050007687</v>
      </c>
      <c r="T825" s="4">
        <f t="shared" si="50"/>
        <v>15.327177571656767</v>
      </c>
      <c r="W825" s="4" t="str">
        <f>"msp-78"</f>
        <v>msp-78</v>
      </c>
      <c r="X825" s="4">
        <v>15.469357972654899</v>
      </c>
      <c r="Y825" s="4">
        <v>15.3468705469206</v>
      </c>
      <c r="Z825" s="4">
        <v>15.416748386945899</v>
      </c>
      <c r="AA825" s="4">
        <f t="shared" si="51"/>
        <v>15.410992302173801</v>
      </c>
      <c r="AJ825" s="1" t="s">
        <v>42</v>
      </c>
      <c r="AK825" s="1"/>
      <c r="AO825" s="1"/>
    </row>
    <row r="826" spans="2:41" x14ac:dyDescent="0.2">
      <c r="B826" s="4" t="s">
        <v>1212</v>
      </c>
      <c r="C826" s="4">
        <v>15.95</v>
      </c>
      <c r="D826" s="4">
        <v>15.478899999999999</v>
      </c>
      <c r="E826" s="4">
        <v>15.3957</v>
      </c>
      <c r="F826" s="4">
        <f t="shared" si="48"/>
        <v>15.608199999999998</v>
      </c>
      <c r="I826" s="4" t="s">
        <v>111</v>
      </c>
      <c r="J826" s="4">
        <v>15.6777</v>
      </c>
      <c r="K826" s="4">
        <v>15.8032</v>
      </c>
      <c r="L826" s="4">
        <v>15.451700000000001</v>
      </c>
      <c r="M826" s="4">
        <f t="shared" si="49"/>
        <v>15.6442</v>
      </c>
      <c r="P826" s="4" t="str">
        <f>"hgap-2"</f>
        <v>hgap-2</v>
      </c>
      <c r="Q826" s="4">
        <v>15.321228822571999</v>
      </c>
      <c r="R826" s="4">
        <v>15.2177523950633</v>
      </c>
      <c r="S826" s="4">
        <v>15.4418728778996</v>
      </c>
      <c r="T826" s="4">
        <f t="shared" si="50"/>
        <v>15.326951365178301</v>
      </c>
      <c r="W826" s="4" t="str">
        <f>"mrp-5"</f>
        <v>mrp-5</v>
      </c>
      <c r="X826" s="4">
        <v>15.5147416384855</v>
      </c>
      <c r="Y826" s="4">
        <v>15.4084124061942</v>
      </c>
      <c r="Z826" s="4">
        <v>15.306047807874601</v>
      </c>
      <c r="AA826" s="4">
        <f t="shared" si="51"/>
        <v>15.409733950851432</v>
      </c>
      <c r="AJ826" s="1" t="s">
        <v>692</v>
      </c>
      <c r="AK826" s="1"/>
      <c r="AO826" s="1"/>
    </row>
    <row r="827" spans="2:41" x14ac:dyDescent="0.2">
      <c r="B827" s="4" t="s">
        <v>2750</v>
      </c>
      <c r="C827" s="4">
        <v>15.8256</v>
      </c>
      <c r="D827" s="4">
        <v>15.277100000000001</v>
      </c>
      <c r="E827" s="4">
        <v>15.716200000000001</v>
      </c>
      <c r="F827" s="4">
        <f t="shared" si="48"/>
        <v>15.606299999999999</v>
      </c>
      <c r="I827" s="4" t="s">
        <v>2445</v>
      </c>
      <c r="J827" s="4">
        <v>15.619</v>
      </c>
      <c r="K827" s="4">
        <v>15.781000000000001</v>
      </c>
      <c r="L827" s="4">
        <v>15.527799999999999</v>
      </c>
      <c r="M827" s="4">
        <f t="shared" si="49"/>
        <v>15.6426</v>
      </c>
      <c r="P827" s="4" t="str">
        <f>"Y48B6A.13"</f>
        <v>Y48B6A.13</v>
      </c>
      <c r="Q827" s="4">
        <v>15.388935209952299</v>
      </c>
      <c r="R827" s="4">
        <v>15.388290187857899</v>
      </c>
      <c r="S827" s="4">
        <v>15.2035455646856</v>
      </c>
      <c r="T827" s="4">
        <f t="shared" si="50"/>
        <v>15.326923654165265</v>
      </c>
      <c r="W827" s="4" t="str">
        <f>"T07D3.9"</f>
        <v>T07D3.9</v>
      </c>
      <c r="X827" s="4">
        <v>15.456499233034</v>
      </c>
      <c r="Y827" s="4">
        <v>15.497443306655599</v>
      </c>
      <c r="Z827" s="4">
        <v>15.2673267326835</v>
      </c>
      <c r="AA827" s="4">
        <f t="shared" si="51"/>
        <v>15.407089757457699</v>
      </c>
      <c r="AJ827" s="1" t="s">
        <v>675</v>
      </c>
      <c r="AK827" s="1"/>
      <c r="AO827" s="1"/>
    </row>
    <row r="828" spans="2:41" x14ac:dyDescent="0.2">
      <c r="B828" s="4" t="s">
        <v>675</v>
      </c>
      <c r="C828" s="4">
        <v>15.357100000000001</v>
      </c>
      <c r="D828" s="4">
        <v>16.1755</v>
      </c>
      <c r="E828" s="4">
        <v>15.278499999999999</v>
      </c>
      <c r="F828" s="4">
        <f t="shared" si="48"/>
        <v>15.603700000000002</v>
      </c>
      <c r="I828" s="4" t="s">
        <v>2974</v>
      </c>
      <c r="J828" s="4">
        <v>15.9809</v>
      </c>
      <c r="K828" s="4">
        <v>15.661899999999999</v>
      </c>
      <c r="L828" s="4">
        <v>15.2722</v>
      </c>
      <c r="M828" s="4">
        <f t="shared" si="49"/>
        <v>15.638333333333334</v>
      </c>
      <c r="P828" s="4" t="str">
        <f>"cct-5"</f>
        <v>cct-5</v>
      </c>
      <c r="Q828" s="4">
        <v>14.9956877424186</v>
      </c>
      <c r="R828" s="4">
        <v>15.545045829385201</v>
      </c>
      <c r="S828" s="4">
        <v>15.439401984271001</v>
      </c>
      <c r="T828" s="4">
        <f t="shared" si="50"/>
        <v>15.326711852024934</v>
      </c>
      <c r="W828" s="4" t="str">
        <f>"npp-13"</f>
        <v>npp-13</v>
      </c>
      <c r="X828" s="4">
        <v>15.4931056389592</v>
      </c>
      <c r="Y828" s="4">
        <v>15.4330930094374</v>
      </c>
      <c r="Z828" s="4">
        <v>15.293209363045801</v>
      </c>
      <c r="AA828" s="4">
        <f t="shared" si="51"/>
        <v>15.406469337147465</v>
      </c>
      <c r="AJ828" s="1" t="s">
        <v>702</v>
      </c>
      <c r="AK828" s="1"/>
      <c r="AO828" s="1"/>
    </row>
    <row r="829" spans="2:41" x14ac:dyDescent="0.2">
      <c r="B829" s="4" t="s">
        <v>1442</v>
      </c>
      <c r="C829" s="4">
        <v>15.4541</v>
      </c>
      <c r="D829" s="4">
        <v>15.9458</v>
      </c>
      <c r="E829" s="4">
        <v>15.4016</v>
      </c>
      <c r="F829" s="4">
        <f t="shared" si="48"/>
        <v>15.600500000000002</v>
      </c>
      <c r="I829" s="4" t="s">
        <v>2210</v>
      </c>
      <c r="J829" s="4">
        <v>15.706799999999999</v>
      </c>
      <c r="K829" s="4">
        <v>15.5771</v>
      </c>
      <c r="L829" s="4">
        <v>15.6204</v>
      </c>
      <c r="M829" s="4">
        <f t="shared" si="49"/>
        <v>15.634766666666666</v>
      </c>
      <c r="P829" s="4" t="str">
        <f>"F59B1.2"</f>
        <v>F59B1.2</v>
      </c>
      <c r="Q829" s="4">
        <v>14.761742412813801</v>
      </c>
      <c r="R829" s="4">
        <v>15.16432994232</v>
      </c>
      <c r="S829" s="4">
        <v>16.047718370364102</v>
      </c>
      <c r="T829" s="4">
        <f t="shared" si="50"/>
        <v>15.324596908499302</v>
      </c>
      <c r="W829" s="4" t="str">
        <f>"ssl-1"</f>
        <v>ssl-1</v>
      </c>
      <c r="X829" s="4">
        <v>15.2806826736748</v>
      </c>
      <c r="Y829" s="4">
        <v>15.506758242628401</v>
      </c>
      <c r="Z829" s="4">
        <v>15.4267480030698</v>
      </c>
      <c r="AA829" s="4">
        <f t="shared" si="51"/>
        <v>15.404729639791</v>
      </c>
      <c r="AJ829" s="1" t="s">
        <v>973</v>
      </c>
      <c r="AK829" s="1"/>
      <c r="AO829" s="1"/>
    </row>
    <row r="830" spans="2:41" x14ac:dyDescent="0.2">
      <c r="B830" s="4" t="s">
        <v>2997</v>
      </c>
      <c r="C830" s="4">
        <v>15.6233</v>
      </c>
      <c r="D830" s="4">
        <v>15.7043</v>
      </c>
      <c r="E830" s="4">
        <v>15.4651</v>
      </c>
      <c r="F830" s="4">
        <f t="shared" si="48"/>
        <v>15.597566666666665</v>
      </c>
      <c r="I830" s="4" t="s">
        <v>2476</v>
      </c>
      <c r="J830" s="4">
        <v>15.806800000000001</v>
      </c>
      <c r="K830" s="4">
        <v>15.448700000000001</v>
      </c>
      <c r="L830" s="4">
        <v>15.642099999999999</v>
      </c>
      <c r="M830" s="4">
        <f t="shared" si="49"/>
        <v>15.632533333333333</v>
      </c>
      <c r="P830" s="4" t="str">
        <f>"C54G4.7"</f>
        <v>C54G4.7</v>
      </c>
      <c r="Q830" s="4">
        <v>15.8366549656884</v>
      </c>
      <c r="R830" s="4">
        <v>15.032164631584299</v>
      </c>
      <c r="S830" s="4">
        <v>15.091616300299901</v>
      </c>
      <c r="T830" s="4">
        <f t="shared" si="50"/>
        <v>15.320145299190864</v>
      </c>
      <c r="W830" s="4" t="str">
        <f>"rps-10"</f>
        <v>rps-10</v>
      </c>
      <c r="X830" s="4">
        <v>15.125194728872</v>
      </c>
      <c r="Y830" s="4">
        <v>15.477523751367301</v>
      </c>
      <c r="Z830" s="4">
        <v>15.611409617957801</v>
      </c>
      <c r="AA830" s="4">
        <f t="shared" si="51"/>
        <v>15.404709366065701</v>
      </c>
      <c r="AJ830" s="1" t="s">
        <v>974</v>
      </c>
      <c r="AK830" s="1"/>
      <c r="AO830" s="1"/>
    </row>
    <row r="831" spans="2:41" x14ac:dyDescent="0.2">
      <c r="B831" s="4" t="s">
        <v>1762</v>
      </c>
      <c r="C831" s="4">
        <v>15.694800000000001</v>
      </c>
      <c r="D831" s="4">
        <v>15.7943</v>
      </c>
      <c r="E831" s="4">
        <v>15.2879</v>
      </c>
      <c r="F831" s="4">
        <f t="shared" si="48"/>
        <v>15.592333333333334</v>
      </c>
      <c r="I831" s="4" t="s">
        <v>3705</v>
      </c>
      <c r="J831" s="4">
        <v>15.709099999999999</v>
      </c>
      <c r="K831" s="4">
        <v>15.4771</v>
      </c>
      <c r="L831" s="4">
        <v>15.6975</v>
      </c>
      <c r="M831" s="4">
        <f t="shared" si="49"/>
        <v>15.627899999999999</v>
      </c>
      <c r="P831" s="4" t="str">
        <f>"lig-1"</f>
        <v>lig-1</v>
      </c>
      <c r="Q831" s="4">
        <v>15.4133276229829</v>
      </c>
      <c r="R831" s="4">
        <v>15.203009205467101</v>
      </c>
      <c r="S831" s="4">
        <v>15.332301160859499</v>
      </c>
      <c r="T831" s="4">
        <f t="shared" si="50"/>
        <v>15.316212663103167</v>
      </c>
      <c r="W831" s="4" t="str">
        <f>"gss-1"</f>
        <v>gss-1</v>
      </c>
      <c r="X831" s="4">
        <v>15.200735432845001</v>
      </c>
      <c r="Y831" s="4">
        <v>15.6352195851277</v>
      </c>
      <c r="Z831" s="4">
        <v>15.3742325294428</v>
      </c>
      <c r="AA831" s="4">
        <f t="shared" si="51"/>
        <v>15.4033958491385</v>
      </c>
      <c r="AJ831" s="1" t="s">
        <v>864</v>
      </c>
      <c r="AK831" s="1"/>
      <c r="AO831" s="1"/>
    </row>
    <row r="832" spans="2:41" x14ac:dyDescent="0.2">
      <c r="B832" s="4" t="s">
        <v>735</v>
      </c>
      <c r="C832" s="4">
        <v>15.6996</v>
      </c>
      <c r="D832" s="4">
        <v>15.7301</v>
      </c>
      <c r="E832" s="4">
        <v>15.321899999999999</v>
      </c>
      <c r="F832" s="4">
        <f t="shared" si="48"/>
        <v>15.583866666666665</v>
      </c>
      <c r="I832" s="4" t="s">
        <v>1846</v>
      </c>
      <c r="J832" s="4">
        <v>15.611499999999999</v>
      </c>
      <c r="K832" s="4">
        <v>15.965199999999999</v>
      </c>
      <c r="L832" s="4">
        <v>15.3024</v>
      </c>
      <c r="M832" s="4">
        <f t="shared" si="49"/>
        <v>15.626366666666668</v>
      </c>
      <c r="P832" s="4" t="str">
        <f>"isw-1"</f>
        <v>isw-1</v>
      </c>
      <c r="Q832" s="4">
        <v>15.3866233720341</v>
      </c>
      <c r="R832" s="4">
        <v>15.3771745032432</v>
      </c>
      <c r="S832" s="4">
        <v>15.1797341498275</v>
      </c>
      <c r="T832" s="4">
        <f t="shared" si="50"/>
        <v>15.314510675034933</v>
      </c>
      <c r="W832" s="4" t="str">
        <f>"hip-1"</f>
        <v>hip-1</v>
      </c>
      <c r="X832" s="4">
        <v>15.580640024102699</v>
      </c>
      <c r="Y832" s="4">
        <v>15.318904264631399</v>
      </c>
      <c r="Z832" s="4">
        <v>15.2965347679404</v>
      </c>
      <c r="AA832" s="4">
        <f t="shared" si="51"/>
        <v>15.3986930188915</v>
      </c>
      <c r="AJ832" s="1" t="s">
        <v>977</v>
      </c>
      <c r="AK832" s="1"/>
      <c r="AO832" s="1"/>
    </row>
    <row r="833" spans="2:41" x14ac:dyDescent="0.2">
      <c r="B833" s="4" t="s">
        <v>509</v>
      </c>
      <c r="C833" s="4">
        <v>15.4672</v>
      </c>
      <c r="D833" s="4">
        <v>15.77</v>
      </c>
      <c r="E833" s="4">
        <v>15.5069</v>
      </c>
      <c r="F833" s="4">
        <f t="shared" si="48"/>
        <v>15.581366666666668</v>
      </c>
      <c r="I833" s="4" t="s">
        <v>783</v>
      </c>
      <c r="J833" s="4">
        <v>15.759399999999999</v>
      </c>
      <c r="K833" s="4">
        <v>15.8901</v>
      </c>
      <c r="L833" s="4">
        <v>15.227600000000001</v>
      </c>
      <c r="M833" s="4">
        <f t="shared" si="49"/>
        <v>15.6257</v>
      </c>
      <c r="P833" s="4" t="str">
        <f>"rpom-1"</f>
        <v>rpom-1</v>
      </c>
      <c r="Q833" s="4">
        <v>15.3608553495908</v>
      </c>
      <c r="R833" s="4">
        <v>15.2778734639682</v>
      </c>
      <c r="S833" s="4">
        <v>15.2871618786279</v>
      </c>
      <c r="T833" s="4">
        <f t="shared" si="50"/>
        <v>15.308630230728966</v>
      </c>
      <c r="W833" s="4" t="str">
        <f>"F55F8.2"</f>
        <v>F55F8.2</v>
      </c>
      <c r="X833" s="4">
        <v>15.3737299531904</v>
      </c>
      <c r="Y833" s="4">
        <v>15.565192794709199</v>
      </c>
      <c r="Z833" s="4">
        <v>15.248609350252201</v>
      </c>
      <c r="AA833" s="4">
        <f t="shared" si="51"/>
        <v>15.395844032717266</v>
      </c>
      <c r="AJ833" s="1" t="s">
        <v>387</v>
      </c>
      <c r="AK833" s="1"/>
      <c r="AO833" s="1"/>
    </row>
    <row r="834" spans="2:41" x14ac:dyDescent="0.2">
      <c r="B834" s="4" t="s">
        <v>2693</v>
      </c>
      <c r="C834" s="4">
        <v>16.045000000000002</v>
      </c>
      <c r="D834" s="4">
        <v>14.969900000000001</v>
      </c>
      <c r="E834" s="4">
        <v>15.728199999999999</v>
      </c>
      <c r="F834" s="4">
        <f t="shared" ref="F834:F897" si="52">(C834+D834+E834)/3</f>
        <v>15.581033333333336</v>
      </c>
      <c r="I834" s="4" t="s">
        <v>881</v>
      </c>
      <c r="J834" s="4">
        <v>15.7698</v>
      </c>
      <c r="K834" s="4">
        <v>15.350199999999999</v>
      </c>
      <c r="L834" s="4">
        <v>15.7539</v>
      </c>
      <c r="M834" s="4">
        <f t="shared" ref="M834:M897" si="53">(J834+K834+L834)/3</f>
        <v>15.624633333333334</v>
      </c>
      <c r="P834" s="4" t="str">
        <f>"npp-13"</f>
        <v>npp-13</v>
      </c>
      <c r="Q834" s="4">
        <v>15.249876075915701</v>
      </c>
      <c r="R834" s="4">
        <v>15.256417909473299</v>
      </c>
      <c r="S834" s="4">
        <v>15.412146687778399</v>
      </c>
      <c r="T834" s="4">
        <f t="shared" ref="T834:T897" si="54">(Q834+R834+S834)/3</f>
        <v>15.306146891055798</v>
      </c>
      <c r="W834" s="4" t="str">
        <f>"uba-2"</f>
        <v>uba-2</v>
      </c>
      <c r="X834" s="4">
        <v>15.4072933481464</v>
      </c>
      <c r="Y834" s="4">
        <v>15.318967799977401</v>
      </c>
      <c r="Z834" s="4">
        <v>15.4294574779637</v>
      </c>
      <c r="AA834" s="4">
        <f t="shared" ref="AA834:AA897" si="55">(X834+Y834+Z834)/3</f>
        <v>15.385239542029167</v>
      </c>
      <c r="AJ834" s="1" t="s">
        <v>978</v>
      </c>
      <c r="AK834" s="1"/>
      <c r="AO834" s="1"/>
    </row>
    <row r="835" spans="2:41" x14ac:dyDescent="0.2">
      <c r="B835" s="4" t="s">
        <v>1765</v>
      </c>
      <c r="C835" s="4">
        <v>15.658799999999999</v>
      </c>
      <c r="D835" s="4">
        <v>15.3207</v>
      </c>
      <c r="E835" s="4">
        <v>15.755800000000001</v>
      </c>
      <c r="F835" s="4">
        <f t="shared" si="52"/>
        <v>15.578433333333335</v>
      </c>
      <c r="I835" s="4" t="s">
        <v>777</v>
      </c>
      <c r="J835" s="4">
        <v>15.6356</v>
      </c>
      <c r="K835" s="4">
        <v>15.233599999999999</v>
      </c>
      <c r="L835" s="4">
        <v>15.997400000000001</v>
      </c>
      <c r="M835" s="4">
        <f t="shared" si="53"/>
        <v>15.622199999999999</v>
      </c>
      <c r="P835" s="4" t="str">
        <f>"clp-1"</f>
        <v>clp-1</v>
      </c>
      <c r="Q835" s="4">
        <v>15.472879412166099</v>
      </c>
      <c r="R835" s="4">
        <v>15.2401996908215</v>
      </c>
      <c r="S835" s="4">
        <v>15.205314090148899</v>
      </c>
      <c r="T835" s="4">
        <f t="shared" si="54"/>
        <v>15.306131064378832</v>
      </c>
      <c r="W835" s="4" t="str">
        <f>"npp-22"</f>
        <v>npp-22</v>
      </c>
      <c r="X835" s="4">
        <v>15.312868960560699</v>
      </c>
      <c r="Y835" s="4">
        <v>15.5258247794961</v>
      </c>
      <c r="Z835" s="4">
        <v>15.3149257077495</v>
      </c>
      <c r="AA835" s="4">
        <f t="shared" si="55"/>
        <v>15.384539815935433</v>
      </c>
      <c r="AJ835" s="1" t="s">
        <v>748</v>
      </c>
      <c r="AK835" s="1"/>
      <c r="AO835" s="1"/>
    </row>
    <row r="836" spans="2:41" x14ac:dyDescent="0.2">
      <c r="B836" s="4" t="s">
        <v>944</v>
      </c>
      <c r="C836" s="4">
        <v>15.6469</v>
      </c>
      <c r="D836" s="4">
        <v>15.4925</v>
      </c>
      <c r="E836" s="4">
        <v>15.583299999999999</v>
      </c>
      <c r="F836" s="4">
        <f t="shared" si="52"/>
        <v>15.574233333333334</v>
      </c>
      <c r="I836" s="4" t="s">
        <v>1380</v>
      </c>
      <c r="J836" s="4">
        <v>15.8207</v>
      </c>
      <c r="K836" s="4">
        <v>15.6767</v>
      </c>
      <c r="L836" s="4">
        <v>15.3645</v>
      </c>
      <c r="M836" s="4">
        <f t="shared" si="53"/>
        <v>15.620633333333332</v>
      </c>
      <c r="P836" s="4" t="str">
        <f>"mrps-12"</f>
        <v>mrps-12</v>
      </c>
      <c r="Q836" s="4">
        <v>15.154794422231401</v>
      </c>
      <c r="R836" s="4">
        <v>15.207271487239399</v>
      </c>
      <c r="S836" s="4">
        <v>15.5480479096985</v>
      </c>
      <c r="T836" s="4">
        <f t="shared" si="54"/>
        <v>15.303371273056433</v>
      </c>
      <c r="W836" s="4" t="str">
        <f>"vars-1"</f>
        <v>vars-1</v>
      </c>
      <c r="X836" s="4">
        <v>15.111928716546</v>
      </c>
      <c r="Y836" s="4">
        <v>15.431951231312899</v>
      </c>
      <c r="Z836" s="4">
        <v>15.607634758065</v>
      </c>
      <c r="AA836" s="4">
        <f t="shared" si="55"/>
        <v>15.383838235307968</v>
      </c>
      <c r="AJ836" s="1" t="s">
        <v>722</v>
      </c>
      <c r="AK836" s="1"/>
      <c r="AO836" s="1"/>
    </row>
    <row r="837" spans="2:41" x14ac:dyDescent="0.2">
      <c r="B837" s="4" t="s">
        <v>130</v>
      </c>
      <c r="C837" s="4">
        <v>15.378399999999999</v>
      </c>
      <c r="D837" s="4">
        <v>15.902699999999999</v>
      </c>
      <c r="E837" s="4">
        <v>15.436999999999999</v>
      </c>
      <c r="F837" s="4">
        <f t="shared" si="52"/>
        <v>15.572699999999999</v>
      </c>
      <c r="I837" s="4" t="s">
        <v>892</v>
      </c>
      <c r="J837" s="4">
        <v>15.411799999999999</v>
      </c>
      <c r="K837" s="4">
        <v>15.9452</v>
      </c>
      <c r="L837" s="4">
        <v>15.5021</v>
      </c>
      <c r="M837" s="4">
        <f t="shared" si="53"/>
        <v>15.6197</v>
      </c>
      <c r="P837" s="4" t="str">
        <f>"txdc-12.2"</f>
        <v>txdc-12.2</v>
      </c>
      <c r="Q837" s="4">
        <v>14.2064718316214</v>
      </c>
      <c r="R837" s="4">
        <v>15.5733380031169</v>
      </c>
      <c r="S837" s="4">
        <v>16.124909105037201</v>
      </c>
      <c r="T837" s="4">
        <f t="shared" si="54"/>
        <v>15.301572979925169</v>
      </c>
      <c r="W837" s="4" t="str">
        <f>"pgp-2"</f>
        <v>pgp-2</v>
      </c>
      <c r="X837" s="4">
        <v>15.4345539040426</v>
      </c>
      <c r="Y837" s="4">
        <v>15.352508430276499</v>
      </c>
      <c r="Z837" s="4">
        <v>15.358680498684899</v>
      </c>
      <c r="AA837" s="4">
        <f t="shared" si="55"/>
        <v>15.381914277668001</v>
      </c>
      <c r="AJ837" s="1" t="s">
        <v>698</v>
      </c>
      <c r="AK837" s="1"/>
      <c r="AO837" s="1"/>
    </row>
    <row r="838" spans="2:41" x14ac:dyDescent="0.2">
      <c r="B838" s="4" t="s">
        <v>2210</v>
      </c>
      <c r="C838" s="4">
        <v>15.4451</v>
      </c>
      <c r="D838" s="4">
        <v>15.631500000000001</v>
      </c>
      <c r="E838" s="4">
        <v>15.639099999999999</v>
      </c>
      <c r="F838" s="4">
        <f t="shared" si="52"/>
        <v>15.571899999999999</v>
      </c>
      <c r="I838" s="4" t="s">
        <v>2474</v>
      </c>
      <c r="J838" s="4">
        <v>15.646800000000001</v>
      </c>
      <c r="K838" s="4">
        <v>15.6343</v>
      </c>
      <c r="L838" s="4">
        <v>15.573399999999999</v>
      </c>
      <c r="M838" s="4">
        <f t="shared" si="53"/>
        <v>15.618166666666667</v>
      </c>
      <c r="P838" s="4" t="str">
        <f>"npp-15"</f>
        <v>npp-15</v>
      </c>
      <c r="Q838" s="4">
        <v>15.339404429335399</v>
      </c>
      <c r="R838" s="4">
        <v>15.2788379847067</v>
      </c>
      <c r="S838" s="4">
        <v>15.286095730321</v>
      </c>
      <c r="T838" s="4">
        <f t="shared" si="54"/>
        <v>15.301446048121035</v>
      </c>
      <c r="W838" s="4" t="str">
        <f>"hgap-2"</f>
        <v>hgap-2</v>
      </c>
      <c r="X838" s="4">
        <v>15.4002060017283</v>
      </c>
      <c r="Y838" s="4">
        <v>15.450775977523</v>
      </c>
      <c r="Z838" s="4">
        <v>15.290023607308401</v>
      </c>
      <c r="AA838" s="4">
        <f t="shared" si="55"/>
        <v>15.380335195519899</v>
      </c>
      <c r="AJ838" s="1" t="s">
        <v>979</v>
      </c>
      <c r="AK838" s="1"/>
      <c r="AO838" s="1"/>
    </row>
    <row r="839" spans="2:41" x14ac:dyDescent="0.2">
      <c r="B839" s="4" t="s">
        <v>3952</v>
      </c>
      <c r="C839" s="4">
        <v>15.4472</v>
      </c>
      <c r="D839" s="4">
        <v>15.9084</v>
      </c>
      <c r="E839" s="4">
        <v>15.358700000000001</v>
      </c>
      <c r="F839" s="4">
        <f t="shared" si="52"/>
        <v>15.571433333333333</v>
      </c>
      <c r="I839" s="4" t="s">
        <v>1696</v>
      </c>
      <c r="J839" s="4">
        <v>15.641500000000001</v>
      </c>
      <c r="K839" s="4">
        <v>15.466699999999999</v>
      </c>
      <c r="L839" s="4">
        <v>15.737500000000001</v>
      </c>
      <c r="M839" s="4">
        <f t="shared" si="53"/>
        <v>15.615233333333334</v>
      </c>
      <c r="P839" s="4" t="str">
        <f>"ZC434.8"</f>
        <v>ZC434.8</v>
      </c>
      <c r="Q839" s="4">
        <v>15.1597922156088</v>
      </c>
      <c r="R839" s="4">
        <v>15.2784616230369</v>
      </c>
      <c r="S839" s="4">
        <v>15.4586634569048</v>
      </c>
      <c r="T839" s="4">
        <f t="shared" si="54"/>
        <v>15.298972431850167</v>
      </c>
      <c r="W839" s="4" t="str">
        <f>"trap-3"</f>
        <v>trap-3</v>
      </c>
      <c r="X839" s="4">
        <v>15.614122318685499</v>
      </c>
      <c r="Y839" s="4">
        <v>15.1948094592387</v>
      </c>
      <c r="Z839" s="4">
        <v>15.3218190776472</v>
      </c>
      <c r="AA839" s="4">
        <f t="shared" si="55"/>
        <v>15.376916951857133</v>
      </c>
      <c r="AJ839" s="1" t="s">
        <v>139</v>
      </c>
      <c r="AK839" s="1"/>
      <c r="AO839" s="1"/>
    </row>
    <row r="840" spans="2:41" x14ac:dyDescent="0.2">
      <c r="B840" s="4" t="s">
        <v>2820</v>
      </c>
      <c r="C840" s="4">
        <v>15.6172</v>
      </c>
      <c r="D840" s="4">
        <v>15.3774</v>
      </c>
      <c r="E840" s="4">
        <v>15.7174</v>
      </c>
      <c r="F840" s="4">
        <f t="shared" si="52"/>
        <v>15.570666666666666</v>
      </c>
      <c r="I840" s="4" t="s">
        <v>1042</v>
      </c>
      <c r="J840" s="4">
        <v>15.7578</v>
      </c>
      <c r="K840" s="4">
        <v>15.561999999999999</v>
      </c>
      <c r="L840" s="4">
        <v>15.521599999999999</v>
      </c>
      <c r="M840" s="4">
        <f t="shared" si="53"/>
        <v>15.613799999999999</v>
      </c>
      <c r="P840" s="4" t="str">
        <f>"rbc-2"</f>
        <v>rbc-2</v>
      </c>
      <c r="Q840" s="4">
        <v>15.2131703293415</v>
      </c>
      <c r="R840" s="4">
        <v>15.343690290386199</v>
      </c>
      <c r="S840" s="4">
        <v>15.334048754902099</v>
      </c>
      <c r="T840" s="4">
        <f t="shared" si="54"/>
        <v>15.296969791543267</v>
      </c>
      <c r="W840" s="4" t="str">
        <f>"vps-29"</f>
        <v>vps-29</v>
      </c>
      <c r="X840" s="4">
        <v>15.5294809037514</v>
      </c>
      <c r="Y840" s="4">
        <v>15.3386666564226</v>
      </c>
      <c r="Z840" s="4">
        <v>15.255317021642</v>
      </c>
      <c r="AA840" s="4">
        <f t="shared" si="55"/>
        <v>15.374488193938667</v>
      </c>
      <c r="AJ840" s="1" t="s">
        <v>726</v>
      </c>
      <c r="AK840" s="1"/>
      <c r="AO840" s="1"/>
    </row>
    <row r="841" spans="2:41" x14ac:dyDescent="0.2">
      <c r="B841" s="4" t="s">
        <v>1933</v>
      </c>
      <c r="C841" s="4">
        <v>15.36</v>
      </c>
      <c r="D841" s="4">
        <v>15.335800000000001</v>
      </c>
      <c r="E841" s="4">
        <v>16.011700000000001</v>
      </c>
      <c r="F841" s="4">
        <f t="shared" si="52"/>
        <v>15.569166666666666</v>
      </c>
      <c r="I841" s="4" t="s">
        <v>1767</v>
      </c>
      <c r="J841" s="4">
        <v>15.602499999999999</v>
      </c>
      <c r="K841" s="4">
        <v>16.032599999999999</v>
      </c>
      <c r="L841" s="4">
        <v>15.205399999999999</v>
      </c>
      <c r="M841" s="4">
        <f t="shared" si="53"/>
        <v>15.6135</v>
      </c>
      <c r="P841" s="4" t="str">
        <f>"rpl-25.1"</f>
        <v>rpl-25.1</v>
      </c>
      <c r="Q841" s="4">
        <v>15.5431538709632</v>
      </c>
      <c r="R841" s="4">
        <v>15.0388755722742</v>
      </c>
      <c r="S841" s="4">
        <v>15.3078333007042</v>
      </c>
      <c r="T841" s="4">
        <f t="shared" si="54"/>
        <v>15.296620914647201</v>
      </c>
      <c r="W841" s="4" t="str">
        <f>"nuo-2"</f>
        <v>nuo-2</v>
      </c>
      <c r="X841" s="4">
        <v>15.275815175899</v>
      </c>
      <c r="Y841" s="4">
        <v>15.334789182183799</v>
      </c>
      <c r="Z841" s="4">
        <v>15.511376716651499</v>
      </c>
      <c r="AA841" s="4">
        <f t="shared" si="55"/>
        <v>15.3739936915781</v>
      </c>
      <c r="AJ841" s="1" t="s">
        <v>669</v>
      </c>
      <c r="AK841" s="1"/>
      <c r="AO841" s="1"/>
    </row>
    <row r="842" spans="2:41" x14ac:dyDescent="0.2">
      <c r="B842" s="4" t="s">
        <v>3490</v>
      </c>
      <c r="C842" s="4">
        <v>15.559900000000001</v>
      </c>
      <c r="D842" s="4">
        <v>15.533899999999999</v>
      </c>
      <c r="E842" s="4">
        <v>15.6127</v>
      </c>
      <c r="F842" s="4">
        <f t="shared" si="52"/>
        <v>15.568833333333336</v>
      </c>
      <c r="I842" s="4" t="s">
        <v>4646</v>
      </c>
      <c r="J842" s="4">
        <v>15.652100000000001</v>
      </c>
      <c r="K842" s="4">
        <v>15.356400000000001</v>
      </c>
      <c r="L842" s="4">
        <v>15.8161</v>
      </c>
      <c r="M842" s="4">
        <f t="shared" si="53"/>
        <v>15.608200000000002</v>
      </c>
      <c r="P842" s="4" t="str">
        <f>"imph-1"</f>
        <v>imph-1</v>
      </c>
      <c r="Q842" s="4">
        <v>15.2161168903922</v>
      </c>
      <c r="R842" s="4">
        <v>15.3454534479446</v>
      </c>
      <c r="S842" s="4">
        <v>15.327189033922799</v>
      </c>
      <c r="T842" s="4">
        <f t="shared" si="54"/>
        <v>15.296253124086533</v>
      </c>
      <c r="W842" s="4" t="str">
        <f>"dhs-25"</f>
        <v>dhs-25</v>
      </c>
      <c r="X842" s="4">
        <v>15.6849484640542</v>
      </c>
      <c r="Y842" s="4">
        <v>15.395628410473</v>
      </c>
      <c r="Z842" s="4">
        <v>15.0292398881687</v>
      </c>
      <c r="AA842" s="4">
        <f t="shared" si="55"/>
        <v>15.369938920898633</v>
      </c>
      <c r="AJ842" s="1" t="s">
        <v>736</v>
      </c>
      <c r="AK842" s="1"/>
      <c r="AO842" s="1"/>
    </row>
    <row r="843" spans="2:41" x14ac:dyDescent="0.2">
      <c r="B843" s="4" t="s">
        <v>3008</v>
      </c>
      <c r="C843" s="4">
        <v>15.4621</v>
      </c>
      <c r="D843" s="4">
        <v>15.5177</v>
      </c>
      <c r="E843" s="4">
        <v>15.7233</v>
      </c>
      <c r="F843" s="4">
        <f t="shared" si="52"/>
        <v>15.5677</v>
      </c>
      <c r="I843" s="4" t="s">
        <v>3871</v>
      </c>
      <c r="J843" s="4">
        <v>15.832599999999999</v>
      </c>
      <c r="K843" s="4">
        <v>15.5976</v>
      </c>
      <c r="L843" s="4">
        <v>15.391500000000001</v>
      </c>
      <c r="M843" s="4">
        <f t="shared" si="53"/>
        <v>15.607233333333333</v>
      </c>
      <c r="P843" s="4" t="str">
        <f>"sec-10"</f>
        <v>sec-10</v>
      </c>
      <c r="Q843" s="4">
        <v>15.4628758190093</v>
      </c>
      <c r="R843" s="4">
        <v>15.2784424981137</v>
      </c>
      <c r="S843" s="4">
        <v>15.1464982311669</v>
      </c>
      <c r="T843" s="4">
        <f t="shared" si="54"/>
        <v>15.295938849429966</v>
      </c>
      <c r="W843" s="4" t="str">
        <f>"tep-1"</f>
        <v>tep-1</v>
      </c>
      <c r="X843" s="4">
        <v>15.6485596399584</v>
      </c>
      <c r="Y843" s="4">
        <v>15.4985054767152</v>
      </c>
      <c r="Z843" s="4">
        <v>14.9496594370571</v>
      </c>
      <c r="AA843" s="4">
        <f t="shared" si="55"/>
        <v>15.365574851243567</v>
      </c>
      <c r="AK843" s="1"/>
    </row>
    <row r="844" spans="2:41" x14ac:dyDescent="0.2">
      <c r="B844" s="4" t="s">
        <v>695</v>
      </c>
      <c r="C844" s="4">
        <v>15.1531</v>
      </c>
      <c r="D844" s="4">
        <v>15.9316</v>
      </c>
      <c r="E844" s="4">
        <v>15.614800000000001</v>
      </c>
      <c r="F844" s="4">
        <f t="shared" si="52"/>
        <v>15.5665</v>
      </c>
      <c r="I844" s="4" t="s">
        <v>3561</v>
      </c>
      <c r="J844" s="4">
        <v>15.6675</v>
      </c>
      <c r="K844" s="4">
        <v>15.464499999999999</v>
      </c>
      <c r="L844" s="4">
        <v>15.688800000000001</v>
      </c>
      <c r="M844" s="4">
        <f t="shared" si="53"/>
        <v>15.606933333333332</v>
      </c>
      <c r="P844" s="4" t="str">
        <f>"fln-2"</f>
        <v>fln-2</v>
      </c>
      <c r="Q844" s="4">
        <v>15.633633193470899</v>
      </c>
      <c r="R844" s="4">
        <v>15.015688293647999</v>
      </c>
      <c r="S844" s="4">
        <v>15.2355660084928</v>
      </c>
      <c r="T844" s="4">
        <f t="shared" si="54"/>
        <v>15.294962498537231</v>
      </c>
      <c r="W844" s="4" t="str">
        <f>"nsun-4"</f>
        <v>nsun-4</v>
      </c>
      <c r="X844" s="4">
        <v>15.2381709275459</v>
      </c>
      <c r="Y844" s="4">
        <v>15.410938169216401</v>
      </c>
      <c r="Z844" s="4">
        <v>15.446558670079201</v>
      </c>
      <c r="AA844" s="4">
        <f t="shared" si="55"/>
        <v>15.365222588947168</v>
      </c>
      <c r="AK844" s="1"/>
    </row>
    <row r="845" spans="2:41" x14ac:dyDescent="0.2">
      <c r="B845" s="4" t="s">
        <v>596</v>
      </c>
      <c r="C845" s="4">
        <v>15.536099999999999</v>
      </c>
      <c r="D845" s="4">
        <v>15.894</v>
      </c>
      <c r="E845" s="4">
        <v>15.260999999999999</v>
      </c>
      <c r="F845" s="4">
        <f t="shared" si="52"/>
        <v>15.563699999999999</v>
      </c>
      <c r="I845" s="4" t="s">
        <v>2108</v>
      </c>
      <c r="J845" s="4">
        <v>15.749599999999999</v>
      </c>
      <c r="K845" s="4">
        <v>15.568</v>
      </c>
      <c r="L845" s="4">
        <v>15.5015</v>
      </c>
      <c r="M845" s="4">
        <f t="shared" si="53"/>
        <v>15.606366666666666</v>
      </c>
      <c r="P845" s="4" t="str">
        <f>"pgl-1"</f>
        <v>pgl-1</v>
      </c>
      <c r="Q845" s="4">
        <v>15.229780628759499</v>
      </c>
      <c r="R845" s="4">
        <v>15.3698302677393</v>
      </c>
      <c r="S845" s="4">
        <v>15.271017176167801</v>
      </c>
      <c r="T845" s="4">
        <f t="shared" si="54"/>
        <v>15.290209357555533</v>
      </c>
      <c r="W845" s="4" t="str">
        <f>"agef-1"</f>
        <v>agef-1</v>
      </c>
      <c r="X845" s="4">
        <v>15.2785395563438</v>
      </c>
      <c r="Y845" s="4">
        <v>15.496504081516999</v>
      </c>
      <c r="Z845" s="4">
        <v>15.3104898415737</v>
      </c>
      <c r="AA845" s="4">
        <f t="shared" si="55"/>
        <v>15.361844493144831</v>
      </c>
      <c r="AK845" s="1"/>
    </row>
    <row r="846" spans="2:41" x14ac:dyDescent="0.2">
      <c r="B846" s="4" t="s">
        <v>2267</v>
      </c>
      <c r="C846" s="4">
        <v>15.503500000000001</v>
      </c>
      <c r="D846" s="4">
        <v>15.413</v>
      </c>
      <c r="E846" s="4">
        <v>15.772</v>
      </c>
      <c r="F846" s="4">
        <f t="shared" si="52"/>
        <v>15.562833333333332</v>
      </c>
      <c r="I846" s="4" t="s">
        <v>2485</v>
      </c>
      <c r="J846" s="4">
        <v>15.747199999999999</v>
      </c>
      <c r="K846" s="4">
        <v>15.661199999999999</v>
      </c>
      <c r="L846" s="4">
        <v>15.4061</v>
      </c>
      <c r="M846" s="4">
        <f t="shared" si="53"/>
        <v>15.604833333333334</v>
      </c>
      <c r="P846" s="4" t="str">
        <f>"xpo-3"</f>
        <v>xpo-3</v>
      </c>
      <c r="Q846" s="4">
        <v>15.2526747844667</v>
      </c>
      <c r="R846" s="4">
        <v>15.378152592541699</v>
      </c>
      <c r="S846" s="4">
        <v>15.229058611940699</v>
      </c>
      <c r="T846" s="4">
        <f t="shared" si="54"/>
        <v>15.286628662983034</v>
      </c>
      <c r="W846" s="4" t="str">
        <f>"clp-1"</f>
        <v>clp-1</v>
      </c>
      <c r="X846" s="4">
        <v>15.2283332088648</v>
      </c>
      <c r="Y846" s="4">
        <v>15.377292899531801</v>
      </c>
      <c r="Z846" s="4">
        <v>15.479234486022399</v>
      </c>
      <c r="AA846" s="4">
        <f t="shared" si="55"/>
        <v>15.361620198139667</v>
      </c>
      <c r="AK846" s="1"/>
    </row>
    <row r="847" spans="2:41" x14ac:dyDescent="0.2">
      <c r="B847" s="4" t="s">
        <v>3978</v>
      </c>
      <c r="C847" s="4">
        <v>15.535500000000001</v>
      </c>
      <c r="D847" s="4">
        <v>15.249499999999999</v>
      </c>
      <c r="E847" s="4">
        <v>15.9026</v>
      </c>
      <c r="F847" s="4">
        <f t="shared" si="52"/>
        <v>15.562533333333334</v>
      </c>
      <c r="I847" s="4" t="s">
        <v>2615</v>
      </c>
      <c r="J847" s="4">
        <v>15.631</v>
      </c>
      <c r="K847" s="4">
        <v>15.722899999999999</v>
      </c>
      <c r="L847" s="4">
        <v>15.456799999999999</v>
      </c>
      <c r="M847" s="4">
        <f t="shared" si="53"/>
        <v>15.603566666666666</v>
      </c>
      <c r="P847" s="4" t="str">
        <f>"msp-78"</f>
        <v>msp-78</v>
      </c>
      <c r="Q847" s="4">
        <v>15.0732872416632</v>
      </c>
      <c r="R847" s="4">
        <v>15.3944491616082</v>
      </c>
      <c r="S847" s="4">
        <v>15.391629322711101</v>
      </c>
      <c r="T847" s="4">
        <f t="shared" si="54"/>
        <v>15.286455241994167</v>
      </c>
      <c r="W847" s="4" t="str">
        <f>"acs-5"</f>
        <v>acs-5</v>
      </c>
      <c r="X847" s="4">
        <v>15.452380970006899</v>
      </c>
      <c r="Y847" s="4">
        <v>15.225691327577101</v>
      </c>
      <c r="Z847" s="4">
        <v>15.402540770771701</v>
      </c>
      <c r="AA847" s="4">
        <f t="shared" si="55"/>
        <v>15.360204356118567</v>
      </c>
      <c r="AK847" s="1"/>
    </row>
    <row r="848" spans="2:41" x14ac:dyDescent="0.2">
      <c r="B848" s="4" t="s">
        <v>3999</v>
      </c>
      <c r="C848" s="4">
        <v>15.280200000000001</v>
      </c>
      <c r="D848" s="4">
        <v>16.152799999999999</v>
      </c>
      <c r="E848" s="4">
        <v>15.2331</v>
      </c>
      <c r="F848" s="4">
        <f t="shared" si="52"/>
        <v>15.555366666666666</v>
      </c>
      <c r="I848" s="4" t="s">
        <v>12</v>
      </c>
      <c r="J848" s="4">
        <v>15.5908</v>
      </c>
      <c r="K848" s="4">
        <v>15.8918</v>
      </c>
      <c r="L848" s="4">
        <v>15.3263</v>
      </c>
      <c r="M848" s="4">
        <f t="shared" si="53"/>
        <v>15.602966666666665</v>
      </c>
      <c r="P848" s="4" t="str">
        <f>"srdh-1"</f>
        <v>srdh-1</v>
      </c>
      <c r="Q848" s="4">
        <v>15.3798797967405</v>
      </c>
      <c r="R848" s="4">
        <v>15.1710866070365</v>
      </c>
      <c r="S848" s="4">
        <v>15.2890943225922</v>
      </c>
      <c r="T848" s="4">
        <f t="shared" si="54"/>
        <v>15.280020242123067</v>
      </c>
      <c r="W848" s="4" t="str">
        <f>"M106.3"</f>
        <v>M106.3</v>
      </c>
      <c r="X848" s="4">
        <v>15.338775448505199</v>
      </c>
      <c r="Y848" s="4">
        <v>15.324921726176401</v>
      </c>
      <c r="Z848" s="4">
        <v>15.4169155845054</v>
      </c>
      <c r="AA848" s="4">
        <f t="shared" si="55"/>
        <v>15.360204253062335</v>
      </c>
      <c r="AK848" s="1"/>
    </row>
    <row r="849" spans="2:27" x14ac:dyDescent="0.2">
      <c r="B849" s="4" t="s">
        <v>2802</v>
      </c>
      <c r="C849" s="4">
        <v>15.696099999999999</v>
      </c>
      <c r="D849" s="4">
        <v>15.1694</v>
      </c>
      <c r="E849" s="4">
        <v>15.7911</v>
      </c>
      <c r="F849" s="4">
        <f t="shared" si="52"/>
        <v>15.552199999999999</v>
      </c>
      <c r="I849" s="4" t="s">
        <v>1433</v>
      </c>
      <c r="J849" s="4">
        <v>15.973100000000001</v>
      </c>
      <c r="K849" s="4">
        <v>15.2822</v>
      </c>
      <c r="L849" s="4">
        <v>15.548999999999999</v>
      </c>
      <c r="M849" s="4">
        <f t="shared" si="53"/>
        <v>15.601433333333333</v>
      </c>
      <c r="P849" s="4" t="str">
        <f>"dli-1"</f>
        <v>dli-1</v>
      </c>
      <c r="Q849" s="4">
        <v>15.2840899809179</v>
      </c>
      <c r="R849" s="4">
        <v>15.206618749461001</v>
      </c>
      <c r="S849" s="4">
        <v>15.349027911975901</v>
      </c>
      <c r="T849" s="4">
        <f t="shared" si="54"/>
        <v>15.279912214118267</v>
      </c>
      <c r="W849" s="4" t="str">
        <f>"vacl-14"</f>
        <v>vacl-14</v>
      </c>
      <c r="X849" s="4">
        <v>15.482730148998201</v>
      </c>
      <c r="Y849" s="4">
        <v>15.358864900750699</v>
      </c>
      <c r="Z849" s="4">
        <v>15.2267517932126</v>
      </c>
      <c r="AA849" s="4">
        <f t="shared" si="55"/>
        <v>15.356115614320501</v>
      </c>
    </row>
    <row r="850" spans="2:27" x14ac:dyDescent="0.2">
      <c r="B850" s="4" t="s">
        <v>2769</v>
      </c>
      <c r="C850" s="4">
        <v>15.2834</v>
      </c>
      <c r="D850" s="4">
        <v>15.7949</v>
      </c>
      <c r="E850" s="4">
        <v>15.5701</v>
      </c>
      <c r="F850" s="4">
        <f t="shared" si="52"/>
        <v>15.549466666666666</v>
      </c>
      <c r="I850" s="4" t="s">
        <v>3103</v>
      </c>
      <c r="J850" s="4">
        <v>15.462899999999999</v>
      </c>
      <c r="K850" s="4">
        <v>15.8629</v>
      </c>
      <c r="L850" s="4">
        <v>15.4701</v>
      </c>
      <c r="M850" s="4">
        <f t="shared" si="53"/>
        <v>15.598633333333334</v>
      </c>
      <c r="P850" s="4" t="str">
        <f>"R05D11.9"</f>
        <v>R05D11.9</v>
      </c>
      <c r="Q850" s="4">
        <v>15.287465424966101</v>
      </c>
      <c r="R850" s="4">
        <v>15.250194954581399</v>
      </c>
      <c r="S850" s="4">
        <v>15.289799741071199</v>
      </c>
      <c r="T850" s="4">
        <f t="shared" si="54"/>
        <v>15.275820040206233</v>
      </c>
      <c r="W850" s="4" t="str">
        <f>"nifk-1"</f>
        <v>nifk-1</v>
      </c>
      <c r="X850" s="4">
        <v>15.2901727837052</v>
      </c>
      <c r="Y850" s="4">
        <v>15.3800347882566</v>
      </c>
      <c r="Z850" s="4">
        <v>15.394166806641699</v>
      </c>
      <c r="AA850" s="4">
        <f t="shared" si="55"/>
        <v>15.354791459534502</v>
      </c>
    </row>
    <row r="851" spans="2:27" x14ac:dyDescent="0.2">
      <c r="B851" s="4" t="s">
        <v>1347</v>
      </c>
      <c r="C851" s="4">
        <v>15.634499999999999</v>
      </c>
      <c r="D851" s="4">
        <v>15.598699999999999</v>
      </c>
      <c r="E851" s="4">
        <v>15.4147</v>
      </c>
      <c r="F851" s="4">
        <f t="shared" si="52"/>
        <v>15.549299999999997</v>
      </c>
      <c r="I851" s="4" t="s">
        <v>3625</v>
      </c>
      <c r="J851" s="4">
        <v>15.635199999999999</v>
      </c>
      <c r="K851" s="4">
        <v>15.401300000000001</v>
      </c>
      <c r="L851" s="4">
        <v>15.756500000000001</v>
      </c>
      <c r="M851" s="4">
        <f t="shared" si="53"/>
        <v>15.597666666666667</v>
      </c>
      <c r="P851" s="4" t="str">
        <f>"Y49E10.29"</f>
        <v>Y49E10.29</v>
      </c>
      <c r="Q851" s="4">
        <v>15.332312632175499</v>
      </c>
      <c r="R851" s="4">
        <v>15.369479089755499</v>
      </c>
      <c r="S851" s="4">
        <v>15.118303604992199</v>
      </c>
      <c r="T851" s="4">
        <f t="shared" si="54"/>
        <v>15.273365108974398</v>
      </c>
      <c r="W851" s="4" t="str">
        <f>"ppm-1.G"</f>
        <v>ppm-1.G</v>
      </c>
      <c r="X851" s="4">
        <v>15.183484694390399</v>
      </c>
      <c r="Y851" s="4">
        <v>15.422118135204199</v>
      </c>
      <c r="Z851" s="4">
        <v>15.4454782348314</v>
      </c>
      <c r="AA851" s="4">
        <f t="shared" si="55"/>
        <v>15.350360354808666</v>
      </c>
    </row>
    <row r="852" spans="2:27" x14ac:dyDescent="0.2">
      <c r="B852" s="4" t="s">
        <v>1712</v>
      </c>
      <c r="C852" s="4">
        <v>15.6076</v>
      </c>
      <c r="D852" s="4">
        <v>15.226100000000001</v>
      </c>
      <c r="E852" s="4">
        <v>15.8066</v>
      </c>
      <c r="F852" s="4">
        <f t="shared" si="52"/>
        <v>15.546766666666665</v>
      </c>
      <c r="I852" s="4" t="s">
        <v>1237</v>
      </c>
      <c r="J852" s="4">
        <v>15.7393</v>
      </c>
      <c r="K852" s="4">
        <v>16.039300000000001</v>
      </c>
      <c r="L852" s="4">
        <v>14.9978</v>
      </c>
      <c r="M852" s="4">
        <f t="shared" si="53"/>
        <v>15.592133333333335</v>
      </c>
      <c r="P852" s="4" t="str">
        <f>"cope-1"</f>
        <v>cope-1</v>
      </c>
      <c r="Q852" s="4">
        <v>15.1892077983427</v>
      </c>
      <c r="R852" s="4">
        <v>15.3964974807927</v>
      </c>
      <c r="S852" s="4">
        <v>15.2272918171809</v>
      </c>
      <c r="T852" s="4">
        <f t="shared" si="54"/>
        <v>15.270999032105435</v>
      </c>
      <c r="W852" s="4" t="str">
        <f>"kcc-1"</f>
        <v>kcc-1</v>
      </c>
      <c r="X852" s="4">
        <v>15.703874436795299</v>
      </c>
      <c r="Y852" s="4">
        <v>15.2217749032325</v>
      </c>
      <c r="Z852" s="4">
        <v>15.111676517668799</v>
      </c>
      <c r="AA852" s="4">
        <f t="shared" si="55"/>
        <v>15.345775285898867</v>
      </c>
    </row>
    <row r="853" spans="2:27" x14ac:dyDescent="0.2">
      <c r="B853" s="4" t="s">
        <v>2169</v>
      </c>
      <c r="C853" s="4">
        <v>15.5998</v>
      </c>
      <c r="D853" s="4">
        <v>15.325900000000001</v>
      </c>
      <c r="E853" s="4">
        <v>15.713699999999999</v>
      </c>
      <c r="F853" s="4">
        <f t="shared" si="52"/>
        <v>15.546466666666666</v>
      </c>
      <c r="I853" s="4" t="s">
        <v>3655</v>
      </c>
      <c r="J853" s="4">
        <v>15.7363</v>
      </c>
      <c r="K853" s="4">
        <v>15.574400000000001</v>
      </c>
      <c r="L853" s="4">
        <v>15.456</v>
      </c>
      <c r="M853" s="4">
        <f t="shared" si="53"/>
        <v>15.588900000000001</v>
      </c>
      <c r="P853" s="4" t="str">
        <f>"hpo-27"</f>
        <v>hpo-27</v>
      </c>
      <c r="Q853" s="4">
        <v>15.160114262599601</v>
      </c>
      <c r="R853" s="4">
        <v>15.3777043425968</v>
      </c>
      <c r="S853" s="4">
        <v>15.2725996816337</v>
      </c>
      <c r="T853" s="4">
        <f t="shared" si="54"/>
        <v>15.270139428943367</v>
      </c>
      <c r="W853" s="4" t="str">
        <f>"ZK1128.1"</f>
        <v>ZK1128.1</v>
      </c>
      <c r="X853" s="4">
        <v>15.305158967098199</v>
      </c>
      <c r="Y853" s="4">
        <v>15.3578562492615</v>
      </c>
      <c r="Z853" s="4">
        <v>15.3657275573473</v>
      </c>
      <c r="AA853" s="4">
        <f t="shared" si="55"/>
        <v>15.342914257902335</v>
      </c>
    </row>
    <row r="854" spans="2:27" x14ac:dyDescent="0.2">
      <c r="B854" s="4" t="s">
        <v>4647</v>
      </c>
      <c r="C854" s="4">
        <v>15.340299999999999</v>
      </c>
      <c r="D854" s="4">
        <v>15.8202</v>
      </c>
      <c r="E854" s="4">
        <v>15.478</v>
      </c>
      <c r="F854" s="4">
        <f t="shared" si="52"/>
        <v>15.546166666666666</v>
      </c>
      <c r="I854" s="4" t="s">
        <v>509</v>
      </c>
      <c r="J854" s="4">
        <v>15.6488</v>
      </c>
      <c r="K854" s="4">
        <v>15.7347</v>
      </c>
      <c r="L854" s="4">
        <v>15.382899999999999</v>
      </c>
      <c r="M854" s="4">
        <f t="shared" si="53"/>
        <v>15.588799999999999</v>
      </c>
      <c r="P854" s="4" t="str">
        <f>"mtk-1"</f>
        <v>mtk-1</v>
      </c>
      <c r="Q854" s="4">
        <v>15.4056044259806</v>
      </c>
      <c r="R854" s="4">
        <v>15.2334785018292</v>
      </c>
      <c r="S854" s="4">
        <v>15.147460309814701</v>
      </c>
      <c r="T854" s="4">
        <f t="shared" si="54"/>
        <v>15.262181079208167</v>
      </c>
      <c r="W854" s="4" t="str">
        <f>"acs-7"</f>
        <v>acs-7</v>
      </c>
      <c r="X854" s="4">
        <v>15.2975967521988</v>
      </c>
      <c r="Y854" s="4">
        <v>15.3468409414912</v>
      </c>
      <c r="Z854" s="4">
        <v>15.383578601728599</v>
      </c>
      <c r="AA854" s="4">
        <f t="shared" si="55"/>
        <v>15.342672098472868</v>
      </c>
    </row>
    <row r="855" spans="2:27" x14ac:dyDescent="0.2">
      <c r="B855" s="4" t="s">
        <v>859</v>
      </c>
      <c r="C855" s="4">
        <v>15.7049</v>
      </c>
      <c r="D855" s="4">
        <v>15.0113</v>
      </c>
      <c r="E855" s="4">
        <v>15.9207</v>
      </c>
      <c r="F855" s="4">
        <f t="shared" si="52"/>
        <v>15.545633333333333</v>
      </c>
      <c r="I855" s="4" t="s">
        <v>3541</v>
      </c>
      <c r="J855" s="4">
        <v>15.683299999999999</v>
      </c>
      <c r="K855" s="4">
        <v>15.2004</v>
      </c>
      <c r="L855" s="4">
        <v>15.8598</v>
      </c>
      <c r="M855" s="4">
        <f t="shared" si="53"/>
        <v>15.581166666666666</v>
      </c>
      <c r="P855" s="4" t="str">
        <f>"ZK813.3"</f>
        <v>ZK813.3</v>
      </c>
      <c r="Q855" s="4">
        <v>14.753457591978499</v>
      </c>
      <c r="R855" s="4">
        <v>15.2426316600666</v>
      </c>
      <c r="S855" s="4">
        <v>15.7892128637219</v>
      </c>
      <c r="T855" s="4">
        <f t="shared" si="54"/>
        <v>15.261767371922332</v>
      </c>
      <c r="W855" s="4" t="str">
        <f>"ZK1320.9"</f>
        <v>ZK1320.9</v>
      </c>
      <c r="X855" s="4">
        <v>15.1302675131939</v>
      </c>
      <c r="Y855" s="4">
        <v>15.3364588465369</v>
      </c>
      <c r="Z855" s="4">
        <v>15.5547918051236</v>
      </c>
      <c r="AA855" s="4">
        <f t="shared" si="55"/>
        <v>15.340506054951467</v>
      </c>
    </row>
    <row r="856" spans="2:27" x14ac:dyDescent="0.2">
      <c r="B856" s="4" t="s">
        <v>3072</v>
      </c>
      <c r="C856" s="4">
        <v>15.6525</v>
      </c>
      <c r="D856" s="4">
        <v>15.5725</v>
      </c>
      <c r="E856" s="4">
        <v>15.398199999999999</v>
      </c>
      <c r="F856" s="4">
        <f t="shared" si="52"/>
        <v>15.541066666666666</v>
      </c>
      <c r="I856" s="4" t="s">
        <v>1881</v>
      </c>
      <c r="J856" s="4">
        <v>15.6999</v>
      </c>
      <c r="K856" s="4">
        <v>15.541700000000001</v>
      </c>
      <c r="L856" s="4">
        <v>15.4992</v>
      </c>
      <c r="M856" s="4">
        <f t="shared" si="53"/>
        <v>15.580266666666667</v>
      </c>
      <c r="P856" s="4" t="str">
        <f>"F23B12.7"</f>
        <v>F23B12.7</v>
      </c>
      <c r="Q856" s="4">
        <v>15.067216130522</v>
      </c>
      <c r="R856" s="4">
        <v>15.589051764085299</v>
      </c>
      <c r="S856" s="4">
        <v>15.1280269628457</v>
      </c>
      <c r="T856" s="4">
        <f t="shared" si="54"/>
        <v>15.261431619150999</v>
      </c>
      <c r="W856" s="4" t="str">
        <f>"anc-1"</f>
        <v>anc-1</v>
      </c>
      <c r="X856" s="4">
        <v>15.467864806958</v>
      </c>
      <c r="Y856" s="4">
        <v>15.128922380883401</v>
      </c>
      <c r="Z856" s="4">
        <v>15.420723909295001</v>
      </c>
      <c r="AA856" s="4">
        <f t="shared" si="55"/>
        <v>15.339170365712134</v>
      </c>
    </row>
    <row r="857" spans="2:27" x14ac:dyDescent="0.2">
      <c r="B857" s="4" t="s">
        <v>3329</v>
      </c>
      <c r="C857" s="4">
        <v>15.452199999999999</v>
      </c>
      <c r="D857" s="4">
        <v>15.674200000000001</v>
      </c>
      <c r="E857" s="4">
        <v>15.496700000000001</v>
      </c>
      <c r="F857" s="4">
        <f t="shared" si="52"/>
        <v>15.541033333333333</v>
      </c>
      <c r="I857" s="4" t="s">
        <v>387</v>
      </c>
      <c r="J857" s="4">
        <v>15.175700000000001</v>
      </c>
      <c r="K857" s="4">
        <v>15.2576</v>
      </c>
      <c r="L857" s="4">
        <v>16.301500000000001</v>
      </c>
      <c r="M857" s="4">
        <f t="shared" si="53"/>
        <v>15.57826666666667</v>
      </c>
      <c r="P857" s="4" t="str">
        <f>"drh-3"</f>
        <v>drh-3</v>
      </c>
      <c r="Q857" s="4">
        <v>15.266030932228601</v>
      </c>
      <c r="R857" s="4">
        <v>15.2945884951676</v>
      </c>
      <c r="S857" s="4">
        <v>15.222431082443499</v>
      </c>
      <c r="T857" s="4">
        <f t="shared" si="54"/>
        <v>15.261016836613232</v>
      </c>
      <c r="W857" s="4" t="str">
        <f>"miga-1"</f>
        <v>miga-1</v>
      </c>
      <c r="X857" s="4">
        <v>15.2124382067143</v>
      </c>
      <c r="Y857" s="4">
        <v>15.4083497132868</v>
      </c>
      <c r="Z857" s="4">
        <v>15.389699364900601</v>
      </c>
      <c r="AA857" s="4">
        <f t="shared" si="55"/>
        <v>15.336829094967234</v>
      </c>
    </row>
    <row r="858" spans="2:27" x14ac:dyDescent="0.2">
      <c r="B858" s="4" t="s">
        <v>4648</v>
      </c>
      <c r="C858" s="4">
        <v>16.076599999999999</v>
      </c>
      <c r="D858" s="4">
        <v>16.100100000000001</v>
      </c>
      <c r="E858" s="4">
        <v>14.4392</v>
      </c>
      <c r="F858" s="4">
        <f t="shared" si="52"/>
        <v>15.538633333333332</v>
      </c>
      <c r="I858" s="4" t="s">
        <v>2234</v>
      </c>
      <c r="J858" s="4">
        <v>15.669700000000001</v>
      </c>
      <c r="K858" s="4">
        <v>15.482699999999999</v>
      </c>
      <c r="L858" s="4">
        <v>15.5642</v>
      </c>
      <c r="M858" s="4">
        <f t="shared" si="53"/>
        <v>15.5722</v>
      </c>
      <c r="P858" s="4" t="str">
        <f>"B0511.6"</f>
        <v>B0511.6</v>
      </c>
      <c r="Q858" s="4">
        <v>15.202110336150101</v>
      </c>
      <c r="R858" s="4">
        <v>15.3549483425091</v>
      </c>
      <c r="S858" s="4">
        <v>15.2204002332571</v>
      </c>
      <c r="T858" s="4">
        <f t="shared" si="54"/>
        <v>15.259152970638768</v>
      </c>
      <c r="W858" s="4" t="str">
        <f>"mrpl-44"</f>
        <v>mrpl-44</v>
      </c>
      <c r="X858" s="4">
        <v>15.0017027002022</v>
      </c>
      <c r="Y858" s="4">
        <v>15.4491939979401</v>
      </c>
      <c r="Z858" s="4">
        <v>15.555450042607101</v>
      </c>
      <c r="AA858" s="4">
        <f t="shared" si="55"/>
        <v>15.335448913583134</v>
      </c>
    </row>
    <row r="859" spans="2:27" x14ac:dyDescent="0.2">
      <c r="B859" s="4" t="s">
        <v>2503</v>
      </c>
      <c r="C859" s="4">
        <v>15.6553</v>
      </c>
      <c r="D859" s="4">
        <v>15.3917</v>
      </c>
      <c r="E859" s="4">
        <v>15.564</v>
      </c>
      <c r="F859" s="4">
        <f t="shared" si="52"/>
        <v>15.537000000000001</v>
      </c>
      <c r="I859" s="4" t="s">
        <v>2541</v>
      </c>
      <c r="J859" s="4">
        <v>15.879300000000001</v>
      </c>
      <c r="K859" s="4">
        <v>15.8055</v>
      </c>
      <c r="L859" s="4">
        <v>15.0181</v>
      </c>
      <c r="M859" s="4">
        <f t="shared" si="53"/>
        <v>15.567633333333333</v>
      </c>
      <c r="P859" s="4" t="str">
        <f>"csn-4"</f>
        <v>csn-4</v>
      </c>
      <c r="Q859" s="4">
        <v>15.2153584978408</v>
      </c>
      <c r="R859" s="4">
        <v>15.3083374688139</v>
      </c>
      <c r="S859" s="4">
        <v>15.248934098569601</v>
      </c>
      <c r="T859" s="4">
        <f t="shared" si="54"/>
        <v>15.257543355074766</v>
      </c>
      <c r="W859" s="4" t="str">
        <f>"nfs-1"</f>
        <v>nfs-1</v>
      </c>
      <c r="X859" s="4">
        <v>15.272716471179599</v>
      </c>
      <c r="Y859" s="4">
        <v>15.282709652452599</v>
      </c>
      <c r="Z859" s="4">
        <v>15.4501037033189</v>
      </c>
      <c r="AA859" s="4">
        <f t="shared" si="55"/>
        <v>15.3351766089837</v>
      </c>
    </row>
    <row r="860" spans="2:27" x14ac:dyDescent="0.2">
      <c r="B860" s="4" t="s">
        <v>783</v>
      </c>
      <c r="C860" s="4">
        <v>15.584</v>
      </c>
      <c r="D860" s="4">
        <v>15.4185</v>
      </c>
      <c r="E860" s="4">
        <v>15.604699999999999</v>
      </c>
      <c r="F860" s="4">
        <f t="shared" si="52"/>
        <v>15.535733333333333</v>
      </c>
      <c r="I860" s="4" t="s">
        <v>2219</v>
      </c>
      <c r="J860" s="4">
        <v>15.777900000000001</v>
      </c>
      <c r="K860" s="4">
        <v>15.6404</v>
      </c>
      <c r="L860" s="4">
        <v>15.2789</v>
      </c>
      <c r="M860" s="4">
        <f t="shared" si="53"/>
        <v>15.565733333333334</v>
      </c>
      <c r="P860" s="4" t="str">
        <f>"acs-22"</f>
        <v>acs-22</v>
      </c>
      <c r="Q860" s="4">
        <v>14.994781925536399</v>
      </c>
      <c r="R860" s="4">
        <v>15.3425968071674</v>
      </c>
      <c r="S860" s="4">
        <v>15.4349236271155</v>
      </c>
      <c r="T860" s="4">
        <f t="shared" si="54"/>
        <v>15.257434119939767</v>
      </c>
      <c r="W860" s="4" t="str">
        <f>"imb-1"</f>
        <v>imb-1</v>
      </c>
      <c r="X860" s="4">
        <v>15.559945948724399</v>
      </c>
      <c r="Y860" s="4">
        <v>15.241084618213099</v>
      </c>
      <c r="Z860" s="4">
        <v>15.198876337522799</v>
      </c>
      <c r="AA860" s="4">
        <f t="shared" si="55"/>
        <v>15.333302301486766</v>
      </c>
    </row>
    <row r="861" spans="2:27" x14ac:dyDescent="0.2">
      <c r="B861" s="4" t="s">
        <v>708</v>
      </c>
      <c r="C861" s="4">
        <v>15.382</v>
      </c>
      <c r="D861" s="4">
        <v>15.8652</v>
      </c>
      <c r="E861" s="4">
        <v>15.3444</v>
      </c>
      <c r="F861" s="4">
        <f t="shared" si="52"/>
        <v>15.530533333333333</v>
      </c>
      <c r="I861" s="4" t="s">
        <v>3844</v>
      </c>
      <c r="J861" s="4">
        <v>16.043399999999998</v>
      </c>
      <c r="K861" s="4">
        <v>15.6089</v>
      </c>
      <c r="L861" s="4">
        <v>15.043699999999999</v>
      </c>
      <c r="M861" s="4">
        <f t="shared" si="53"/>
        <v>15.565333333333333</v>
      </c>
      <c r="P861" s="4" t="str">
        <f>"mca-1"</f>
        <v>mca-1</v>
      </c>
      <c r="Q861" s="4">
        <v>15.099370087701301</v>
      </c>
      <c r="R861" s="4">
        <v>15.196460758632201</v>
      </c>
      <c r="S861" s="4">
        <v>15.471543523040999</v>
      </c>
      <c r="T861" s="4">
        <f t="shared" si="54"/>
        <v>15.255791456458168</v>
      </c>
      <c r="W861" s="4" t="str">
        <f>"algn-11"</f>
        <v>algn-11</v>
      </c>
      <c r="X861" s="4">
        <v>15.2664362218849</v>
      </c>
      <c r="Y861" s="4">
        <v>15.458241490578301</v>
      </c>
      <c r="Z861" s="4">
        <v>15.272453383000901</v>
      </c>
      <c r="AA861" s="4">
        <f t="shared" si="55"/>
        <v>15.332377031821366</v>
      </c>
    </row>
    <row r="862" spans="2:27" x14ac:dyDescent="0.2">
      <c r="B862" s="4" t="s">
        <v>1692</v>
      </c>
      <c r="C862" s="4">
        <v>15.5084</v>
      </c>
      <c r="D862" s="4">
        <v>15.5708</v>
      </c>
      <c r="E862" s="4">
        <v>15.487299999999999</v>
      </c>
      <c r="F862" s="4">
        <f t="shared" si="52"/>
        <v>15.522166666666665</v>
      </c>
      <c r="I862" s="4" t="s">
        <v>921</v>
      </c>
      <c r="J862" s="4">
        <v>15.2979</v>
      </c>
      <c r="K862" s="4">
        <v>15.5444</v>
      </c>
      <c r="L862" s="4">
        <v>15.848699999999999</v>
      </c>
      <c r="M862" s="4">
        <f t="shared" si="53"/>
        <v>15.563666666666668</v>
      </c>
      <c r="P862" s="4" t="str">
        <f>"ifa-4"</f>
        <v>ifa-4</v>
      </c>
      <c r="Q862" s="4">
        <v>15.4516533173776</v>
      </c>
      <c r="R862" s="4">
        <v>14.851046435171099</v>
      </c>
      <c r="S862" s="4">
        <v>15.453576114543701</v>
      </c>
      <c r="T862" s="4">
        <f t="shared" si="54"/>
        <v>15.252091955697466</v>
      </c>
      <c r="W862" s="4" t="str">
        <f>"tba-8"</f>
        <v>tba-8</v>
      </c>
      <c r="X862" s="4">
        <v>15.236560284156599</v>
      </c>
      <c r="Y862" s="4">
        <v>15.248395646165999</v>
      </c>
      <c r="Z862" s="4">
        <v>15.508993003548399</v>
      </c>
      <c r="AA862" s="4">
        <f t="shared" si="55"/>
        <v>15.331316311290331</v>
      </c>
    </row>
    <row r="863" spans="2:27" x14ac:dyDescent="0.2">
      <c r="B863" s="4" t="s">
        <v>1942</v>
      </c>
      <c r="C863" s="4">
        <v>15.750400000000001</v>
      </c>
      <c r="D863" s="4">
        <v>15.3993</v>
      </c>
      <c r="E863" s="4">
        <v>15.4063</v>
      </c>
      <c r="F863" s="4">
        <f t="shared" si="52"/>
        <v>15.518666666666668</v>
      </c>
      <c r="I863" s="4" t="s">
        <v>3801</v>
      </c>
      <c r="J863" s="4">
        <v>15.725899999999999</v>
      </c>
      <c r="K863" s="4">
        <v>15.147600000000001</v>
      </c>
      <c r="L863" s="4">
        <v>15.802899999999999</v>
      </c>
      <c r="M863" s="4">
        <f t="shared" si="53"/>
        <v>15.5588</v>
      </c>
      <c r="P863" s="4" t="str">
        <f>"ZK1073.1"</f>
        <v>ZK1073.1</v>
      </c>
      <c r="Q863" s="4">
        <v>15.1961281768343</v>
      </c>
      <c r="R863" s="4">
        <v>15.162730407456801</v>
      </c>
      <c r="S863" s="4">
        <v>15.3891778009907</v>
      </c>
      <c r="T863" s="4">
        <f t="shared" si="54"/>
        <v>15.249345461760599</v>
      </c>
      <c r="W863" s="4" t="str">
        <f>"F37C4.6"</f>
        <v>F37C4.6</v>
      </c>
      <c r="X863" s="4">
        <v>15.4566311336217</v>
      </c>
      <c r="Y863" s="4">
        <v>15.262687231091</v>
      </c>
      <c r="Z863" s="4">
        <v>15.269176727407199</v>
      </c>
      <c r="AA863" s="4">
        <f t="shared" si="55"/>
        <v>15.329498364039965</v>
      </c>
    </row>
    <row r="864" spans="2:27" x14ac:dyDescent="0.2">
      <c r="B864" s="4" t="s">
        <v>457</v>
      </c>
      <c r="C864" s="4">
        <v>15.1868</v>
      </c>
      <c r="D864" s="4">
        <v>15.6896</v>
      </c>
      <c r="E864" s="4">
        <v>15.677899999999999</v>
      </c>
      <c r="F864" s="4">
        <f t="shared" si="52"/>
        <v>15.518099999999999</v>
      </c>
      <c r="I864" s="4" t="s">
        <v>3274</v>
      </c>
      <c r="J864" s="4">
        <v>15.542400000000001</v>
      </c>
      <c r="K864" s="4">
        <v>15.5746</v>
      </c>
      <c r="L864" s="4">
        <v>15.558199999999999</v>
      </c>
      <c r="M864" s="4">
        <f t="shared" si="53"/>
        <v>15.558400000000001</v>
      </c>
      <c r="P864" s="4" t="str">
        <f>"Y47D9A.1"</f>
        <v>Y47D9A.1</v>
      </c>
      <c r="Q864" s="4">
        <v>15.4051027062165</v>
      </c>
      <c r="R864" s="4">
        <v>15.152968918968201</v>
      </c>
      <c r="S864" s="4">
        <v>15.1889655316216</v>
      </c>
      <c r="T864" s="4">
        <f t="shared" si="54"/>
        <v>15.2490123856021</v>
      </c>
      <c r="W864" s="4" t="str">
        <f>"hil-3"</f>
        <v>hil-3</v>
      </c>
      <c r="X864" s="4">
        <v>14.3955037874154</v>
      </c>
      <c r="Y864" s="4">
        <v>15.6675626674018</v>
      </c>
      <c r="Z864" s="4">
        <v>15.923432340161099</v>
      </c>
      <c r="AA864" s="4">
        <f t="shared" si="55"/>
        <v>15.328832931659434</v>
      </c>
    </row>
    <row r="865" spans="2:27" x14ac:dyDescent="0.2">
      <c r="B865" s="4" t="s">
        <v>1534</v>
      </c>
      <c r="C865" s="4">
        <v>15.414999999999999</v>
      </c>
      <c r="D865" s="4">
        <v>15.7369</v>
      </c>
      <c r="E865" s="4">
        <v>15.396599999999999</v>
      </c>
      <c r="F865" s="4">
        <f t="shared" si="52"/>
        <v>15.516166666666665</v>
      </c>
      <c r="I865" s="4" t="s">
        <v>2503</v>
      </c>
      <c r="J865" s="4">
        <v>15.364599999999999</v>
      </c>
      <c r="K865" s="4">
        <v>15.243600000000001</v>
      </c>
      <c r="L865" s="4">
        <v>16.0627</v>
      </c>
      <c r="M865" s="4">
        <f t="shared" si="53"/>
        <v>15.556966666666668</v>
      </c>
      <c r="P865" s="4" t="str">
        <f>"Y55F3AM.13"</f>
        <v>Y55F3AM.13</v>
      </c>
      <c r="Q865" s="4">
        <v>15.1944031496961</v>
      </c>
      <c r="R865" s="4">
        <v>15.1572452568657</v>
      </c>
      <c r="S865" s="4">
        <v>15.3731370752048</v>
      </c>
      <c r="T865" s="4">
        <f t="shared" si="54"/>
        <v>15.241595160588867</v>
      </c>
      <c r="W865" s="4" t="str">
        <f>"puf-9"</f>
        <v>puf-9</v>
      </c>
      <c r="X865" s="4">
        <v>15.075445319621201</v>
      </c>
      <c r="Y865" s="4">
        <v>15.462172063684999</v>
      </c>
      <c r="Z865" s="4">
        <v>15.444601176079701</v>
      </c>
      <c r="AA865" s="4">
        <f t="shared" si="55"/>
        <v>15.327406186461966</v>
      </c>
    </row>
    <row r="866" spans="2:27" x14ac:dyDescent="0.2">
      <c r="B866" s="4" t="s">
        <v>223</v>
      </c>
      <c r="C866" s="4">
        <v>15.134600000000001</v>
      </c>
      <c r="D866" s="4">
        <v>15.9413</v>
      </c>
      <c r="E866" s="4">
        <v>15.471500000000001</v>
      </c>
      <c r="F866" s="4">
        <f t="shared" si="52"/>
        <v>15.5158</v>
      </c>
      <c r="I866" s="4" t="s">
        <v>1472</v>
      </c>
      <c r="J866" s="4">
        <v>15.6937</v>
      </c>
      <c r="K866" s="4">
        <v>15.296900000000001</v>
      </c>
      <c r="L866" s="4">
        <v>15.6798</v>
      </c>
      <c r="M866" s="4">
        <f t="shared" si="53"/>
        <v>15.556800000000001</v>
      </c>
      <c r="P866" s="4" t="str">
        <f>"rpn-9"</f>
        <v>rpn-9</v>
      </c>
      <c r="Q866" s="4">
        <v>15.136762325545201</v>
      </c>
      <c r="R866" s="4">
        <v>15.355798437047</v>
      </c>
      <c r="S866" s="4">
        <v>15.2289138633887</v>
      </c>
      <c r="T866" s="4">
        <f t="shared" si="54"/>
        <v>15.240491541993633</v>
      </c>
      <c r="W866" s="4" t="str">
        <f>"tbg-1"</f>
        <v>tbg-1</v>
      </c>
      <c r="X866" s="4">
        <v>15.300218549397901</v>
      </c>
      <c r="Y866" s="4">
        <v>15.461701790269601</v>
      </c>
      <c r="Z866" s="4">
        <v>15.217542846812099</v>
      </c>
      <c r="AA866" s="4">
        <f t="shared" si="55"/>
        <v>15.326487728826534</v>
      </c>
    </row>
    <row r="867" spans="2:27" x14ac:dyDescent="0.2">
      <c r="B867" s="4" t="s">
        <v>1427</v>
      </c>
      <c r="C867" s="4">
        <v>15.1881</v>
      </c>
      <c r="D867" s="4">
        <v>16.229900000000001</v>
      </c>
      <c r="E867" s="4">
        <v>15.1219</v>
      </c>
      <c r="F867" s="4">
        <f t="shared" si="52"/>
        <v>15.513300000000001</v>
      </c>
      <c r="I867" s="4" t="s">
        <v>1467</v>
      </c>
      <c r="J867" s="4">
        <v>15.943300000000001</v>
      </c>
      <c r="K867" s="4">
        <v>15.065</v>
      </c>
      <c r="L867" s="4">
        <v>15.6562</v>
      </c>
      <c r="M867" s="4">
        <f t="shared" si="53"/>
        <v>15.554833333333333</v>
      </c>
      <c r="P867" s="4" t="str">
        <f>"Y62H9A.5"</f>
        <v>Y62H9A.5</v>
      </c>
      <c r="Q867" s="4">
        <v>15.211585610316799</v>
      </c>
      <c r="R867" s="4">
        <v>15.0366786455102</v>
      </c>
      <c r="S867" s="4">
        <v>15.4595389854156</v>
      </c>
      <c r="T867" s="4">
        <f t="shared" si="54"/>
        <v>15.235934413747534</v>
      </c>
      <c r="W867" s="4" t="str">
        <f>"gbf-1"</f>
        <v>gbf-1</v>
      </c>
      <c r="X867" s="4">
        <v>15.3577900509278</v>
      </c>
      <c r="Y867" s="4">
        <v>15.415589255929801</v>
      </c>
      <c r="Z867" s="4">
        <v>15.1795871904209</v>
      </c>
      <c r="AA867" s="4">
        <f t="shared" si="55"/>
        <v>15.317655499092831</v>
      </c>
    </row>
    <row r="868" spans="2:27" x14ac:dyDescent="0.2">
      <c r="B868" s="4" t="s">
        <v>3378</v>
      </c>
      <c r="C868" s="4">
        <v>15.3614</v>
      </c>
      <c r="D868" s="4">
        <v>15.804600000000001</v>
      </c>
      <c r="E868" s="4">
        <v>15.3713</v>
      </c>
      <c r="F868" s="4">
        <f t="shared" si="52"/>
        <v>15.512433333333334</v>
      </c>
      <c r="I868" s="4" t="s">
        <v>2153</v>
      </c>
      <c r="J868" s="4">
        <v>15.469200000000001</v>
      </c>
      <c r="K868" s="4">
        <v>15.657999999999999</v>
      </c>
      <c r="L868" s="4">
        <v>15.533300000000001</v>
      </c>
      <c r="M868" s="4">
        <f t="shared" si="53"/>
        <v>15.5535</v>
      </c>
      <c r="P868" s="4" t="str">
        <f>"F49E2.5"</f>
        <v>F49E2.5</v>
      </c>
      <c r="Q868" s="4">
        <v>15.578837443687</v>
      </c>
      <c r="R868" s="4">
        <v>15.2154995759266</v>
      </c>
      <c r="S868" s="4">
        <v>14.910265106135499</v>
      </c>
      <c r="T868" s="4">
        <f t="shared" si="54"/>
        <v>15.234867375249699</v>
      </c>
      <c r="W868" s="4" t="str">
        <f>"phat-7"</f>
        <v>phat-7</v>
      </c>
      <c r="X868" s="4">
        <v>15.319664354047999</v>
      </c>
      <c r="Y868" s="4">
        <v>14.647887683711</v>
      </c>
      <c r="Z868" s="4">
        <v>15.980897070464099</v>
      </c>
      <c r="AA868" s="4">
        <f t="shared" si="55"/>
        <v>15.316149702741034</v>
      </c>
    </row>
    <row r="869" spans="2:27" x14ac:dyDescent="0.2">
      <c r="B869" s="4" t="s">
        <v>673</v>
      </c>
      <c r="C869" s="4">
        <v>15.315300000000001</v>
      </c>
      <c r="D869" s="4">
        <v>15.742900000000001</v>
      </c>
      <c r="E869" s="4">
        <v>15.476900000000001</v>
      </c>
      <c r="F869" s="4">
        <f t="shared" si="52"/>
        <v>15.511699999999999</v>
      </c>
      <c r="I869" s="4" t="s">
        <v>1519</v>
      </c>
      <c r="J869" s="4">
        <v>14.769</v>
      </c>
      <c r="K869" s="4">
        <v>15.326599999999999</v>
      </c>
      <c r="L869" s="4">
        <v>16.5488</v>
      </c>
      <c r="M869" s="4">
        <f t="shared" si="53"/>
        <v>15.548133333333332</v>
      </c>
      <c r="P869" s="4" t="str">
        <f>"gta-1"</f>
        <v>gta-1</v>
      </c>
      <c r="Q869" s="4">
        <v>15.4207768746762</v>
      </c>
      <c r="R869" s="4">
        <v>14.981445323103699</v>
      </c>
      <c r="S869" s="4">
        <v>15.299043778948199</v>
      </c>
      <c r="T869" s="4">
        <f t="shared" si="54"/>
        <v>15.233755325576032</v>
      </c>
      <c r="W869" s="4" t="str">
        <f>"F08F3.4"</f>
        <v>F08F3.4</v>
      </c>
      <c r="X869" s="4">
        <v>15.3359085648061</v>
      </c>
      <c r="Y869" s="4">
        <v>15.372398534484001</v>
      </c>
      <c r="Z869" s="4">
        <v>15.229841219880999</v>
      </c>
      <c r="AA869" s="4">
        <f t="shared" si="55"/>
        <v>15.312716106390369</v>
      </c>
    </row>
    <row r="870" spans="2:27" x14ac:dyDescent="0.2">
      <c r="B870" s="4" t="s">
        <v>3655</v>
      </c>
      <c r="C870" s="4">
        <v>15.6608</v>
      </c>
      <c r="D870" s="4">
        <v>15.5153</v>
      </c>
      <c r="E870" s="4">
        <v>15.3538</v>
      </c>
      <c r="F870" s="4">
        <f t="shared" si="52"/>
        <v>15.509966666666665</v>
      </c>
      <c r="I870" s="4" t="s">
        <v>4071</v>
      </c>
      <c r="J870" s="4">
        <v>15.872199999999999</v>
      </c>
      <c r="K870" s="4">
        <v>15.5595</v>
      </c>
      <c r="L870" s="4">
        <v>15.209</v>
      </c>
      <c r="M870" s="4">
        <f t="shared" si="53"/>
        <v>15.546899999999999</v>
      </c>
      <c r="P870" s="4" t="str">
        <f>"miga-1"</f>
        <v>miga-1</v>
      </c>
      <c r="Q870" s="4">
        <v>15.2557918113573</v>
      </c>
      <c r="R870" s="4">
        <v>15.266596740987</v>
      </c>
      <c r="S870" s="4">
        <v>15.1751865003473</v>
      </c>
      <c r="T870" s="4">
        <f t="shared" si="54"/>
        <v>15.232525017563866</v>
      </c>
      <c r="W870" s="4" t="str">
        <f>"E01A2.2"</f>
        <v>E01A2.2</v>
      </c>
      <c r="X870" s="4">
        <v>15.359946931410001</v>
      </c>
      <c r="Y870" s="4">
        <v>15.371644708044499</v>
      </c>
      <c r="Z870" s="4">
        <v>15.201559285954</v>
      </c>
      <c r="AA870" s="4">
        <f t="shared" si="55"/>
        <v>15.311050308469499</v>
      </c>
    </row>
    <row r="871" spans="2:27" x14ac:dyDescent="0.2">
      <c r="B871" s="4" t="s">
        <v>2464</v>
      </c>
      <c r="C871" s="4">
        <v>15.327500000000001</v>
      </c>
      <c r="D871" s="4">
        <v>15.8714</v>
      </c>
      <c r="E871" s="4">
        <v>15.3249</v>
      </c>
      <c r="F871" s="4">
        <f t="shared" si="52"/>
        <v>15.507933333333334</v>
      </c>
      <c r="I871" s="4" t="s">
        <v>2638</v>
      </c>
      <c r="J871" s="4">
        <v>15.654999999999999</v>
      </c>
      <c r="K871" s="4">
        <v>15.4696</v>
      </c>
      <c r="L871" s="4">
        <v>15.511200000000001</v>
      </c>
      <c r="M871" s="4">
        <f t="shared" si="53"/>
        <v>15.545266666666668</v>
      </c>
      <c r="P871" s="4" t="str">
        <f>"rheb-1"</f>
        <v>rheb-1</v>
      </c>
      <c r="Q871" s="4">
        <v>15.403999368212</v>
      </c>
      <c r="R871" s="4">
        <v>15.146076587849</v>
      </c>
      <c r="S871" s="4">
        <v>15.142646672247499</v>
      </c>
      <c r="T871" s="4">
        <f t="shared" si="54"/>
        <v>15.230907542769501</v>
      </c>
      <c r="W871" s="4" t="str">
        <f>"hpo-27"</f>
        <v>hpo-27</v>
      </c>
      <c r="X871" s="4">
        <v>15.3356423607416</v>
      </c>
      <c r="Y871" s="4">
        <v>15.377037179605299</v>
      </c>
      <c r="Z871" s="4">
        <v>15.213835061565799</v>
      </c>
      <c r="AA871" s="4">
        <f t="shared" si="55"/>
        <v>15.308838200637567</v>
      </c>
    </row>
    <row r="872" spans="2:27" x14ac:dyDescent="0.2">
      <c r="B872" s="4" t="s">
        <v>742</v>
      </c>
      <c r="C872" s="4">
        <v>15.639799999999999</v>
      </c>
      <c r="D872" s="4">
        <v>15.052</v>
      </c>
      <c r="E872" s="4">
        <v>15.822699999999999</v>
      </c>
      <c r="F872" s="4">
        <f t="shared" si="52"/>
        <v>15.504833333333332</v>
      </c>
      <c r="I872" s="4" t="s">
        <v>3519</v>
      </c>
      <c r="J872" s="4">
        <v>15.457700000000001</v>
      </c>
      <c r="K872" s="4">
        <v>15.625500000000001</v>
      </c>
      <c r="L872" s="4">
        <v>15.5464</v>
      </c>
      <c r="M872" s="4">
        <f t="shared" si="53"/>
        <v>15.543200000000001</v>
      </c>
      <c r="P872" s="4" t="str">
        <f>"K02A6.3"</f>
        <v>K02A6.3</v>
      </c>
      <c r="Q872" s="4">
        <v>14.8202015992343</v>
      </c>
      <c r="R872" s="4">
        <v>15.3616851511219</v>
      </c>
      <c r="S872" s="4">
        <v>15.4909358327973</v>
      </c>
      <c r="T872" s="4">
        <f t="shared" si="54"/>
        <v>15.224274194384499</v>
      </c>
      <c r="W872" s="4" t="str">
        <f>"aakg-2"</f>
        <v>aakg-2</v>
      </c>
      <c r="X872" s="4">
        <v>15.2027889230257</v>
      </c>
      <c r="Y872" s="4">
        <v>15.471042540809</v>
      </c>
      <c r="Z872" s="4">
        <v>15.2494581660106</v>
      </c>
      <c r="AA872" s="4">
        <f t="shared" si="55"/>
        <v>15.307763209948433</v>
      </c>
    </row>
    <row r="873" spans="2:27" x14ac:dyDescent="0.2">
      <c r="B873" s="4" t="s">
        <v>2219</v>
      </c>
      <c r="C873" s="4">
        <v>15.583</v>
      </c>
      <c r="D873" s="4">
        <v>15.5008</v>
      </c>
      <c r="E873" s="4">
        <v>15.406000000000001</v>
      </c>
      <c r="F873" s="4">
        <f t="shared" si="52"/>
        <v>15.496600000000001</v>
      </c>
      <c r="I873" s="4" t="s">
        <v>2243</v>
      </c>
      <c r="J873" s="4">
        <v>15.7257</v>
      </c>
      <c r="K873" s="4">
        <v>15.310700000000001</v>
      </c>
      <c r="L873" s="4">
        <v>15.5929</v>
      </c>
      <c r="M873" s="4">
        <f t="shared" si="53"/>
        <v>15.543100000000001</v>
      </c>
      <c r="P873" s="4" t="str">
        <f>"evl-14"</f>
        <v>evl-14</v>
      </c>
      <c r="Q873" s="4">
        <v>15.0800805762699</v>
      </c>
      <c r="R873" s="4">
        <v>15.4287565191041</v>
      </c>
      <c r="S873" s="4">
        <v>15.161973360108499</v>
      </c>
      <c r="T873" s="4">
        <f t="shared" si="54"/>
        <v>15.223603485160831</v>
      </c>
      <c r="W873" s="4" t="str">
        <f>"let-630"</f>
        <v>let-630</v>
      </c>
      <c r="X873" s="4">
        <v>15.280223886859799</v>
      </c>
      <c r="Y873" s="4">
        <v>15.323777082911199</v>
      </c>
      <c r="Z873" s="4">
        <v>15.3180914537947</v>
      </c>
      <c r="AA873" s="4">
        <f t="shared" si="55"/>
        <v>15.307364141188566</v>
      </c>
    </row>
    <row r="874" spans="2:27" x14ac:dyDescent="0.2">
      <c r="B874" s="4" t="s">
        <v>3346</v>
      </c>
      <c r="C874" s="4">
        <v>15.349399999999999</v>
      </c>
      <c r="D874" s="4">
        <v>15.570399999999999</v>
      </c>
      <c r="E874" s="4">
        <v>15.565799999999999</v>
      </c>
      <c r="F874" s="4">
        <f t="shared" si="52"/>
        <v>15.495199999999999</v>
      </c>
      <c r="I874" s="4" t="s">
        <v>700</v>
      </c>
      <c r="J874" s="4">
        <v>15.675700000000001</v>
      </c>
      <c r="K874" s="4">
        <v>15.698399999999999</v>
      </c>
      <c r="L874" s="4">
        <v>15.2418</v>
      </c>
      <c r="M874" s="4">
        <f t="shared" si="53"/>
        <v>15.538633333333332</v>
      </c>
      <c r="P874" s="4" t="str">
        <f>"prmt-1"</f>
        <v>prmt-1</v>
      </c>
      <c r="Q874" s="4">
        <v>15.121514948484799</v>
      </c>
      <c r="R874" s="4">
        <v>15.178541752822699</v>
      </c>
      <c r="S874" s="4">
        <v>15.3639342558042</v>
      </c>
      <c r="T874" s="4">
        <f t="shared" si="54"/>
        <v>15.22133031903723</v>
      </c>
      <c r="W874" s="4" t="str">
        <f>"dcr-1"</f>
        <v>dcr-1</v>
      </c>
      <c r="X874" s="4">
        <v>15.3290172672365</v>
      </c>
      <c r="Y874" s="4">
        <v>15.4452667781184</v>
      </c>
      <c r="Z874" s="4">
        <v>15.1457364590061</v>
      </c>
      <c r="AA874" s="4">
        <f t="shared" si="55"/>
        <v>15.306673501453666</v>
      </c>
    </row>
    <row r="875" spans="2:27" x14ac:dyDescent="0.2">
      <c r="B875" s="4" t="s">
        <v>2687</v>
      </c>
      <c r="C875" s="4">
        <v>15.582100000000001</v>
      </c>
      <c r="D875" s="4">
        <v>15.396599999999999</v>
      </c>
      <c r="E875" s="4">
        <v>15.5069</v>
      </c>
      <c r="F875" s="4">
        <f t="shared" si="52"/>
        <v>15.495199999999999</v>
      </c>
      <c r="I875" s="4" t="s">
        <v>738</v>
      </c>
      <c r="J875" s="4">
        <v>15.350300000000001</v>
      </c>
      <c r="K875" s="4">
        <v>16.015999999999998</v>
      </c>
      <c r="L875" s="4">
        <v>15.2425</v>
      </c>
      <c r="M875" s="4">
        <f t="shared" si="53"/>
        <v>15.536266666666668</v>
      </c>
      <c r="P875" s="4" t="str">
        <f>"ZK512.2"</f>
        <v>ZK512.2</v>
      </c>
      <c r="Q875" s="4">
        <v>15.1641313620294</v>
      </c>
      <c r="R875" s="4">
        <v>15.2589332555523</v>
      </c>
      <c r="S875" s="4">
        <v>15.240651715146701</v>
      </c>
      <c r="T875" s="4">
        <f t="shared" si="54"/>
        <v>15.221238777576133</v>
      </c>
      <c r="W875" s="4" t="str">
        <f>"act-2"</f>
        <v>act-2</v>
      </c>
      <c r="X875" s="4">
        <v>15.303921146459301</v>
      </c>
      <c r="Y875" s="4">
        <v>15.257173558802799</v>
      </c>
      <c r="Z875" s="4">
        <v>15.3582195159576</v>
      </c>
      <c r="AA875" s="4">
        <f t="shared" si="55"/>
        <v>15.3064380737399</v>
      </c>
    </row>
    <row r="876" spans="2:27" x14ac:dyDescent="0.2">
      <c r="B876" s="4" t="s">
        <v>3146</v>
      </c>
      <c r="C876" s="4">
        <v>15.3818</v>
      </c>
      <c r="D876" s="4">
        <v>15.6751</v>
      </c>
      <c r="E876" s="4">
        <v>15.425000000000001</v>
      </c>
      <c r="F876" s="4">
        <f t="shared" si="52"/>
        <v>15.493966666666665</v>
      </c>
      <c r="I876" s="4" t="s">
        <v>2340</v>
      </c>
      <c r="J876" s="4">
        <v>15.4831</v>
      </c>
      <c r="K876" s="4">
        <v>15.5679</v>
      </c>
      <c r="L876" s="4">
        <v>15.546099999999999</v>
      </c>
      <c r="M876" s="4">
        <f t="shared" si="53"/>
        <v>15.532366666666666</v>
      </c>
      <c r="P876" s="4" t="str">
        <f>"pptr-2"</f>
        <v>pptr-2</v>
      </c>
      <c r="Q876" s="4">
        <v>15.228110615372801</v>
      </c>
      <c r="R876" s="4">
        <v>15.413459222392</v>
      </c>
      <c r="S876" s="4">
        <v>15.021747894977199</v>
      </c>
      <c r="T876" s="4">
        <f t="shared" si="54"/>
        <v>15.221105910914</v>
      </c>
      <c r="W876" s="4" t="str">
        <f>"C30F12.2"</f>
        <v>C30F12.2</v>
      </c>
      <c r="X876" s="4">
        <v>14.9872644508803</v>
      </c>
      <c r="Y876" s="4">
        <v>15.412040273156199</v>
      </c>
      <c r="Z876" s="4">
        <v>15.517193910636299</v>
      </c>
      <c r="AA876" s="4">
        <f t="shared" si="55"/>
        <v>15.305499544890933</v>
      </c>
    </row>
    <row r="877" spans="2:27" x14ac:dyDescent="0.2">
      <c r="B877" s="4" t="s">
        <v>4041</v>
      </c>
      <c r="C877" s="4">
        <v>15.6793</v>
      </c>
      <c r="D877" s="4">
        <v>15.337999999999999</v>
      </c>
      <c r="E877" s="4">
        <v>15.463100000000001</v>
      </c>
      <c r="F877" s="4">
        <f t="shared" si="52"/>
        <v>15.493466666666668</v>
      </c>
      <c r="I877" s="4" t="s">
        <v>505</v>
      </c>
      <c r="J877" s="4">
        <v>15.608599999999999</v>
      </c>
      <c r="K877" s="4">
        <v>15.465400000000001</v>
      </c>
      <c r="L877" s="4">
        <v>15.511799999999999</v>
      </c>
      <c r="M877" s="4">
        <f t="shared" si="53"/>
        <v>15.528599999999999</v>
      </c>
      <c r="P877" s="4" t="str">
        <f>"ppk-1"</f>
        <v>ppk-1</v>
      </c>
      <c r="Q877" s="4">
        <v>15.1738519727803</v>
      </c>
      <c r="R877" s="4">
        <v>15.238998149430699</v>
      </c>
      <c r="S877" s="4">
        <v>15.2419029302886</v>
      </c>
      <c r="T877" s="4">
        <f t="shared" si="54"/>
        <v>15.218251017499867</v>
      </c>
      <c r="W877" s="4" t="str">
        <f>"fkb-6"</f>
        <v>fkb-6</v>
      </c>
      <c r="X877" s="4">
        <v>15.297533486757899</v>
      </c>
      <c r="Y877" s="4">
        <v>15.346350079005299</v>
      </c>
      <c r="Z877" s="4">
        <v>15.2703128227829</v>
      </c>
      <c r="AA877" s="4">
        <f t="shared" si="55"/>
        <v>15.304732129515365</v>
      </c>
    </row>
    <row r="878" spans="2:27" x14ac:dyDescent="0.2">
      <c r="B878" s="4" t="s">
        <v>3959</v>
      </c>
      <c r="C878" s="4">
        <v>15.603300000000001</v>
      </c>
      <c r="D878" s="4">
        <v>15.281499999999999</v>
      </c>
      <c r="E878" s="4">
        <v>15.5931</v>
      </c>
      <c r="F878" s="4">
        <f t="shared" si="52"/>
        <v>15.492633333333332</v>
      </c>
      <c r="I878" s="4" t="s">
        <v>2009</v>
      </c>
      <c r="J878" s="4">
        <v>15.561999999999999</v>
      </c>
      <c r="K878" s="4">
        <v>15.5501</v>
      </c>
      <c r="L878" s="4">
        <v>15.444900000000001</v>
      </c>
      <c r="M878" s="4">
        <f t="shared" si="53"/>
        <v>15.519</v>
      </c>
      <c r="P878" s="4" t="str">
        <f>"agef-1"</f>
        <v>agef-1</v>
      </c>
      <c r="Q878" s="4">
        <v>15.2048465743599</v>
      </c>
      <c r="R878" s="4">
        <v>15.321198901582401</v>
      </c>
      <c r="S878" s="4">
        <v>15.107328234471099</v>
      </c>
      <c r="T878" s="4">
        <f t="shared" si="54"/>
        <v>15.2111245701378</v>
      </c>
      <c r="W878" s="4" t="str">
        <f>"ubr-4"</f>
        <v>ubr-4</v>
      </c>
      <c r="X878" s="4">
        <v>15.3576078588752</v>
      </c>
      <c r="Y878" s="4">
        <v>15.2229776813809</v>
      </c>
      <c r="Z878" s="4">
        <v>15.3221736081498</v>
      </c>
      <c r="AA878" s="4">
        <f t="shared" si="55"/>
        <v>15.300919716135303</v>
      </c>
    </row>
    <row r="879" spans="2:27" x14ac:dyDescent="0.2">
      <c r="B879" s="4" t="s">
        <v>2153</v>
      </c>
      <c r="C879" s="4">
        <v>15.3405</v>
      </c>
      <c r="D879" s="4">
        <v>15.667</v>
      </c>
      <c r="E879" s="4">
        <v>15.4666</v>
      </c>
      <c r="F879" s="4">
        <f t="shared" si="52"/>
        <v>15.491366666666666</v>
      </c>
      <c r="I879" s="4" t="s">
        <v>3977</v>
      </c>
      <c r="J879" s="4">
        <v>15.352499999999999</v>
      </c>
      <c r="K879" s="4">
        <v>15.2432</v>
      </c>
      <c r="L879" s="4">
        <v>15.9495</v>
      </c>
      <c r="M879" s="4">
        <f t="shared" si="53"/>
        <v>15.515066666666668</v>
      </c>
      <c r="P879" s="4" t="str">
        <f>"oma-1"</f>
        <v>oma-1</v>
      </c>
      <c r="Q879" s="4">
        <v>14.7276952659836</v>
      </c>
      <c r="R879" s="4">
        <v>15.150132048786</v>
      </c>
      <c r="S879" s="4">
        <v>15.7470203548221</v>
      </c>
      <c r="T879" s="4">
        <f t="shared" si="54"/>
        <v>15.208282556530568</v>
      </c>
      <c r="W879" s="4" t="str">
        <f>"ctl-1"</f>
        <v>ctl-1</v>
      </c>
      <c r="X879" s="4">
        <v>15.169196224337799</v>
      </c>
      <c r="Y879" s="4">
        <v>15.271913146299701</v>
      </c>
      <c r="Z879" s="4">
        <v>15.4611783150565</v>
      </c>
      <c r="AA879" s="4">
        <f t="shared" si="55"/>
        <v>15.300762561897999</v>
      </c>
    </row>
    <row r="880" spans="2:27" x14ac:dyDescent="0.2">
      <c r="B880" s="4" t="s">
        <v>3031</v>
      </c>
      <c r="C880" s="4">
        <v>15.446999999999999</v>
      </c>
      <c r="D880" s="4">
        <v>15.8032</v>
      </c>
      <c r="E880" s="4">
        <v>15.2224</v>
      </c>
      <c r="F880" s="4">
        <f t="shared" si="52"/>
        <v>15.490866666666667</v>
      </c>
      <c r="I880" s="4" t="s">
        <v>4003</v>
      </c>
      <c r="J880" s="4">
        <v>15.3629</v>
      </c>
      <c r="K880" s="4">
        <v>15.6736</v>
      </c>
      <c r="L880" s="4">
        <v>15.5082</v>
      </c>
      <c r="M880" s="4">
        <f t="shared" si="53"/>
        <v>15.514899999999999</v>
      </c>
      <c r="P880" s="4" t="str">
        <f>"tbg-1"</f>
        <v>tbg-1</v>
      </c>
      <c r="Q880" s="4">
        <v>15.102084496612999</v>
      </c>
      <c r="R880" s="4">
        <v>15.2079636897602</v>
      </c>
      <c r="S880" s="4">
        <v>15.3124771214107</v>
      </c>
      <c r="T880" s="4">
        <f t="shared" si="54"/>
        <v>15.207508435927968</v>
      </c>
      <c r="W880" s="4" t="str">
        <f>"npp-5"</f>
        <v>npp-5</v>
      </c>
      <c r="X880" s="4">
        <v>15.438288266578899</v>
      </c>
      <c r="Y880" s="4">
        <v>15.2532399975057</v>
      </c>
      <c r="Z880" s="4">
        <v>15.2084625701031</v>
      </c>
      <c r="AA880" s="4">
        <f t="shared" si="55"/>
        <v>15.299996944729232</v>
      </c>
    </row>
    <row r="881" spans="2:27" x14ac:dyDescent="0.2">
      <c r="B881" s="4" t="s">
        <v>2063</v>
      </c>
      <c r="C881" s="4">
        <v>15.617000000000001</v>
      </c>
      <c r="D881" s="4">
        <v>15.1309</v>
      </c>
      <c r="E881" s="4">
        <v>15.7194</v>
      </c>
      <c r="F881" s="4">
        <f t="shared" si="52"/>
        <v>15.489100000000001</v>
      </c>
      <c r="I881" s="4" t="s">
        <v>3530</v>
      </c>
      <c r="J881" s="4">
        <v>15.607799999999999</v>
      </c>
      <c r="K881" s="4">
        <v>15.536799999999999</v>
      </c>
      <c r="L881" s="4">
        <v>15.3903</v>
      </c>
      <c r="M881" s="4">
        <f t="shared" si="53"/>
        <v>15.51163333333333</v>
      </c>
      <c r="P881" s="4" t="str">
        <f>"mrpl-37"</f>
        <v>mrpl-37</v>
      </c>
      <c r="Q881" s="4">
        <v>15.535426142287699</v>
      </c>
      <c r="R881" s="4">
        <v>15.0340255520863</v>
      </c>
      <c r="S881" s="4">
        <v>15.0493823690048</v>
      </c>
      <c r="T881" s="4">
        <f t="shared" si="54"/>
        <v>15.206278021126266</v>
      </c>
      <c r="W881" s="4" t="str">
        <f>"col-164"</f>
        <v>col-164</v>
      </c>
      <c r="X881" s="4">
        <v>15.1844769420563</v>
      </c>
      <c r="Y881" s="4">
        <v>15.182896050050999</v>
      </c>
      <c r="Z881" s="4">
        <v>15.5255605875727</v>
      </c>
      <c r="AA881" s="4">
        <f t="shared" si="55"/>
        <v>15.297644526559999</v>
      </c>
    </row>
    <row r="882" spans="2:27" x14ac:dyDescent="0.2">
      <c r="B882" s="4" t="s">
        <v>1892</v>
      </c>
      <c r="C882" s="4">
        <v>15.4056</v>
      </c>
      <c r="D882" s="4">
        <v>15.6281</v>
      </c>
      <c r="E882" s="4">
        <v>15.4322</v>
      </c>
      <c r="F882" s="4">
        <f t="shared" si="52"/>
        <v>15.488633333333333</v>
      </c>
      <c r="I882" s="4" t="s">
        <v>419</v>
      </c>
      <c r="J882" s="4">
        <v>15.6136</v>
      </c>
      <c r="K882" s="4">
        <v>15.5015</v>
      </c>
      <c r="L882" s="4">
        <v>15.4116</v>
      </c>
      <c r="M882" s="4">
        <f t="shared" si="53"/>
        <v>15.508899999999999</v>
      </c>
      <c r="P882" s="4" t="str">
        <f>"apg-1"</f>
        <v>apg-1</v>
      </c>
      <c r="Q882" s="4">
        <v>15.0332882673619</v>
      </c>
      <c r="R882" s="4">
        <v>15.3204309978229</v>
      </c>
      <c r="S882" s="4">
        <v>15.260384776754901</v>
      </c>
      <c r="T882" s="4">
        <f t="shared" si="54"/>
        <v>15.204701347313232</v>
      </c>
      <c r="W882" s="4" t="str">
        <f>"ZK1098.4"</f>
        <v>ZK1098.4</v>
      </c>
      <c r="X882" s="4">
        <v>15.325635652751</v>
      </c>
      <c r="Y882" s="4">
        <v>15.3575315758189</v>
      </c>
      <c r="Z882" s="4">
        <v>15.204217622654699</v>
      </c>
      <c r="AA882" s="4">
        <f t="shared" si="55"/>
        <v>15.295794950408199</v>
      </c>
    </row>
    <row r="883" spans="2:27" x14ac:dyDescent="0.2">
      <c r="B883" s="4" t="s">
        <v>2131</v>
      </c>
      <c r="C883" s="4">
        <v>15.3935</v>
      </c>
      <c r="D883" s="4">
        <v>15.618399999999999</v>
      </c>
      <c r="E883" s="4">
        <v>15.4444</v>
      </c>
      <c r="F883" s="4">
        <f t="shared" si="52"/>
        <v>15.485433333333333</v>
      </c>
      <c r="I883" s="4" t="s">
        <v>2208</v>
      </c>
      <c r="J883" s="4">
        <v>15.4359</v>
      </c>
      <c r="K883" s="4">
        <v>15.4451</v>
      </c>
      <c r="L883" s="4">
        <v>15.644399999999999</v>
      </c>
      <c r="M883" s="4">
        <f t="shared" si="53"/>
        <v>15.508466666666665</v>
      </c>
      <c r="P883" s="4" t="str">
        <f>"Y59A8B.8"</f>
        <v>Y59A8B.8</v>
      </c>
      <c r="Q883" s="4">
        <v>15.2890866572432</v>
      </c>
      <c r="R883" s="4">
        <v>15.2301044305625</v>
      </c>
      <c r="S883" s="4">
        <v>15.094753600250501</v>
      </c>
      <c r="T883" s="4">
        <f t="shared" si="54"/>
        <v>15.204648229352067</v>
      </c>
      <c r="W883" s="4" t="str">
        <f>"T20B12.7"</f>
        <v>T20B12.7</v>
      </c>
      <c r="X883" s="4">
        <v>15.4477273454062</v>
      </c>
      <c r="Y883" s="4">
        <v>15.3346725253956</v>
      </c>
      <c r="Z883" s="4">
        <v>15.0986652024504</v>
      </c>
      <c r="AA883" s="4">
        <f t="shared" si="55"/>
        <v>15.293688357750733</v>
      </c>
    </row>
    <row r="884" spans="2:27" x14ac:dyDescent="0.2">
      <c r="B884" s="4" t="s">
        <v>1621</v>
      </c>
      <c r="C884" s="4">
        <v>15.506500000000001</v>
      </c>
      <c r="D884" s="4">
        <v>15.3102</v>
      </c>
      <c r="E884" s="4">
        <v>15.6372</v>
      </c>
      <c r="F884" s="4">
        <f t="shared" si="52"/>
        <v>15.484633333333335</v>
      </c>
      <c r="I884" s="4" t="s">
        <v>1465</v>
      </c>
      <c r="J884" s="4">
        <v>15.548</v>
      </c>
      <c r="K884" s="4">
        <v>15.2888</v>
      </c>
      <c r="L884" s="4">
        <v>15.6869</v>
      </c>
      <c r="M884" s="4">
        <f t="shared" si="53"/>
        <v>15.507899999999999</v>
      </c>
      <c r="P884" s="4" t="str">
        <f>"eif-2beta"</f>
        <v>eif-2beta</v>
      </c>
      <c r="Q884" s="4">
        <v>15.2012536403635</v>
      </c>
      <c r="R884" s="4">
        <v>15.276599231048699</v>
      </c>
      <c r="S884" s="4">
        <v>15.133536290962001</v>
      </c>
      <c r="T884" s="4">
        <f t="shared" si="54"/>
        <v>15.203796387458068</v>
      </c>
      <c r="W884" s="4" t="str">
        <f>"immt-2"</f>
        <v>immt-2</v>
      </c>
      <c r="X884" s="4">
        <v>15.303791425631699</v>
      </c>
      <c r="Y884" s="4">
        <v>15.289706604380701</v>
      </c>
      <c r="Z884" s="4">
        <v>15.285476700364899</v>
      </c>
      <c r="AA884" s="4">
        <f t="shared" si="55"/>
        <v>15.292991576792431</v>
      </c>
    </row>
    <row r="885" spans="2:27" x14ac:dyDescent="0.2">
      <c r="B885" s="4" t="s">
        <v>856</v>
      </c>
      <c r="C885" s="4">
        <v>15.6006</v>
      </c>
      <c r="D885" s="4">
        <v>15.405200000000001</v>
      </c>
      <c r="E885" s="4">
        <v>15.4406</v>
      </c>
      <c r="F885" s="4">
        <f t="shared" si="52"/>
        <v>15.482133333333332</v>
      </c>
      <c r="I885" s="4" t="s">
        <v>98</v>
      </c>
      <c r="J885" s="4">
        <v>15.4565</v>
      </c>
      <c r="K885" s="4">
        <v>15.2798</v>
      </c>
      <c r="L885" s="4">
        <v>15.7852</v>
      </c>
      <c r="M885" s="4">
        <f t="shared" si="53"/>
        <v>15.507166666666668</v>
      </c>
      <c r="P885" s="4" t="str">
        <f>"tax-6"</f>
        <v>tax-6</v>
      </c>
      <c r="Q885" s="4">
        <v>15.291463603892799</v>
      </c>
      <c r="R885" s="4">
        <v>14.931779262073199</v>
      </c>
      <c r="S885" s="4">
        <v>15.384357773279699</v>
      </c>
      <c r="T885" s="4">
        <f t="shared" si="54"/>
        <v>15.202533546415234</v>
      </c>
      <c r="W885" s="4" t="str">
        <f>"Y75B8A.24"</f>
        <v>Y75B8A.24</v>
      </c>
      <c r="X885" s="4">
        <v>15.2426691570153</v>
      </c>
      <c r="Y885" s="4">
        <v>15.4088752512148</v>
      </c>
      <c r="Z885" s="4">
        <v>15.217164308962101</v>
      </c>
      <c r="AA885" s="4">
        <f t="shared" si="55"/>
        <v>15.289569572397403</v>
      </c>
    </row>
    <row r="886" spans="2:27" x14ac:dyDescent="0.2">
      <c r="B886" s="4" t="s">
        <v>1556</v>
      </c>
      <c r="C886" s="4">
        <v>15.3315</v>
      </c>
      <c r="D886" s="4">
        <v>15.798299999999999</v>
      </c>
      <c r="E886" s="4">
        <v>15.308400000000001</v>
      </c>
      <c r="F886" s="4">
        <f t="shared" si="52"/>
        <v>15.4794</v>
      </c>
      <c r="I886" s="4" t="s">
        <v>2182</v>
      </c>
      <c r="J886" s="4">
        <v>15.447800000000001</v>
      </c>
      <c r="K886" s="4">
        <v>15.4412</v>
      </c>
      <c r="L886" s="4">
        <v>15.625500000000001</v>
      </c>
      <c r="M886" s="4">
        <f t="shared" si="53"/>
        <v>15.504833333333336</v>
      </c>
      <c r="P886" s="4" t="str">
        <f>"acaa-2"</f>
        <v>acaa-2</v>
      </c>
      <c r="Q886" s="4">
        <v>15.3464244570351</v>
      </c>
      <c r="R886" s="4">
        <v>15.0497277933357</v>
      </c>
      <c r="S886" s="4">
        <v>15.211011980399499</v>
      </c>
      <c r="T886" s="4">
        <f t="shared" si="54"/>
        <v>15.202388076923434</v>
      </c>
      <c r="W886" s="4" t="str">
        <f>"djr-1.2"</f>
        <v>djr-1.2</v>
      </c>
      <c r="X886" s="4">
        <v>14.998831651664</v>
      </c>
      <c r="Y886" s="4">
        <v>15.462103396787899</v>
      </c>
      <c r="Z886" s="4">
        <v>15.4071785420157</v>
      </c>
      <c r="AA886" s="4">
        <f t="shared" si="55"/>
        <v>15.289371196822534</v>
      </c>
    </row>
    <row r="887" spans="2:27" x14ac:dyDescent="0.2">
      <c r="B887" s="4" t="s">
        <v>1437</v>
      </c>
      <c r="C887" s="4">
        <v>15.5982</v>
      </c>
      <c r="D887" s="4">
        <v>15.5708</v>
      </c>
      <c r="E887" s="4">
        <v>15.268599999999999</v>
      </c>
      <c r="F887" s="4">
        <f t="shared" si="52"/>
        <v>15.479200000000001</v>
      </c>
      <c r="I887" s="4" t="s">
        <v>4111</v>
      </c>
      <c r="J887" s="4">
        <v>15.465999999999999</v>
      </c>
      <c r="K887" s="4">
        <v>15.4316</v>
      </c>
      <c r="L887" s="4">
        <v>15.6137</v>
      </c>
      <c r="M887" s="4">
        <f t="shared" si="53"/>
        <v>15.503766666666666</v>
      </c>
      <c r="P887" s="4" t="str">
        <f>"F44E5.1"</f>
        <v>F44E5.1</v>
      </c>
      <c r="Q887" s="4">
        <v>15.2672038342038</v>
      </c>
      <c r="R887" s="4">
        <v>14.941458640099601</v>
      </c>
      <c r="S887" s="4">
        <v>15.3598383747442</v>
      </c>
      <c r="T887" s="4">
        <f t="shared" si="54"/>
        <v>15.189500283015867</v>
      </c>
      <c r="W887" s="4" t="str">
        <f>"yars-2"</f>
        <v>yars-2</v>
      </c>
      <c r="X887" s="4">
        <v>15.2946131960035</v>
      </c>
      <c r="Y887" s="4">
        <v>15.1912277901951</v>
      </c>
      <c r="Z887" s="4">
        <v>15.370559971195</v>
      </c>
      <c r="AA887" s="4">
        <f t="shared" si="55"/>
        <v>15.285466985797868</v>
      </c>
    </row>
    <row r="888" spans="2:27" x14ac:dyDescent="0.2">
      <c r="B888" s="4" t="s">
        <v>2266</v>
      </c>
      <c r="C888" s="4">
        <v>15.811400000000001</v>
      </c>
      <c r="D888" s="4">
        <v>14.857100000000001</v>
      </c>
      <c r="E888" s="4">
        <v>15.7682</v>
      </c>
      <c r="F888" s="4">
        <f t="shared" si="52"/>
        <v>15.478900000000001</v>
      </c>
      <c r="I888" s="4" t="s">
        <v>1685</v>
      </c>
      <c r="J888" s="4">
        <v>15.5349</v>
      </c>
      <c r="K888" s="4">
        <v>15.311</v>
      </c>
      <c r="L888" s="4">
        <v>15.6602</v>
      </c>
      <c r="M888" s="4">
        <f t="shared" si="53"/>
        <v>15.502033333333335</v>
      </c>
      <c r="P888" s="4" t="str">
        <f>"bca-1"</f>
        <v>bca-1</v>
      </c>
      <c r="Q888" s="4">
        <v>15.7992378163685</v>
      </c>
      <c r="R888" s="4">
        <v>14.898483829609701</v>
      </c>
      <c r="S888" s="4">
        <v>14.864490814698</v>
      </c>
      <c r="T888" s="4">
        <f t="shared" si="54"/>
        <v>15.187404153558733</v>
      </c>
      <c r="W888" s="4" t="str">
        <f>"par-6"</f>
        <v>par-6</v>
      </c>
      <c r="X888" s="4">
        <v>15.2499779063379</v>
      </c>
      <c r="Y888" s="4">
        <v>15.359488303855001</v>
      </c>
      <c r="Z888" s="4">
        <v>15.2400753740115</v>
      </c>
      <c r="AA888" s="4">
        <f t="shared" si="55"/>
        <v>15.283180528068135</v>
      </c>
    </row>
    <row r="889" spans="2:27" x14ac:dyDescent="0.2">
      <c r="B889" s="4" t="s">
        <v>2243</v>
      </c>
      <c r="C889" s="4">
        <v>15.589399999999999</v>
      </c>
      <c r="D889" s="4">
        <v>15.646000000000001</v>
      </c>
      <c r="E889" s="4">
        <v>15.1975</v>
      </c>
      <c r="F889" s="4">
        <f t="shared" si="52"/>
        <v>15.477633333333332</v>
      </c>
      <c r="I889" s="4" t="s">
        <v>884</v>
      </c>
      <c r="J889" s="4">
        <v>15.890599999999999</v>
      </c>
      <c r="K889" s="4">
        <v>15.323499999999999</v>
      </c>
      <c r="L889" s="4">
        <v>15.2889</v>
      </c>
      <c r="M889" s="4">
        <f t="shared" si="53"/>
        <v>15.500999999999999</v>
      </c>
      <c r="P889" s="4" t="str">
        <f>"mel-28"</f>
        <v>mel-28</v>
      </c>
      <c r="Q889" s="4">
        <v>15.115061618404299</v>
      </c>
      <c r="R889" s="4">
        <v>15.3255386325547</v>
      </c>
      <c r="S889" s="4">
        <v>15.119433101948999</v>
      </c>
      <c r="T889" s="4">
        <f t="shared" si="54"/>
        <v>15.186677784302667</v>
      </c>
      <c r="W889" s="4" t="str">
        <f>"mrpl-37"</f>
        <v>mrpl-37</v>
      </c>
      <c r="X889" s="4">
        <v>15.3513525482358</v>
      </c>
      <c r="Y889" s="4">
        <v>15.194245245050499</v>
      </c>
      <c r="Z889" s="4">
        <v>15.3028011449062</v>
      </c>
      <c r="AA889" s="4">
        <f t="shared" si="55"/>
        <v>15.282799646064165</v>
      </c>
    </row>
    <row r="890" spans="2:27" x14ac:dyDescent="0.2">
      <c r="B890" s="4" t="s">
        <v>3564</v>
      </c>
      <c r="C890" s="4">
        <v>15.5968</v>
      </c>
      <c r="D890" s="4">
        <v>15.579599999999999</v>
      </c>
      <c r="E890" s="4">
        <v>15.254799999999999</v>
      </c>
      <c r="F890" s="4">
        <f t="shared" si="52"/>
        <v>15.477066666666667</v>
      </c>
      <c r="I890" s="4" t="s">
        <v>1331</v>
      </c>
      <c r="J890" s="4">
        <v>15.567500000000001</v>
      </c>
      <c r="K890" s="4">
        <v>15.5633</v>
      </c>
      <c r="L890" s="4">
        <v>15.3719</v>
      </c>
      <c r="M890" s="4">
        <f t="shared" si="53"/>
        <v>15.500900000000001</v>
      </c>
      <c r="P890" s="4" t="str">
        <f>"W04G3.5"</f>
        <v>W04G3.5</v>
      </c>
      <c r="Q890" s="4">
        <v>15.239275361377199</v>
      </c>
      <c r="R890" s="4">
        <v>15.177853098775</v>
      </c>
      <c r="S890" s="4">
        <v>15.137991103512499</v>
      </c>
      <c r="T890" s="4">
        <f t="shared" si="54"/>
        <v>15.185039854554899</v>
      </c>
      <c r="W890" s="4" t="str">
        <f>"eel-1"</f>
        <v>eel-1</v>
      </c>
      <c r="X890" s="4">
        <v>15.4155277307259</v>
      </c>
      <c r="Y890" s="4">
        <v>15.355845091716199</v>
      </c>
      <c r="Z890" s="4">
        <v>15.0724809212038</v>
      </c>
      <c r="AA890" s="4">
        <f t="shared" si="55"/>
        <v>15.281284581215301</v>
      </c>
    </row>
    <row r="891" spans="2:27" x14ac:dyDescent="0.2">
      <c r="B891" s="4" t="s">
        <v>998</v>
      </c>
      <c r="C891" s="4">
        <v>15.015700000000001</v>
      </c>
      <c r="D891" s="4">
        <v>15.970700000000001</v>
      </c>
      <c r="E891" s="4">
        <v>15.4405</v>
      </c>
      <c r="F891" s="4">
        <f t="shared" si="52"/>
        <v>15.475633333333334</v>
      </c>
      <c r="I891" s="4" t="s">
        <v>691</v>
      </c>
      <c r="J891" s="4">
        <v>15.4079</v>
      </c>
      <c r="K891" s="4">
        <v>15.814399999999999</v>
      </c>
      <c r="L891" s="4">
        <v>15.2804</v>
      </c>
      <c r="M891" s="4">
        <f t="shared" si="53"/>
        <v>15.5009</v>
      </c>
      <c r="P891" s="4" t="str">
        <f>"Y38C1AA.7"</f>
        <v>Y38C1AA.7</v>
      </c>
      <c r="Q891" s="4">
        <v>15.0729238242108</v>
      </c>
      <c r="R891" s="4">
        <v>15.2247791772906</v>
      </c>
      <c r="S891" s="4">
        <v>15.2484419396213</v>
      </c>
      <c r="T891" s="4">
        <f t="shared" si="54"/>
        <v>15.182048313707567</v>
      </c>
      <c r="W891" s="4" t="str">
        <f>"rbc-2"</f>
        <v>rbc-2</v>
      </c>
      <c r="X891" s="4">
        <v>15.290108587648801</v>
      </c>
      <c r="Y891" s="4">
        <v>15.3537582866301</v>
      </c>
      <c r="Z891" s="4">
        <v>15.1885509009206</v>
      </c>
      <c r="AA891" s="4">
        <f t="shared" si="55"/>
        <v>15.277472591733167</v>
      </c>
    </row>
    <row r="892" spans="2:27" x14ac:dyDescent="0.2">
      <c r="B892" s="4" t="s">
        <v>2268</v>
      </c>
      <c r="C892" s="4">
        <v>15.330399999999999</v>
      </c>
      <c r="D892" s="4">
        <v>15.8687</v>
      </c>
      <c r="E892" s="4">
        <v>15.221399999999999</v>
      </c>
      <c r="F892" s="4">
        <f t="shared" si="52"/>
        <v>15.473500000000001</v>
      </c>
      <c r="I892" s="4" t="s">
        <v>2277</v>
      </c>
      <c r="J892" s="4">
        <v>15.581799999999999</v>
      </c>
      <c r="K892" s="4">
        <v>15.5656</v>
      </c>
      <c r="L892" s="4">
        <v>15.354699999999999</v>
      </c>
      <c r="M892" s="4">
        <f t="shared" si="53"/>
        <v>15.5007</v>
      </c>
      <c r="P892" s="4" t="str">
        <f>"F13D11.3"</f>
        <v>F13D11.3</v>
      </c>
      <c r="Q892" s="4">
        <v>15.1884148655608</v>
      </c>
      <c r="R892" s="4">
        <v>15.146446247535501</v>
      </c>
      <c r="S892" s="4">
        <v>15.199906862394</v>
      </c>
      <c r="T892" s="4">
        <f t="shared" si="54"/>
        <v>15.178255991830101</v>
      </c>
      <c r="W892" s="4" t="str">
        <f>"top-3"</f>
        <v>top-3</v>
      </c>
      <c r="X892" s="4">
        <v>14.980377872261901</v>
      </c>
      <c r="Y892" s="4">
        <v>15.252678186898001</v>
      </c>
      <c r="Z892" s="4">
        <v>15.589378769281</v>
      </c>
      <c r="AA892" s="4">
        <f t="shared" si="55"/>
        <v>15.274144942813633</v>
      </c>
    </row>
    <row r="893" spans="2:27" x14ac:dyDescent="0.2">
      <c r="B893" s="4" t="s">
        <v>4637</v>
      </c>
      <c r="C893" s="4">
        <v>15.851000000000001</v>
      </c>
      <c r="D893" s="4">
        <v>15.262</v>
      </c>
      <c r="E893" s="4">
        <v>15.2989</v>
      </c>
      <c r="F893" s="4">
        <f t="shared" si="52"/>
        <v>15.470633333333334</v>
      </c>
      <c r="I893" s="4" t="s">
        <v>4649</v>
      </c>
      <c r="J893" s="4">
        <v>15.4575</v>
      </c>
      <c r="K893" s="4">
        <v>15.192600000000001</v>
      </c>
      <c r="L893" s="4">
        <v>15.8406</v>
      </c>
      <c r="M893" s="4">
        <f t="shared" si="53"/>
        <v>15.496900000000002</v>
      </c>
      <c r="P893" s="4" t="str">
        <f>"unc-132"</f>
        <v>unc-132</v>
      </c>
      <c r="Q893" s="4">
        <v>15.2455992901758</v>
      </c>
      <c r="R893" s="4">
        <v>15.234147987676099</v>
      </c>
      <c r="S893" s="4">
        <v>15.040908358325501</v>
      </c>
      <c r="T893" s="4">
        <f t="shared" si="54"/>
        <v>15.173551878725801</v>
      </c>
      <c r="W893" s="4" t="str">
        <f>"ubc-20"</f>
        <v>ubc-20</v>
      </c>
      <c r="X893" s="4">
        <v>15.304835743689599</v>
      </c>
      <c r="Y893" s="4">
        <v>15.0812267753745</v>
      </c>
      <c r="Z893" s="4">
        <v>15.429912643395401</v>
      </c>
      <c r="AA893" s="4">
        <f t="shared" si="55"/>
        <v>15.271991720819832</v>
      </c>
    </row>
    <row r="894" spans="2:27" x14ac:dyDescent="0.2">
      <c r="B894" s="4" t="s">
        <v>3819</v>
      </c>
      <c r="C894" s="4">
        <v>15.4497</v>
      </c>
      <c r="D894" s="4">
        <v>15.447800000000001</v>
      </c>
      <c r="E894" s="4">
        <v>15.501799999999999</v>
      </c>
      <c r="F894" s="4">
        <f t="shared" si="52"/>
        <v>15.466433333333333</v>
      </c>
      <c r="I894" s="4" t="s">
        <v>245</v>
      </c>
      <c r="J894" s="4">
        <v>15.418799999999999</v>
      </c>
      <c r="K894" s="4">
        <v>15.348599999999999</v>
      </c>
      <c r="L894" s="4">
        <v>15.721299999999999</v>
      </c>
      <c r="M894" s="4">
        <f t="shared" si="53"/>
        <v>15.496233333333331</v>
      </c>
      <c r="P894" s="4" t="str">
        <f>"poml-3"</f>
        <v>poml-3</v>
      </c>
      <c r="Q894" s="4">
        <v>15.5690516567839</v>
      </c>
      <c r="R894" s="4">
        <v>14.621125646788199</v>
      </c>
      <c r="S894" s="4">
        <v>15.3214199161167</v>
      </c>
      <c r="T894" s="4">
        <f t="shared" si="54"/>
        <v>15.170532406562932</v>
      </c>
      <c r="W894" s="4" t="str">
        <f>"asp-13"</f>
        <v>asp-13</v>
      </c>
      <c r="X894" s="4">
        <v>15.106012014123101</v>
      </c>
      <c r="Y894" s="4">
        <v>15.230847198028901</v>
      </c>
      <c r="Z894" s="4">
        <v>15.4785043947508</v>
      </c>
      <c r="AA894" s="4">
        <f t="shared" si="55"/>
        <v>15.2717878689676</v>
      </c>
    </row>
    <row r="895" spans="2:27" x14ac:dyDescent="0.2">
      <c r="B895" s="4" t="s">
        <v>1493</v>
      </c>
      <c r="C895" s="4">
        <v>15.2278</v>
      </c>
      <c r="D895" s="4">
        <v>15.315200000000001</v>
      </c>
      <c r="E895" s="4">
        <v>15.855600000000001</v>
      </c>
      <c r="F895" s="4">
        <f t="shared" si="52"/>
        <v>15.466200000000001</v>
      </c>
      <c r="I895" s="4" t="s">
        <v>3236</v>
      </c>
      <c r="J895" s="4">
        <v>15.648400000000001</v>
      </c>
      <c r="K895" s="4">
        <v>15.145300000000001</v>
      </c>
      <c r="L895" s="4">
        <v>15.6915</v>
      </c>
      <c r="M895" s="4">
        <f t="shared" si="53"/>
        <v>15.495066666666666</v>
      </c>
      <c r="P895" s="4" t="str">
        <f>"lin-24"</f>
        <v>lin-24</v>
      </c>
      <c r="Q895" s="4">
        <v>15.312919316332801</v>
      </c>
      <c r="R895" s="4">
        <v>15.0441670832348</v>
      </c>
      <c r="S895" s="4">
        <v>15.146499473863001</v>
      </c>
      <c r="T895" s="4">
        <f t="shared" si="54"/>
        <v>15.167861957810201</v>
      </c>
      <c r="W895" s="4" t="str">
        <f>"npp-20"</f>
        <v>npp-20</v>
      </c>
      <c r="X895" s="4">
        <v>15.151810601066201</v>
      </c>
      <c r="Y895" s="4">
        <v>15.3796060080702</v>
      </c>
      <c r="Z895" s="4">
        <v>15.265750746153101</v>
      </c>
      <c r="AA895" s="4">
        <f t="shared" si="55"/>
        <v>15.265722451763168</v>
      </c>
    </row>
    <row r="896" spans="2:27" x14ac:dyDescent="0.2">
      <c r="B896" s="4" t="s">
        <v>3495</v>
      </c>
      <c r="C896" s="4">
        <v>15.5524</v>
      </c>
      <c r="D896" s="4">
        <v>15.381</v>
      </c>
      <c r="E896" s="4">
        <v>15.4625</v>
      </c>
      <c r="F896" s="4">
        <f t="shared" si="52"/>
        <v>15.465299999999999</v>
      </c>
      <c r="I896" s="4" t="s">
        <v>709</v>
      </c>
      <c r="J896" s="4">
        <v>15.5199</v>
      </c>
      <c r="K896" s="4">
        <v>15.9801</v>
      </c>
      <c r="L896" s="4">
        <v>14.9838</v>
      </c>
      <c r="M896" s="4">
        <f t="shared" si="53"/>
        <v>15.4946</v>
      </c>
      <c r="P896" s="4" t="str">
        <f>"let-721"</f>
        <v>let-721</v>
      </c>
      <c r="Q896" s="4">
        <v>15.4568637300698</v>
      </c>
      <c r="R896" s="4">
        <v>15.103392500817099</v>
      </c>
      <c r="S896" s="4">
        <v>14.938705868518101</v>
      </c>
      <c r="T896" s="4">
        <f t="shared" si="54"/>
        <v>15.166320699801666</v>
      </c>
      <c r="W896" s="4" t="str">
        <f>"copz-1"</f>
        <v>copz-1</v>
      </c>
      <c r="X896" s="4">
        <v>15.3695482842489</v>
      </c>
      <c r="Y896" s="4">
        <v>15.158594868133401</v>
      </c>
      <c r="Z896" s="4">
        <v>15.2658116598733</v>
      </c>
      <c r="AA896" s="4">
        <f t="shared" si="55"/>
        <v>15.2646516040852</v>
      </c>
    </row>
    <row r="897" spans="2:27" x14ac:dyDescent="0.2">
      <c r="B897" s="4" t="s">
        <v>1331</v>
      </c>
      <c r="C897" s="4">
        <v>15.509</v>
      </c>
      <c r="D897" s="4">
        <v>15.3422</v>
      </c>
      <c r="E897" s="4">
        <v>15.538</v>
      </c>
      <c r="F897" s="4">
        <f t="shared" si="52"/>
        <v>15.463066666666668</v>
      </c>
      <c r="I897" s="4" t="s">
        <v>2102</v>
      </c>
      <c r="J897" s="4">
        <v>15.681100000000001</v>
      </c>
      <c r="K897" s="4">
        <v>15.553100000000001</v>
      </c>
      <c r="L897" s="4">
        <v>15.244899999999999</v>
      </c>
      <c r="M897" s="4">
        <f t="shared" si="53"/>
        <v>15.493033333333335</v>
      </c>
      <c r="P897" s="4" t="str">
        <f>"glt-1"</f>
        <v>glt-1</v>
      </c>
      <c r="Q897" s="4">
        <v>14.5740741106701</v>
      </c>
      <c r="R897" s="4">
        <v>15.513878288695301</v>
      </c>
      <c r="S897" s="4">
        <v>15.405638404524</v>
      </c>
      <c r="T897" s="4">
        <f t="shared" si="54"/>
        <v>15.164530267963132</v>
      </c>
      <c r="W897" s="4" t="str">
        <f>"cbd-1"</f>
        <v>cbd-1</v>
      </c>
      <c r="X897" s="4">
        <v>15.1442458919899</v>
      </c>
      <c r="Y897" s="4">
        <v>15.1337888886034</v>
      </c>
      <c r="Z897" s="4">
        <v>15.5120770542968</v>
      </c>
      <c r="AA897" s="4">
        <f t="shared" si="55"/>
        <v>15.263370611630032</v>
      </c>
    </row>
    <row r="898" spans="2:27" x14ac:dyDescent="0.2">
      <c r="B898" s="4" t="s">
        <v>3809</v>
      </c>
      <c r="C898" s="4">
        <v>15.459899999999999</v>
      </c>
      <c r="D898" s="4">
        <v>15.249000000000001</v>
      </c>
      <c r="E898" s="4">
        <v>15.6691</v>
      </c>
      <c r="F898" s="4">
        <f t="shared" ref="F898:F961" si="56">(C898+D898+E898)/3</f>
        <v>15.459333333333333</v>
      </c>
      <c r="I898" s="4" t="s">
        <v>2627</v>
      </c>
      <c r="J898" s="4">
        <v>15.493600000000001</v>
      </c>
      <c r="K898" s="4">
        <v>15.469900000000001</v>
      </c>
      <c r="L898" s="4">
        <v>15.5006</v>
      </c>
      <c r="M898" s="4">
        <f t="shared" ref="M898:M961" si="57">(J898+K898+L898)/3</f>
        <v>15.488033333333334</v>
      </c>
      <c r="P898" s="4" t="str">
        <f>"miro-1"</f>
        <v>miro-1</v>
      </c>
      <c r="Q898" s="4">
        <v>15.1949584767445</v>
      </c>
      <c r="R898" s="4">
        <v>15.1268246221836</v>
      </c>
      <c r="S898" s="4">
        <v>15.1642649874464</v>
      </c>
      <c r="T898" s="4">
        <f t="shared" ref="T898:T961" si="58">(Q898+R898+S898)/3</f>
        <v>15.1620160287915</v>
      </c>
      <c r="W898" s="4" t="str">
        <f>"xpo-3"</f>
        <v>xpo-3</v>
      </c>
      <c r="X898" s="4">
        <v>15.1867276568256</v>
      </c>
      <c r="Y898" s="4">
        <v>15.3427326933672</v>
      </c>
      <c r="Z898" s="4">
        <v>15.257478466698601</v>
      </c>
      <c r="AA898" s="4">
        <f t="shared" ref="AA898:AA961" si="59">(X898+Y898+Z898)/3</f>
        <v>15.262312938963801</v>
      </c>
    </row>
    <row r="899" spans="2:27" x14ac:dyDescent="0.2">
      <c r="B899" s="4" t="s">
        <v>3353</v>
      </c>
      <c r="C899" s="4">
        <v>15.792199999999999</v>
      </c>
      <c r="D899" s="4">
        <v>15.029199999999999</v>
      </c>
      <c r="E899" s="4">
        <v>15.555099999999999</v>
      </c>
      <c r="F899" s="4">
        <f t="shared" si="56"/>
        <v>15.458833333333331</v>
      </c>
      <c r="I899" s="4" t="s">
        <v>451</v>
      </c>
      <c r="J899" s="4">
        <v>15.348699999999999</v>
      </c>
      <c r="K899" s="4">
        <v>15.2765</v>
      </c>
      <c r="L899" s="4">
        <v>15.833399999999999</v>
      </c>
      <c r="M899" s="4">
        <f t="shared" si="57"/>
        <v>15.486199999999998</v>
      </c>
      <c r="P899" s="4" t="str">
        <f>"dcr-1"</f>
        <v>dcr-1</v>
      </c>
      <c r="Q899" s="4">
        <v>15.2503900703935</v>
      </c>
      <c r="R899" s="4">
        <v>15.1904387047481</v>
      </c>
      <c r="S899" s="4">
        <v>15.0408098582222</v>
      </c>
      <c r="T899" s="4">
        <f t="shared" si="58"/>
        <v>15.160546211121266</v>
      </c>
      <c r="W899" s="4" t="str">
        <f>"F37A4.1"</f>
        <v>F37A4.1</v>
      </c>
      <c r="X899" s="4">
        <v>15.4367242346009</v>
      </c>
      <c r="Y899" s="4">
        <v>15.2055740830183</v>
      </c>
      <c r="Z899" s="4">
        <v>15.1403910901772</v>
      </c>
      <c r="AA899" s="4">
        <f t="shared" si="59"/>
        <v>15.260896469265466</v>
      </c>
    </row>
    <row r="900" spans="2:27" x14ac:dyDescent="0.2">
      <c r="B900" s="4" t="s">
        <v>2156</v>
      </c>
      <c r="C900" s="4">
        <v>15.439299999999999</v>
      </c>
      <c r="D900" s="4">
        <v>15.661899999999999</v>
      </c>
      <c r="E900" s="4">
        <v>15.2719</v>
      </c>
      <c r="F900" s="4">
        <f t="shared" si="56"/>
        <v>15.457700000000001</v>
      </c>
      <c r="I900" s="4" t="s">
        <v>1553</v>
      </c>
      <c r="J900" s="4">
        <v>15.642099999999999</v>
      </c>
      <c r="K900" s="4">
        <v>15.305</v>
      </c>
      <c r="L900" s="4">
        <v>15.500299999999999</v>
      </c>
      <c r="M900" s="4">
        <f t="shared" si="57"/>
        <v>15.482466666666667</v>
      </c>
      <c r="P900" s="4" t="str">
        <f>"gfat-1"</f>
        <v>gfat-1</v>
      </c>
      <c r="Q900" s="4">
        <v>15.295651356036</v>
      </c>
      <c r="R900" s="4">
        <v>15.1581431022678</v>
      </c>
      <c r="S900" s="4">
        <v>15.015566552265801</v>
      </c>
      <c r="T900" s="4">
        <f t="shared" si="58"/>
        <v>15.156453670189867</v>
      </c>
      <c r="W900" s="4" t="str">
        <f>"rpl-25.2"</f>
        <v>rpl-25.2</v>
      </c>
      <c r="X900" s="4">
        <v>15.0178607316785</v>
      </c>
      <c r="Y900" s="4">
        <v>15.363158840085999</v>
      </c>
      <c r="Z900" s="4">
        <v>15.389308833897701</v>
      </c>
      <c r="AA900" s="4">
        <f t="shared" si="59"/>
        <v>15.256776135220733</v>
      </c>
    </row>
    <row r="901" spans="2:27" x14ac:dyDescent="0.2">
      <c r="B901" s="4" t="s">
        <v>3949</v>
      </c>
      <c r="C901" s="4">
        <v>15.5799</v>
      </c>
      <c r="D901" s="4">
        <v>15.4948</v>
      </c>
      <c r="E901" s="4">
        <v>15.294700000000001</v>
      </c>
      <c r="F901" s="4">
        <f t="shared" si="56"/>
        <v>15.456466666666666</v>
      </c>
      <c r="I901" s="4" t="s">
        <v>3378</v>
      </c>
      <c r="J901" s="4">
        <v>15.446899999999999</v>
      </c>
      <c r="K901" s="4">
        <v>15.4496</v>
      </c>
      <c r="L901" s="4">
        <v>15.538</v>
      </c>
      <c r="M901" s="4">
        <f t="shared" si="57"/>
        <v>15.478166666666667</v>
      </c>
      <c r="P901" s="4" t="str">
        <f>"C18B2.5"</f>
        <v>C18B2.5</v>
      </c>
      <c r="Q901" s="4">
        <v>15.2892339661877</v>
      </c>
      <c r="R901" s="4">
        <v>15.2337533075679</v>
      </c>
      <c r="S901" s="4">
        <v>14.9456153233746</v>
      </c>
      <c r="T901" s="4">
        <f t="shared" si="58"/>
        <v>15.156200865710067</v>
      </c>
      <c r="W901" s="4" t="str">
        <f>"ttr-51"</f>
        <v>ttr-51</v>
      </c>
      <c r="X901" s="4">
        <v>15.753821766556699</v>
      </c>
      <c r="Y901" s="4">
        <v>15.343713784407299</v>
      </c>
      <c r="Z901" s="4">
        <v>14.6693582488143</v>
      </c>
      <c r="AA901" s="4">
        <f t="shared" si="59"/>
        <v>15.255631266592765</v>
      </c>
    </row>
    <row r="902" spans="2:27" x14ac:dyDescent="0.2">
      <c r="B902" s="4" t="s">
        <v>4111</v>
      </c>
      <c r="C902" s="4">
        <v>15.1929</v>
      </c>
      <c r="D902" s="4">
        <v>15.728199999999999</v>
      </c>
      <c r="E902" s="4">
        <v>15.4482</v>
      </c>
      <c r="F902" s="4">
        <f t="shared" si="56"/>
        <v>15.456433333333331</v>
      </c>
      <c r="I902" s="4" t="s">
        <v>2130</v>
      </c>
      <c r="J902" s="4">
        <v>14.995900000000001</v>
      </c>
      <c r="K902" s="4">
        <v>15.5304</v>
      </c>
      <c r="L902" s="4">
        <v>15.906700000000001</v>
      </c>
      <c r="M902" s="4">
        <f t="shared" si="57"/>
        <v>15.477666666666666</v>
      </c>
      <c r="P902" s="4" t="str">
        <f>"fask-1"</f>
        <v>fask-1</v>
      </c>
      <c r="Q902" s="4">
        <v>15.304486589777699</v>
      </c>
      <c r="R902" s="4">
        <v>15.137803000342601</v>
      </c>
      <c r="S902" s="4">
        <v>15.0245268998983</v>
      </c>
      <c r="T902" s="4">
        <f t="shared" si="58"/>
        <v>15.155605496672868</v>
      </c>
      <c r="W902" s="4" t="str">
        <f>"tax-6"</f>
        <v>tax-6</v>
      </c>
      <c r="X902" s="4">
        <v>15.2955188130155</v>
      </c>
      <c r="Y902" s="4">
        <v>15.238249860895801</v>
      </c>
      <c r="Z902" s="4">
        <v>15.231099433782401</v>
      </c>
      <c r="AA902" s="4">
        <f t="shared" si="59"/>
        <v>15.2549560358979</v>
      </c>
    </row>
    <row r="903" spans="2:27" x14ac:dyDescent="0.2">
      <c r="B903" s="4" t="s">
        <v>2753</v>
      </c>
      <c r="C903" s="4">
        <v>15.318099999999999</v>
      </c>
      <c r="D903" s="4">
        <v>15.4986</v>
      </c>
      <c r="E903" s="4">
        <v>15.542999999999999</v>
      </c>
      <c r="F903" s="4">
        <f t="shared" si="56"/>
        <v>15.453233333333332</v>
      </c>
      <c r="I903" s="4" t="s">
        <v>3031</v>
      </c>
      <c r="J903" s="4">
        <v>15.261799999999999</v>
      </c>
      <c r="K903" s="4">
        <v>15.591100000000001</v>
      </c>
      <c r="L903" s="4">
        <v>15.5778</v>
      </c>
      <c r="M903" s="4">
        <f t="shared" si="57"/>
        <v>15.476900000000001</v>
      </c>
      <c r="P903" s="4" t="str">
        <f>"F46F11.1"</f>
        <v>F46F11.1</v>
      </c>
      <c r="Q903" s="4">
        <v>15.2074497522679</v>
      </c>
      <c r="R903" s="4">
        <v>15.113574959772</v>
      </c>
      <c r="S903" s="4">
        <v>15.1386280696978</v>
      </c>
      <c r="T903" s="4">
        <f t="shared" si="58"/>
        <v>15.153217593912567</v>
      </c>
      <c r="W903" s="4" t="str">
        <f>"ZK829.7"</f>
        <v>ZK829.7</v>
      </c>
      <c r="X903" s="4">
        <v>15.545035261398199</v>
      </c>
      <c r="Y903" s="4">
        <v>15.113254732169301</v>
      </c>
      <c r="Z903" s="4">
        <v>15.104911405095701</v>
      </c>
      <c r="AA903" s="4">
        <f t="shared" si="59"/>
        <v>15.254400466221066</v>
      </c>
    </row>
    <row r="904" spans="2:27" x14ac:dyDescent="0.2">
      <c r="B904" s="4" t="s">
        <v>3862</v>
      </c>
      <c r="C904" s="4">
        <v>15.8369</v>
      </c>
      <c r="D904" s="4">
        <v>15.2949</v>
      </c>
      <c r="E904" s="4">
        <v>15.2265</v>
      </c>
      <c r="F904" s="4">
        <f t="shared" si="56"/>
        <v>15.452766666666667</v>
      </c>
      <c r="I904" s="4" t="s">
        <v>135</v>
      </c>
      <c r="J904" s="4">
        <v>15.526</v>
      </c>
      <c r="K904" s="4">
        <v>15.649699999999999</v>
      </c>
      <c r="L904" s="4">
        <v>15.2486</v>
      </c>
      <c r="M904" s="4">
        <f t="shared" si="57"/>
        <v>15.474766666666667</v>
      </c>
      <c r="P904" s="4" t="str">
        <f>"ddx-52"</f>
        <v>ddx-52</v>
      </c>
      <c r="Q904" s="4">
        <v>15.199498599991999</v>
      </c>
      <c r="R904" s="4">
        <v>15.231559581068799</v>
      </c>
      <c r="S904" s="4">
        <v>15.0273203579426</v>
      </c>
      <c r="T904" s="4">
        <f t="shared" si="58"/>
        <v>15.152792846334465</v>
      </c>
      <c r="W904" s="4" t="str">
        <f>"eps-8"</f>
        <v>eps-8</v>
      </c>
      <c r="X904" s="4">
        <v>15.104197449368201</v>
      </c>
      <c r="Y904" s="4">
        <v>15.1923928362186</v>
      </c>
      <c r="Z904" s="4">
        <v>15.4651382725297</v>
      </c>
      <c r="AA904" s="4">
        <f t="shared" si="59"/>
        <v>15.253909519372167</v>
      </c>
    </row>
    <row r="905" spans="2:27" x14ac:dyDescent="0.2">
      <c r="B905" s="4" t="s">
        <v>3049</v>
      </c>
      <c r="C905" s="4">
        <v>15.631500000000001</v>
      </c>
      <c r="D905" s="4">
        <v>15.2315</v>
      </c>
      <c r="E905" s="4">
        <v>15.4937</v>
      </c>
      <c r="F905" s="4">
        <f t="shared" si="56"/>
        <v>15.452233333333334</v>
      </c>
      <c r="I905" s="4" t="s">
        <v>3117</v>
      </c>
      <c r="J905" s="4">
        <v>15.692</v>
      </c>
      <c r="K905" s="4">
        <v>15.270799999999999</v>
      </c>
      <c r="L905" s="4">
        <v>15.458399999999999</v>
      </c>
      <c r="M905" s="4">
        <f t="shared" si="57"/>
        <v>15.473733333333334</v>
      </c>
      <c r="P905" s="4" t="str">
        <f>"mrps-35"</f>
        <v>mrps-35</v>
      </c>
      <c r="Q905" s="4">
        <v>15.486407960211301</v>
      </c>
      <c r="R905" s="4">
        <v>15.035275999240101</v>
      </c>
      <c r="S905" s="4">
        <v>14.934108095601699</v>
      </c>
      <c r="T905" s="4">
        <f t="shared" si="58"/>
        <v>15.151930685017701</v>
      </c>
      <c r="W905" s="4" t="str">
        <f>"fipr-21"</f>
        <v>fipr-21</v>
      </c>
      <c r="X905" s="4">
        <v>15.0563934847443</v>
      </c>
      <c r="Y905" s="4">
        <v>15.2188007603519</v>
      </c>
      <c r="Z905" s="4">
        <v>15.4831939912181</v>
      </c>
      <c r="AA905" s="4">
        <f t="shared" si="59"/>
        <v>15.252796078771434</v>
      </c>
    </row>
    <row r="906" spans="2:27" x14ac:dyDescent="0.2">
      <c r="B906" s="4" t="s">
        <v>4550</v>
      </c>
      <c r="C906" s="4">
        <v>15.4887</v>
      </c>
      <c r="D906" s="4">
        <v>15.316000000000001</v>
      </c>
      <c r="E906" s="4">
        <v>15.5473</v>
      </c>
      <c r="F906" s="4">
        <f t="shared" si="56"/>
        <v>15.450666666666669</v>
      </c>
      <c r="I906" s="4" t="s">
        <v>675</v>
      </c>
      <c r="J906" s="4">
        <v>15.3177</v>
      </c>
      <c r="K906" s="4">
        <v>15.8424</v>
      </c>
      <c r="L906" s="4">
        <v>15.2577</v>
      </c>
      <c r="M906" s="4">
        <f t="shared" si="57"/>
        <v>15.4726</v>
      </c>
      <c r="P906" s="4" t="str">
        <f>"ZK370.4"</f>
        <v>ZK370.4</v>
      </c>
      <c r="Q906" s="4">
        <v>15.1953435481926</v>
      </c>
      <c r="R906" s="4">
        <v>15.0885143417648</v>
      </c>
      <c r="S906" s="4">
        <v>15.164232526877299</v>
      </c>
      <c r="T906" s="4">
        <f t="shared" si="58"/>
        <v>15.149363472278234</v>
      </c>
      <c r="W906" s="4" t="str">
        <f>"asp-4"</f>
        <v>asp-4</v>
      </c>
      <c r="X906" s="4">
        <v>15.2318645974362</v>
      </c>
      <c r="Y906" s="4">
        <v>15.283898978580099</v>
      </c>
      <c r="Z906" s="4">
        <v>15.240816439617401</v>
      </c>
      <c r="AA906" s="4">
        <f t="shared" si="59"/>
        <v>15.252193338544567</v>
      </c>
    </row>
    <row r="907" spans="2:27" x14ac:dyDescent="0.2">
      <c r="B907" s="4" t="s">
        <v>3811</v>
      </c>
      <c r="C907" s="4">
        <v>15.3408</v>
      </c>
      <c r="D907" s="4">
        <v>15.3483</v>
      </c>
      <c r="E907" s="4">
        <v>15.659700000000001</v>
      </c>
      <c r="F907" s="4">
        <f t="shared" si="56"/>
        <v>15.449599999999998</v>
      </c>
      <c r="I907" s="4" t="s">
        <v>227</v>
      </c>
      <c r="J907" s="4">
        <v>15.6294</v>
      </c>
      <c r="K907" s="4">
        <v>15.614100000000001</v>
      </c>
      <c r="L907" s="4">
        <v>15.173500000000001</v>
      </c>
      <c r="M907" s="4">
        <f t="shared" si="57"/>
        <v>15.472333333333333</v>
      </c>
      <c r="P907" s="4" t="str">
        <f>"hum-7"</f>
        <v>hum-7</v>
      </c>
      <c r="Q907" s="4">
        <v>15.337214258036701</v>
      </c>
      <c r="R907" s="4">
        <v>15.041795895824199</v>
      </c>
      <c r="S907" s="4">
        <v>15.066851103882399</v>
      </c>
      <c r="T907" s="4">
        <f t="shared" si="58"/>
        <v>15.148620419247768</v>
      </c>
      <c r="W907" s="4" t="str">
        <f>"Y47G6A.22"</f>
        <v>Y47G6A.22</v>
      </c>
      <c r="X907" s="4">
        <v>15.2918380127471</v>
      </c>
      <c r="Y907" s="4">
        <v>15.303050297870501</v>
      </c>
      <c r="Z907" s="4">
        <v>15.144260096347001</v>
      </c>
      <c r="AA907" s="4">
        <f t="shared" si="59"/>
        <v>15.246382802321534</v>
      </c>
    </row>
    <row r="908" spans="2:27" x14ac:dyDescent="0.2">
      <c r="B908" s="4" t="s">
        <v>2830</v>
      </c>
      <c r="C908" s="4">
        <v>15.3467</v>
      </c>
      <c r="D908" s="4">
        <v>15.567299999999999</v>
      </c>
      <c r="E908" s="4">
        <v>15.426</v>
      </c>
      <c r="F908" s="4">
        <f t="shared" si="56"/>
        <v>15.446666666666667</v>
      </c>
      <c r="I908" s="4" t="s">
        <v>3615</v>
      </c>
      <c r="J908" s="4">
        <v>15.7842</v>
      </c>
      <c r="K908" s="4">
        <v>14.905900000000001</v>
      </c>
      <c r="L908" s="4">
        <v>15.7216</v>
      </c>
      <c r="M908" s="4">
        <f t="shared" si="57"/>
        <v>15.470566666666668</v>
      </c>
      <c r="P908" s="4" t="str">
        <f>"R04F11.5"</f>
        <v>R04F11.5</v>
      </c>
      <c r="Q908" s="4">
        <v>15.005746513439201</v>
      </c>
      <c r="R908" s="4">
        <v>15.269918308696401</v>
      </c>
      <c r="S908" s="4">
        <v>15.1642802627556</v>
      </c>
      <c r="T908" s="4">
        <f t="shared" si="58"/>
        <v>15.146648361630403</v>
      </c>
      <c r="W908" s="4" t="str">
        <f>"iff-2"</f>
        <v>iff-2</v>
      </c>
      <c r="X908" s="4">
        <v>15.092683135429001</v>
      </c>
      <c r="Y908" s="4">
        <v>15.3608422649475</v>
      </c>
      <c r="Z908" s="4">
        <v>15.282810825701199</v>
      </c>
      <c r="AA908" s="4">
        <f t="shared" si="59"/>
        <v>15.245445408692566</v>
      </c>
    </row>
    <row r="909" spans="2:27" x14ac:dyDescent="0.2">
      <c r="B909" s="4" t="s">
        <v>1114</v>
      </c>
      <c r="C909" s="4">
        <v>15.638999999999999</v>
      </c>
      <c r="D909" s="4">
        <v>15.1218</v>
      </c>
      <c r="E909" s="4">
        <v>15.573499999999999</v>
      </c>
      <c r="F909" s="4">
        <f t="shared" si="56"/>
        <v>15.444766666666666</v>
      </c>
      <c r="I909" s="4" t="s">
        <v>2290</v>
      </c>
      <c r="J909" s="4">
        <v>15.491400000000001</v>
      </c>
      <c r="K909" s="4">
        <v>15.3864</v>
      </c>
      <c r="L909" s="4">
        <v>15.5243</v>
      </c>
      <c r="M909" s="4">
        <f t="shared" si="57"/>
        <v>15.467366666666669</v>
      </c>
      <c r="P909" s="4" t="str">
        <f>"utp-20"</f>
        <v>utp-20</v>
      </c>
      <c r="Q909" s="4">
        <v>15.1342072328356</v>
      </c>
      <c r="R909" s="4">
        <v>15.296734484165199</v>
      </c>
      <c r="S909" s="4">
        <v>15.007621804870601</v>
      </c>
      <c r="T909" s="4">
        <f t="shared" si="58"/>
        <v>15.146187840623801</v>
      </c>
      <c r="W909" s="4" t="str">
        <f>"gpx-2"</f>
        <v>gpx-2</v>
      </c>
      <c r="X909" s="4">
        <v>15.327657890090901</v>
      </c>
      <c r="Y909" s="4">
        <v>15.224282718862501</v>
      </c>
      <c r="Z909" s="4">
        <v>15.183301887567101</v>
      </c>
      <c r="AA909" s="4">
        <f t="shared" si="59"/>
        <v>15.2450808321735</v>
      </c>
    </row>
    <row r="910" spans="2:27" x14ac:dyDescent="0.2">
      <c r="B910" s="4" t="s">
        <v>876</v>
      </c>
      <c r="C910" s="4">
        <v>15.312200000000001</v>
      </c>
      <c r="D910" s="4">
        <v>15.533799999999999</v>
      </c>
      <c r="E910" s="4">
        <v>15.4876</v>
      </c>
      <c r="F910" s="4">
        <f t="shared" si="56"/>
        <v>15.444533333333334</v>
      </c>
      <c r="I910" s="4" t="s">
        <v>3329</v>
      </c>
      <c r="J910" s="4">
        <v>15.3506</v>
      </c>
      <c r="K910" s="4">
        <v>15.518700000000001</v>
      </c>
      <c r="L910" s="4">
        <v>15.532400000000001</v>
      </c>
      <c r="M910" s="4">
        <f t="shared" si="57"/>
        <v>15.467233333333334</v>
      </c>
      <c r="P910" s="4" t="str">
        <f>"natc-2"</f>
        <v>natc-2</v>
      </c>
      <c r="Q910" s="4">
        <v>15.065763778934301</v>
      </c>
      <c r="R910" s="4">
        <v>15.1123238363865</v>
      </c>
      <c r="S910" s="4">
        <v>15.2569666265181</v>
      </c>
      <c r="T910" s="4">
        <f t="shared" si="58"/>
        <v>15.145018080612966</v>
      </c>
      <c r="W910" s="4" t="str">
        <f>"let-721"</f>
        <v>let-721</v>
      </c>
      <c r="X910" s="4">
        <v>15.066472061221599</v>
      </c>
      <c r="Y910" s="4">
        <v>15.173268318577399</v>
      </c>
      <c r="Z910" s="4">
        <v>15.4912769893974</v>
      </c>
      <c r="AA910" s="4">
        <f t="shared" si="59"/>
        <v>15.2436724563988</v>
      </c>
    </row>
    <row r="911" spans="2:27" x14ac:dyDescent="0.2">
      <c r="B911" s="4" t="s">
        <v>3871</v>
      </c>
      <c r="C911" s="4">
        <v>15.2387</v>
      </c>
      <c r="D911" s="4">
        <v>15.73</v>
      </c>
      <c r="E911" s="4">
        <v>15.357699999999999</v>
      </c>
      <c r="F911" s="4">
        <f t="shared" si="56"/>
        <v>15.442133333333333</v>
      </c>
      <c r="I911" s="4" t="s">
        <v>2899</v>
      </c>
      <c r="J911" s="4">
        <v>15.3825</v>
      </c>
      <c r="K911" s="4">
        <v>15.795</v>
      </c>
      <c r="L911" s="4">
        <v>15.210900000000001</v>
      </c>
      <c r="M911" s="4">
        <f t="shared" si="57"/>
        <v>15.462800000000001</v>
      </c>
      <c r="P911" s="4" t="str">
        <f>"F53B3.6"</f>
        <v>F53B3.6</v>
      </c>
      <c r="Q911" s="4">
        <v>15.1884970930913</v>
      </c>
      <c r="R911" s="4">
        <v>15.0479251081386</v>
      </c>
      <c r="S911" s="4">
        <v>15.1947859149702</v>
      </c>
      <c r="T911" s="4">
        <f t="shared" si="58"/>
        <v>15.143736038733365</v>
      </c>
      <c r="W911" s="4" t="str">
        <f>"T10B11.6"</f>
        <v>T10B11.6</v>
      </c>
      <c r="X911" s="4">
        <v>14.9818729434388</v>
      </c>
      <c r="Y911" s="4">
        <v>15.356336547379801</v>
      </c>
      <c r="Z911" s="4">
        <v>15.3914429261624</v>
      </c>
      <c r="AA911" s="4">
        <f t="shared" si="59"/>
        <v>15.243217472326998</v>
      </c>
    </row>
    <row r="912" spans="2:27" x14ac:dyDescent="0.2">
      <c r="B912" s="4" t="s">
        <v>3803</v>
      </c>
      <c r="C912" s="4">
        <v>15.325200000000001</v>
      </c>
      <c r="D912" s="4">
        <v>15.756600000000001</v>
      </c>
      <c r="E912" s="4">
        <v>15.243</v>
      </c>
      <c r="F912" s="4">
        <f t="shared" si="56"/>
        <v>15.441600000000001</v>
      </c>
      <c r="I912" s="4" t="s">
        <v>1675</v>
      </c>
      <c r="J912" s="4">
        <v>15.827299999999999</v>
      </c>
      <c r="K912" s="4">
        <v>15.475899999999999</v>
      </c>
      <c r="L912" s="4">
        <v>15.083299999999999</v>
      </c>
      <c r="M912" s="4">
        <f t="shared" si="57"/>
        <v>15.462166666666667</v>
      </c>
      <c r="P912" s="4" t="str">
        <f>"daf-22"</f>
        <v>daf-22</v>
      </c>
      <c r="Q912" s="4">
        <v>15.1816672018345</v>
      </c>
      <c r="R912" s="4">
        <v>15.0728485073128</v>
      </c>
      <c r="S912" s="4">
        <v>15.1708384557469</v>
      </c>
      <c r="T912" s="4">
        <f t="shared" si="58"/>
        <v>15.141784721631401</v>
      </c>
      <c r="W912" s="4" t="str">
        <f>"Y38C1AA.7"</f>
        <v>Y38C1AA.7</v>
      </c>
      <c r="X912" s="4">
        <v>15.224812910999299</v>
      </c>
      <c r="Y912" s="4">
        <v>15.3952675073006</v>
      </c>
      <c r="Z912" s="4">
        <v>15.108324964932001</v>
      </c>
      <c r="AA912" s="4">
        <f t="shared" si="59"/>
        <v>15.242801794410633</v>
      </c>
    </row>
    <row r="913" spans="2:27" x14ac:dyDescent="0.2">
      <c r="B913" s="4" t="s">
        <v>388</v>
      </c>
      <c r="C913" s="4">
        <v>15.463800000000001</v>
      </c>
      <c r="D913" s="4">
        <v>15.2692</v>
      </c>
      <c r="E913" s="4">
        <v>15.5871</v>
      </c>
      <c r="F913" s="4">
        <f t="shared" si="56"/>
        <v>15.440033333333332</v>
      </c>
      <c r="I913" s="4" t="s">
        <v>1720</v>
      </c>
      <c r="J913" s="4">
        <v>15.675000000000001</v>
      </c>
      <c r="K913" s="4">
        <v>15.549099999999999</v>
      </c>
      <c r="L913" s="4">
        <v>15.1533</v>
      </c>
      <c r="M913" s="4">
        <f t="shared" si="57"/>
        <v>15.459133333333334</v>
      </c>
      <c r="P913" s="4" t="str">
        <f>"apm-1"</f>
        <v>apm-1</v>
      </c>
      <c r="Q913" s="4">
        <v>15.1402722157013</v>
      </c>
      <c r="R913" s="4">
        <v>15.111900988970801</v>
      </c>
      <c r="S913" s="4">
        <v>15.169218384542299</v>
      </c>
      <c r="T913" s="4">
        <f t="shared" si="58"/>
        <v>15.140463863071467</v>
      </c>
      <c r="W913" s="4" t="str">
        <f>"vps-26"</f>
        <v>vps-26</v>
      </c>
      <c r="X913" s="4">
        <v>15.4826867954562</v>
      </c>
      <c r="Y913" s="4">
        <v>15.2447049437761</v>
      </c>
      <c r="Z913" s="4">
        <v>14.9968047486805</v>
      </c>
      <c r="AA913" s="4">
        <f t="shared" si="59"/>
        <v>15.241398829304266</v>
      </c>
    </row>
    <row r="914" spans="2:27" x14ac:dyDescent="0.2">
      <c r="B914" s="4" t="s">
        <v>2970</v>
      </c>
      <c r="C914" s="4">
        <v>15.447699999999999</v>
      </c>
      <c r="D914" s="4">
        <v>15.481199999999999</v>
      </c>
      <c r="E914" s="4">
        <v>15.38</v>
      </c>
      <c r="F914" s="4">
        <f t="shared" si="56"/>
        <v>15.436300000000001</v>
      </c>
      <c r="I914" s="4" t="s">
        <v>3008</v>
      </c>
      <c r="J914" s="4">
        <v>15.3117</v>
      </c>
      <c r="K914" s="4">
        <v>15.571400000000001</v>
      </c>
      <c r="L914" s="4">
        <v>15.486499999999999</v>
      </c>
      <c r="M914" s="4">
        <f t="shared" si="57"/>
        <v>15.456533333333333</v>
      </c>
      <c r="P914" s="4" t="str">
        <f>"mtr-4"</f>
        <v>mtr-4</v>
      </c>
      <c r="Q914" s="4">
        <v>15.050971152216301</v>
      </c>
      <c r="R914" s="4">
        <v>15.087821680354599</v>
      </c>
      <c r="S914" s="4">
        <v>15.2798423793729</v>
      </c>
      <c r="T914" s="4">
        <f t="shared" si="58"/>
        <v>15.139545070647934</v>
      </c>
      <c r="W914" s="4" t="str">
        <f>"mrpl-13"</f>
        <v>mrpl-13</v>
      </c>
      <c r="X914" s="4">
        <v>15.1042795808098</v>
      </c>
      <c r="Y914" s="4">
        <v>15.2404485079726</v>
      </c>
      <c r="Z914" s="4">
        <v>15.3774256455174</v>
      </c>
      <c r="AA914" s="4">
        <f t="shared" si="59"/>
        <v>15.240717911433267</v>
      </c>
    </row>
    <row r="915" spans="2:27" x14ac:dyDescent="0.2">
      <c r="B915" s="4" t="s">
        <v>3874</v>
      </c>
      <c r="C915" s="4">
        <v>15.4915</v>
      </c>
      <c r="D915" s="4">
        <v>15.2949</v>
      </c>
      <c r="E915" s="4">
        <v>15.5101</v>
      </c>
      <c r="F915" s="4">
        <f t="shared" si="56"/>
        <v>15.432166666666667</v>
      </c>
      <c r="I915" s="4" t="s">
        <v>876</v>
      </c>
      <c r="J915" s="4">
        <v>15.5063</v>
      </c>
      <c r="K915" s="4">
        <v>15.632099999999999</v>
      </c>
      <c r="L915" s="4">
        <v>15.2281</v>
      </c>
      <c r="M915" s="4">
        <f t="shared" si="57"/>
        <v>15.455499999999999</v>
      </c>
      <c r="P915" s="4" t="str">
        <f>"daf-15"</f>
        <v>daf-15</v>
      </c>
      <c r="Q915" s="4">
        <v>15.321934190930101</v>
      </c>
      <c r="R915" s="4">
        <v>15.084160429452201</v>
      </c>
      <c r="S915" s="4">
        <v>15.002718427689</v>
      </c>
      <c r="T915" s="4">
        <f t="shared" si="58"/>
        <v>15.136271016023768</v>
      </c>
      <c r="W915" s="4" t="str">
        <f>"R144.11"</f>
        <v>R144.11</v>
      </c>
      <c r="X915" s="4">
        <v>15.1110684427819</v>
      </c>
      <c r="Y915" s="4">
        <v>15.389227530534701</v>
      </c>
      <c r="Z915" s="4">
        <v>15.2116449631087</v>
      </c>
      <c r="AA915" s="4">
        <f t="shared" si="59"/>
        <v>15.237313645475099</v>
      </c>
    </row>
    <row r="916" spans="2:27" x14ac:dyDescent="0.2">
      <c r="B916" s="4" t="s">
        <v>3876</v>
      </c>
      <c r="C916" s="4">
        <v>15.529</v>
      </c>
      <c r="D916" s="4">
        <v>15.6181</v>
      </c>
      <c r="E916" s="4">
        <v>15.1463</v>
      </c>
      <c r="F916" s="4">
        <f t="shared" si="56"/>
        <v>15.431133333333335</v>
      </c>
      <c r="I916" s="4" t="s">
        <v>2857</v>
      </c>
      <c r="J916" s="4">
        <v>15.482900000000001</v>
      </c>
      <c r="K916" s="4">
        <v>15.4384</v>
      </c>
      <c r="L916" s="4">
        <v>15.4345</v>
      </c>
      <c r="M916" s="4">
        <f t="shared" si="57"/>
        <v>15.451933333333335</v>
      </c>
      <c r="P916" s="4" t="str">
        <f>"H24K24.3"</f>
        <v>H24K24.3</v>
      </c>
      <c r="Q916" s="4">
        <v>15.1231320310758</v>
      </c>
      <c r="R916" s="4">
        <v>15.104483042366301</v>
      </c>
      <c r="S916" s="4">
        <v>15.178824550852299</v>
      </c>
      <c r="T916" s="4">
        <f t="shared" si="58"/>
        <v>15.135479874764799</v>
      </c>
      <c r="W916" s="4" t="str">
        <f>"gale-1"</f>
        <v>gale-1</v>
      </c>
      <c r="X916" s="4">
        <v>15.268030284417801</v>
      </c>
      <c r="Y916" s="4">
        <v>15.2204493415342</v>
      </c>
      <c r="Z916" s="4">
        <v>15.2186535696965</v>
      </c>
      <c r="AA916" s="4">
        <f t="shared" si="59"/>
        <v>15.235711065216167</v>
      </c>
    </row>
    <row r="917" spans="2:27" x14ac:dyDescent="0.2">
      <c r="B917" s="4" t="s">
        <v>3209</v>
      </c>
      <c r="C917" s="4">
        <v>15.5097</v>
      </c>
      <c r="D917" s="4">
        <v>15.301399999999999</v>
      </c>
      <c r="E917" s="4">
        <v>15.4674</v>
      </c>
      <c r="F917" s="4">
        <f t="shared" si="56"/>
        <v>15.426166666666667</v>
      </c>
      <c r="I917" s="4" t="s">
        <v>4650</v>
      </c>
      <c r="J917" s="4">
        <v>14.9948</v>
      </c>
      <c r="K917" s="4">
        <v>15.4313</v>
      </c>
      <c r="L917" s="4">
        <v>15.9209</v>
      </c>
      <c r="M917" s="4">
        <f t="shared" si="57"/>
        <v>15.448999999999998</v>
      </c>
      <c r="P917" s="4" t="str">
        <f>"ufl-1"</f>
        <v>ufl-1</v>
      </c>
      <c r="Q917" s="4">
        <v>15.153084488125</v>
      </c>
      <c r="R917" s="4">
        <v>15.1800949095047</v>
      </c>
      <c r="S917" s="4">
        <v>15.071509195640401</v>
      </c>
      <c r="T917" s="4">
        <f t="shared" si="58"/>
        <v>15.134896197756701</v>
      </c>
      <c r="W917" s="4" t="str">
        <f>"imp-2"</f>
        <v>imp-2</v>
      </c>
      <c r="X917" s="4">
        <v>15.457916667234199</v>
      </c>
      <c r="Y917" s="4">
        <v>15.1348146482191</v>
      </c>
      <c r="Z917" s="4">
        <v>15.1089154320414</v>
      </c>
      <c r="AA917" s="4">
        <f t="shared" si="59"/>
        <v>15.2338822491649</v>
      </c>
    </row>
    <row r="918" spans="2:27" x14ac:dyDescent="0.2">
      <c r="B918" s="4" t="s">
        <v>3574</v>
      </c>
      <c r="C918" s="4">
        <v>15.0984</v>
      </c>
      <c r="D918" s="4">
        <v>15.916499999999999</v>
      </c>
      <c r="E918" s="4">
        <v>15.253299999999999</v>
      </c>
      <c r="F918" s="4">
        <f t="shared" si="56"/>
        <v>15.422733333333332</v>
      </c>
      <c r="I918" s="4" t="s">
        <v>2242</v>
      </c>
      <c r="J918" s="4">
        <v>15.4572</v>
      </c>
      <c r="K918" s="4">
        <v>15.4673</v>
      </c>
      <c r="L918" s="4">
        <v>15.4137</v>
      </c>
      <c r="M918" s="4">
        <f t="shared" si="57"/>
        <v>15.446066666666667</v>
      </c>
      <c r="P918" s="4" t="str">
        <f>"trap-2"</f>
        <v>trap-2</v>
      </c>
      <c r="Q918" s="4">
        <v>15.161400338652999</v>
      </c>
      <c r="R918" s="4">
        <v>15.087466459077</v>
      </c>
      <c r="S918" s="4">
        <v>15.146480004834499</v>
      </c>
      <c r="T918" s="4">
        <f t="shared" si="58"/>
        <v>15.131782267521499</v>
      </c>
      <c r="W918" s="4" t="str">
        <f>"him-4"</f>
        <v>him-4</v>
      </c>
      <c r="X918" s="4">
        <v>15.3683200187683</v>
      </c>
      <c r="Y918" s="4">
        <v>15.255853668419199</v>
      </c>
      <c r="Z918" s="4">
        <v>15.064886953680499</v>
      </c>
      <c r="AA918" s="4">
        <f t="shared" si="59"/>
        <v>15.229686880289334</v>
      </c>
    </row>
    <row r="919" spans="2:27" x14ac:dyDescent="0.2">
      <c r="B919" s="4" t="s">
        <v>2122</v>
      </c>
      <c r="C919" s="4">
        <v>15.429399999999999</v>
      </c>
      <c r="D919" s="4">
        <v>15.557600000000001</v>
      </c>
      <c r="E919" s="4">
        <v>15.259499999999999</v>
      </c>
      <c r="F919" s="4">
        <f t="shared" si="56"/>
        <v>15.4155</v>
      </c>
      <c r="I919" s="4" t="s">
        <v>3146</v>
      </c>
      <c r="J919" s="4">
        <v>15.6625</v>
      </c>
      <c r="K919" s="4">
        <v>15.257199999999999</v>
      </c>
      <c r="L919" s="4">
        <v>15.418200000000001</v>
      </c>
      <c r="M919" s="4">
        <f t="shared" si="57"/>
        <v>15.445966666666665</v>
      </c>
      <c r="P919" s="4" t="str">
        <f>"rpb-7"</f>
        <v>rpb-7</v>
      </c>
      <c r="Q919" s="4">
        <v>15.029043217433101</v>
      </c>
      <c r="R919" s="4">
        <v>15.088531530086399</v>
      </c>
      <c r="S919" s="4">
        <v>15.2747339016694</v>
      </c>
      <c r="T919" s="4">
        <f t="shared" si="58"/>
        <v>15.130769549729633</v>
      </c>
      <c r="W919" s="4" t="str">
        <f>"unc-44"</f>
        <v>unc-44</v>
      </c>
      <c r="X919" s="4">
        <v>15.189439955296899</v>
      </c>
      <c r="Y919" s="4">
        <v>15.1293960767517</v>
      </c>
      <c r="Z919" s="4">
        <v>15.364799693690401</v>
      </c>
      <c r="AA919" s="4">
        <f t="shared" si="59"/>
        <v>15.227878575246335</v>
      </c>
    </row>
    <row r="920" spans="2:27" x14ac:dyDescent="0.2">
      <c r="B920" s="4" t="s">
        <v>691</v>
      </c>
      <c r="C920" s="4">
        <v>15.290900000000001</v>
      </c>
      <c r="D920" s="4">
        <v>15.7921</v>
      </c>
      <c r="E920" s="4">
        <v>15.162699999999999</v>
      </c>
      <c r="F920" s="4">
        <f t="shared" si="56"/>
        <v>15.415233333333333</v>
      </c>
      <c r="I920" s="4" t="s">
        <v>2671</v>
      </c>
      <c r="J920" s="4">
        <v>15.389200000000001</v>
      </c>
      <c r="K920" s="4">
        <v>15.445600000000001</v>
      </c>
      <c r="L920" s="4">
        <v>15.501200000000001</v>
      </c>
      <c r="M920" s="4">
        <f t="shared" si="57"/>
        <v>15.445333333333332</v>
      </c>
      <c r="P920" s="4" t="str">
        <f>"exos-1"</f>
        <v>exos-1</v>
      </c>
      <c r="Q920" s="4">
        <v>15.2873899261985</v>
      </c>
      <c r="R920" s="4">
        <v>15.0315468474851</v>
      </c>
      <c r="S920" s="4">
        <v>15.0673577763514</v>
      </c>
      <c r="T920" s="4">
        <f t="shared" si="58"/>
        <v>15.128764850011668</v>
      </c>
      <c r="W920" s="4" t="str">
        <f>"npp-15"</f>
        <v>npp-15</v>
      </c>
      <c r="X920" s="4">
        <v>15.311995448312601</v>
      </c>
      <c r="Y920" s="4">
        <v>15.2864338247985</v>
      </c>
      <c r="Z920" s="4">
        <v>15.068188159106199</v>
      </c>
      <c r="AA920" s="4">
        <f t="shared" si="59"/>
        <v>15.2222058107391</v>
      </c>
    </row>
    <row r="921" spans="2:27" x14ac:dyDescent="0.2">
      <c r="B921" s="4" t="s">
        <v>3080</v>
      </c>
      <c r="C921" s="4">
        <v>15.687099999999999</v>
      </c>
      <c r="D921" s="4">
        <v>15.1805</v>
      </c>
      <c r="E921" s="4">
        <v>15.378</v>
      </c>
      <c r="F921" s="4">
        <f t="shared" si="56"/>
        <v>15.415199999999999</v>
      </c>
      <c r="I921" s="4" t="s">
        <v>3959</v>
      </c>
      <c r="J921" s="4">
        <v>15.5116</v>
      </c>
      <c r="K921" s="4">
        <v>15.553000000000001</v>
      </c>
      <c r="L921" s="4">
        <v>15.2713</v>
      </c>
      <c r="M921" s="4">
        <f t="shared" si="57"/>
        <v>15.445299999999998</v>
      </c>
      <c r="P921" s="4" t="str">
        <f>"aakg-2"</f>
        <v>aakg-2</v>
      </c>
      <c r="Q921" s="4">
        <v>15.2370337763734</v>
      </c>
      <c r="R921" s="4">
        <v>15.0474788741837</v>
      </c>
      <c r="S921" s="4">
        <v>15.0983038912778</v>
      </c>
      <c r="T921" s="4">
        <f t="shared" si="58"/>
        <v>15.127605513944966</v>
      </c>
      <c r="W921" s="4" t="str">
        <f>"pfn-3"</f>
        <v>pfn-3</v>
      </c>
      <c r="X921" s="4">
        <v>15.327750311236899</v>
      </c>
      <c r="Y921" s="4">
        <v>15.1948613404297</v>
      </c>
      <c r="Z921" s="4">
        <v>15.141877638215</v>
      </c>
      <c r="AA921" s="4">
        <f t="shared" si="59"/>
        <v>15.221496429960533</v>
      </c>
    </row>
    <row r="922" spans="2:27" x14ac:dyDescent="0.2">
      <c r="B922" s="4" t="s">
        <v>1166</v>
      </c>
      <c r="C922" s="4">
        <v>15.571999999999999</v>
      </c>
      <c r="D922" s="4">
        <v>15.4924</v>
      </c>
      <c r="E922" s="4">
        <v>15.1784</v>
      </c>
      <c r="F922" s="4">
        <f t="shared" si="56"/>
        <v>15.414266666666668</v>
      </c>
      <c r="I922" s="4" t="s">
        <v>3323</v>
      </c>
      <c r="J922" s="4">
        <v>15.622299999999999</v>
      </c>
      <c r="K922" s="4">
        <v>15.400600000000001</v>
      </c>
      <c r="L922" s="4">
        <v>15.312799999999999</v>
      </c>
      <c r="M922" s="4">
        <f t="shared" si="57"/>
        <v>15.445233333333334</v>
      </c>
      <c r="P922" s="4" t="str">
        <f>"algn-11"</f>
        <v>algn-11</v>
      </c>
      <c r="Q922" s="4">
        <v>15.003702589171001</v>
      </c>
      <c r="R922" s="4">
        <v>15.219347353739201</v>
      </c>
      <c r="S922" s="4">
        <v>15.155308230498401</v>
      </c>
      <c r="T922" s="4">
        <f t="shared" si="58"/>
        <v>15.1261193911362</v>
      </c>
      <c r="W922" s="4" t="str">
        <f>"natc-2"</f>
        <v>natc-2</v>
      </c>
      <c r="X922" s="4">
        <v>15.276595293437699</v>
      </c>
      <c r="Y922" s="4">
        <v>15.305555507268201</v>
      </c>
      <c r="Z922" s="4">
        <v>15.058085294250899</v>
      </c>
      <c r="AA922" s="4">
        <f t="shared" si="59"/>
        <v>15.213412031652267</v>
      </c>
    </row>
    <row r="923" spans="2:27" x14ac:dyDescent="0.2">
      <c r="B923" s="4" t="s">
        <v>3014</v>
      </c>
      <c r="C923" s="4">
        <v>15.9024</v>
      </c>
      <c r="D923" s="4">
        <v>14.9917</v>
      </c>
      <c r="E923" s="4">
        <v>15.3446</v>
      </c>
      <c r="F923" s="4">
        <f t="shared" si="56"/>
        <v>15.4129</v>
      </c>
      <c r="I923" s="4" t="s">
        <v>1500</v>
      </c>
      <c r="J923" s="4">
        <v>15.7217</v>
      </c>
      <c r="K923" s="4">
        <v>15.079599999999999</v>
      </c>
      <c r="L923" s="4">
        <v>15.530200000000001</v>
      </c>
      <c r="M923" s="4">
        <f t="shared" si="57"/>
        <v>15.443833333333332</v>
      </c>
      <c r="P923" s="4" t="str">
        <f>"rpl-11.1"</f>
        <v>rpl-11.1</v>
      </c>
      <c r="Q923" s="4">
        <v>16.278062944335499</v>
      </c>
      <c r="R923" s="4">
        <v>14.475572998580301</v>
      </c>
      <c r="S923" s="4">
        <v>14.6179932429605</v>
      </c>
      <c r="T923" s="4">
        <f t="shared" si="58"/>
        <v>15.1238763952921</v>
      </c>
      <c r="W923" s="4" t="str">
        <f>"C01B10.11"</f>
        <v>C01B10.11</v>
      </c>
      <c r="X923" s="4">
        <v>15.054658101006099</v>
      </c>
      <c r="Y923" s="4">
        <v>15.4012023157446</v>
      </c>
      <c r="Z923" s="4">
        <v>15.183949564118199</v>
      </c>
      <c r="AA923" s="4">
        <f t="shared" si="59"/>
        <v>15.213269993622966</v>
      </c>
    </row>
    <row r="924" spans="2:27" x14ac:dyDescent="0.2">
      <c r="B924" s="4" t="s">
        <v>1755</v>
      </c>
      <c r="C924" s="4">
        <v>15.239699999999999</v>
      </c>
      <c r="D924" s="4">
        <v>15.601699999999999</v>
      </c>
      <c r="E924" s="4">
        <v>15.395200000000001</v>
      </c>
      <c r="F924" s="4">
        <f t="shared" si="56"/>
        <v>15.4122</v>
      </c>
      <c r="I924" s="4" t="s">
        <v>2687</v>
      </c>
      <c r="J924" s="4">
        <v>15.531000000000001</v>
      </c>
      <c r="K924" s="4">
        <v>15.543699999999999</v>
      </c>
      <c r="L924" s="4">
        <v>15.253299999999999</v>
      </c>
      <c r="M924" s="4">
        <f t="shared" si="57"/>
        <v>15.442666666666668</v>
      </c>
      <c r="P924" s="4" t="str">
        <f>"prdx-3"</f>
        <v>prdx-3</v>
      </c>
      <c r="Q924" s="4">
        <v>15.3865035623497</v>
      </c>
      <c r="R924" s="4">
        <v>14.890308793291201</v>
      </c>
      <c r="S924" s="4">
        <v>15.087174000688</v>
      </c>
      <c r="T924" s="4">
        <f t="shared" si="58"/>
        <v>15.121328785442968</v>
      </c>
      <c r="W924" s="4" t="str">
        <f>"ehbp-1"</f>
        <v>ehbp-1</v>
      </c>
      <c r="X924" s="4">
        <v>15.079853351433799</v>
      </c>
      <c r="Y924" s="4">
        <v>15.2544931164517</v>
      </c>
      <c r="Z924" s="4">
        <v>15.296392922916599</v>
      </c>
      <c r="AA924" s="4">
        <f t="shared" si="59"/>
        <v>15.210246463600699</v>
      </c>
    </row>
    <row r="925" spans="2:27" x14ac:dyDescent="0.2">
      <c r="B925" s="4" t="s">
        <v>3722</v>
      </c>
      <c r="C925" s="4">
        <v>15.559900000000001</v>
      </c>
      <c r="D925" s="4">
        <v>15.478</v>
      </c>
      <c r="E925" s="4">
        <v>15.193199999999999</v>
      </c>
      <c r="F925" s="4">
        <f t="shared" si="56"/>
        <v>15.410366666666667</v>
      </c>
      <c r="I925" s="4" t="s">
        <v>3776</v>
      </c>
      <c r="J925" s="4">
        <v>15.7387</v>
      </c>
      <c r="K925" s="4">
        <v>15.559200000000001</v>
      </c>
      <c r="L925" s="4">
        <v>15.027799999999999</v>
      </c>
      <c r="M925" s="4">
        <f t="shared" si="57"/>
        <v>15.441899999999999</v>
      </c>
      <c r="P925" s="4" t="str">
        <f>"ltah-1.1"</f>
        <v>ltah-1.1</v>
      </c>
      <c r="Q925" s="4">
        <v>15.248437785881</v>
      </c>
      <c r="R925" s="4">
        <v>15.033748392392001</v>
      </c>
      <c r="S925" s="4">
        <v>15.0783713449031</v>
      </c>
      <c r="T925" s="4">
        <f t="shared" si="58"/>
        <v>15.120185841058699</v>
      </c>
      <c r="W925" s="4" t="str">
        <f>"rpom-1"</f>
        <v>rpom-1</v>
      </c>
      <c r="X925" s="4">
        <v>15.0036916768904</v>
      </c>
      <c r="Y925" s="4">
        <v>15.248044888032901</v>
      </c>
      <c r="Z925" s="4">
        <v>15.3719204090392</v>
      </c>
      <c r="AA925" s="4">
        <f t="shared" si="59"/>
        <v>15.207885657987498</v>
      </c>
    </row>
    <row r="926" spans="2:27" x14ac:dyDescent="0.2">
      <c r="B926" s="4" t="s">
        <v>493</v>
      </c>
      <c r="C926" s="4">
        <v>15.850899999999999</v>
      </c>
      <c r="D926" s="4">
        <v>14.669600000000001</v>
      </c>
      <c r="E926" s="4">
        <v>15.7096</v>
      </c>
      <c r="F926" s="4">
        <f t="shared" si="56"/>
        <v>15.410033333333333</v>
      </c>
      <c r="I926" s="4" t="s">
        <v>388</v>
      </c>
      <c r="J926" s="4">
        <v>15.564299999999999</v>
      </c>
      <c r="K926" s="4">
        <v>15.3223</v>
      </c>
      <c r="L926" s="4">
        <v>15.4328</v>
      </c>
      <c r="M926" s="4">
        <f t="shared" si="57"/>
        <v>15.4398</v>
      </c>
      <c r="P926" s="4" t="str">
        <f>"vit-3"</f>
        <v>vit-3</v>
      </c>
      <c r="Q926" s="4">
        <v>14.830676266131</v>
      </c>
      <c r="R926" s="4">
        <v>15.2217820498491</v>
      </c>
      <c r="S926" s="4">
        <v>15.3003832740695</v>
      </c>
      <c r="T926" s="4">
        <f t="shared" si="58"/>
        <v>15.117613863349867</v>
      </c>
      <c r="W926" s="4" t="str">
        <f>"lpin-1"</f>
        <v>lpin-1</v>
      </c>
      <c r="X926" s="4">
        <v>15.415783473022399</v>
      </c>
      <c r="Y926" s="4">
        <v>15.0776374536097</v>
      </c>
      <c r="Z926" s="4">
        <v>15.128065590592801</v>
      </c>
      <c r="AA926" s="4">
        <f t="shared" si="59"/>
        <v>15.207162172408298</v>
      </c>
    </row>
    <row r="927" spans="2:27" x14ac:dyDescent="0.2">
      <c r="B927" s="4" t="s">
        <v>3772</v>
      </c>
      <c r="C927" s="4">
        <v>15.1975</v>
      </c>
      <c r="D927" s="4">
        <v>15.697900000000001</v>
      </c>
      <c r="E927" s="4">
        <v>15.333399999999999</v>
      </c>
      <c r="F927" s="4">
        <f t="shared" si="56"/>
        <v>15.409599999999999</v>
      </c>
      <c r="I927" s="4" t="s">
        <v>2402</v>
      </c>
      <c r="J927" s="4">
        <v>15.5595</v>
      </c>
      <c r="K927" s="4">
        <v>15.245799999999999</v>
      </c>
      <c r="L927" s="4">
        <v>15.510899999999999</v>
      </c>
      <c r="M927" s="4">
        <f t="shared" si="57"/>
        <v>15.438733333333332</v>
      </c>
      <c r="P927" s="4" t="str">
        <f>"inx-15"</f>
        <v>inx-15</v>
      </c>
      <c r="Q927" s="4">
        <v>14.912691083381601</v>
      </c>
      <c r="R927" s="4">
        <v>15.0194945560226</v>
      </c>
      <c r="S927" s="4">
        <v>15.414723366623999</v>
      </c>
      <c r="T927" s="4">
        <f t="shared" si="58"/>
        <v>15.115636335342733</v>
      </c>
      <c r="W927" s="4" t="str">
        <f>"nmt-1"</f>
        <v>nmt-1</v>
      </c>
      <c r="X927" s="4">
        <v>15.367629769035901</v>
      </c>
      <c r="Y927" s="4">
        <v>14.9542447015648</v>
      </c>
      <c r="Z927" s="4">
        <v>15.292000231171899</v>
      </c>
      <c r="AA927" s="4">
        <f t="shared" si="59"/>
        <v>15.204624900590867</v>
      </c>
    </row>
    <row r="928" spans="2:27" x14ac:dyDescent="0.2">
      <c r="B928" s="4" t="s">
        <v>1284</v>
      </c>
      <c r="C928" s="4">
        <v>15.2209</v>
      </c>
      <c r="D928" s="4">
        <v>15.742000000000001</v>
      </c>
      <c r="E928" s="4">
        <v>15.265599999999999</v>
      </c>
      <c r="F928" s="4">
        <f t="shared" si="56"/>
        <v>15.4095</v>
      </c>
      <c r="I928" s="4" t="s">
        <v>1040</v>
      </c>
      <c r="J928" s="4">
        <v>15.5383</v>
      </c>
      <c r="K928" s="4">
        <v>15.6616</v>
      </c>
      <c r="L928" s="4">
        <v>15.1151</v>
      </c>
      <c r="M928" s="4">
        <f t="shared" si="57"/>
        <v>15.438333333333333</v>
      </c>
      <c r="P928" s="4" t="str">
        <f>"vit-1"</f>
        <v>vit-1</v>
      </c>
      <c r="Q928" s="4">
        <v>14.6966918832058</v>
      </c>
      <c r="R928" s="4">
        <v>15.2839058649015</v>
      </c>
      <c r="S928" s="4">
        <v>15.3377120076241</v>
      </c>
      <c r="T928" s="4">
        <f t="shared" si="58"/>
        <v>15.106103251910467</v>
      </c>
      <c r="W928" s="4" t="str">
        <f>"sec-6"</f>
        <v>sec-6</v>
      </c>
      <c r="X928" s="4">
        <v>15.4224472291664</v>
      </c>
      <c r="Y928" s="4">
        <v>15.0599140079521</v>
      </c>
      <c r="Z928" s="4">
        <v>15.1304122837298</v>
      </c>
      <c r="AA928" s="4">
        <f t="shared" si="59"/>
        <v>15.204257840282766</v>
      </c>
    </row>
    <row r="929" spans="2:27" x14ac:dyDescent="0.2">
      <c r="B929" s="4" t="s">
        <v>4646</v>
      </c>
      <c r="C929" s="4">
        <v>15.870100000000001</v>
      </c>
      <c r="D929" s="4">
        <v>15.118499999999999</v>
      </c>
      <c r="E929" s="4">
        <v>15.2385</v>
      </c>
      <c r="F929" s="4">
        <f t="shared" si="56"/>
        <v>15.409033333333333</v>
      </c>
      <c r="I929" s="4" t="s">
        <v>3495</v>
      </c>
      <c r="J929" s="4">
        <v>15.463900000000001</v>
      </c>
      <c r="K929" s="4">
        <v>15.3773</v>
      </c>
      <c r="L929" s="4">
        <v>15.47</v>
      </c>
      <c r="M929" s="4">
        <f t="shared" si="57"/>
        <v>15.437066666666666</v>
      </c>
      <c r="P929" s="4" t="str">
        <f>"eak-7"</f>
        <v>eak-7</v>
      </c>
      <c r="Q929" s="4">
        <v>15.219819082279299</v>
      </c>
      <c r="R929" s="4">
        <v>15.0283380481448</v>
      </c>
      <c r="S929" s="4">
        <v>15.0584076084542</v>
      </c>
      <c r="T929" s="4">
        <f t="shared" si="58"/>
        <v>15.102188246292764</v>
      </c>
      <c r="W929" s="4" t="str">
        <f>"cox-6A"</f>
        <v>cox-6A</v>
      </c>
      <c r="X929" s="4">
        <v>15.348867522343401</v>
      </c>
      <c r="Y929" s="4">
        <v>15.2655270131704</v>
      </c>
      <c r="Z929" s="4">
        <v>14.9409812168846</v>
      </c>
      <c r="AA929" s="4">
        <f t="shared" si="59"/>
        <v>15.185125250799468</v>
      </c>
    </row>
    <row r="930" spans="2:27" x14ac:dyDescent="0.2">
      <c r="B930" s="4" t="s">
        <v>4428</v>
      </c>
      <c r="C930" s="4">
        <v>15.3591</v>
      </c>
      <c r="D930" s="4">
        <v>15.583500000000001</v>
      </c>
      <c r="E930" s="4">
        <v>15.277900000000001</v>
      </c>
      <c r="F930" s="4">
        <f t="shared" si="56"/>
        <v>15.406833333333333</v>
      </c>
      <c r="I930" s="4" t="s">
        <v>1284</v>
      </c>
      <c r="J930" s="4">
        <v>15.48</v>
      </c>
      <c r="K930" s="4">
        <v>15.5779</v>
      </c>
      <c r="L930" s="4">
        <v>15.248799999999999</v>
      </c>
      <c r="M930" s="4">
        <f t="shared" si="57"/>
        <v>15.435566666666666</v>
      </c>
      <c r="P930" s="4" t="str">
        <f>"dhod-1"</f>
        <v>dhod-1</v>
      </c>
      <c r="Q930" s="4">
        <v>14.8837038562842</v>
      </c>
      <c r="R930" s="4">
        <v>15.179323920135101</v>
      </c>
      <c r="S930" s="4">
        <v>15.242419546423999</v>
      </c>
      <c r="T930" s="4">
        <f t="shared" si="58"/>
        <v>15.1018157742811</v>
      </c>
      <c r="W930" s="4" t="str">
        <f>"slc-25a21"</f>
        <v>slc-25a21</v>
      </c>
      <c r="X930" s="4">
        <v>15.1029588971997</v>
      </c>
      <c r="Y930" s="4">
        <v>15.218119580736101</v>
      </c>
      <c r="Z930" s="4">
        <v>15.2244381230113</v>
      </c>
      <c r="AA930" s="4">
        <f t="shared" si="59"/>
        <v>15.181838866982366</v>
      </c>
    </row>
    <row r="931" spans="2:27" x14ac:dyDescent="0.2">
      <c r="B931" s="4" t="s">
        <v>971</v>
      </c>
      <c r="C931" s="4">
        <v>15.1251</v>
      </c>
      <c r="D931" s="4">
        <v>15.6861</v>
      </c>
      <c r="E931" s="4">
        <v>15.408899999999999</v>
      </c>
      <c r="F931" s="4">
        <f t="shared" si="56"/>
        <v>15.406700000000001</v>
      </c>
      <c r="I931" s="4" t="s">
        <v>2630</v>
      </c>
      <c r="J931" s="4">
        <v>15.123799999999999</v>
      </c>
      <c r="K931" s="4">
        <v>15.5723</v>
      </c>
      <c r="L931" s="4">
        <v>15.607699999999999</v>
      </c>
      <c r="M931" s="4">
        <f t="shared" si="57"/>
        <v>15.434600000000001</v>
      </c>
      <c r="P931" s="4" t="str">
        <f>"yars-2"</f>
        <v>yars-2</v>
      </c>
      <c r="Q931" s="4">
        <v>15.1955364706668</v>
      </c>
      <c r="R931" s="4">
        <v>15.1629359400703</v>
      </c>
      <c r="S931" s="4">
        <v>14.9464106991812</v>
      </c>
      <c r="T931" s="4">
        <f t="shared" si="58"/>
        <v>15.1016277033061</v>
      </c>
      <c r="W931" s="4" t="str">
        <f>"mrpl-46"</f>
        <v>mrpl-46</v>
      </c>
      <c r="X931" s="4">
        <v>14.9521906040435</v>
      </c>
      <c r="Y931" s="4">
        <v>15.3239567330893</v>
      </c>
      <c r="Z931" s="4">
        <v>15.2661384673324</v>
      </c>
      <c r="AA931" s="4">
        <f t="shared" si="59"/>
        <v>15.180761934821732</v>
      </c>
    </row>
    <row r="932" spans="2:27" x14ac:dyDescent="0.2">
      <c r="B932" s="4" t="s">
        <v>912</v>
      </c>
      <c r="C932" s="4">
        <v>15.446199999999999</v>
      </c>
      <c r="D932" s="4">
        <v>15.617900000000001</v>
      </c>
      <c r="E932" s="4">
        <v>15.1548</v>
      </c>
      <c r="F932" s="4">
        <f t="shared" si="56"/>
        <v>15.4063</v>
      </c>
      <c r="I932" s="4" t="s">
        <v>1263</v>
      </c>
      <c r="J932" s="4">
        <v>15.5205</v>
      </c>
      <c r="K932" s="4">
        <v>15.0238</v>
      </c>
      <c r="L932" s="4">
        <v>15.757400000000001</v>
      </c>
      <c r="M932" s="4">
        <f t="shared" si="57"/>
        <v>15.4339</v>
      </c>
      <c r="P932" s="4" t="str">
        <f>"F37A4.1"</f>
        <v>F37A4.1</v>
      </c>
      <c r="Q932" s="4">
        <v>15.084052677351099</v>
      </c>
      <c r="R932" s="4">
        <v>15.144003172234299</v>
      </c>
      <c r="S932" s="4">
        <v>15.0744478107797</v>
      </c>
      <c r="T932" s="4">
        <f t="shared" si="58"/>
        <v>15.100834553455032</v>
      </c>
      <c r="W932" s="4" t="str">
        <f>"Y45F10C.2"</f>
        <v>Y45F10C.2</v>
      </c>
      <c r="X932" s="4">
        <v>14.8793054008982</v>
      </c>
      <c r="Y932" s="4">
        <v>15.3460420965758</v>
      </c>
      <c r="Z932" s="4">
        <v>15.314152134051101</v>
      </c>
      <c r="AA932" s="4">
        <f t="shared" si="59"/>
        <v>15.179833210508368</v>
      </c>
    </row>
    <row r="933" spans="2:27" x14ac:dyDescent="0.2">
      <c r="B933" s="4" t="s">
        <v>2290</v>
      </c>
      <c r="C933" s="4">
        <v>15.174200000000001</v>
      </c>
      <c r="D933" s="4">
        <v>15.488300000000001</v>
      </c>
      <c r="E933" s="4">
        <v>15.5464</v>
      </c>
      <c r="F933" s="4">
        <f t="shared" si="56"/>
        <v>15.402966666666666</v>
      </c>
      <c r="I933" s="4" t="s">
        <v>3375</v>
      </c>
      <c r="J933" s="4">
        <v>15.5732</v>
      </c>
      <c r="K933" s="4">
        <v>15.621499999999999</v>
      </c>
      <c r="L933" s="4">
        <v>15.0825</v>
      </c>
      <c r="M933" s="4">
        <f t="shared" si="57"/>
        <v>15.425733333333332</v>
      </c>
      <c r="P933" s="4" t="str">
        <f>"Y71H2B.5"</f>
        <v>Y71H2B.5</v>
      </c>
      <c r="Q933" s="4">
        <v>15.1462581218249</v>
      </c>
      <c r="R933" s="4">
        <v>15.0078846107627</v>
      </c>
      <c r="S933" s="4">
        <v>15.145258039330001</v>
      </c>
      <c r="T933" s="4">
        <f t="shared" si="58"/>
        <v>15.099800257305867</v>
      </c>
      <c r="W933" s="4" t="str">
        <f>"sec-10"</f>
        <v>sec-10</v>
      </c>
      <c r="X933" s="4">
        <v>15.044623597762801</v>
      </c>
      <c r="Y933" s="4">
        <v>15.3031004070391</v>
      </c>
      <c r="Z933" s="4">
        <v>15.191443043029601</v>
      </c>
      <c r="AA933" s="4">
        <f t="shared" si="59"/>
        <v>15.179722349277165</v>
      </c>
    </row>
    <row r="934" spans="2:27" x14ac:dyDescent="0.2">
      <c r="B934" s="4" t="s">
        <v>1405</v>
      </c>
      <c r="C934" s="4">
        <v>15.008900000000001</v>
      </c>
      <c r="D934" s="4">
        <v>15.8668</v>
      </c>
      <c r="E934" s="4">
        <v>15.3302</v>
      </c>
      <c r="F934" s="4">
        <f t="shared" si="56"/>
        <v>15.401966666666667</v>
      </c>
      <c r="I934" s="4" t="s">
        <v>3490</v>
      </c>
      <c r="J934" s="4">
        <v>15.4322</v>
      </c>
      <c r="K934" s="4">
        <v>15.5587</v>
      </c>
      <c r="L934" s="4">
        <v>15.285500000000001</v>
      </c>
      <c r="M934" s="4">
        <f t="shared" si="57"/>
        <v>15.425466666666667</v>
      </c>
      <c r="P934" s="4" t="str">
        <f>"rde-12"</f>
        <v>rde-12</v>
      </c>
      <c r="Q934" s="4">
        <v>14.981364679872399</v>
      </c>
      <c r="R934" s="4">
        <v>15.1373500634992</v>
      </c>
      <c r="S934" s="4">
        <v>15.172202951402801</v>
      </c>
      <c r="T934" s="4">
        <f t="shared" si="58"/>
        <v>15.096972564924799</v>
      </c>
      <c r="W934" s="4" t="str">
        <f>"F35E12.2"</f>
        <v>F35E12.2</v>
      </c>
      <c r="X934" s="4">
        <v>14.671058216836601</v>
      </c>
      <c r="Y934" s="4">
        <v>14.957393050199</v>
      </c>
      <c r="Z934" s="4">
        <v>15.9071308895094</v>
      </c>
      <c r="AA934" s="4">
        <f t="shared" si="59"/>
        <v>15.178527385515002</v>
      </c>
    </row>
    <row r="935" spans="2:27" x14ac:dyDescent="0.2">
      <c r="B935" s="4" t="s">
        <v>4651</v>
      </c>
      <c r="C935" s="4">
        <v>15.362</v>
      </c>
      <c r="D935" s="4">
        <v>15.4855</v>
      </c>
      <c r="E935" s="4">
        <v>15.353300000000001</v>
      </c>
      <c r="F935" s="4">
        <f t="shared" si="56"/>
        <v>15.400266666666667</v>
      </c>
      <c r="I935" s="4" t="s">
        <v>3486</v>
      </c>
      <c r="J935" s="4">
        <v>15.4894</v>
      </c>
      <c r="K935" s="4">
        <v>15.530099999999999</v>
      </c>
      <c r="L935" s="4">
        <v>15.256500000000001</v>
      </c>
      <c r="M935" s="4">
        <f t="shared" si="57"/>
        <v>15.425333333333334</v>
      </c>
      <c r="P935" s="4" t="str">
        <f>"nuo-2"</f>
        <v>nuo-2</v>
      </c>
      <c r="Q935" s="4">
        <v>15.3512054556076</v>
      </c>
      <c r="R935" s="4">
        <v>14.9520018080678</v>
      </c>
      <c r="S935" s="4">
        <v>14.9873513260893</v>
      </c>
      <c r="T935" s="4">
        <f t="shared" si="58"/>
        <v>15.096852863254901</v>
      </c>
      <c r="W935" s="4" t="str">
        <f>"dhs-4"</f>
        <v>dhs-4</v>
      </c>
      <c r="X935" s="4">
        <v>15.1168622945053</v>
      </c>
      <c r="Y935" s="4">
        <v>15.1055156401984</v>
      </c>
      <c r="Z935" s="4">
        <v>15.306142867194801</v>
      </c>
      <c r="AA935" s="4">
        <f t="shared" si="59"/>
        <v>15.176173600632834</v>
      </c>
    </row>
    <row r="936" spans="2:27" x14ac:dyDescent="0.2">
      <c r="B936" s="4" t="s">
        <v>3644</v>
      </c>
      <c r="C936" s="4">
        <v>15.2781</v>
      </c>
      <c r="D936" s="4">
        <v>15.6309</v>
      </c>
      <c r="E936" s="4">
        <v>15.285399999999999</v>
      </c>
      <c r="F936" s="4">
        <f t="shared" si="56"/>
        <v>15.398133333333334</v>
      </c>
      <c r="I936" s="4" t="s">
        <v>3928</v>
      </c>
      <c r="J936" s="4">
        <v>15.589499999999999</v>
      </c>
      <c r="K936" s="4">
        <v>15.590199999999999</v>
      </c>
      <c r="L936" s="4">
        <v>15.096</v>
      </c>
      <c r="M936" s="4">
        <f t="shared" si="57"/>
        <v>15.425233333333333</v>
      </c>
      <c r="P936" s="4" t="str">
        <f>"cee-1"</f>
        <v>cee-1</v>
      </c>
      <c r="Q936" s="4">
        <v>15.017203212682601</v>
      </c>
      <c r="R936" s="4">
        <v>15.2324195420631</v>
      </c>
      <c r="S936" s="4">
        <v>15.0399576927583</v>
      </c>
      <c r="T936" s="4">
        <f t="shared" si="58"/>
        <v>15.096526815834666</v>
      </c>
      <c r="W936" s="4" t="str">
        <f>"dhs-1"</f>
        <v>dhs-1</v>
      </c>
      <c r="X936" s="4">
        <v>15.2106515715314</v>
      </c>
      <c r="Y936" s="4">
        <v>15.3474826218215</v>
      </c>
      <c r="Z936" s="4">
        <v>14.968649673834999</v>
      </c>
      <c r="AA936" s="4">
        <f t="shared" si="59"/>
        <v>15.175594622395968</v>
      </c>
    </row>
    <row r="937" spans="2:27" x14ac:dyDescent="0.2">
      <c r="B937" s="4" t="s">
        <v>1380</v>
      </c>
      <c r="C937" s="4">
        <v>15.238799999999999</v>
      </c>
      <c r="D937" s="4">
        <v>15.1831</v>
      </c>
      <c r="E937" s="4">
        <v>15.769</v>
      </c>
      <c r="F937" s="4">
        <f t="shared" si="56"/>
        <v>15.396966666666666</v>
      </c>
      <c r="I937" s="4" t="s">
        <v>3903</v>
      </c>
      <c r="J937" s="4">
        <v>15.414300000000001</v>
      </c>
      <c r="K937" s="4">
        <v>15.815799999999999</v>
      </c>
      <c r="L937" s="4">
        <v>15.034000000000001</v>
      </c>
      <c r="M937" s="4">
        <f t="shared" si="57"/>
        <v>15.421366666666666</v>
      </c>
      <c r="P937" s="4" t="str">
        <f>"act-2"</f>
        <v>act-2</v>
      </c>
      <c r="Q937" s="4">
        <v>15.8353108022546</v>
      </c>
      <c r="R937" s="4">
        <v>14.755542416844699</v>
      </c>
      <c r="S937" s="4">
        <v>14.6978010541812</v>
      </c>
      <c r="T937" s="4">
        <f t="shared" si="58"/>
        <v>15.096218091093499</v>
      </c>
      <c r="W937" s="4" t="str">
        <f>"ubh-4"</f>
        <v>ubh-4</v>
      </c>
      <c r="X937" s="4">
        <v>15.296694093048099</v>
      </c>
      <c r="Y937" s="4">
        <v>15.0649393228682</v>
      </c>
      <c r="Z937" s="4">
        <v>15.159720325205599</v>
      </c>
      <c r="AA937" s="4">
        <f t="shared" si="59"/>
        <v>15.173784580373967</v>
      </c>
    </row>
    <row r="938" spans="2:27" x14ac:dyDescent="0.2">
      <c r="B938" s="4" t="s">
        <v>3830</v>
      </c>
      <c r="C938" s="4">
        <v>15.4504</v>
      </c>
      <c r="D938" s="4">
        <v>15.4598</v>
      </c>
      <c r="E938" s="4">
        <v>15.2766</v>
      </c>
      <c r="F938" s="4">
        <f t="shared" si="56"/>
        <v>15.3956</v>
      </c>
      <c r="I938" s="4" t="s">
        <v>2150</v>
      </c>
      <c r="J938" s="4">
        <v>15.1555</v>
      </c>
      <c r="K938" s="4">
        <v>15.3291</v>
      </c>
      <c r="L938" s="4">
        <v>15.7745</v>
      </c>
      <c r="M938" s="4">
        <f t="shared" si="57"/>
        <v>15.419700000000001</v>
      </c>
      <c r="P938" s="4" t="str">
        <f>"Y39A1A.14"</f>
        <v>Y39A1A.14</v>
      </c>
      <c r="Q938" s="4">
        <v>15.088747985247201</v>
      </c>
      <c r="R938" s="4">
        <v>15.1847275712902</v>
      </c>
      <c r="S938" s="4">
        <v>15.0134491786227</v>
      </c>
      <c r="T938" s="4">
        <f t="shared" si="58"/>
        <v>15.095641578386699</v>
      </c>
      <c r="W938" s="4" t="str">
        <f>"pnk-1"</f>
        <v>pnk-1</v>
      </c>
      <c r="X938" s="4">
        <v>15.072356266400799</v>
      </c>
      <c r="Y938" s="4">
        <v>15.195195528354599</v>
      </c>
      <c r="Z938" s="4">
        <v>15.2372098663757</v>
      </c>
      <c r="AA938" s="4">
        <f t="shared" si="59"/>
        <v>15.168253887043699</v>
      </c>
    </row>
    <row r="939" spans="2:27" x14ac:dyDescent="0.2">
      <c r="B939" s="4" t="s">
        <v>3801</v>
      </c>
      <c r="C939" s="4">
        <v>15.8393</v>
      </c>
      <c r="D939" s="4">
        <v>15.033200000000001</v>
      </c>
      <c r="E939" s="4">
        <v>15.3108</v>
      </c>
      <c r="F939" s="4">
        <f t="shared" si="56"/>
        <v>15.394433333333334</v>
      </c>
      <c r="I939" s="4" t="s">
        <v>852</v>
      </c>
      <c r="J939" s="4">
        <v>15.051500000000001</v>
      </c>
      <c r="K939" s="4">
        <v>15.638199999999999</v>
      </c>
      <c r="L939" s="4">
        <v>15.5684</v>
      </c>
      <c r="M939" s="4">
        <f t="shared" si="57"/>
        <v>15.419366666666667</v>
      </c>
      <c r="P939" s="4" t="str">
        <f>"djr-1.1"</f>
        <v>djr-1.1</v>
      </c>
      <c r="Q939" s="4">
        <v>14.9194452091192</v>
      </c>
      <c r="R939" s="4">
        <v>15.1669901599667</v>
      </c>
      <c r="S939" s="4">
        <v>15.190658673809599</v>
      </c>
      <c r="T939" s="4">
        <f t="shared" si="58"/>
        <v>15.092364680965167</v>
      </c>
      <c r="W939" s="4" t="str">
        <f>"gip-2"</f>
        <v>gip-2</v>
      </c>
      <c r="X939" s="4">
        <v>15.0128515998209</v>
      </c>
      <c r="Y939" s="4">
        <v>15.268209728515201</v>
      </c>
      <c r="Z939" s="4">
        <v>15.213241427641901</v>
      </c>
      <c r="AA939" s="4">
        <f t="shared" si="59"/>
        <v>15.164767585325999</v>
      </c>
    </row>
    <row r="940" spans="2:27" x14ac:dyDescent="0.2">
      <c r="B940" s="4" t="s">
        <v>2874</v>
      </c>
      <c r="C940" s="4">
        <v>15.472799999999999</v>
      </c>
      <c r="D940" s="4">
        <v>15.4453</v>
      </c>
      <c r="E940" s="4">
        <v>15.2559</v>
      </c>
      <c r="F940" s="4">
        <f t="shared" si="56"/>
        <v>15.391333333333334</v>
      </c>
      <c r="I940" s="4" t="s">
        <v>378</v>
      </c>
      <c r="J940" s="4">
        <v>15.3924</v>
      </c>
      <c r="K940" s="4">
        <v>15.591799999999999</v>
      </c>
      <c r="L940" s="4">
        <v>15.2691</v>
      </c>
      <c r="M940" s="4">
        <f t="shared" si="57"/>
        <v>15.417766666666667</v>
      </c>
      <c r="P940" s="4" t="str">
        <f>"rbmx-2"</f>
        <v>rbmx-2</v>
      </c>
      <c r="Q940" s="4">
        <v>14.885778910939999</v>
      </c>
      <c r="R940" s="4">
        <v>15.1843318166015</v>
      </c>
      <c r="S940" s="4">
        <v>15.206793115322499</v>
      </c>
      <c r="T940" s="4">
        <f t="shared" si="58"/>
        <v>15.092301280954665</v>
      </c>
      <c r="W940" s="4" t="str">
        <f>"rha-1"</f>
        <v>rha-1</v>
      </c>
      <c r="X940" s="4">
        <v>15.147522473004599</v>
      </c>
      <c r="Y940" s="4">
        <v>15.2406810334779</v>
      </c>
      <c r="Z940" s="4">
        <v>15.1008520468735</v>
      </c>
      <c r="AA940" s="4">
        <f t="shared" si="59"/>
        <v>15.163018517785332</v>
      </c>
    </row>
    <row r="941" spans="2:27" x14ac:dyDescent="0.2">
      <c r="B941" s="4" t="s">
        <v>180</v>
      </c>
      <c r="C941" s="4">
        <v>15.5419</v>
      </c>
      <c r="D941" s="4">
        <v>15.2255</v>
      </c>
      <c r="E941" s="4">
        <v>15.4008</v>
      </c>
      <c r="F941" s="4">
        <f t="shared" si="56"/>
        <v>15.3894</v>
      </c>
      <c r="I941" s="4" t="s">
        <v>1909</v>
      </c>
      <c r="J941" s="4">
        <v>15.5092</v>
      </c>
      <c r="K941" s="4">
        <v>15.076599999999999</v>
      </c>
      <c r="L941" s="4">
        <v>15.661199999999999</v>
      </c>
      <c r="M941" s="4">
        <f t="shared" si="57"/>
        <v>15.415666666666667</v>
      </c>
      <c r="P941" s="4" t="str">
        <f>"fdps-1"</f>
        <v>fdps-1</v>
      </c>
      <c r="Q941" s="4">
        <v>15.188304680160501</v>
      </c>
      <c r="R941" s="4">
        <v>14.9819677343253</v>
      </c>
      <c r="S941" s="4">
        <v>15.1057278185913</v>
      </c>
      <c r="T941" s="4">
        <f t="shared" si="58"/>
        <v>15.092000077692367</v>
      </c>
      <c r="W941" s="4" t="str">
        <f>"arrd-25"</f>
        <v>arrd-25</v>
      </c>
      <c r="X941" s="4">
        <v>15.4405709881364</v>
      </c>
      <c r="Y941" s="4">
        <v>15.077937611529199</v>
      </c>
      <c r="Z941" s="4">
        <v>14.969178167198599</v>
      </c>
      <c r="AA941" s="4">
        <f t="shared" si="59"/>
        <v>15.162562255621401</v>
      </c>
    </row>
    <row r="942" spans="2:27" x14ac:dyDescent="0.2">
      <c r="B942" s="4" t="s">
        <v>3477</v>
      </c>
      <c r="C942" s="4">
        <v>15.4076</v>
      </c>
      <c r="D942" s="4">
        <v>15.5183</v>
      </c>
      <c r="E942" s="4">
        <v>15.239100000000001</v>
      </c>
      <c r="F942" s="4">
        <f t="shared" si="56"/>
        <v>15.388333333333334</v>
      </c>
      <c r="I942" s="4" t="s">
        <v>3907</v>
      </c>
      <c r="J942" s="4">
        <v>15.3415</v>
      </c>
      <c r="K942" s="4">
        <v>15.5997</v>
      </c>
      <c r="L942" s="4">
        <v>15.303599999999999</v>
      </c>
      <c r="M942" s="4">
        <f t="shared" si="57"/>
        <v>15.414933333333332</v>
      </c>
      <c r="P942" s="4" t="str">
        <f>"gop-2"</f>
        <v>gop-2</v>
      </c>
      <c r="Q942" s="4">
        <v>14.9728893844489</v>
      </c>
      <c r="R942" s="4">
        <v>15.204069321046299</v>
      </c>
      <c r="S942" s="4">
        <v>15.0975117403301</v>
      </c>
      <c r="T942" s="4">
        <f t="shared" si="58"/>
        <v>15.091490148608434</v>
      </c>
      <c r="W942" s="4" t="str">
        <f>"skr-1"</f>
        <v>skr-1</v>
      </c>
      <c r="X942" s="4">
        <v>15.2003435775108</v>
      </c>
      <c r="Y942" s="4">
        <v>15.3566750123956</v>
      </c>
      <c r="Z942" s="4">
        <v>14.9273077044283</v>
      </c>
      <c r="AA942" s="4">
        <f t="shared" si="59"/>
        <v>15.161442098111566</v>
      </c>
    </row>
    <row r="943" spans="2:27" x14ac:dyDescent="0.2">
      <c r="B943" s="4" t="s">
        <v>2940</v>
      </c>
      <c r="C943" s="4">
        <v>15.4587</v>
      </c>
      <c r="D943" s="4">
        <v>15.266999999999999</v>
      </c>
      <c r="E943" s="4">
        <v>15.4392</v>
      </c>
      <c r="F943" s="4">
        <f t="shared" si="56"/>
        <v>15.388300000000001</v>
      </c>
      <c r="I943" s="4" t="s">
        <v>1114</v>
      </c>
      <c r="J943" s="4">
        <v>15.076700000000001</v>
      </c>
      <c r="K943" s="4">
        <v>15.357900000000001</v>
      </c>
      <c r="L943" s="4">
        <v>15.8065</v>
      </c>
      <c r="M943" s="4">
        <f t="shared" si="57"/>
        <v>15.4137</v>
      </c>
      <c r="P943" s="4" t="str">
        <f>"T21B6.3"</f>
        <v>T21B6.3</v>
      </c>
      <c r="Q943" s="4">
        <v>15.761734352705099</v>
      </c>
      <c r="R943" s="4">
        <v>14.473237669892599</v>
      </c>
      <c r="S943" s="4">
        <v>15.0306905494524</v>
      </c>
      <c r="T943" s="4">
        <f t="shared" si="58"/>
        <v>15.088554190683366</v>
      </c>
      <c r="W943" s="4" t="str">
        <f>"dnpp-1"</f>
        <v>dnpp-1</v>
      </c>
      <c r="X943" s="4">
        <v>14.9665070073384</v>
      </c>
      <c r="Y943" s="4">
        <v>15.118605178553601</v>
      </c>
      <c r="Z943" s="4">
        <v>15.388777747671501</v>
      </c>
      <c r="AA943" s="4">
        <f t="shared" si="59"/>
        <v>15.157963311187833</v>
      </c>
    </row>
    <row r="944" spans="2:27" x14ac:dyDescent="0.2">
      <c r="B944" s="4" t="s">
        <v>1677</v>
      </c>
      <c r="C944" s="4">
        <v>15.3375</v>
      </c>
      <c r="D944" s="4">
        <v>15.556900000000001</v>
      </c>
      <c r="E944" s="4">
        <v>15.237399999999999</v>
      </c>
      <c r="F944" s="4">
        <f t="shared" si="56"/>
        <v>15.377266666666666</v>
      </c>
      <c r="I944" s="4" t="s">
        <v>3641</v>
      </c>
      <c r="J944" s="4">
        <v>15.5189</v>
      </c>
      <c r="K944" s="4">
        <v>15.2028</v>
      </c>
      <c r="L944" s="4">
        <v>15.5166</v>
      </c>
      <c r="M944" s="4">
        <f t="shared" si="57"/>
        <v>15.412766666666665</v>
      </c>
      <c r="P944" s="4" t="str">
        <f>"npp-20"</f>
        <v>npp-20</v>
      </c>
      <c r="Q944" s="4">
        <v>15.0431233654329</v>
      </c>
      <c r="R944" s="4">
        <v>14.9670221786377</v>
      </c>
      <c r="S944" s="4">
        <v>15.253901077902499</v>
      </c>
      <c r="T944" s="4">
        <f t="shared" si="58"/>
        <v>15.0880155406577</v>
      </c>
      <c r="W944" s="4" t="str">
        <f>"mboa-6"</f>
        <v>mboa-6</v>
      </c>
      <c r="X944" s="4">
        <v>15.333643310369901</v>
      </c>
      <c r="Y944" s="4">
        <v>15.0227209954279</v>
      </c>
      <c r="Z944" s="4">
        <v>15.1065541128559</v>
      </c>
      <c r="AA944" s="4">
        <f t="shared" si="59"/>
        <v>15.154306139551233</v>
      </c>
    </row>
    <row r="945" spans="2:27" x14ac:dyDescent="0.2">
      <c r="B945" s="4" t="s">
        <v>1249</v>
      </c>
      <c r="C945" s="4">
        <v>15.348000000000001</v>
      </c>
      <c r="D945" s="4">
        <v>15.273199999999999</v>
      </c>
      <c r="E945" s="4">
        <v>15.5062</v>
      </c>
      <c r="F945" s="4">
        <f t="shared" si="56"/>
        <v>15.3758</v>
      </c>
      <c r="I945" s="4" t="s">
        <v>3239</v>
      </c>
      <c r="J945" s="4">
        <v>15.500500000000001</v>
      </c>
      <c r="K945" s="4">
        <v>15.3035</v>
      </c>
      <c r="L945" s="4">
        <v>15.430999999999999</v>
      </c>
      <c r="M945" s="4">
        <f t="shared" si="57"/>
        <v>15.411666666666667</v>
      </c>
      <c r="P945" s="4" t="str">
        <f>"ipmk-1"</f>
        <v>ipmk-1</v>
      </c>
      <c r="Q945" s="4">
        <v>15.051760814427199</v>
      </c>
      <c r="R945" s="4">
        <v>15.1175617978961</v>
      </c>
      <c r="S945" s="4">
        <v>15.0786189978972</v>
      </c>
      <c r="T945" s="4">
        <f t="shared" si="58"/>
        <v>15.082647203406834</v>
      </c>
      <c r="W945" s="4" t="str">
        <f>"pkc-3"</f>
        <v>pkc-3</v>
      </c>
      <c r="X945" s="4">
        <v>15.1176997155818</v>
      </c>
      <c r="Y945" s="4">
        <v>15.0894740952959</v>
      </c>
      <c r="Z945" s="4">
        <v>15.250232460205901</v>
      </c>
      <c r="AA945" s="4">
        <f t="shared" si="59"/>
        <v>15.152468757027867</v>
      </c>
    </row>
    <row r="946" spans="2:27" x14ac:dyDescent="0.2">
      <c r="B946" s="4" t="s">
        <v>3776</v>
      </c>
      <c r="C946" s="4">
        <v>15.9117</v>
      </c>
      <c r="D946" s="4">
        <v>14.8217</v>
      </c>
      <c r="E946" s="4">
        <v>15.3934</v>
      </c>
      <c r="F946" s="4">
        <f t="shared" si="56"/>
        <v>15.3756</v>
      </c>
      <c r="I946" s="4" t="s">
        <v>2689</v>
      </c>
      <c r="J946" s="4">
        <v>15.616099999999999</v>
      </c>
      <c r="K946" s="4">
        <v>15.018800000000001</v>
      </c>
      <c r="L946" s="4">
        <v>15.5992</v>
      </c>
      <c r="M946" s="4">
        <f t="shared" si="57"/>
        <v>15.411366666666666</v>
      </c>
      <c r="P946" s="4" t="str">
        <f>"apd-3"</f>
        <v>apd-3</v>
      </c>
      <c r="Q946" s="4">
        <v>14.9493432656644</v>
      </c>
      <c r="R946" s="4">
        <v>15.2011189046188</v>
      </c>
      <c r="S946" s="4">
        <v>15.094710806837099</v>
      </c>
      <c r="T946" s="4">
        <f t="shared" si="58"/>
        <v>15.081724325706766</v>
      </c>
      <c r="W946" s="4" t="str">
        <f>"Y77E11A.7"</f>
        <v>Y77E11A.7</v>
      </c>
      <c r="X946" s="4">
        <v>14.8760261053968</v>
      </c>
      <c r="Y946" s="4">
        <v>15.3766537832285</v>
      </c>
      <c r="Z946" s="4">
        <v>15.198285667443701</v>
      </c>
      <c r="AA946" s="4">
        <f t="shared" si="59"/>
        <v>15.150321852023</v>
      </c>
    </row>
    <row r="947" spans="2:27" x14ac:dyDescent="0.2">
      <c r="B947" s="4" t="s">
        <v>370</v>
      </c>
      <c r="C947" s="4">
        <v>14.8019</v>
      </c>
      <c r="D947" s="4">
        <v>15.5746</v>
      </c>
      <c r="E947" s="4">
        <v>15.748200000000001</v>
      </c>
      <c r="F947" s="4">
        <f t="shared" si="56"/>
        <v>15.374900000000002</v>
      </c>
      <c r="I947" s="4" t="s">
        <v>1029</v>
      </c>
      <c r="J947" s="4">
        <v>15.4422</v>
      </c>
      <c r="K947" s="4">
        <v>15.154500000000001</v>
      </c>
      <c r="L947" s="4">
        <v>15.635300000000001</v>
      </c>
      <c r="M947" s="4">
        <f t="shared" si="57"/>
        <v>15.410666666666666</v>
      </c>
      <c r="P947" s="4" t="str">
        <f>"nfs-1"</f>
        <v>nfs-1</v>
      </c>
      <c r="Q947" s="4">
        <v>15.1952516712795</v>
      </c>
      <c r="R947" s="4">
        <v>14.924741709190201</v>
      </c>
      <c r="S947" s="4">
        <v>15.1250966500728</v>
      </c>
      <c r="T947" s="4">
        <f t="shared" si="58"/>
        <v>15.0816966768475</v>
      </c>
      <c r="W947" s="4" t="str">
        <f>"dhs-17"</f>
        <v>dhs-17</v>
      </c>
      <c r="X947" s="4">
        <v>15.0356920156614</v>
      </c>
      <c r="Y947" s="4">
        <v>15.1031847769825</v>
      </c>
      <c r="Z947" s="4">
        <v>15.295456439704999</v>
      </c>
      <c r="AA947" s="4">
        <f t="shared" si="59"/>
        <v>15.144777744116299</v>
      </c>
    </row>
    <row r="948" spans="2:27" x14ac:dyDescent="0.2">
      <c r="B948" s="4" t="s">
        <v>1669</v>
      </c>
      <c r="C948" s="4">
        <v>15.266500000000001</v>
      </c>
      <c r="D948" s="4">
        <v>15.4665</v>
      </c>
      <c r="E948" s="4">
        <v>15.381500000000001</v>
      </c>
      <c r="F948" s="4">
        <f t="shared" si="56"/>
        <v>15.371499999999999</v>
      </c>
      <c r="I948" s="4" t="s">
        <v>4644</v>
      </c>
      <c r="J948" s="4">
        <v>15.379899999999999</v>
      </c>
      <c r="K948" s="4">
        <v>15.4329</v>
      </c>
      <c r="L948" s="4">
        <v>15.4161</v>
      </c>
      <c r="M948" s="4">
        <f t="shared" si="57"/>
        <v>15.409633333333332</v>
      </c>
      <c r="P948" s="4" t="str">
        <f>"got-1.2"</f>
        <v>got-1.2</v>
      </c>
      <c r="Q948" s="4">
        <v>15.1468644894083</v>
      </c>
      <c r="R948" s="4">
        <v>14.9971352651648</v>
      </c>
      <c r="S948" s="4">
        <v>15.098740837628</v>
      </c>
      <c r="T948" s="4">
        <f t="shared" si="58"/>
        <v>15.080913530733701</v>
      </c>
      <c r="W948" s="4" t="str">
        <f>"rho-1"</f>
        <v>rho-1</v>
      </c>
      <c r="X948" s="4">
        <v>15.1053164746296</v>
      </c>
      <c r="Y948" s="4">
        <v>15.109764881638</v>
      </c>
      <c r="Z948" s="4">
        <v>15.2130889451611</v>
      </c>
      <c r="AA948" s="4">
        <f t="shared" si="59"/>
        <v>15.142723433809566</v>
      </c>
    </row>
    <row r="949" spans="2:27" x14ac:dyDescent="0.2">
      <c r="B949" s="4" t="s">
        <v>3581</v>
      </c>
      <c r="C949" s="4">
        <v>15.077299999999999</v>
      </c>
      <c r="D949" s="4">
        <v>15.353400000000001</v>
      </c>
      <c r="E949" s="4">
        <v>15.6812</v>
      </c>
      <c r="F949" s="4">
        <f t="shared" si="56"/>
        <v>15.370633333333336</v>
      </c>
      <c r="I949" s="4" t="s">
        <v>457</v>
      </c>
      <c r="J949" s="4">
        <v>15.334099999999999</v>
      </c>
      <c r="K949" s="4">
        <v>15.409700000000001</v>
      </c>
      <c r="L949" s="4">
        <v>15.484500000000001</v>
      </c>
      <c r="M949" s="4">
        <f t="shared" si="57"/>
        <v>15.409433333333334</v>
      </c>
      <c r="P949" s="4" t="str">
        <f>"ddx-27"</f>
        <v>ddx-27</v>
      </c>
      <c r="Q949" s="4">
        <v>15.0045317503522</v>
      </c>
      <c r="R949" s="4">
        <v>15.1310372995489</v>
      </c>
      <c r="S949" s="4">
        <v>15.1032444710512</v>
      </c>
      <c r="T949" s="4">
        <f t="shared" si="58"/>
        <v>15.079604506984099</v>
      </c>
      <c r="W949" s="4" t="str">
        <f>"fask-1"</f>
        <v>fask-1</v>
      </c>
      <c r="X949" s="4">
        <v>15.0707074346235</v>
      </c>
      <c r="Y949" s="4">
        <v>14.9844124978945</v>
      </c>
      <c r="Z949" s="4">
        <v>15.3694427475433</v>
      </c>
      <c r="AA949" s="4">
        <f t="shared" si="59"/>
        <v>15.141520893353766</v>
      </c>
    </row>
    <row r="950" spans="2:27" x14ac:dyDescent="0.2">
      <c r="B950" s="4" t="s">
        <v>1544</v>
      </c>
      <c r="C950" s="4">
        <v>15.2386</v>
      </c>
      <c r="D950" s="4">
        <v>15.602499999999999</v>
      </c>
      <c r="E950" s="4">
        <v>15.2684</v>
      </c>
      <c r="F950" s="4">
        <f t="shared" si="56"/>
        <v>15.369833333333332</v>
      </c>
      <c r="I950" s="4" t="s">
        <v>2936</v>
      </c>
      <c r="J950" s="4">
        <v>15.331200000000001</v>
      </c>
      <c r="K950" s="4">
        <v>15.501899999999999</v>
      </c>
      <c r="L950" s="4">
        <v>15.3947</v>
      </c>
      <c r="M950" s="4">
        <f t="shared" si="57"/>
        <v>15.409266666666667</v>
      </c>
      <c r="P950" s="4" t="str">
        <f>"ubr-4"</f>
        <v>ubr-4</v>
      </c>
      <c r="Q950" s="4">
        <v>14.9954464162196</v>
      </c>
      <c r="R950" s="4">
        <v>15.1230172875078</v>
      </c>
      <c r="S950" s="4">
        <v>15.1203179252038</v>
      </c>
      <c r="T950" s="4">
        <f t="shared" si="58"/>
        <v>15.079593876310399</v>
      </c>
      <c r="W950" s="4" t="str">
        <f>"unc-1"</f>
        <v>unc-1</v>
      </c>
      <c r="X950" s="4">
        <v>15.0892727744449</v>
      </c>
      <c r="Y950" s="4">
        <v>15.2749683437542</v>
      </c>
      <c r="Z950" s="4">
        <v>15.059076259838299</v>
      </c>
      <c r="AA950" s="4">
        <f t="shared" si="59"/>
        <v>15.141105792679133</v>
      </c>
    </row>
    <row r="951" spans="2:27" x14ac:dyDescent="0.2">
      <c r="B951" s="4" t="s">
        <v>3556</v>
      </c>
      <c r="C951" s="4">
        <v>15.5969</v>
      </c>
      <c r="D951" s="4">
        <v>15.2316</v>
      </c>
      <c r="E951" s="4">
        <v>15.2775</v>
      </c>
      <c r="F951" s="4">
        <f t="shared" si="56"/>
        <v>15.368666666666664</v>
      </c>
      <c r="I951" s="4" t="s">
        <v>2169</v>
      </c>
      <c r="J951" s="4">
        <v>15.568300000000001</v>
      </c>
      <c r="K951" s="4">
        <v>15.1617</v>
      </c>
      <c r="L951" s="4">
        <v>15.491</v>
      </c>
      <c r="M951" s="4">
        <f t="shared" si="57"/>
        <v>15.407000000000002</v>
      </c>
      <c r="P951" s="4" t="str">
        <f>"gex-4"</f>
        <v>gex-4</v>
      </c>
      <c r="Q951" s="4">
        <v>15.196414673381399</v>
      </c>
      <c r="R951" s="4">
        <v>15.0243751592899</v>
      </c>
      <c r="S951" s="4">
        <v>14.999113811031201</v>
      </c>
      <c r="T951" s="4">
        <f t="shared" si="58"/>
        <v>15.0733012145675</v>
      </c>
      <c r="W951" s="4" t="str">
        <f>"R04F11.5"</f>
        <v>R04F11.5</v>
      </c>
      <c r="X951" s="4">
        <v>14.8451531910427</v>
      </c>
      <c r="Y951" s="4">
        <v>15.273798255307099</v>
      </c>
      <c r="Z951" s="4">
        <v>15.298995104564201</v>
      </c>
      <c r="AA951" s="4">
        <f t="shared" si="59"/>
        <v>15.139315516971331</v>
      </c>
    </row>
    <row r="952" spans="2:27" x14ac:dyDescent="0.2">
      <c r="B952" s="4" t="s">
        <v>3124</v>
      </c>
      <c r="C952" s="4">
        <v>15.6348</v>
      </c>
      <c r="D952" s="4">
        <v>15.222300000000001</v>
      </c>
      <c r="E952" s="4">
        <v>15.2438</v>
      </c>
      <c r="F952" s="4">
        <f t="shared" si="56"/>
        <v>15.366966666666668</v>
      </c>
      <c r="I952" s="4" t="s">
        <v>3007</v>
      </c>
      <c r="J952" s="4">
        <v>15.2883</v>
      </c>
      <c r="K952" s="4">
        <v>15.4268</v>
      </c>
      <c r="L952" s="4">
        <v>15.501899999999999</v>
      </c>
      <c r="M952" s="4">
        <f t="shared" si="57"/>
        <v>15.405666666666667</v>
      </c>
      <c r="P952" s="4" t="str">
        <f>"F52C9.3"</f>
        <v>F52C9.3</v>
      </c>
      <c r="Q952" s="4">
        <v>14.9841267531689</v>
      </c>
      <c r="R952" s="4">
        <v>15.168467818218501</v>
      </c>
      <c r="S952" s="4">
        <v>15.049855497051199</v>
      </c>
      <c r="T952" s="4">
        <f t="shared" si="58"/>
        <v>15.0674833561462</v>
      </c>
      <c r="W952" s="4" t="str">
        <f>"prpf-4"</f>
        <v>prpf-4</v>
      </c>
      <c r="X952" s="4">
        <v>15.136913958088</v>
      </c>
      <c r="Y952" s="4">
        <v>15.099197091363701</v>
      </c>
      <c r="Z952" s="4">
        <v>15.1664141238818</v>
      </c>
      <c r="AA952" s="4">
        <f t="shared" si="59"/>
        <v>15.134175057777833</v>
      </c>
    </row>
    <row r="953" spans="2:27" x14ac:dyDescent="0.2">
      <c r="B953" s="4" t="s">
        <v>1152</v>
      </c>
      <c r="C953" s="4">
        <v>15.254300000000001</v>
      </c>
      <c r="D953" s="4">
        <v>15.6562</v>
      </c>
      <c r="E953" s="4">
        <v>15.187799999999999</v>
      </c>
      <c r="F953" s="4">
        <f t="shared" si="56"/>
        <v>15.366099999999998</v>
      </c>
      <c r="I953" s="4" t="s">
        <v>1868</v>
      </c>
      <c r="J953" s="4">
        <v>15.4177</v>
      </c>
      <c r="K953" s="4">
        <v>15.405099999999999</v>
      </c>
      <c r="L953" s="4">
        <v>15.3918</v>
      </c>
      <c r="M953" s="4">
        <f t="shared" si="57"/>
        <v>15.404866666666669</v>
      </c>
      <c r="P953" s="4" t="str">
        <f>"csn-1"</f>
        <v>csn-1</v>
      </c>
      <c r="Q953" s="4">
        <v>15.0700375875711</v>
      </c>
      <c r="R953" s="4">
        <v>15.1068101666212</v>
      </c>
      <c r="S953" s="4">
        <v>15.024130012070501</v>
      </c>
      <c r="T953" s="4">
        <f t="shared" si="58"/>
        <v>15.066992588754268</v>
      </c>
      <c r="W953" s="4" t="str">
        <f>"Y40C7B.4"</f>
        <v>Y40C7B.4</v>
      </c>
      <c r="X953" s="4">
        <v>14.990020691156801</v>
      </c>
      <c r="Y953" s="4">
        <v>15.3247254945252</v>
      </c>
      <c r="Z953" s="4">
        <v>15.085893849566901</v>
      </c>
      <c r="AA953" s="4">
        <f t="shared" si="59"/>
        <v>15.1335466784163</v>
      </c>
    </row>
    <row r="954" spans="2:27" x14ac:dyDescent="0.2">
      <c r="B954" s="4" t="s">
        <v>2170</v>
      </c>
      <c r="C954" s="4">
        <v>15.5832</v>
      </c>
      <c r="D954" s="4">
        <v>15.3637</v>
      </c>
      <c r="E954" s="4">
        <v>15.1502</v>
      </c>
      <c r="F954" s="4">
        <f t="shared" si="56"/>
        <v>15.365699999999999</v>
      </c>
      <c r="I954" s="4" t="s">
        <v>742</v>
      </c>
      <c r="J954" s="4">
        <v>15.5472</v>
      </c>
      <c r="K954" s="4">
        <v>15.3561</v>
      </c>
      <c r="L954" s="4">
        <v>15.3104</v>
      </c>
      <c r="M954" s="4">
        <f t="shared" si="57"/>
        <v>15.404566666666668</v>
      </c>
      <c r="P954" s="4" t="str">
        <f>"eel-1"</f>
        <v>eel-1</v>
      </c>
      <c r="Q954" s="4">
        <v>15.060081447956801</v>
      </c>
      <c r="R954" s="4">
        <v>15.154159402049499</v>
      </c>
      <c r="S954" s="4">
        <v>14.9837128519611</v>
      </c>
      <c r="T954" s="4">
        <f t="shared" si="58"/>
        <v>15.065984567322467</v>
      </c>
      <c r="W954" s="4" t="str">
        <f>"ZK512.2"</f>
        <v>ZK512.2</v>
      </c>
      <c r="X954" s="4">
        <v>15.212101497664101</v>
      </c>
      <c r="Y954" s="4">
        <v>15.119225007531799</v>
      </c>
      <c r="Z954" s="4">
        <v>15.0517060855005</v>
      </c>
      <c r="AA954" s="4">
        <f t="shared" si="59"/>
        <v>15.127677530232134</v>
      </c>
    </row>
    <row r="955" spans="2:27" x14ac:dyDescent="0.2">
      <c r="B955" s="4" t="s">
        <v>2938</v>
      </c>
      <c r="C955" s="4">
        <v>15.6752</v>
      </c>
      <c r="D955" s="4">
        <v>15.014099999999999</v>
      </c>
      <c r="E955" s="4">
        <v>15.406000000000001</v>
      </c>
      <c r="F955" s="4">
        <f t="shared" si="56"/>
        <v>15.3651</v>
      </c>
      <c r="I955" s="4" t="s">
        <v>4068</v>
      </c>
      <c r="J955" s="4">
        <v>15.5158</v>
      </c>
      <c r="K955" s="4">
        <v>15.5276</v>
      </c>
      <c r="L955" s="4">
        <v>15.1663</v>
      </c>
      <c r="M955" s="4">
        <f t="shared" si="57"/>
        <v>15.403233333333333</v>
      </c>
      <c r="P955" s="4" t="str">
        <f>"F19B6.1"</f>
        <v>F19B6.1</v>
      </c>
      <c r="Q955" s="4">
        <v>15.1429708042537</v>
      </c>
      <c r="R955" s="4">
        <v>15.0316921783179</v>
      </c>
      <c r="S955" s="4">
        <v>15.006158841222099</v>
      </c>
      <c r="T955" s="4">
        <f t="shared" si="58"/>
        <v>15.060273941264567</v>
      </c>
      <c r="W955" s="4" t="str">
        <f>"thoc-2"</f>
        <v>thoc-2</v>
      </c>
      <c r="X955" s="4">
        <v>15.251442702054799</v>
      </c>
      <c r="Y955" s="4">
        <v>15.0186071574681</v>
      </c>
      <c r="Z955" s="4">
        <v>15.1077208876738</v>
      </c>
      <c r="AA955" s="4">
        <f t="shared" si="59"/>
        <v>15.125923582398899</v>
      </c>
    </row>
    <row r="956" spans="2:27" x14ac:dyDescent="0.2">
      <c r="B956" s="4" t="s">
        <v>1863</v>
      </c>
      <c r="C956" s="4">
        <v>15.2064</v>
      </c>
      <c r="D956" s="4">
        <v>15.612500000000001</v>
      </c>
      <c r="E956" s="4">
        <v>15.2753</v>
      </c>
      <c r="F956" s="4">
        <f t="shared" si="56"/>
        <v>15.364733333333334</v>
      </c>
      <c r="I956" s="4" t="s">
        <v>2031</v>
      </c>
      <c r="J956" s="4">
        <v>15.3164</v>
      </c>
      <c r="K956" s="4">
        <v>15.341100000000001</v>
      </c>
      <c r="L956" s="4">
        <v>15.5511</v>
      </c>
      <c r="M956" s="4">
        <f t="shared" si="57"/>
        <v>15.402866666666666</v>
      </c>
      <c r="P956" s="4" t="str">
        <f>"rab-10"</f>
        <v>rab-10</v>
      </c>
      <c r="Q956" s="4">
        <v>14.9753065975135</v>
      </c>
      <c r="R956" s="4">
        <v>15.055181684874</v>
      </c>
      <c r="S956" s="4">
        <v>15.1468810690083</v>
      </c>
      <c r="T956" s="4">
        <f t="shared" si="58"/>
        <v>15.059123117131934</v>
      </c>
      <c r="W956" s="4" t="str">
        <f>"pqn-22"</f>
        <v>pqn-22</v>
      </c>
      <c r="X956" s="4">
        <v>14.1821908886029</v>
      </c>
      <c r="Y956" s="4">
        <v>15.1366585031267</v>
      </c>
      <c r="Z956" s="4">
        <v>16.055854980689201</v>
      </c>
      <c r="AA956" s="4">
        <f t="shared" si="59"/>
        <v>15.124901457472935</v>
      </c>
    </row>
    <row r="957" spans="2:27" x14ac:dyDescent="0.2">
      <c r="B957" s="4" t="s">
        <v>2627</v>
      </c>
      <c r="C957" s="4">
        <v>15.289199999999999</v>
      </c>
      <c r="D957" s="4">
        <v>15.3567</v>
      </c>
      <c r="E957" s="4">
        <v>15.443199999999999</v>
      </c>
      <c r="F957" s="4">
        <f t="shared" si="56"/>
        <v>15.363033333333332</v>
      </c>
      <c r="I957" s="4" t="s">
        <v>1692</v>
      </c>
      <c r="J957" s="4">
        <v>15.431699999999999</v>
      </c>
      <c r="K957" s="4">
        <v>15.372400000000001</v>
      </c>
      <c r="L957" s="4">
        <v>15.4039</v>
      </c>
      <c r="M957" s="4">
        <f t="shared" si="57"/>
        <v>15.402666666666667</v>
      </c>
      <c r="P957" s="4" t="str">
        <f>"spl-3"</f>
        <v>spl-3</v>
      </c>
      <c r="Q957" s="4">
        <v>14.9301928272415</v>
      </c>
      <c r="R957" s="4">
        <v>14.988266486563599</v>
      </c>
      <c r="S957" s="4">
        <v>15.257426734976301</v>
      </c>
      <c r="T957" s="4">
        <f t="shared" si="58"/>
        <v>15.058628682927134</v>
      </c>
      <c r="W957" s="4" t="str">
        <f>"ife-1"</f>
        <v>ife-1</v>
      </c>
      <c r="X957" s="4">
        <v>15.2326831436901</v>
      </c>
      <c r="Y957" s="4">
        <v>15.2520263841343</v>
      </c>
      <c r="Z957" s="4">
        <v>14.885453346605299</v>
      </c>
      <c r="AA957" s="4">
        <f t="shared" si="59"/>
        <v>15.123387624809899</v>
      </c>
    </row>
    <row r="958" spans="2:27" x14ac:dyDescent="0.2">
      <c r="B958" s="4" t="s">
        <v>2450</v>
      </c>
      <c r="C958" s="4">
        <v>15.4407</v>
      </c>
      <c r="D958" s="4">
        <v>15.247400000000001</v>
      </c>
      <c r="E958" s="4">
        <v>15.393000000000001</v>
      </c>
      <c r="F958" s="4">
        <f t="shared" si="56"/>
        <v>15.360366666666666</v>
      </c>
      <c r="I958" s="4" t="s">
        <v>3874</v>
      </c>
      <c r="J958" s="4">
        <v>15.6614</v>
      </c>
      <c r="K958" s="4">
        <v>15.3102</v>
      </c>
      <c r="L958" s="4">
        <v>15.2296</v>
      </c>
      <c r="M958" s="4">
        <f t="shared" si="57"/>
        <v>15.400399999999999</v>
      </c>
      <c r="P958" s="4" t="str">
        <f>"kcc-1"</f>
        <v>kcc-1</v>
      </c>
      <c r="Q958" s="4">
        <v>14.8669676395973</v>
      </c>
      <c r="R958" s="4">
        <v>15.0275802471284</v>
      </c>
      <c r="S958" s="4">
        <v>15.275663167007</v>
      </c>
      <c r="T958" s="4">
        <f t="shared" si="58"/>
        <v>15.056737017910899</v>
      </c>
      <c r="W958" s="4" t="str">
        <f>"isw-1"</f>
        <v>isw-1</v>
      </c>
      <c r="X958" s="4">
        <v>15.1224280239788</v>
      </c>
      <c r="Y958" s="4">
        <v>15.2091903217172</v>
      </c>
      <c r="Z958" s="4">
        <v>15.033574051086701</v>
      </c>
      <c r="AA958" s="4">
        <f t="shared" si="59"/>
        <v>15.121730798927567</v>
      </c>
    </row>
    <row r="959" spans="2:27" x14ac:dyDescent="0.2">
      <c r="B959" s="4" t="s">
        <v>3390</v>
      </c>
      <c r="C959" s="4">
        <v>15.5</v>
      </c>
      <c r="D959" s="4">
        <v>15.372400000000001</v>
      </c>
      <c r="E959" s="4">
        <v>15.202400000000001</v>
      </c>
      <c r="F959" s="4">
        <f t="shared" si="56"/>
        <v>15.358266666666665</v>
      </c>
      <c r="I959" s="4" t="s">
        <v>1942</v>
      </c>
      <c r="J959" s="4">
        <v>15.433</v>
      </c>
      <c r="K959" s="4">
        <v>15.3306</v>
      </c>
      <c r="L959" s="4">
        <v>15.431699999999999</v>
      </c>
      <c r="M959" s="4">
        <f t="shared" si="57"/>
        <v>15.398433333333335</v>
      </c>
      <c r="P959" s="4" t="str">
        <f>"mrpl-16"</f>
        <v>mrpl-16</v>
      </c>
      <c r="Q959" s="4">
        <v>15.467012261647801</v>
      </c>
      <c r="R959" s="4">
        <v>14.884065880244099</v>
      </c>
      <c r="S959" s="4">
        <v>14.787334191373001</v>
      </c>
      <c r="T959" s="4">
        <f t="shared" si="58"/>
        <v>15.046137444421634</v>
      </c>
      <c r="W959" s="4" t="str">
        <f>"C40H1.7"</f>
        <v>C40H1.7</v>
      </c>
      <c r="X959" s="4">
        <v>15.199076150017699</v>
      </c>
      <c r="Y959" s="4">
        <v>15.027180810650799</v>
      </c>
      <c r="Z959" s="4">
        <v>15.1373854849775</v>
      </c>
      <c r="AA959" s="4">
        <f t="shared" si="59"/>
        <v>15.121214148548667</v>
      </c>
    </row>
    <row r="960" spans="2:27" x14ac:dyDescent="0.2">
      <c r="B960" s="4" t="s">
        <v>4024</v>
      </c>
      <c r="C960" s="4">
        <v>15.323499999999999</v>
      </c>
      <c r="D960" s="4">
        <v>15.7822</v>
      </c>
      <c r="E960" s="4">
        <v>14.9552</v>
      </c>
      <c r="F960" s="4">
        <f t="shared" si="56"/>
        <v>15.353633333333333</v>
      </c>
      <c r="I960" s="4" t="s">
        <v>2111</v>
      </c>
      <c r="J960" s="4">
        <v>15.6364</v>
      </c>
      <c r="K960" s="4">
        <v>15.3262</v>
      </c>
      <c r="L960" s="4">
        <v>15.2319</v>
      </c>
      <c r="M960" s="4">
        <f t="shared" si="57"/>
        <v>15.398166666666668</v>
      </c>
      <c r="P960" s="4" t="str">
        <f>"rha-1"</f>
        <v>rha-1</v>
      </c>
      <c r="Q960" s="4">
        <v>14.995879016046</v>
      </c>
      <c r="R960" s="4">
        <v>14.954686656728599</v>
      </c>
      <c r="S960" s="4">
        <v>15.185028363314901</v>
      </c>
      <c r="T960" s="4">
        <f t="shared" si="58"/>
        <v>15.045198012029834</v>
      </c>
      <c r="W960" s="4" t="str">
        <f>"clp-7"</f>
        <v>clp-7</v>
      </c>
      <c r="X960" s="4">
        <v>15.0287903445202</v>
      </c>
      <c r="Y960" s="4">
        <v>15.1966566403173</v>
      </c>
      <c r="Z960" s="4">
        <v>15.1358044867948</v>
      </c>
      <c r="AA960" s="4">
        <f t="shared" si="59"/>
        <v>15.120417157210767</v>
      </c>
    </row>
    <row r="961" spans="2:27" x14ac:dyDescent="0.2">
      <c r="B961" s="4" t="s">
        <v>4365</v>
      </c>
      <c r="C961" s="4">
        <v>15.8956</v>
      </c>
      <c r="D961" s="4">
        <v>14.9199</v>
      </c>
      <c r="E961" s="4">
        <v>15.2438</v>
      </c>
      <c r="F961" s="4">
        <f t="shared" si="56"/>
        <v>15.3531</v>
      </c>
      <c r="I961" s="4" t="s">
        <v>2128</v>
      </c>
      <c r="J961" s="4">
        <v>15.4312</v>
      </c>
      <c r="K961" s="4">
        <v>15.3714</v>
      </c>
      <c r="L961" s="4">
        <v>15.388400000000001</v>
      </c>
      <c r="M961" s="4">
        <f t="shared" si="57"/>
        <v>15.397</v>
      </c>
      <c r="P961" s="4" t="str">
        <f>"ned-8"</f>
        <v>ned-8</v>
      </c>
      <c r="Q961" s="4">
        <v>15.086814099672299</v>
      </c>
      <c r="R961" s="4">
        <v>14.940243685279899</v>
      </c>
      <c r="S961" s="4">
        <v>15.107530963374799</v>
      </c>
      <c r="T961" s="4">
        <f t="shared" si="58"/>
        <v>15.044862916108999</v>
      </c>
      <c r="W961" s="4" t="str">
        <f>"F53F4.11"</f>
        <v>F53F4.11</v>
      </c>
      <c r="X961" s="4">
        <v>15.159414407368899</v>
      </c>
      <c r="Y961" s="4">
        <v>15.231832069574899</v>
      </c>
      <c r="Z961" s="4">
        <v>14.965714955402101</v>
      </c>
      <c r="AA961" s="4">
        <f t="shared" si="59"/>
        <v>15.1189871441153</v>
      </c>
    </row>
    <row r="962" spans="2:27" x14ac:dyDescent="0.2">
      <c r="B962" s="44">
        <v>45444</v>
      </c>
      <c r="C962" s="4">
        <v>16.169</v>
      </c>
      <c r="D962" s="4">
        <v>14.680199999999999</v>
      </c>
      <c r="E962" s="4">
        <v>15.201599999999999</v>
      </c>
      <c r="F962" s="4">
        <f t="shared" ref="F962:F1025" si="60">(C962+D962+E962)/3</f>
        <v>15.350266666666665</v>
      </c>
      <c r="I962" s="4" t="s">
        <v>936</v>
      </c>
      <c r="J962" s="4">
        <v>15.405799999999999</v>
      </c>
      <c r="K962" s="4">
        <v>15.274100000000001</v>
      </c>
      <c r="L962" s="4">
        <v>15.5097</v>
      </c>
      <c r="M962" s="4">
        <f t="shared" ref="M962:M1025" si="61">(J962+K962+L962)/3</f>
        <v>15.396533333333332</v>
      </c>
      <c r="P962" s="4" t="str">
        <f>"acs-5"</f>
        <v>acs-5</v>
      </c>
      <c r="Q962" s="4">
        <v>15.047536959473501</v>
      </c>
      <c r="R962" s="4">
        <v>14.987980866733899</v>
      </c>
      <c r="S962" s="4">
        <v>15.097778695377301</v>
      </c>
      <c r="T962" s="4">
        <f t="shared" ref="T962:T1025" si="62">(Q962+R962+S962)/3</f>
        <v>15.044432173861566</v>
      </c>
      <c r="W962" s="4" t="str">
        <f>"vps-18"</f>
        <v>vps-18</v>
      </c>
      <c r="X962" s="4">
        <v>15.0077285705352</v>
      </c>
      <c r="Y962" s="4">
        <v>15.1930511985852</v>
      </c>
      <c r="Z962" s="4">
        <v>15.1561122764735</v>
      </c>
      <c r="AA962" s="4">
        <f t="shared" ref="AA962:AA1025" si="63">(X962+Y962+Z962)/3</f>
        <v>15.118964015197967</v>
      </c>
    </row>
    <row r="963" spans="2:27" x14ac:dyDescent="0.2">
      <c r="B963" s="4" t="s">
        <v>3519</v>
      </c>
      <c r="C963" s="4">
        <v>15.0572</v>
      </c>
      <c r="D963" s="4">
        <v>15.634399999999999</v>
      </c>
      <c r="E963" s="4">
        <v>15.351100000000001</v>
      </c>
      <c r="F963" s="4">
        <f t="shared" si="60"/>
        <v>15.347566666666667</v>
      </c>
      <c r="I963" s="4" t="s">
        <v>2205</v>
      </c>
      <c r="J963" s="4">
        <v>15.443099999999999</v>
      </c>
      <c r="K963" s="4">
        <v>15.2158</v>
      </c>
      <c r="L963" s="4">
        <v>15.5227</v>
      </c>
      <c r="M963" s="4">
        <f t="shared" si="61"/>
        <v>15.393866666666668</v>
      </c>
      <c r="P963" s="4" t="str">
        <f>"syf-1"</f>
        <v>syf-1</v>
      </c>
      <c r="Q963" s="4">
        <v>14.9867156547144</v>
      </c>
      <c r="R963" s="4">
        <v>15.062638655775499</v>
      </c>
      <c r="S963" s="4">
        <v>15.0832859065408</v>
      </c>
      <c r="T963" s="4">
        <f t="shared" si="62"/>
        <v>15.044213405676899</v>
      </c>
      <c r="W963" s="4" t="str">
        <f>"Y53G8AR.8"</f>
        <v>Y53G8AR.8</v>
      </c>
      <c r="X963" s="4">
        <v>14.8754411951307</v>
      </c>
      <c r="Y963" s="4">
        <v>15.1055522562196</v>
      </c>
      <c r="Z963" s="4">
        <v>15.371554795789599</v>
      </c>
      <c r="AA963" s="4">
        <f t="shared" si="63"/>
        <v>15.117516082379966</v>
      </c>
    </row>
    <row r="964" spans="2:27" x14ac:dyDescent="0.2">
      <c r="B964" s="4" t="s">
        <v>3629</v>
      </c>
      <c r="C964" s="4">
        <v>15.5181</v>
      </c>
      <c r="D964" s="4">
        <v>14.9878</v>
      </c>
      <c r="E964" s="4">
        <v>15.5327</v>
      </c>
      <c r="F964" s="4">
        <f t="shared" si="60"/>
        <v>15.346200000000001</v>
      </c>
      <c r="I964" s="4" t="s">
        <v>3464</v>
      </c>
      <c r="J964" s="4">
        <v>15.7242</v>
      </c>
      <c r="K964" s="4">
        <v>15.3948</v>
      </c>
      <c r="L964" s="4">
        <v>15.058</v>
      </c>
      <c r="M964" s="4">
        <f t="shared" si="61"/>
        <v>15.392333333333333</v>
      </c>
      <c r="P964" s="4" t="str">
        <f>"ucr-2.2"</f>
        <v>ucr-2.2</v>
      </c>
      <c r="Q964" s="4">
        <v>15.2796475210978</v>
      </c>
      <c r="R964" s="4">
        <v>14.7627258369368</v>
      </c>
      <c r="S964" s="4">
        <v>15.0847876116019</v>
      </c>
      <c r="T964" s="4">
        <f t="shared" si="62"/>
        <v>15.042386989878835</v>
      </c>
      <c r="W964" s="4" t="str">
        <f>"mlt-2"</f>
        <v>mlt-2</v>
      </c>
      <c r="X964" s="4">
        <v>15.197958810003801</v>
      </c>
      <c r="Y964" s="4">
        <v>14.994521837352501</v>
      </c>
      <c r="Z964" s="4">
        <v>15.156265948154401</v>
      </c>
      <c r="AA964" s="4">
        <f t="shared" si="63"/>
        <v>15.116248865170235</v>
      </c>
    </row>
    <row r="965" spans="2:27" x14ac:dyDescent="0.2">
      <c r="B965" s="4" t="s">
        <v>2340</v>
      </c>
      <c r="C965" s="4">
        <v>15.4254</v>
      </c>
      <c r="D965" s="4">
        <v>15.237500000000001</v>
      </c>
      <c r="E965" s="4">
        <v>15.3705</v>
      </c>
      <c r="F965" s="4">
        <f t="shared" si="60"/>
        <v>15.344466666666667</v>
      </c>
      <c r="I965" s="4" t="s">
        <v>1863</v>
      </c>
      <c r="J965" s="4">
        <v>15.4049</v>
      </c>
      <c r="K965" s="4">
        <v>15.7493</v>
      </c>
      <c r="L965" s="4">
        <v>15.022399999999999</v>
      </c>
      <c r="M965" s="4">
        <f t="shared" si="61"/>
        <v>15.392200000000001</v>
      </c>
      <c r="P965" s="4" t="str">
        <f>"rab-3"</f>
        <v>rab-3</v>
      </c>
      <c r="Q965" s="4">
        <v>15.189189003384501</v>
      </c>
      <c r="R965" s="4">
        <v>14.8809506768443</v>
      </c>
      <c r="S965" s="4">
        <v>15.055997376134499</v>
      </c>
      <c r="T965" s="4">
        <f t="shared" si="62"/>
        <v>15.042045685454433</v>
      </c>
      <c r="W965" s="4" t="str">
        <f>"C38C3.4"</f>
        <v>C38C3.4</v>
      </c>
      <c r="X965" s="4">
        <v>14.9210554565549</v>
      </c>
      <c r="Y965" s="4">
        <v>15.1881613758129</v>
      </c>
      <c r="Z965" s="4">
        <v>15.2363922094221</v>
      </c>
      <c r="AA965" s="4">
        <f t="shared" si="63"/>
        <v>15.115203013929966</v>
      </c>
    </row>
    <row r="966" spans="2:27" x14ac:dyDescent="0.2">
      <c r="B966" s="4" t="s">
        <v>768</v>
      </c>
      <c r="C966" s="4">
        <v>15.4978</v>
      </c>
      <c r="D966" s="4">
        <v>15.0977</v>
      </c>
      <c r="E966" s="4">
        <v>15.437799999999999</v>
      </c>
      <c r="F966" s="4">
        <f t="shared" si="60"/>
        <v>15.344433333333333</v>
      </c>
      <c r="I966" s="4" t="s">
        <v>338</v>
      </c>
      <c r="J966" s="4">
        <v>15.492900000000001</v>
      </c>
      <c r="K966" s="4">
        <v>15.2911</v>
      </c>
      <c r="L966" s="4">
        <v>15.3896</v>
      </c>
      <c r="M966" s="4">
        <f t="shared" si="61"/>
        <v>15.3912</v>
      </c>
      <c r="P966" s="4" t="str">
        <f>"mrps-22"</f>
        <v>mrps-22</v>
      </c>
      <c r="Q966" s="4">
        <v>15.3335641426634</v>
      </c>
      <c r="R966" s="4">
        <v>14.8959405487835</v>
      </c>
      <c r="S966" s="4">
        <v>14.8916171173466</v>
      </c>
      <c r="T966" s="4">
        <f t="shared" si="62"/>
        <v>15.040373936264499</v>
      </c>
      <c r="W966" s="4" t="str">
        <f>"mrps-22"</f>
        <v>mrps-22</v>
      </c>
      <c r="X966" s="4">
        <v>15.090311224634499</v>
      </c>
      <c r="Y966" s="4">
        <v>14.8710505945769</v>
      </c>
      <c r="Z966" s="4">
        <v>15.38125175893</v>
      </c>
      <c r="AA966" s="4">
        <f t="shared" si="63"/>
        <v>15.114204526047132</v>
      </c>
    </row>
    <row r="967" spans="2:27" x14ac:dyDescent="0.2">
      <c r="B967" s="4" t="s">
        <v>1040</v>
      </c>
      <c r="C967" s="4">
        <v>15.6203</v>
      </c>
      <c r="D967" s="4">
        <v>15.172000000000001</v>
      </c>
      <c r="E967" s="4">
        <v>15.2395</v>
      </c>
      <c r="F967" s="4">
        <f t="shared" si="60"/>
        <v>15.343933333333334</v>
      </c>
      <c r="I967" s="4" t="s">
        <v>3050</v>
      </c>
      <c r="J967" s="4">
        <v>15.4382</v>
      </c>
      <c r="K967" s="4">
        <v>15.319800000000001</v>
      </c>
      <c r="L967" s="4">
        <v>15.411899999999999</v>
      </c>
      <c r="M967" s="4">
        <f t="shared" si="61"/>
        <v>15.389966666666666</v>
      </c>
      <c r="P967" s="4" t="str">
        <f>"unc-25"</f>
        <v>unc-25</v>
      </c>
      <c r="Q967" s="4">
        <v>15.484495551782</v>
      </c>
      <c r="R967" s="4">
        <v>14.8467856596011</v>
      </c>
      <c r="S967" s="4">
        <v>14.779657983870299</v>
      </c>
      <c r="T967" s="4">
        <f t="shared" si="62"/>
        <v>15.036979731751133</v>
      </c>
      <c r="W967" s="4" t="str">
        <f>"Y59A8B.8"</f>
        <v>Y59A8B.8</v>
      </c>
      <c r="X967" s="4">
        <v>15.3463757389619</v>
      </c>
      <c r="Y967" s="4">
        <v>14.973653791452</v>
      </c>
      <c r="Z967" s="4">
        <v>15.0093727092555</v>
      </c>
      <c r="AA967" s="4">
        <f t="shared" si="63"/>
        <v>15.109800746556466</v>
      </c>
    </row>
    <row r="968" spans="2:27" x14ac:dyDescent="0.2">
      <c r="B968" s="4" t="s">
        <v>2974</v>
      </c>
      <c r="C968" s="4">
        <v>15.110200000000001</v>
      </c>
      <c r="D968" s="4">
        <v>15.393599999999999</v>
      </c>
      <c r="E968" s="4">
        <v>15.518800000000001</v>
      </c>
      <c r="F968" s="4">
        <f t="shared" si="60"/>
        <v>15.340866666666665</v>
      </c>
      <c r="I968" s="4" t="s">
        <v>2313</v>
      </c>
      <c r="J968" s="4">
        <v>15.2925</v>
      </c>
      <c r="K968" s="4">
        <v>15.356299999999999</v>
      </c>
      <c r="L968" s="4">
        <v>15.5197</v>
      </c>
      <c r="M968" s="4">
        <f t="shared" si="61"/>
        <v>15.3895</v>
      </c>
      <c r="P968" s="4" t="str">
        <f>"W01D2.1"</f>
        <v>W01D2.1</v>
      </c>
      <c r="Q968" s="4">
        <v>14.500427636522399</v>
      </c>
      <c r="R968" s="4">
        <v>15.5980919110436</v>
      </c>
      <c r="S968" s="4">
        <v>15.010375929832</v>
      </c>
      <c r="T968" s="4">
        <f t="shared" si="62"/>
        <v>15.036298492466001</v>
      </c>
      <c r="W968" s="4" t="str">
        <f>"gop-2"</f>
        <v>gop-2</v>
      </c>
      <c r="X968" s="4">
        <v>15.0065992277113</v>
      </c>
      <c r="Y968" s="4">
        <v>15.1945814035429</v>
      </c>
      <c r="Z968" s="4">
        <v>15.1252621613296</v>
      </c>
      <c r="AA968" s="4">
        <f t="shared" si="63"/>
        <v>15.108814264194599</v>
      </c>
    </row>
    <row r="969" spans="2:27" x14ac:dyDescent="0.2">
      <c r="B969" s="4" t="s">
        <v>3076</v>
      </c>
      <c r="C969" s="4">
        <v>15.3644</v>
      </c>
      <c r="D969" s="4">
        <v>15.541700000000001</v>
      </c>
      <c r="E969" s="4">
        <v>15.1107</v>
      </c>
      <c r="F969" s="4">
        <f t="shared" si="60"/>
        <v>15.338933333333335</v>
      </c>
      <c r="I969" s="4" t="s">
        <v>3122</v>
      </c>
      <c r="J969" s="4">
        <v>15.283099999999999</v>
      </c>
      <c r="K969" s="4">
        <v>15.4833</v>
      </c>
      <c r="L969" s="4">
        <v>15.3979</v>
      </c>
      <c r="M969" s="4">
        <f t="shared" si="61"/>
        <v>15.3881</v>
      </c>
      <c r="P969" s="4" t="str">
        <f>"snfc-5"</f>
        <v>snfc-5</v>
      </c>
      <c r="Q969" s="4">
        <v>15.0548724842971</v>
      </c>
      <c r="R969" s="4">
        <v>14.901668427984101</v>
      </c>
      <c r="S969" s="4">
        <v>15.120801669135901</v>
      </c>
      <c r="T969" s="4">
        <f t="shared" si="62"/>
        <v>15.025780860472366</v>
      </c>
      <c r="W969" s="4" t="str">
        <f>"lars-2"</f>
        <v>lars-2</v>
      </c>
      <c r="X969" s="4">
        <v>14.895280113956201</v>
      </c>
      <c r="Y969" s="4">
        <v>15.0654045106567</v>
      </c>
      <c r="Z969" s="4">
        <v>15.360427640158299</v>
      </c>
      <c r="AA969" s="4">
        <f t="shared" si="63"/>
        <v>15.1070374215904</v>
      </c>
    </row>
    <row r="970" spans="2:27" x14ac:dyDescent="0.2">
      <c r="B970" s="4" t="s">
        <v>1042</v>
      </c>
      <c r="C970" s="4">
        <v>15.1828</v>
      </c>
      <c r="D970" s="4">
        <v>15.331099999999999</v>
      </c>
      <c r="E970" s="4">
        <v>15.500299999999999</v>
      </c>
      <c r="F970" s="4">
        <f t="shared" si="60"/>
        <v>15.338066666666668</v>
      </c>
      <c r="I970" s="4" t="s">
        <v>2335</v>
      </c>
      <c r="J970" s="4">
        <v>15.147</v>
      </c>
      <c r="K970" s="4">
        <v>15.497199999999999</v>
      </c>
      <c r="L970" s="4">
        <v>15.511900000000001</v>
      </c>
      <c r="M970" s="4">
        <f t="shared" si="61"/>
        <v>15.385366666666664</v>
      </c>
      <c r="P970" s="4" t="str">
        <f>"lin-40"</f>
        <v>lin-40</v>
      </c>
      <c r="Q970" s="4">
        <v>15.1598606587894</v>
      </c>
      <c r="R970" s="4">
        <v>14.9451380242414</v>
      </c>
      <c r="S970" s="4">
        <v>14.969039010777299</v>
      </c>
      <c r="T970" s="4">
        <f t="shared" si="62"/>
        <v>15.024679231269367</v>
      </c>
      <c r="W970" s="4" t="str">
        <f>"rps-17"</f>
        <v>rps-17</v>
      </c>
      <c r="X970" s="4">
        <v>14.9452625789117</v>
      </c>
      <c r="Y970" s="4">
        <v>15.3497539805212</v>
      </c>
      <c r="Z970" s="4">
        <v>15.023393211327599</v>
      </c>
      <c r="AA970" s="4">
        <f t="shared" si="63"/>
        <v>15.106136590253501</v>
      </c>
    </row>
    <row r="971" spans="2:27" x14ac:dyDescent="0.2">
      <c r="B971" s="4" t="s">
        <v>2227</v>
      </c>
      <c r="C971" s="4">
        <v>15.3911</v>
      </c>
      <c r="D971" s="4">
        <v>15.313700000000001</v>
      </c>
      <c r="E971" s="4">
        <v>15.301600000000001</v>
      </c>
      <c r="F971" s="4">
        <f t="shared" si="60"/>
        <v>15.335466666666667</v>
      </c>
      <c r="I971" s="4" t="s">
        <v>599</v>
      </c>
      <c r="J971" s="4">
        <v>15.452500000000001</v>
      </c>
      <c r="K971" s="4">
        <v>15.4274</v>
      </c>
      <c r="L971" s="4">
        <v>15.2638</v>
      </c>
      <c r="M971" s="4">
        <f t="shared" si="61"/>
        <v>15.381233333333332</v>
      </c>
      <c r="P971" s="4" t="str">
        <f>"F59B1.8"</f>
        <v>F59B1.8</v>
      </c>
      <c r="Q971" s="4">
        <v>15.097482079822999</v>
      </c>
      <c r="R971" s="4">
        <v>14.9108316072042</v>
      </c>
      <c r="S971" s="4">
        <v>15.0628545167787</v>
      </c>
      <c r="T971" s="4">
        <f t="shared" si="62"/>
        <v>15.023722734601966</v>
      </c>
      <c r="W971" s="4" t="str">
        <f>"sars-2"</f>
        <v>sars-2</v>
      </c>
      <c r="X971" s="4">
        <v>15.099860528211799</v>
      </c>
      <c r="Y971" s="4">
        <v>15.177694455411601</v>
      </c>
      <c r="Z971" s="4">
        <v>15.035350029556801</v>
      </c>
      <c r="AA971" s="4">
        <f t="shared" si="63"/>
        <v>15.104301671060066</v>
      </c>
    </row>
    <row r="972" spans="2:27" x14ac:dyDescent="0.2">
      <c r="B972" s="4" t="s">
        <v>2172</v>
      </c>
      <c r="C972" s="4">
        <v>15.1516</v>
      </c>
      <c r="D972" s="4">
        <v>15.209099999999999</v>
      </c>
      <c r="E972" s="4">
        <v>15.644600000000001</v>
      </c>
      <c r="F972" s="4">
        <f t="shared" si="60"/>
        <v>15.335100000000002</v>
      </c>
      <c r="I972" s="4" t="s">
        <v>2143</v>
      </c>
      <c r="J972" s="4">
        <v>15.4452</v>
      </c>
      <c r="K972" s="4">
        <v>14.9659</v>
      </c>
      <c r="L972" s="4">
        <v>15.7212</v>
      </c>
      <c r="M972" s="4">
        <f t="shared" si="61"/>
        <v>15.377433333333334</v>
      </c>
      <c r="P972" s="4" t="str">
        <f>"ttr-16"</f>
        <v>ttr-16</v>
      </c>
      <c r="Q972" s="4">
        <v>15.2478067805809</v>
      </c>
      <c r="R972" s="4">
        <v>14.780148285254599</v>
      </c>
      <c r="S972" s="4">
        <v>15.040412223829399</v>
      </c>
      <c r="T972" s="4">
        <f t="shared" si="62"/>
        <v>15.022789096554966</v>
      </c>
      <c r="W972" s="4" t="str">
        <f>"mrps-35"</f>
        <v>mrps-35</v>
      </c>
      <c r="X972" s="4">
        <v>14.9098585891859</v>
      </c>
      <c r="Y972" s="4">
        <v>15.1810922462227</v>
      </c>
      <c r="Z972" s="4">
        <v>15.214745413857401</v>
      </c>
      <c r="AA972" s="4">
        <f t="shared" si="63"/>
        <v>15.101898749755334</v>
      </c>
    </row>
    <row r="973" spans="2:27" x14ac:dyDescent="0.2">
      <c r="B973" s="4" t="s">
        <v>1945</v>
      </c>
      <c r="C973" s="4">
        <v>15.625400000000001</v>
      </c>
      <c r="D973" s="4">
        <v>14.733700000000001</v>
      </c>
      <c r="E973" s="4">
        <v>15.6462</v>
      </c>
      <c r="F973" s="4">
        <f t="shared" si="60"/>
        <v>15.335100000000002</v>
      </c>
      <c r="I973" s="4" t="s">
        <v>1316</v>
      </c>
      <c r="J973" s="4">
        <v>15.4155</v>
      </c>
      <c r="K973" s="4">
        <v>15.2682</v>
      </c>
      <c r="L973" s="4">
        <v>15.4466</v>
      </c>
      <c r="M973" s="4">
        <f t="shared" si="61"/>
        <v>15.376766666666668</v>
      </c>
      <c r="P973" s="4" t="str">
        <f>"dur-1"</f>
        <v>dur-1</v>
      </c>
      <c r="Q973" s="4">
        <v>15.2921715816718</v>
      </c>
      <c r="R973" s="4">
        <v>14.508976090162101</v>
      </c>
      <c r="S973" s="4">
        <v>15.2613480651562</v>
      </c>
      <c r="T973" s="4">
        <f t="shared" si="62"/>
        <v>15.020831912330033</v>
      </c>
      <c r="W973" s="4" t="str">
        <f>"usp-14"</f>
        <v>usp-14</v>
      </c>
      <c r="X973" s="4">
        <v>15.0392943467096</v>
      </c>
      <c r="Y973" s="4">
        <v>15.1448551297172</v>
      </c>
      <c r="Z973" s="4">
        <v>15.115527887776301</v>
      </c>
      <c r="AA973" s="4">
        <f t="shared" si="63"/>
        <v>15.099892454734366</v>
      </c>
    </row>
    <row r="974" spans="2:27" x14ac:dyDescent="0.2">
      <c r="B974" s="4" t="s">
        <v>22</v>
      </c>
      <c r="C974" s="4">
        <v>15.4483</v>
      </c>
      <c r="D974" s="4">
        <v>15.282299999999999</v>
      </c>
      <c r="E974" s="4">
        <v>15.273099999999999</v>
      </c>
      <c r="F974" s="4">
        <f t="shared" si="60"/>
        <v>15.334566666666666</v>
      </c>
      <c r="I974" s="4" t="s">
        <v>3581</v>
      </c>
      <c r="J974" s="4">
        <v>15.2867</v>
      </c>
      <c r="K974" s="4">
        <v>15.2424</v>
      </c>
      <c r="L974" s="4">
        <v>15.593299999999999</v>
      </c>
      <c r="M974" s="4">
        <f t="shared" si="61"/>
        <v>15.374133333333333</v>
      </c>
      <c r="P974" s="4" t="str">
        <f>"T25B9.2"</f>
        <v>T25B9.2</v>
      </c>
      <c r="Q974" s="4">
        <v>14.5188529659601</v>
      </c>
      <c r="R974" s="4">
        <v>15.253697238023401</v>
      </c>
      <c r="S974" s="4">
        <v>15.2893297088488</v>
      </c>
      <c r="T974" s="4">
        <f t="shared" si="62"/>
        <v>15.020626637610766</v>
      </c>
      <c r="W974" s="4" t="str">
        <f>"lam-2"</f>
        <v>lam-2</v>
      </c>
      <c r="X974" s="4">
        <v>14.678218628015101</v>
      </c>
      <c r="Y974" s="4">
        <v>15.1409115689352</v>
      </c>
      <c r="Z974" s="4">
        <v>15.4764000561527</v>
      </c>
      <c r="AA974" s="4">
        <f t="shared" si="63"/>
        <v>15.098510084367668</v>
      </c>
    </row>
    <row r="975" spans="2:27" x14ac:dyDescent="0.2">
      <c r="B975" s="4" t="s">
        <v>4003</v>
      </c>
      <c r="C975" s="4">
        <v>15.1098</v>
      </c>
      <c r="D975" s="4">
        <v>15.5191</v>
      </c>
      <c r="E975" s="4">
        <v>15.370900000000001</v>
      </c>
      <c r="F975" s="4">
        <f t="shared" si="60"/>
        <v>15.333266666666667</v>
      </c>
      <c r="I975" s="4" t="s">
        <v>932</v>
      </c>
      <c r="J975" s="4">
        <v>15.5151</v>
      </c>
      <c r="K975" s="4">
        <v>15.549799999999999</v>
      </c>
      <c r="L975" s="4">
        <v>15.055199999999999</v>
      </c>
      <c r="M975" s="4">
        <f t="shared" si="61"/>
        <v>15.373366666666668</v>
      </c>
      <c r="P975" s="4" t="str">
        <f>"eif-2bbeta"</f>
        <v>eif-2bbeta</v>
      </c>
      <c r="Q975" s="4">
        <v>15.123373842566201</v>
      </c>
      <c r="R975" s="4">
        <v>15.02514028665</v>
      </c>
      <c r="S975" s="4">
        <v>14.9092020039713</v>
      </c>
      <c r="T975" s="4">
        <f t="shared" si="62"/>
        <v>15.019238711062501</v>
      </c>
      <c r="W975" s="4" t="str">
        <f>"hrpl-1"</f>
        <v>hrpl-1</v>
      </c>
      <c r="X975" s="4">
        <v>15.145316089589899</v>
      </c>
      <c r="Y975" s="4">
        <v>15.087208494651</v>
      </c>
      <c r="Z975" s="4">
        <v>15.057493570392101</v>
      </c>
      <c r="AA975" s="4">
        <f t="shared" si="63"/>
        <v>15.096672718211002</v>
      </c>
    </row>
    <row r="976" spans="2:27" x14ac:dyDescent="0.2">
      <c r="B976" s="4" t="s">
        <v>2902</v>
      </c>
      <c r="C976" s="4">
        <v>15.540100000000001</v>
      </c>
      <c r="D976" s="4">
        <v>15.1456</v>
      </c>
      <c r="E976" s="4">
        <v>15.3093</v>
      </c>
      <c r="F976" s="4">
        <f t="shared" si="60"/>
        <v>15.331666666666669</v>
      </c>
      <c r="I976" s="4" t="s">
        <v>2134</v>
      </c>
      <c r="J976" s="4">
        <v>15.2478</v>
      </c>
      <c r="K976" s="4">
        <v>15.438599999999999</v>
      </c>
      <c r="L976" s="4">
        <v>15.418799999999999</v>
      </c>
      <c r="M976" s="4">
        <f t="shared" si="61"/>
        <v>15.368399999999999</v>
      </c>
      <c r="P976" s="4" t="str">
        <f>"cah-4"</f>
        <v>cah-4</v>
      </c>
      <c r="Q976" s="4">
        <v>14.998426553289701</v>
      </c>
      <c r="R976" s="4">
        <v>14.8340661084044</v>
      </c>
      <c r="S976" s="4">
        <v>15.2212056001378</v>
      </c>
      <c r="T976" s="4">
        <f t="shared" si="62"/>
        <v>15.017899420610632</v>
      </c>
      <c r="W976" s="4" t="str">
        <f>"M142.5"</f>
        <v>M142.5</v>
      </c>
      <c r="X976" s="4">
        <v>15.213675320101</v>
      </c>
      <c r="Y976" s="4">
        <v>15.081719575187501</v>
      </c>
      <c r="Z976" s="4">
        <v>14.99102346542</v>
      </c>
      <c r="AA976" s="4">
        <f t="shared" si="63"/>
        <v>15.095472786902834</v>
      </c>
    </row>
    <row r="977" spans="2:27" x14ac:dyDescent="0.2">
      <c r="B977" s="4" t="s">
        <v>649</v>
      </c>
      <c r="C977" s="4">
        <v>15.282999999999999</v>
      </c>
      <c r="D977" s="4">
        <v>15.4298</v>
      </c>
      <c r="E977" s="4">
        <v>15.281700000000001</v>
      </c>
      <c r="F977" s="4">
        <f t="shared" si="60"/>
        <v>15.3315</v>
      </c>
      <c r="I977" s="4" t="s">
        <v>15</v>
      </c>
      <c r="J977" s="4">
        <v>15.611800000000001</v>
      </c>
      <c r="K977" s="4">
        <v>15.4413</v>
      </c>
      <c r="L977" s="4">
        <v>15.051500000000001</v>
      </c>
      <c r="M977" s="4">
        <f t="shared" si="61"/>
        <v>15.368200000000002</v>
      </c>
      <c r="P977" s="4" t="str">
        <f>"copz-1"</f>
        <v>copz-1</v>
      </c>
      <c r="Q977" s="4">
        <v>15.430616221027501</v>
      </c>
      <c r="R977" s="4">
        <v>14.8553813066838</v>
      </c>
      <c r="S977" s="4">
        <v>14.7661527573513</v>
      </c>
      <c r="T977" s="4">
        <f t="shared" si="62"/>
        <v>15.017383428354201</v>
      </c>
      <c r="W977" s="4" t="str">
        <f>"sto-4"</f>
        <v>sto-4</v>
      </c>
      <c r="X977" s="4">
        <v>15.1309226240905</v>
      </c>
      <c r="Y977" s="4">
        <v>15.0284580659041</v>
      </c>
      <c r="Z977" s="4">
        <v>15.1239654524397</v>
      </c>
      <c r="AA977" s="4">
        <f t="shared" si="63"/>
        <v>15.094448714144766</v>
      </c>
    </row>
    <row r="978" spans="2:27" x14ac:dyDescent="0.2">
      <c r="B978" s="4" t="s">
        <v>4014</v>
      </c>
      <c r="C978" s="4">
        <v>15.2737</v>
      </c>
      <c r="D978" s="4">
        <v>15.241400000000001</v>
      </c>
      <c r="E978" s="4">
        <v>15.47</v>
      </c>
      <c r="F978" s="4">
        <f t="shared" si="60"/>
        <v>15.328366666666668</v>
      </c>
      <c r="I978" s="4" t="s">
        <v>3309</v>
      </c>
      <c r="J978" s="4">
        <v>15.272</v>
      </c>
      <c r="K978" s="4">
        <v>15.5334</v>
      </c>
      <c r="L978" s="4">
        <v>15.2836</v>
      </c>
      <c r="M978" s="4">
        <f t="shared" si="61"/>
        <v>15.363</v>
      </c>
      <c r="P978" s="4" t="str">
        <f>"Y53G8AR.8"</f>
        <v>Y53G8AR.8</v>
      </c>
      <c r="Q978" s="4">
        <v>15.398737612432299</v>
      </c>
      <c r="R978" s="4">
        <v>14.7684137260554</v>
      </c>
      <c r="S978" s="4">
        <v>14.882184533903599</v>
      </c>
      <c r="T978" s="4">
        <f t="shared" si="62"/>
        <v>15.016445290797099</v>
      </c>
      <c r="W978" s="4" t="str">
        <f>"T25G3.3"</f>
        <v>T25G3.3</v>
      </c>
      <c r="X978" s="4">
        <v>15.159929791661</v>
      </c>
      <c r="Y978" s="4">
        <v>15.1384307477555</v>
      </c>
      <c r="Z978" s="4">
        <v>14.9764109498343</v>
      </c>
      <c r="AA978" s="4">
        <f t="shared" si="63"/>
        <v>15.091590496416933</v>
      </c>
    </row>
    <row r="979" spans="2:27" x14ac:dyDescent="0.2">
      <c r="B979" s="4" t="s">
        <v>1852</v>
      </c>
      <c r="C979" s="4">
        <v>15.369</v>
      </c>
      <c r="D979" s="4">
        <v>15.319100000000001</v>
      </c>
      <c r="E979" s="4">
        <v>15.2933</v>
      </c>
      <c r="F979" s="4">
        <f t="shared" si="60"/>
        <v>15.327133333333334</v>
      </c>
      <c r="I979" s="4" t="s">
        <v>2266</v>
      </c>
      <c r="J979" s="4">
        <v>15.608700000000001</v>
      </c>
      <c r="K979" s="4">
        <v>15.2463</v>
      </c>
      <c r="L979" s="4">
        <v>15.2249</v>
      </c>
      <c r="M979" s="4">
        <f t="shared" si="61"/>
        <v>15.359966666666667</v>
      </c>
      <c r="P979" s="4" t="str">
        <f>"coq-5"</f>
        <v>coq-5</v>
      </c>
      <c r="Q979" s="4">
        <v>15.242056805753601</v>
      </c>
      <c r="R979" s="4">
        <v>14.7735888209757</v>
      </c>
      <c r="S979" s="4">
        <v>15.0267500667367</v>
      </c>
      <c r="T979" s="4">
        <f t="shared" si="62"/>
        <v>15.014131897822002</v>
      </c>
      <c r="W979" s="4" t="str">
        <f>"eif-3.L"</f>
        <v>eif-3.L</v>
      </c>
      <c r="X979" s="4">
        <v>15.266924741288999</v>
      </c>
      <c r="Y979" s="4">
        <v>15.111098720582399</v>
      </c>
      <c r="Z979" s="4">
        <v>14.889186397857401</v>
      </c>
      <c r="AA979" s="4">
        <f t="shared" si="63"/>
        <v>15.089069953242934</v>
      </c>
    </row>
    <row r="980" spans="2:27" x14ac:dyDescent="0.2">
      <c r="B980" s="4" t="s">
        <v>921</v>
      </c>
      <c r="C980" s="4">
        <v>15.238099999999999</v>
      </c>
      <c r="D980" s="4">
        <v>15.6881</v>
      </c>
      <c r="E980" s="4">
        <v>15.032400000000001</v>
      </c>
      <c r="F980" s="4">
        <f t="shared" si="60"/>
        <v>15.319533333333334</v>
      </c>
      <c r="I980" s="4" t="s">
        <v>3477</v>
      </c>
      <c r="J980" s="4">
        <v>15.392200000000001</v>
      </c>
      <c r="K980" s="4">
        <v>15.4009</v>
      </c>
      <c r="L980" s="4">
        <v>15.2866</v>
      </c>
      <c r="M980" s="4">
        <f t="shared" si="61"/>
        <v>15.359900000000001</v>
      </c>
      <c r="P980" s="4" t="str">
        <f>"nubp-1"</f>
        <v>nubp-1</v>
      </c>
      <c r="Q980" s="4">
        <v>15.200912429632</v>
      </c>
      <c r="R980" s="4">
        <v>14.9106293293879</v>
      </c>
      <c r="S980" s="4">
        <v>14.926217592838301</v>
      </c>
      <c r="T980" s="4">
        <f t="shared" si="62"/>
        <v>15.0125864506194</v>
      </c>
      <c r="W980" s="4" t="str">
        <f>"cox-4"</f>
        <v>cox-4</v>
      </c>
      <c r="X980" s="4">
        <v>14.7054932393489</v>
      </c>
      <c r="Y980" s="4">
        <v>15.1200719190734</v>
      </c>
      <c r="Z980" s="4">
        <v>15.433305563790199</v>
      </c>
      <c r="AA980" s="4">
        <f t="shared" si="63"/>
        <v>15.086290240737499</v>
      </c>
    </row>
    <row r="981" spans="2:27" x14ac:dyDescent="0.2">
      <c r="B981" s="4" t="s">
        <v>3651</v>
      </c>
      <c r="C981" s="4">
        <v>15.262700000000001</v>
      </c>
      <c r="D981" s="4">
        <v>15.3977</v>
      </c>
      <c r="E981" s="4">
        <v>15.2812</v>
      </c>
      <c r="F981" s="4">
        <f t="shared" si="60"/>
        <v>15.313866666666668</v>
      </c>
      <c r="I981" s="4" t="s">
        <v>3312</v>
      </c>
      <c r="J981" s="4">
        <v>15.6762</v>
      </c>
      <c r="K981" s="4">
        <v>15.1882</v>
      </c>
      <c r="L981" s="4">
        <v>15.2112</v>
      </c>
      <c r="M981" s="4">
        <f t="shared" si="61"/>
        <v>15.358533333333334</v>
      </c>
      <c r="P981" s="4" t="str">
        <f>"mter-4"</f>
        <v>mter-4</v>
      </c>
      <c r="Q981" s="4">
        <v>15.3176181759555</v>
      </c>
      <c r="R981" s="4">
        <v>14.825598110974999</v>
      </c>
      <c r="S981" s="4">
        <v>14.8896036745905</v>
      </c>
      <c r="T981" s="4">
        <f t="shared" si="62"/>
        <v>15.010939987173666</v>
      </c>
      <c r="W981" s="4" t="str">
        <f>"mrpl-4"</f>
        <v>mrpl-4</v>
      </c>
      <c r="X981" s="4">
        <v>14.893786248631899</v>
      </c>
      <c r="Y981" s="4">
        <v>15.1462723364893</v>
      </c>
      <c r="Z981" s="4">
        <v>15.212243553836201</v>
      </c>
      <c r="AA981" s="4">
        <f t="shared" si="63"/>
        <v>15.084100712985801</v>
      </c>
    </row>
    <row r="982" spans="2:27" x14ac:dyDescent="0.2">
      <c r="B982" s="4" t="s">
        <v>2242</v>
      </c>
      <c r="C982" s="4">
        <v>15.514099999999999</v>
      </c>
      <c r="D982" s="4">
        <v>15.3161</v>
      </c>
      <c r="E982" s="4">
        <v>15.1098</v>
      </c>
      <c r="F982" s="4">
        <f t="shared" si="60"/>
        <v>15.313333333333333</v>
      </c>
      <c r="I982" s="4" t="s">
        <v>1852</v>
      </c>
      <c r="J982" s="4">
        <v>15.3032</v>
      </c>
      <c r="K982" s="4">
        <v>15.537699999999999</v>
      </c>
      <c r="L982" s="4">
        <v>15.217700000000001</v>
      </c>
      <c r="M982" s="4">
        <f t="shared" si="61"/>
        <v>15.352866666666666</v>
      </c>
      <c r="P982" s="4" t="str">
        <f>"R144.11"</f>
        <v>R144.11</v>
      </c>
      <c r="Q982" s="4">
        <v>15.0564332525919</v>
      </c>
      <c r="R982" s="4">
        <v>14.8988077080294</v>
      </c>
      <c r="S982" s="4">
        <v>15.076339449062701</v>
      </c>
      <c r="T982" s="4">
        <f t="shared" si="62"/>
        <v>15.010526803227998</v>
      </c>
      <c r="W982" s="4" t="str">
        <f>"Y48E1C.4"</f>
        <v>Y48E1C.4</v>
      </c>
      <c r="X982" s="4">
        <v>15.0274223311689</v>
      </c>
      <c r="Y982" s="4">
        <v>15.1199099126984</v>
      </c>
      <c r="Z982" s="4">
        <v>15.101306663028501</v>
      </c>
      <c r="AA982" s="4">
        <f t="shared" si="63"/>
        <v>15.082879635631933</v>
      </c>
    </row>
    <row r="983" spans="2:27" x14ac:dyDescent="0.2">
      <c r="B983" s="4" t="s">
        <v>297</v>
      </c>
      <c r="C983" s="4">
        <v>15.4114</v>
      </c>
      <c r="D983" s="4">
        <v>15.1882</v>
      </c>
      <c r="E983" s="4">
        <v>15.329499999999999</v>
      </c>
      <c r="F983" s="4">
        <f t="shared" si="60"/>
        <v>15.309700000000001</v>
      </c>
      <c r="I983" s="4" t="s">
        <v>1273</v>
      </c>
      <c r="J983" s="4">
        <v>15.162000000000001</v>
      </c>
      <c r="K983" s="4">
        <v>15.226100000000001</v>
      </c>
      <c r="L983" s="4">
        <v>15.668200000000001</v>
      </c>
      <c r="M983" s="4">
        <f t="shared" si="61"/>
        <v>15.3521</v>
      </c>
      <c r="P983" s="4" t="str">
        <f>"ZK1128.1"</f>
        <v>ZK1128.1</v>
      </c>
      <c r="Q983" s="4">
        <v>14.8634019130038</v>
      </c>
      <c r="R983" s="4">
        <v>15.039505615379801</v>
      </c>
      <c r="S983" s="4">
        <v>15.127527168590801</v>
      </c>
      <c r="T983" s="4">
        <f t="shared" si="62"/>
        <v>15.010144898991468</v>
      </c>
      <c r="W983" s="4" t="str">
        <f>"gex-4"</f>
        <v>gex-4</v>
      </c>
      <c r="X983" s="4">
        <v>14.995134045842599</v>
      </c>
      <c r="Y983" s="4">
        <v>15.2353468383726</v>
      </c>
      <c r="Z983" s="4">
        <v>15.017721697037601</v>
      </c>
      <c r="AA983" s="4">
        <f t="shared" si="63"/>
        <v>15.082734193750932</v>
      </c>
    </row>
    <row r="984" spans="2:27" x14ac:dyDescent="0.2">
      <c r="B984" s="4" t="s">
        <v>4021</v>
      </c>
      <c r="C984" s="4">
        <v>15.417899999999999</v>
      </c>
      <c r="D984" s="4">
        <v>15.0718</v>
      </c>
      <c r="E984" s="4">
        <v>15.438599999999999</v>
      </c>
      <c r="F984" s="4">
        <f t="shared" si="60"/>
        <v>15.309433333333333</v>
      </c>
      <c r="I984" s="4" t="s">
        <v>3221</v>
      </c>
      <c r="J984" s="4">
        <v>15.680400000000001</v>
      </c>
      <c r="K984" s="4">
        <v>15.464499999999999</v>
      </c>
      <c r="L984" s="4">
        <v>14.8995</v>
      </c>
      <c r="M984" s="4">
        <f t="shared" si="61"/>
        <v>15.348133333333331</v>
      </c>
      <c r="P984" s="4" t="str">
        <f>"T09A5.5"</f>
        <v>T09A5.5</v>
      </c>
      <c r="Q984" s="4">
        <v>15.286880645260499</v>
      </c>
      <c r="R984" s="4">
        <v>14.952038990569401</v>
      </c>
      <c r="S984" s="4">
        <v>14.7598271893667</v>
      </c>
      <c r="T984" s="4">
        <f t="shared" si="62"/>
        <v>14.999582275065535</v>
      </c>
      <c r="W984" s="4" t="str">
        <f>"M57.2"</f>
        <v>M57.2</v>
      </c>
      <c r="X984" s="4">
        <v>15.2791906642267</v>
      </c>
      <c r="Y984" s="4">
        <v>15.0224798341705</v>
      </c>
      <c r="Z984" s="4">
        <v>14.9435552399322</v>
      </c>
      <c r="AA984" s="4">
        <f t="shared" si="63"/>
        <v>15.081741912776467</v>
      </c>
    </row>
    <row r="985" spans="2:27" x14ac:dyDescent="0.2">
      <c r="B985" s="4" t="s">
        <v>2550</v>
      </c>
      <c r="C985" s="4">
        <v>15.472099999999999</v>
      </c>
      <c r="D985" s="4">
        <v>15.034599999999999</v>
      </c>
      <c r="E985" s="4">
        <v>15.4215</v>
      </c>
      <c r="F985" s="4">
        <f t="shared" si="60"/>
        <v>15.309399999999998</v>
      </c>
      <c r="I985" s="4" t="s">
        <v>2449</v>
      </c>
      <c r="J985" s="4">
        <v>15.564</v>
      </c>
      <c r="K985" s="4">
        <v>15.2508</v>
      </c>
      <c r="L985" s="4">
        <v>15.229200000000001</v>
      </c>
      <c r="M985" s="4">
        <f t="shared" si="61"/>
        <v>15.347999999999999</v>
      </c>
      <c r="P985" s="4" t="str">
        <f>"Y38A10A.7"</f>
        <v>Y38A10A.7</v>
      </c>
      <c r="Q985" s="4">
        <v>15.330914147969001</v>
      </c>
      <c r="R985" s="4">
        <v>14.683008693751001</v>
      </c>
      <c r="S985" s="4">
        <v>14.9831924746788</v>
      </c>
      <c r="T985" s="4">
        <f t="shared" si="62"/>
        <v>14.999038438799602</v>
      </c>
      <c r="W985" s="4" t="str">
        <f>"rpa-1"</f>
        <v>rpa-1</v>
      </c>
      <c r="X985" s="4">
        <v>15.0803126140218</v>
      </c>
      <c r="Y985" s="4">
        <v>15.0837849323157</v>
      </c>
      <c r="Z985" s="4">
        <v>15.0644907489399</v>
      </c>
      <c r="AA985" s="4">
        <f t="shared" si="63"/>
        <v>15.076196098425802</v>
      </c>
    </row>
    <row r="986" spans="2:27" x14ac:dyDescent="0.2">
      <c r="B986" s="4" t="s">
        <v>2977</v>
      </c>
      <c r="C986" s="4">
        <v>15.2746</v>
      </c>
      <c r="D986" s="4">
        <v>15.1965</v>
      </c>
      <c r="E986" s="4">
        <v>15.4496</v>
      </c>
      <c r="F986" s="4">
        <f t="shared" si="60"/>
        <v>15.306899999999999</v>
      </c>
      <c r="I986" s="12" t="s">
        <v>406</v>
      </c>
      <c r="J986" s="12">
        <v>15.4527</v>
      </c>
      <c r="K986" s="12">
        <v>15.4488</v>
      </c>
      <c r="L986" s="12">
        <v>15.128399999999999</v>
      </c>
      <c r="M986" s="4">
        <f t="shared" si="61"/>
        <v>15.343299999999999</v>
      </c>
      <c r="P986" s="4" t="str">
        <f>"lars-2"</f>
        <v>lars-2</v>
      </c>
      <c r="Q986" s="4">
        <v>15.077010487734601</v>
      </c>
      <c r="R986" s="4">
        <v>14.8499101755258</v>
      </c>
      <c r="S986" s="4">
        <v>15.069955596593299</v>
      </c>
      <c r="T986" s="4">
        <f t="shared" si="62"/>
        <v>14.998958753284567</v>
      </c>
      <c r="W986" s="4" t="str">
        <f>"tsg-101"</f>
        <v>tsg-101</v>
      </c>
      <c r="X986" s="4">
        <v>15.136946041001501</v>
      </c>
      <c r="Y986" s="4">
        <v>15.099863375176501</v>
      </c>
      <c r="Z986" s="4">
        <v>14.9904969530418</v>
      </c>
      <c r="AA986" s="4">
        <f t="shared" si="63"/>
        <v>15.075768789739934</v>
      </c>
    </row>
    <row r="987" spans="2:27" x14ac:dyDescent="0.2">
      <c r="B987" s="4" t="s">
        <v>1434</v>
      </c>
      <c r="C987" s="4">
        <v>15.019299999999999</v>
      </c>
      <c r="D987" s="4">
        <v>15.3125</v>
      </c>
      <c r="E987" s="4">
        <v>15.5871</v>
      </c>
      <c r="F987" s="4">
        <f t="shared" si="60"/>
        <v>15.3063</v>
      </c>
      <c r="I987" s="4" t="s">
        <v>4645</v>
      </c>
      <c r="J987" s="4">
        <v>15.22</v>
      </c>
      <c r="K987" s="4">
        <v>15.0448</v>
      </c>
      <c r="L987" s="4">
        <v>15.7606</v>
      </c>
      <c r="M987" s="4">
        <f t="shared" si="61"/>
        <v>15.341800000000001</v>
      </c>
      <c r="P987" s="4" t="str">
        <f>"nstp-4"</f>
        <v>nstp-4</v>
      </c>
      <c r="Q987" s="4">
        <v>14.2864309526091</v>
      </c>
      <c r="R987" s="4">
        <v>15.128075781332001</v>
      </c>
      <c r="S987" s="4">
        <v>15.565278004906499</v>
      </c>
      <c r="T987" s="4">
        <f t="shared" si="62"/>
        <v>14.993261579615867</v>
      </c>
      <c r="W987" s="4" t="str">
        <f>"Y38A10A.7"</f>
        <v>Y38A10A.7</v>
      </c>
      <c r="X987" s="4">
        <v>14.629320629671801</v>
      </c>
      <c r="Y987" s="4">
        <v>15.465538130440899</v>
      </c>
      <c r="Z987" s="4">
        <v>15.127760048940701</v>
      </c>
      <c r="AA987" s="4">
        <f t="shared" si="63"/>
        <v>15.074206269684467</v>
      </c>
    </row>
    <row r="988" spans="2:27" x14ac:dyDescent="0.2">
      <c r="B988" s="4" t="s">
        <v>2015</v>
      </c>
      <c r="C988" s="4">
        <v>15.415100000000001</v>
      </c>
      <c r="D988" s="4">
        <v>15.450900000000001</v>
      </c>
      <c r="E988" s="4">
        <v>15.0527</v>
      </c>
      <c r="F988" s="4">
        <f t="shared" si="60"/>
        <v>15.306233333333333</v>
      </c>
      <c r="I988" s="4" t="s">
        <v>1468</v>
      </c>
      <c r="J988" s="4">
        <v>15.469900000000001</v>
      </c>
      <c r="K988" s="4">
        <v>15.219799999999999</v>
      </c>
      <c r="L988" s="4">
        <v>15.3347</v>
      </c>
      <c r="M988" s="4">
        <f t="shared" si="61"/>
        <v>15.341466666666667</v>
      </c>
      <c r="P988" s="4" t="str">
        <f>"Y48E1C.4"</f>
        <v>Y48E1C.4</v>
      </c>
      <c r="Q988" s="4">
        <v>15.1497753043442</v>
      </c>
      <c r="R988" s="4">
        <v>14.983091528832601</v>
      </c>
      <c r="S988" s="4">
        <v>14.846831499791399</v>
      </c>
      <c r="T988" s="4">
        <f t="shared" si="62"/>
        <v>14.993232777656067</v>
      </c>
      <c r="W988" s="4" t="str">
        <f>"dnbp-1"</f>
        <v>dnbp-1</v>
      </c>
      <c r="X988" s="4">
        <v>15.0333801159336</v>
      </c>
      <c r="Y988" s="4">
        <v>15.131294611443799</v>
      </c>
      <c r="Z988" s="4">
        <v>15.0570710021737</v>
      </c>
      <c r="AA988" s="4">
        <f t="shared" si="63"/>
        <v>15.0739152431837</v>
      </c>
    </row>
    <row r="989" spans="2:27" x14ac:dyDescent="0.2">
      <c r="B989" s="4" t="s">
        <v>2182</v>
      </c>
      <c r="C989" s="4">
        <v>15.3284</v>
      </c>
      <c r="D989" s="4">
        <v>15.2281</v>
      </c>
      <c r="E989" s="4">
        <v>15.360900000000001</v>
      </c>
      <c r="F989" s="4">
        <f t="shared" si="60"/>
        <v>15.3058</v>
      </c>
      <c r="I989" s="4" t="s">
        <v>856</v>
      </c>
      <c r="J989" s="4">
        <v>15.6258</v>
      </c>
      <c r="K989" s="4">
        <v>15.2553</v>
      </c>
      <c r="L989" s="4">
        <v>15.1416</v>
      </c>
      <c r="M989" s="4">
        <f t="shared" si="61"/>
        <v>15.3409</v>
      </c>
      <c r="P989" s="4" t="str">
        <f>"cdr-4"</f>
        <v>cdr-4</v>
      </c>
      <c r="Q989" s="4">
        <v>15.2132328417082</v>
      </c>
      <c r="R989" s="4">
        <v>14.832042050075399</v>
      </c>
      <c r="S989" s="4">
        <v>14.933735140268499</v>
      </c>
      <c r="T989" s="4">
        <f t="shared" si="62"/>
        <v>14.993003344017367</v>
      </c>
      <c r="W989" s="4" t="str">
        <f>"ule-3"</f>
        <v>ule-3</v>
      </c>
      <c r="X989" s="4">
        <v>14.971784941523</v>
      </c>
      <c r="Y989" s="4">
        <v>14.7791463931071</v>
      </c>
      <c r="Z989" s="4">
        <v>15.4693096024351</v>
      </c>
      <c r="AA989" s="4">
        <f t="shared" si="63"/>
        <v>15.073413645688399</v>
      </c>
    </row>
    <row r="990" spans="2:27" x14ac:dyDescent="0.2">
      <c r="B990" s="4" t="s">
        <v>2956</v>
      </c>
      <c r="C990" s="4">
        <v>15.465199999999999</v>
      </c>
      <c r="D990" s="4">
        <v>15.332000000000001</v>
      </c>
      <c r="E990" s="4">
        <v>15.1153</v>
      </c>
      <c r="F990" s="4">
        <f t="shared" si="60"/>
        <v>15.304166666666667</v>
      </c>
      <c r="I990" s="4" t="s">
        <v>3830</v>
      </c>
      <c r="J990" s="4">
        <v>15.509</v>
      </c>
      <c r="K990" s="4">
        <v>15.4886</v>
      </c>
      <c r="L990" s="4">
        <v>15.012</v>
      </c>
      <c r="M990" s="4">
        <f t="shared" si="61"/>
        <v>15.336533333333334</v>
      </c>
      <c r="P990" s="4" t="str">
        <f>"fgt-1"</f>
        <v>fgt-1</v>
      </c>
      <c r="Q990" s="4">
        <v>14.8128831238497</v>
      </c>
      <c r="R990" s="4">
        <v>14.9371024496466</v>
      </c>
      <c r="S990" s="4">
        <v>15.2163744026407</v>
      </c>
      <c r="T990" s="4">
        <f t="shared" si="62"/>
        <v>14.988786658712334</v>
      </c>
      <c r="W990" s="4" t="str">
        <f>"sfxn-1.5"</f>
        <v>sfxn-1.5</v>
      </c>
      <c r="X990" s="4">
        <v>15.217723569887101</v>
      </c>
      <c r="Y990" s="4">
        <v>15.1663986371031</v>
      </c>
      <c r="Z990" s="4">
        <v>14.8228781265035</v>
      </c>
      <c r="AA990" s="4">
        <f t="shared" si="63"/>
        <v>15.069000111164565</v>
      </c>
    </row>
    <row r="991" spans="2:27" x14ac:dyDescent="0.2">
      <c r="B991" s="4" t="s">
        <v>858</v>
      </c>
      <c r="C991" s="4">
        <v>15.2805</v>
      </c>
      <c r="D991" s="4">
        <v>15.599299999999999</v>
      </c>
      <c r="E991" s="4">
        <v>15.021599999999999</v>
      </c>
      <c r="F991" s="4">
        <f t="shared" si="60"/>
        <v>15.300466666666665</v>
      </c>
      <c r="I991" s="4" t="s">
        <v>2351</v>
      </c>
      <c r="J991" s="4">
        <v>15.182600000000001</v>
      </c>
      <c r="K991" s="4">
        <v>15.348800000000001</v>
      </c>
      <c r="L991" s="4">
        <v>15.4757</v>
      </c>
      <c r="M991" s="4">
        <f t="shared" si="61"/>
        <v>15.335700000000001</v>
      </c>
      <c r="P991" s="4" t="str">
        <f>"F37C4.6"</f>
        <v>F37C4.6</v>
      </c>
      <c r="Q991" s="4">
        <v>15.0360778117208</v>
      </c>
      <c r="R991" s="4">
        <v>14.797108143650799</v>
      </c>
      <c r="S991" s="4">
        <v>15.1184120187626</v>
      </c>
      <c r="T991" s="4">
        <f t="shared" si="62"/>
        <v>14.983865991378066</v>
      </c>
      <c r="W991" s="4" t="str">
        <f>"mel-28"</f>
        <v>mel-28</v>
      </c>
      <c r="X991" s="4">
        <v>14.9988911711387</v>
      </c>
      <c r="Y991" s="4">
        <v>15.0672290463481</v>
      </c>
      <c r="Z991" s="4">
        <v>15.1341913329878</v>
      </c>
      <c r="AA991" s="4">
        <f t="shared" si="63"/>
        <v>15.066770516824866</v>
      </c>
    </row>
    <row r="992" spans="2:27" x14ac:dyDescent="0.2">
      <c r="B992" s="4" t="s">
        <v>697</v>
      </c>
      <c r="C992" s="4">
        <v>14.7181</v>
      </c>
      <c r="D992" s="4">
        <v>15.9519</v>
      </c>
      <c r="E992" s="4">
        <v>15.2211</v>
      </c>
      <c r="F992" s="4">
        <f t="shared" si="60"/>
        <v>15.297033333333333</v>
      </c>
      <c r="I992" s="4" t="s">
        <v>3880</v>
      </c>
      <c r="J992" s="4">
        <v>15.2399</v>
      </c>
      <c r="K992" s="4">
        <v>15.7385</v>
      </c>
      <c r="L992" s="4">
        <v>15.0274</v>
      </c>
      <c r="M992" s="4">
        <f t="shared" si="61"/>
        <v>15.335266666666667</v>
      </c>
      <c r="P992" s="4" t="str">
        <f>"sec-8"</f>
        <v>sec-8</v>
      </c>
      <c r="Q992" s="4">
        <v>15.0603041680952</v>
      </c>
      <c r="R992" s="4">
        <v>14.951804010119799</v>
      </c>
      <c r="S992" s="4">
        <v>14.932941869636601</v>
      </c>
      <c r="T992" s="4">
        <f t="shared" si="62"/>
        <v>14.981683349283868</v>
      </c>
      <c r="W992" s="4" t="str">
        <f>"hacl-1"</f>
        <v>hacl-1</v>
      </c>
      <c r="X992" s="4">
        <v>14.9879369631713</v>
      </c>
      <c r="Y992" s="4">
        <v>14.847385394316699</v>
      </c>
      <c r="Z992" s="4">
        <v>15.3573211741063</v>
      </c>
      <c r="AA992" s="4">
        <f t="shared" si="63"/>
        <v>15.064214510531434</v>
      </c>
    </row>
    <row r="993" spans="2:27" x14ac:dyDescent="0.2">
      <c r="B993" s="4" t="s">
        <v>4649</v>
      </c>
      <c r="C993" s="4">
        <v>15.1221</v>
      </c>
      <c r="D993" s="4">
        <v>15.4909</v>
      </c>
      <c r="E993" s="4">
        <v>15.2775</v>
      </c>
      <c r="F993" s="4">
        <f t="shared" si="60"/>
        <v>15.296833333333334</v>
      </c>
      <c r="I993" s="4" t="s">
        <v>3659</v>
      </c>
      <c r="J993" s="4">
        <v>14.9358</v>
      </c>
      <c r="K993" s="4">
        <v>15.546200000000001</v>
      </c>
      <c r="L993" s="4">
        <v>15.517899999999999</v>
      </c>
      <c r="M993" s="4">
        <f t="shared" si="61"/>
        <v>15.333299999999999</v>
      </c>
      <c r="P993" s="4" t="str">
        <f>"gbf-1"</f>
        <v>gbf-1</v>
      </c>
      <c r="Q993" s="4">
        <v>14.901715867702601</v>
      </c>
      <c r="R993" s="4">
        <v>15.1294625209805</v>
      </c>
      <c r="S993" s="4">
        <v>14.912824627137001</v>
      </c>
      <c r="T993" s="4">
        <f t="shared" si="62"/>
        <v>14.9813343386067</v>
      </c>
      <c r="W993" s="4" t="str">
        <f>"mrp-4"</f>
        <v>mrp-4</v>
      </c>
      <c r="X993" s="4">
        <v>15.257482523371699</v>
      </c>
      <c r="Y993" s="4">
        <v>15.0098263235499</v>
      </c>
      <c r="Z993" s="4">
        <v>14.924727763874399</v>
      </c>
      <c r="AA993" s="4">
        <f t="shared" si="63"/>
        <v>15.064012203598667</v>
      </c>
    </row>
    <row r="994" spans="2:27" x14ac:dyDescent="0.2">
      <c r="B994" s="4" t="s">
        <v>3853</v>
      </c>
      <c r="C994" s="4">
        <v>15.4186</v>
      </c>
      <c r="D994" s="4">
        <v>15.241899999999999</v>
      </c>
      <c r="E994" s="4">
        <v>15.2264</v>
      </c>
      <c r="F994" s="4">
        <f t="shared" si="60"/>
        <v>15.295633333333333</v>
      </c>
      <c r="I994" s="4" t="s">
        <v>2181</v>
      </c>
      <c r="J994" s="4">
        <v>15.2782</v>
      </c>
      <c r="K994" s="4">
        <v>15.3104</v>
      </c>
      <c r="L994" s="4">
        <v>15.4023</v>
      </c>
      <c r="M994" s="4">
        <f t="shared" si="61"/>
        <v>15.330299999999999</v>
      </c>
      <c r="P994" s="4" t="str">
        <f>"cra-1"</f>
        <v>cra-1</v>
      </c>
      <c r="Q994" s="4">
        <v>14.870558883305099</v>
      </c>
      <c r="R994" s="4">
        <v>15.133929652547801</v>
      </c>
      <c r="S994" s="4">
        <v>14.9368768840759</v>
      </c>
      <c r="T994" s="4">
        <f t="shared" si="62"/>
        <v>14.980455139976266</v>
      </c>
      <c r="W994" s="4" t="str">
        <f>"psd-1"</f>
        <v>psd-1</v>
      </c>
      <c r="X994" s="4">
        <v>15.0235509995137</v>
      </c>
      <c r="Y994" s="4">
        <v>14.8727975715037</v>
      </c>
      <c r="Z994" s="4">
        <v>15.2829573318089</v>
      </c>
      <c r="AA994" s="4">
        <f t="shared" si="63"/>
        <v>15.059768634275434</v>
      </c>
    </row>
    <row r="995" spans="2:27" x14ac:dyDescent="0.2">
      <c r="B995" s="4" t="s">
        <v>2234</v>
      </c>
      <c r="C995" s="4">
        <v>15.2441</v>
      </c>
      <c r="D995" s="4">
        <v>15.349299999999999</v>
      </c>
      <c r="E995" s="4">
        <v>15.2911</v>
      </c>
      <c r="F995" s="4">
        <f t="shared" si="60"/>
        <v>15.294833333333335</v>
      </c>
      <c r="I995" s="4" t="s">
        <v>2997</v>
      </c>
      <c r="J995" s="4">
        <v>15.026199999999999</v>
      </c>
      <c r="K995" s="4">
        <v>15.448499999999999</v>
      </c>
      <c r="L995" s="4">
        <v>15.5152</v>
      </c>
      <c r="M995" s="4">
        <f t="shared" si="61"/>
        <v>15.329966666666666</v>
      </c>
      <c r="P995" s="4" t="str">
        <f>"gtf-2h4"</f>
        <v>gtf-2h4</v>
      </c>
      <c r="Q995" s="4">
        <v>14.979100610275101</v>
      </c>
      <c r="R995" s="4">
        <v>14.973851947980201</v>
      </c>
      <c r="S995" s="4">
        <v>14.9798021846811</v>
      </c>
      <c r="T995" s="4">
        <f t="shared" si="62"/>
        <v>14.977584914312134</v>
      </c>
      <c r="W995" s="4" t="str">
        <f>"sahd-1"</f>
        <v>sahd-1</v>
      </c>
      <c r="X995" s="4">
        <v>15.085763922990401</v>
      </c>
      <c r="Y995" s="4">
        <v>15.214128222930899</v>
      </c>
      <c r="Z995" s="4">
        <v>14.8738920811744</v>
      </c>
      <c r="AA995" s="4">
        <f t="shared" si="63"/>
        <v>15.057928075698564</v>
      </c>
    </row>
    <row r="996" spans="2:27" x14ac:dyDescent="0.2">
      <c r="B996" s="4" t="s">
        <v>3797</v>
      </c>
      <c r="C996" s="4">
        <v>15.258699999999999</v>
      </c>
      <c r="D996" s="4">
        <v>15.376899999999999</v>
      </c>
      <c r="E996" s="4">
        <v>15.246700000000001</v>
      </c>
      <c r="F996" s="4">
        <f t="shared" si="60"/>
        <v>15.2941</v>
      </c>
      <c r="I996" s="4" t="s">
        <v>2320</v>
      </c>
      <c r="J996" s="4">
        <v>15.006</v>
      </c>
      <c r="K996" s="4">
        <v>15.385400000000001</v>
      </c>
      <c r="L996" s="4">
        <v>15.5961</v>
      </c>
      <c r="M996" s="4">
        <f t="shared" si="61"/>
        <v>15.329166666666666</v>
      </c>
      <c r="P996" s="4" t="str">
        <f>"prp-31"</f>
        <v>prp-31</v>
      </c>
      <c r="Q996" s="4">
        <v>14.997042034962501</v>
      </c>
      <c r="R996" s="4">
        <v>14.9227678646527</v>
      </c>
      <c r="S996" s="4">
        <v>15.0079694550196</v>
      </c>
      <c r="T996" s="4">
        <f t="shared" si="62"/>
        <v>14.975926451544934</v>
      </c>
      <c r="W996" s="4" t="str">
        <f>"apd-3"</f>
        <v>apd-3</v>
      </c>
      <c r="X996" s="4">
        <v>15.001233585035999</v>
      </c>
      <c r="Y996" s="4">
        <v>14.9894150329237</v>
      </c>
      <c r="Z996" s="4">
        <v>15.167862247837601</v>
      </c>
      <c r="AA996" s="4">
        <f t="shared" si="63"/>
        <v>15.052836955265766</v>
      </c>
    </row>
    <row r="997" spans="2:27" x14ac:dyDescent="0.2">
      <c r="B997" s="4" t="s">
        <v>1668</v>
      </c>
      <c r="C997" s="4">
        <v>15.374599999999999</v>
      </c>
      <c r="D997" s="4">
        <v>15.3497</v>
      </c>
      <c r="E997" s="4">
        <v>15.1501</v>
      </c>
      <c r="F997" s="4">
        <f t="shared" si="60"/>
        <v>15.291466666666667</v>
      </c>
      <c r="I997" s="4" t="s">
        <v>4640</v>
      </c>
      <c r="J997" s="4">
        <v>15.2103</v>
      </c>
      <c r="K997" s="4">
        <v>15.829599999999999</v>
      </c>
      <c r="L997" s="4">
        <v>14.9328</v>
      </c>
      <c r="M997" s="4">
        <f t="shared" si="61"/>
        <v>15.324233333333334</v>
      </c>
      <c r="P997" s="4" t="str">
        <f>"tbc-14"</f>
        <v>tbc-14</v>
      </c>
      <c r="Q997" s="4">
        <v>14.841966547155801</v>
      </c>
      <c r="R997" s="4">
        <v>14.9991001555794</v>
      </c>
      <c r="S997" s="4">
        <v>15.0818866097746</v>
      </c>
      <c r="T997" s="4">
        <f t="shared" si="62"/>
        <v>14.974317770836601</v>
      </c>
      <c r="W997" s="4" t="str">
        <f>"arx-2"</f>
        <v>arx-2</v>
      </c>
      <c r="X997" s="4">
        <v>15.003332577182899</v>
      </c>
      <c r="Y997" s="4">
        <v>15.1482731744949</v>
      </c>
      <c r="Z997" s="4">
        <v>15.003723716243799</v>
      </c>
      <c r="AA997" s="4">
        <f t="shared" si="63"/>
        <v>15.051776489307199</v>
      </c>
    </row>
    <row r="998" spans="2:27" x14ac:dyDescent="0.2">
      <c r="B998" s="4" t="s">
        <v>1468</v>
      </c>
      <c r="C998" s="4">
        <v>15.2189</v>
      </c>
      <c r="D998" s="4">
        <v>15.5372</v>
      </c>
      <c r="E998" s="4">
        <v>15.115</v>
      </c>
      <c r="F998" s="4">
        <f t="shared" si="60"/>
        <v>15.290366666666666</v>
      </c>
      <c r="I998" s="4" t="s">
        <v>2200</v>
      </c>
      <c r="J998" s="4">
        <v>15.2927</v>
      </c>
      <c r="K998" s="4">
        <v>15.247999999999999</v>
      </c>
      <c r="L998" s="4">
        <v>15.4267</v>
      </c>
      <c r="M998" s="4">
        <f t="shared" si="61"/>
        <v>15.322466666666665</v>
      </c>
      <c r="P998" s="4" t="str">
        <f>"cdk-5"</f>
        <v>cdk-5</v>
      </c>
      <c r="Q998" s="4">
        <v>15.105381816887499</v>
      </c>
      <c r="R998" s="4">
        <v>14.9233383967967</v>
      </c>
      <c r="S998" s="4">
        <v>14.8915054063359</v>
      </c>
      <c r="T998" s="4">
        <f t="shared" si="62"/>
        <v>14.9734085400067</v>
      </c>
      <c r="W998" s="4" t="str">
        <f>"ncx-2"</f>
        <v>ncx-2</v>
      </c>
      <c r="X998" s="4">
        <v>15.1772342739179</v>
      </c>
      <c r="Y998" s="4">
        <v>14.9830231981596</v>
      </c>
      <c r="Z998" s="4">
        <v>14.9890813542375</v>
      </c>
      <c r="AA998" s="4">
        <f t="shared" si="63"/>
        <v>15.049779608771667</v>
      </c>
    </row>
    <row r="999" spans="2:27" x14ac:dyDescent="0.2">
      <c r="B999" s="4" t="s">
        <v>227</v>
      </c>
      <c r="C999" s="4">
        <v>15.6092</v>
      </c>
      <c r="D999" s="4">
        <v>14.732799999999999</v>
      </c>
      <c r="E999" s="4">
        <v>15.5215</v>
      </c>
      <c r="F999" s="4">
        <f t="shared" si="60"/>
        <v>15.287833333333333</v>
      </c>
      <c r="I999" s="4" t="s">
        <v>677</v>
      </c>
      <c r="J999" s="4">
        <v>14.155799999999999</v>
      </c>
      <c r="K999" s="4">
        <v>15.1157</v>
      </c>
      <c r="L999" s="4">
        <v>16.684100000000001</v>
      </c>
      <c r="M999" s="4">
        <f t="shared" si="61"/>
        <v>15.318533333333335</v>
      </c>
      <c r="P999" s="4" t="str">
        <f>"mrpl-4"</f>
        <v>mrpl-4</v>
      </c>
      <c r="Q999" s="4">
        <v>15.0849057204583</v>
      </c>
      <c r="R999" s="4">
        <v>14.784898633610901</v>
      </c>
      <c r="S999" s="4">
        <v>15.048670908231699</v>
      </c>
      <c r="T999" s="4">
        <f t="shared" si="62"/>
        <v>14.972825087433634</v>
      </c>
      <c r="W999" s="4" t="str">
        <f>"C01B10.8"</f>
        <v>C01B10.8</v>
      </c>
      <c r="X999" s="4">
        <v>15.0632298115298</v>
      </c>
      <c r="Y999" s="4">
        <v>15.1154684575574</v>
      </c>
      <c r="Z999" s="4">
        <v>14.968737173355301</v>
      </c>
      <c r="AA999" s="4">
        <f t="shared" si="63"/>
        <v>15.049145147480834</v>
      </c>
    </row>
    <row r="1000" spans="2:27" x14ac:dyDescent="0.2">
      <c r="B1000" s="4" t="s">
        <v>604</v>
      </c>
      <c r="C1000" s="4">
        <v>14.9771</v>
      </c>
      <c r="D1000" s="4">
        <v>15.6737</v>
      </c>
      <c r="E1000" s="4">
        <v>15.200699999999999</v>
      </c>
      <c r="F1000" s="4">
        <f t="shared" si="60"/>
        <v>15.283833333333334</v>
      </c>
      <c r="I1000" s="4" t="s">
        <v>497</v>
      </c>
      <c r="J1000" s="4">
        <v>15.2934</v>
      </c>
      <c r="K1000" s="4">
        <v>15.6084</v>
      </c>
      <c r="L1000" s="4">
        <v>15.0474</v>
      </c>
      <c r="M1000" s="4">
        <f t="shared" si="61"/>
        <v>15.316400000000002</v>
      </c>
      <c r="P1000" s="4" t="str">
        <f>"irg-7"</f>
        <v>irg-7</v>
      </c>
      <c r="Q1000" s="4">
        <v>15.3057403980134</v>
      </c>
      <c r="R1000" s="4">
        <v>14.836983228300699</v>
      </c>
      <c r="S1000" s="4">
        <v>14.7727122175608</v>
      </c>
      <c r="T1000" s="4">
        <f t="shared" si="62"/>
        <v>14.971811947958301</v>
      </c>
      <c r="W1000" s="4" t="str">
        <f>"gta-1"</f>
        <v>gta-1</v>
      </c>
      <c r="X1000" s="4">
        <v>14.7560047643828</v>
      </c>
      <c r="Y1000" s="4">
        <v>14.934435581330099</v>
      </c>
      <c r="Z1000" s="4">
        <v>15.451929649260199</v>
      </c>
      <c r="AA1000" s="4">
        <f t="shared" si="63"/>
        <v>15.047456664991033</v>
      </c>
    </row>
    <row r="1001" spans="2:27" x14ac:dyDescent="0.2">
      <c r="B1001" s="4" t="s">
        <v>198</v>
      </c>
      <c r="C1001" s="4">
        <v>15.096399999999999</v>
      </c>
      <c r="D1001" s="4">
        <v>15.422000000000001</v>
      </c>
      <c r="E1001" s="4">
        <v>15.329800000000001</v>
      </c>
      <c r="F1001" s="4">
        <f t="shared" si="60"/>
        <v>15.282733333333333</v>
      </c>
      <c r="I1001" s="4" t="s">
        <v>3014</v>
      </c>
      <c r="J1001" s="4">
        <v>15.4941</v>
      </c>
      <c r="K1001" s="4">
        <v>14.988799999999999</v>
      </c>
      <c r="L1001" s="4">
        <v>15.460900000000001</v>
      </c>
      <c r="M1001" s="4">
        <f t="shared" si="61"/>
        <v>15.3146</v>
      </c>
      <c r="P1001" s="4" t="str">
        <f>"C01B10.11"</f>
        <v>C01B10.11</v>
      </c>
      <c r="Q1001" s="4">
        <v>15.020271721002199</v>
      </c>
      <c r="R1001" s="4">
        <v>14.8677905813917</v>
      </c>
      <c r="S1001" s="4">
        <v>15.024285864801</v>
      </c>
      <c r="T1001" s="4">
        <f t="shared" si="62"/>
        <v>14.970782722398299</v>
      </c>
      <c r="W1001" s="4" t="str">
        <f>"bpl-1"</f>
        <v>bpl-1</v>
      </c>
      <c r="X1001" s="4">
        <v>14.9034724906224</v>
      </c>
      <c r="Y1001" s="4">
        <v>15.1133834339961</v>
      </c>
      <c r="Z1001" s="4">
        <v>15.120348493887301</v>
      </c>
      <c r="AA1001" s="4">
        <f t="shared" si="63"/>
        <v>15.045734806168602</v>
      </c>
    </row>
    <row r="1002" spans="2:27" x14ac:dyDescent="0.2">
      <c r="B1002" s="4" t="s">
        <v>1720</v>
      </c>
      <c r="C1002" s="4">
        <v>15.448700000000001</v>
      </c>
      <c r="D1002" s="4">
        <v>14.918900000000001</v>
      </c>
      <c r="E1002" s="4">
        <v>15.478</v>
      </c>
      <c r="F1002" s="4">
        <f t="shared" si="60"/>
        <v>15.281866666666668</v>
      </c>
      <c r="I1002" s="4" t="s">
        <v>525</v>
      </c>
      <c r="J1002" s="4">
        <v>15.3283</v>
      </c>
      <c r="K1002" s="4">
        <v>15.322900000000001</v>
      </c>
      <c r="L1002" s="4">
        <v>15.285500000000001</v>
      </c>
      <c r="M1002" s="4">
        <f t="shared" si="61"/>
        <v>15.312233333333333</v>
      </c>
      <c r="P1002" s="4" t="str">
        <f>"pmp-1"</f>
        <v>pmp-1</v>
      </c>
      <c r="Q1002" s="4">
        <v>15.0229965105012</v>
      </c>
      <c r="R1002" s="4">
        <v>14.992297753112201</v>
      </c>
      <c r="S1002" s="4">
        <v>14.888629084112599</v>
      </c>
      <c r="T1002" s="4">
        <f t="shared" si="62"/>
        <v>14.967974449242</v>
      </c>
      <c r="W1002" s="4" t="str">
        <f>"trm-2a"</f>
        <v>trm-2a</v>
      </c>
      <c r="X1002" s="4">
        <v>14.883305780020301</v>
      </c>
      <c r="Y1002" s="4">
        <v>15.133034879969999</v>
      </c>
      <c r="Z1002" s="4">
        <v>15.115146469696899</v>
      </c>
      <c r="AA1002" s="4">
        <f t="shared" si="63"/>
        <v>15.043829043229067</v>
      </c>
    </row>
    <row r="1003" spans="2:27" x14ac:dyDescent="0.2">
      <c r="B1003" s="4" t="s">
        <v>52</v>
      </c>
      <c r="C1003" s="4">
        <v>15.416</v>
      </c>
      <c r="D1003" s="4">
        <v>15.235300000000001</v>
      </c>
      <c r="E1003" s="4">
        <v>15.193899999999999</v>
      </c>
      <c r="F1003" s="4">
        <f t="shared" si="60"/>
        <v>15.281733333333333</v>
      </c>
      <c r="I1003" s="4" t="s">
        <v>3314</v>
      </c>
      <c r="J1003" s="4">
        <v>15.351900000000001</v>
      </c>
      <c r="K1003" s="4">
        <v>15.337</v>
      </c>
      <c r="L1003" s="4">
        <v>15.245900000000001</v>
      </c>
      <c r="M1003" s="4">
        <f t="shared" si="61"/>
        <v>15.3116</v>
      </c>
      <c r="P1003" s="4" t="str">
        <f>"Y40C7B.4"</f>
        <v>Y40C7B.4</v>
      </c>
      <c r="Q1003" s="4">
        <v>14.8779897565165</v>
      </c>
      <c r="R1003" s="4">
        <v>15.0324691289615</v>
      </c>
      <c r="S1003" s="4">
        <v>14.976592808525</v>
      </c>
      <c r="T1003" s="4">
        <f t="shared" si="62"/>
        <v>14.962350564667666</v>
      </c>
      <c r="W1003" s="4" t="str">
        <f>"ZK1073.1"</f>
        <v>ZK1073.1</v>
      </c>
      <c r="X1003" s="4">
        <v>15.1024144918229</v>
      </c>
      <c r="Y1003" s="4">
        <v>15.0835467474135</v>
      </c>
      <c r="Z1003" s="4">
        <v>14.9450911591283</v>
      </c>
      <c r="AA1003" s="4">
        <f t="shared" si="63"/>
        <v>15.043684132788234</v>
      </c>
    </row>
    <row r="1004" spans="2:27" x14ac:dyDescent="0.2">
      <c r="B1004" s="4" t="s">
        <v>3733</v>
      </c>
      <c r="C1004" s="4">
        <v>15.322900000000001</v>
      </c>
      <c r="D1004" s="4">
        <v>15.5169</v>
      </c>
      <c r="E1004" s="4">
        <v>15.004899999999999</v>
      </c>
      <c r="F1004" s="4">
        <f t="shared" si="60"/>
        <v>15.281566666666668</v>
      </c>
      <c r="I1004" s="4" t="s">
        <v>3076</v>
      </c>
      <c r="J1004" s="4">
        <v>15.226800000000001</v>
      </c>
      <c r="K1004" s="4">
        <v>15.2491</v>
      </c>
      <c r="L1004" s="4">
        <v>15.4582</v>
      </c>
      <c r="M1004" s="4">
        <f t="shared" si="61"/>
        <v>15.311366666666666</v>
      </c>
      <c r="P1004" s="4" t="str">
        <f>"npp-10"</f>
        <v>npp-10</v>
      </c>
      <c r="Q1004" s="4">
        <v>14.956756211238</v>
      </c>
      <c r="R1004" s="4">
        <v>14.945464859456999</v>
      </c>
      <c r="S1004" s="4">
        <v>14.9734264055969</v>
      </c>
      <c r="T1004" s="4">
        <f t="shared" si="62"/>
        <v>14.958549158763967</v>
      </c>
      <c r="W1004" s="4" t="str">
        <f>"aqp-10"</f>
        <v>aqp-10</v>
      </c>
      <c r="X1004" s="4">
        <v>14.687554326332901</v>
      </c>
      <c r="Y1004" s="4">
        <v>14.997441578132401</v>
      </c>
      <c r="Z1004" s="4">
        <v>15.442749186415099</v>
      </c>
      <c r="AA1004" s="4">
        <f t="shared" si="63"/>
        <v>15.042581696960134</v>
      </c>
    </row>
    <row r="1005" spans="2:27" x14ac:dyDescent="0.2">
      <c r="B1005" s="4" t="s">
        <v>4311</v>
      </c>
      <c r="C1005" s="4">
        <v>15.5739</v>
      </c>
      <c r="D1005" s="4">
        <v>15.4038</v>
      </c>
      <c r="E1005" s="4">
        <v>14.866099999999999</v>
      </c>
      <c r="F1005" s="4">
        <f t="shared" si="60"/>
        <v>15.281266666666667</v>
      </c>
      <c r="I1005" s="4" t="s">
        <v>4651</v>
      </c>
      <c r="J1005" s="4">
        <v>15.089499999999999</v>
      </c>
      <c r="K1005" s="4">
        <v>15.4305</v>
      </c>
      <c r="L1005" s="4">
        <v>15.408799999999999</v>
      </c>
      <c r="M1005" s="4">
        <f t="shared" si="61"/>
        <v>15.309599999999998</v>
      </c>
      <c r="P1005" s="4" t="str">
        <f>"sfxn-1.5"</f>
        <v>sfxn-1.5</v>
      </c>
      <c r="Q1005" s="4">
        <v>14.7167777891892</v>
      </c>
      <c r="R1005" s="4">
        <v>15.1223256078401</v>
      </c>
      <c r="S1005" s="4">
        <v>15.0362183597911</v>
      </c>
      <c r="T1005" s="4">
        <f t="shared" si="62"/>
        <v>14.9584405856068</v>
      </c>
      <c r="W1005" s="4" t="str">
        <f>"spch-1"</f>
        <v>spch-1</v>
      </c>
      <c r="X1005" s="4">
        <v>15.5775655280442</v>
      </c>
      <c r="Y1005" s="4">
        <v>14.4288473282477</v>
      </c>
      <c r="Z1005" s="4">
        <v>15.1194718653691</v>
      </c>
      <c r="AA1005" s="4">
        <f t="shared" si="63"/>
        <v>15.041961573887001</v>
      </c>
    </row>
    <row r="1006" spans="2:27" x14ac:dyDescent="0.2">
      <c r="B1006" s="4" t="s">
        <v>2185</v>
      </c>
      <c r="C1006" s="4">
        <v>15.414899999999999</v>
      </c>
      <c r="D1006" s="4">
        <v>14.931900000000001</v>
      </c>
      <c r="E1006" s="4">
        <v>15.485200000000001</v>
      </c>
      <c r="F1006" s="4">
        <f t="shared" si="60"/>
        <v>15.277333333333333</v>
      </c>
      <c r="I1006" s="4" t="s">
        <v>3353</v>
      </c>
      <c r="J1006" s="4">
        <v>15.6486</v>
      </c>
      <c r="K1006" s="4">
        <v>15.298</v>
      </c>
      <c r="L1006" s="4">
        <v>14.981</v>
      </c>
      <c r="M1006" s="4">
        <f t="shared" si="61"/>
        <v>15.309199999999999</v>
      </c>
      <c r="P1006" s="4" t="str">
        <f>"mrp-4"</f>
        <v>mrp-4</v>
      </c>
      <c r="Q1006" s="4">
        <v>14.8722204759422</v>
      </c>
      <c r="R1006" s="4">
        <v>15.025228243379001</v>
      </c>
      <c r="S1006" s="4">
        <v>14.973718113438</v>
      </c>
      <c r="T1006" s="4">
        <f t="shared" si="62"/>
        <v>14.957055610919733</v>
      </c>
      <c r="W1006" s="4" t="str">
        <f>"acds-10"</f>
        <v>acds-10</v>
      </c>
      <c r="X1006" s="4">
        <v>15.166689930769399</v>
      </c>
      <c r="Y1006" s="4">
        <v>14.939613040823501</v>
      </c>
      <c r="Z1006" s="4">
        <v>15.0172529958868</v>
      </c>
      <c r="AA1006" s="4">
        <f t="shared" si="63"/>
        <v>15.041185322493234</v>
      </c>
    </row>
    <row r="1007" spans="2:27" x14ac:dyDescent="0.2">
      <c r="B1007" s="4" t="s">
        <v>451</v>
      </c>
      <c r="C1007" s="4">
        <v>15.0063</v>
      </c>
      <c r="D1007" s="4">
        <v>15.605499999999999</v>
      </c>
      <c r="E1007" s="4">
        <v>15.215199999999999</v>
      </c>
      <c r="F1007" s="4">
        <f t="shared" si="60"/>
        <v>15.275666666666666</v>
      </c>
      <c r="I1007" s="4" t="s">
        <v>1420</v>
      </c>
      <c r="J1007" s="4">
        <v>15.6357</v>
      </c>
      <c r="K1007" s="4">
        <v>14.7873</v>
      </c>
      <c r="L1007" s="4">
        <v>15.500999999999999</v>
      </c>
      <c r="M1007" s="4">
        <f t="shared" si="61"/>
        <v>15.308</v>
      </c>
      <c r="P1007" s="4" t="str">
        <f>"ribo-1"</f>
        <v>ribo-1</v>
      </c>
      <c r="Q1007" s="4">
        <v>14.7351656218584</v>
      </c>
      <c r="R1007" s="4">
        <v>14.991838805026401</v>
      </c>
      <c r="S1007" s="4">
        <v>15.1333565523807</v>
      </c>
      <c r="T1007" s="4">
        <f t="shared" si="62"/>
        <v>14.953453659755167</v>
      </c>
      <c r="W1007" s="4" t="str">
        <f>"vha-16"</f>
        <v>vha-16</v>
      </c>
      <c r="X1007" s="4">
        <v>15.0382144566353</v>
      </c>
      <c r="Y1007" s="4">
        <v>14.8368287072526</v>
      </c>
      <c r="Z1007" s="4">
        <v>15.2475481097255</v>
      </c>
      <c r="AA1007" s="4">
        <f t="shared" si="63"/>
        <v>15.040863757871135</v>
      </c>
    </row>
    <row r="1008" spans="2:27" x14ac:dyDescent="0.2">
      <c r="B1008" s="4" t="s">
        <v>3017</v>
      </c>
      <c r="C1008" s="4">
        <v>15.3202</v>
      </c>
      <c r="D1008" s="4">
        <v>15.1852</v>
      </c>
      <c r="E1008" s="4">
        <v>15.3142</v>
      </c>
      <c r="F1008" s="4">
        <f t="shared" si="60"/>
        <v>15.273200000000001</v>
      </c>
      <c r="I1008" s="4" t="s">
        <v>1487</v>
      </c>
      <c r="J1008" s="4">
        <v>15.1686</v>
      </c>
      <c r="K1008" s="4">
        <v>15.2812</v>
      </c>
      <c r="L1008" s="4">
        <v>15.4697</v>
      </c>
      <c r="M1008" s="4">
        <f t="shared" si="61"/>
        <v>15.3065</v>
      </c>
      <c r="P1008" s="4" t="str">
        <f>"capg-1"</f>
        <v>capg-1</v>
      </c>
      <c r="Q1008" s="4">
        <v>14.895563347221501</v>
      </c>
      <c r="R1008" s="4">
        <v>15.1073228203756</v>
      </c>
      <c r="S1008" s="4">
        <v>14.853738100942801</v>
      </c>
      <c r="T1008" s="4">
        <f t="shared" si="62"/>
        <v>14.9522080895133</v>
      </c>
      <c r="W1008" s="4" t="str">
        <f>"myo-5"</f>
        <v>myo-5</v>
      </c>
      <c r="X1008" s="4">
        <v>14.7693945025381</v>
      </c>
      <c r="Y1008" s="4">
        <v>15.029034939247101</v>
      </c>
      <c r="Z1008" s="4">
        <v>15.318419587301401</v>
      </c>
      <c r="AA1008" s="4">
        <f t="shared" si="63"/>
        <v>15.038949676362201</v>
      </c>
    </row>
    <row r="1009" spans="2:27" x14ac:dyDescent="0.2">
      <c r="B1009" s="4" t="s">
        <v>2373</v>
      </c>
      <c r="C1009" s="4">
        <v>15.359500000000001</v>
      </c>
      <c r="D1009" s="4">
        <v>15.327500000000001</v>
      </c>
      <c r="E1009" s="4">
        <v>15.131</v>
      </c>
      <c r="F1009" s="4">
        <f t="shared" si="60"/>
        <v>15.272666666666666</v>
      </c>
      <c r="I1009" s="4" t="s">
        <v>1570</v>
      </c>
      <c r="J1009" s="4">
        <v>15.284000000000001</v>
      </c>
      <c r="K1009" s="4">
        <v>15.2043</v>
      </c>
      <c r="L1009" s="4">
        <v>15.427899999999999</v>
      </c>
      <c r="M1009" s="4">
        <f t="shared" si="61"/>
        <v>15.305400000000001</v>
      </c>
      <c r="P1009" s="4" t="str">
        <f>"K12H4.3"</f>
        <v>K12H4.3</v>
      </c>
      <c r="Q1009" s="4">
        <v>15.005648329942399</v>
      </c>
      <c r="R1009" s="4">
        <v>14.918760497189799</v>
      </c>
      <c r="S1009" s="4">
        <v>14.931618781852</v>
      </c>
      <c r="T1009" s="4">
        <f t="shared" si="62"/>
        <v>14.952009202994732</v>
      </c>
      <c r="W1009" s="4" t="str">
        <f>"ppk-1"</f>
        <v>ppk-1</v>
      </c>
      <c r="X1009" s="4">
        <v>15.039162415480201</v>
      </c>
      <c r="Y1009" s="4">
        <v>15.1075009609399</v>
      </c>
      <c r="Z1009" s="4">
        <v>14.967671133788899</v>
      </c>
      <c r="AA1009" s="4">
        <f t="shared" si="63"/>
        <v>15.038111503403</v>
      </c>
    </row>
    <row r="1010" spans="2:27" x14ac:dyDescent="0.2">
      <c r="B1010" s="4" t="s">
        <v>2638</v>
      </c>
      <c r="C1010" s="4">
        <v>15.307700000000001</v>
      </c>
      <c r="D1010" s="4">
        <v>15.4596</v>
      </c>
      <c r="E1010" s="4">
        <v>15.024900000000001</v>
      </c>
      <c r="F1010" s="4">
        <f t="shared" si="60"/>
        <v>15.264066666666666</v>
      </c>
      <c r="I1010" s="4" t="s">
        <v>1158</v>
      </c>
      <c r="J1010" s="4">
        <v>15.2669</v>
      </c>
      <c r="K1010" s="4">
        <v>15.071899999999999</v>
      </c>
      <c r="L1010" s="4">
        <v>15.5764</v>
      </c>
      <c r="M1010" s="4">
        <f t="shared" si="61"/>
        <v>15.305066666666667</v>
      </c>
      <c r="P1010" s="4" t="str">
        <f>"cogc-1"</f>
        <v>cogc-1</v>
      </c>
      <c r="Q1010" s="4">
        <v>14.9643275637331</v>
      </c>
      <c r="R1010" s="4">
        <v>15.0367644169273</v>
      </c>
      <c r="S1010" s="4">
        <v>14.8548867962008</v>
      </c>
      <c r="T1010" s="4">
        <f t="shared" si="62"/>
        <v>14.9519929256204</v>
      </c>
      <c r="W1010" s="4" t="str">
        <f>"cogc-1"</f>
        <v>cogc-1</v>
      </c>
      <c r="X1010" s="4">
        <v>15.1269680384416</v>
      </c>
      <c r="Y1010" s="4">
        <v>14.9342964502494</v>
      </c>
      <c r="Z1010" s="4">
        <v>15.049018079083201</v>
      </c>
      <c r="AA1010" s="4">
        <f t="shared" si="63"/>
        <v>15.036760855924735</v>
      </c>
    </row>
    <row r="1011" spans="2:27" x14ac:dyDescent="0.2">
      <c r="B1011" s="4" t="s">
        <v>2957</v>
      </c>
      <c r="C1011" s="4">
        <v>15.309799999999999</v>
      </c>
      <c r="D1011" s="4">
        <v>15.387</v>
      </c>
      <c r="E1011" s="4">
        <v>15.092000000000001</v>
      </c>
      <c r="F1011" s="4">
        <f t="shared" si="60"/>
        <v>15.262933333333335</v>
      </c>
      <c r="I1011" s="4" t="s">
        <v>710</v>
      </c>
      <c r="J1011" s="4">
        <v>15.1469</v>
      </c>
      <c r="K1011" s="4">
        <v>15.5191</v>
      </c>
      <c r="L1011" s="4">
        <v>15.244999999999999</v>
      </c>
      <c r="M1011" s="4">
        <f t="shared" si="61"/>
        <v>15.303666666666667</v>
      </c>
      <c r="P1011" s="4" t="str">
        <f>"ubc-20"</f>
        <v>ubc-20</v>
      </c>
      <c r="Q1011" s="4">
        <v>14.5587951000873</v>
      </c>
      <c r="R1011" s="4">
        <v>15.0803358477151</v>
      </c>
      <c r="S1011" s="4">
        <v>15.212978284147599</v>
      </c>
      <c r="T1011" s="4">
        <f t="shared" si="62"/>
        <v>14.950703077316666</v>
      </c>
      <c r="W1011" s="4" t="str">
        <f>"nxf-1"</f>
        <v>nxf-1</v>
      </c>
      <c r="X1011" s="4">
        <v>15.2030077981203</v>
      </c>
      <c r="Y1011" s="4">
        <v>15.059946671783599</v>
      </c>
      <c r="Z1011" s="4">
        <v>14.846068827577099</v>
      </c>
      <c r="AA1011" s="4">
        <f t="shared" si="63"/>
        <v>15.036341099160333</v>
      </c>
    </row>
    <row r="1012" spans="2:27" x14ac:dyDescent="0.2">
      <c r="B1012" s="4" t="s">
        <v>1868</v>
      </c>
      <c r="C1012" s="4">
        <v>15.2956</v>
      </c>
      <c r="D1012" s="4">
        <v>15.318099999999999</v>
      </c>
      <c r="E1012" s="4">
        <v>15.164099999999999</v>
      </c>
      <c r="F1012" s="4">
        <f t="shared" si="60"/>
        <v>15.259266666666667</v>
      </c>
      <c r="I1012" s="4" t="s">
        <v>2254</v>
      </c>
      <c r="J1012" s="4">
        <v>15.170400000000001</v>
      </c>
      <c r="K1012" s="4">
        <v>15.2752</v>
      </c>
      <c r="L1012" s="4">
        <v>15.4648</v>
      </c>
      <c r="M1012" s="4">
        <f t="shared" si="61"/>
        <v>15.303466666666665</v>
      </c>
      <c r="P1012" s="4" t="str">
        <f>"mvk-1"</f>
        <v>mvk-1</v>
      </c>
      <c r="Q1012" s="4">
        <v>14.984665047059901</v>
      </c>
      <c r="R1012" s="4">
        <v>14.850532994065199</v>
      </c>
      <c r="S1012" s="4">
        <v>14.9966569044477</v>
      </c>
      <c r="T1012" s="4">
        <f t="shared" si="62"/>
        <v>14.943951648524267</v>
      </c>
      <c r="W1012" s="4" t="str">
        <f>"rheb-1"</f>
        <v>rheb-1</v>
      </c>
      <c r="X1012" s="4">
        <v>14.8134870182319</v>
      </c>
      <c r="Y1012" s="4">
        <v>15.0391724574128</v>
      </c>
      <c r="Z1012" s="4">
        <v>15.251579210436001</v>
      </c>
      <c r="AA1012" s="4">
        <f t="shared" si="63"/>
        <v>15.034746228693566</v>
      </c>
    </row>
    <row r="1013" spans="2:27" x14ac:dyDescent="0.2">
      <c r="B1013" s="4" t="s">
        <v>3832</v>
      </c>
      <c r="C1013" s="4">
        <v>15.6067</v>
      </c>
      <c r="D1013" s="4">
        <v>15.166700000000001</v>
      </c>
      <c r="E1013" s="4">
        <v>15.0015</v>
      </c>
      <c r="F1013" s="4">
        <f t="shared" si="60"/>
        <v>15.2583</v>
      </c>
      <c r="I1013" s="4" t="s">
        <v>970</v>
      </c>
      <c r="J1013" s="4">
        <v>15.0024</v>
      </c>
      <c r="K1013" s="4">
        <v>15.2644</v>
      </c>
      <c r="L1013" s="4">
        <v>15.635999999999999</v>
      </c>
      <c r="M1013" s="4">
        <f t="shared" si="61"/>
        <v>15.300933333333333</v>
      </c>
      <c r="P1013" s="4" t="str">
        <f>"unc-44"</f>
        <v>unc-44</v>
      </c>
      <c r="Q1013" s="4">
        <v>15.1224933250899</v>
      </c>
      <c r="R1013" s="4">
        <v>14.670632107812001</v>
      </c>
      <c r="S1013" s="4">
        <v>15.0286541568484</v>
      </c>
      <c r="T1013" s="4">
        <f t="shared" si="62"/>
        <v>14.940593196583436</v>
      </c>
      <c r="W1013" s="4" t="str">
        <f>"ttr-59"</f>
        <v>ttr-59</v>
      </c>
      <c r="X1013" s="4">
        <v>15.1467737622479</v>
      </c>
      <c r="Y1013" s="4">
        <v>15.1893127967681</v>
      </c>
      <c r="Z1013" s="4">
        <v>14.767548510282699</v>
      </c>
      <c r="AA1013" s="4">
        <f t="shared" si="63"/>
        <v>15.034545023099566</v>
      </c>
    </row>
    <row r="1014" spans="2:27" x14ac:dyDescent="0.2">
      <c r="B1014" s="4" t="s">
        <v>2205</v>
      </c>
      <c r="C1014" s="4">
        <v>15.333</v>
      </c>
      <c r="D1014" s="4">
        <v>15.417299999999999</v>
      </c>
      <c r="E1014" s="4">
        <v>15.0144</v>
      </c>
      <c r="F1014" s="4">
        <f t="shared" si="60"/>
        <v>15.254899999999999</v>
      </c>
      <c r="I1014" s="4" t="s">
        <v>3052</v>
      </c>
      <c r="J1014" s="4">
        <v>15.5588</v>
      </c>
      <c r="K1014" s="4">
        <v>15.1769</v>
      </c>
      <c r="L1014" s="4">
        <v>15.1578</v>
      </c>
      <c r="M1014" s="4">
        <f t="shared" si="61"/>
        <v>15.297833333333335</v>
      </c>
      <c r="P1014" s="4" t="str">
        <f>"ostd-1"</f>
        <v>ostd-1</v>
      </c>
      <c r="Q1014" s="4">
        <v>14.942774404942201</v>
      </c>
      <c r="R1014" s="4">
        <v>14.8499223953366</v>
      </c>
      <c r="S1014" s="4">
        <v>15.0193479646792</v>
      </c>
      <c r="T1014" s="4">
        <f t="shared" si="62"/>
        <v>14.937348254986</v>
      </c>
      <c r="W1014" s="4" t="str">
        <f>"cee-1"</f>
        <v>cee-1</v>
      </c>
      <c r="X1014" s="4">
        <v>14.994301806003399</v>
      </c>
      <c r="Y1014" s="4">
        <v>15.115915706788799</v>
      </c>
      <c r="Z1014" s="4">
        <v>14.9912048414203</v>
      </c>
      <c r="AA1014" s="4">
        <f t="shared" si="63"/>
        <v>15.033807451404165</v>
      </c>
    </row>
    <row r="1015" spans="2:27" x14ac:dyDescent="0.2">
      <c r="B1015" s="4" t="s">
        <v>3934</v>
      </c>
      <c r="C1015" s="4">
        <v>15.330299999999999</v>
      </c>
      <c r="D1015" s="4">
        <v>15.1676</v>
      </c>
      <c r="E1015" s="4">
        <v>15.264200000000001</v>
      </c>
      <c r="F1015" s="4">
        <f t="shared" si="60"/>
        <v>15.254033333333334</v>
      </c>
      <c r="I1015" s="4" t="s">
        <v>1814</v>
      </c>
      <c r="J1015" s="4">
        <v>15.0868</v>
      </c>
      <c r="K1015" s="4">
        <v>15.732699999999999</v>
      </c>
      <c r="L1015" s="4">
        <v>15.053900000000001</v>
      </c>
      <c r="M1015" s="4">
        <f t="shared" si="61"/>
        <v>15.291133333333333</v>
      </c>
      <c r="P1015" s="4" t="str">
        <f>"sqrd-1"</f>
        <v>sqrd-1</v>
      </c>
      <c r="Q1015" s="4">
        <v>15.4898846759599</v>
      </c>
      <c r="R1015" s="4">
        <v>14.628036960553199</v>
      </c>
      <c r="S1015" s="4">
        <v>14.688735273220599</v>
      </c>
      <c r="T1015" s="4">
        <f t="shared" si="62"/>
        <v>14.935552303244565</v>
      </c>
      <c r="W1015" s="4" t="str">
        <f>"plk-1"</f>
        <v>plk-1</v>
      </c>
      <c r="X1015" s="4">
        <v>15.2224065429678</v>
      </c>
      <c r="Y1015" s="4">
        <v>15.0367701032726</v>
      </c>
      <c r="Z1015" s="4">
        <v>14.838144859979501</v>
      </c>
      <c r="AA1015" s="4">
        <f t="shared" si="63"/>
        <v>15.0324405020733</v>
      </c>
    </row>
    <row r="1016" spans="2:27" x14ac:dyDescent="0.2">
      <c r="B1016" s="4" t="s">
        <v>505</v>
      </c>
      <c r="C1016" s="4">
        <v>14.9367</v>
      </c>
      <c r="D1016" s="4">
        <v>15.551299999999999</v>
      </c>
      <c r="E1016" s="4">
        <v>15.272500000000001</v>
      </c>
      <c r="F1016" s="4">
        <f t="shared" si="60"/>
        <v>15.253500000000001</v>
      </c>
      <c r="I1016" s="4" t="s">
        <v>3999</v>
      </c>
      <c r="J1016" s="4">
        <v>15.3386</v>
      </c>
      <c r="K1016" s="4">
        <v>15.399100000000001</v>
      </c>
      <c r="L1016" s="4">
        <v>15.1351</v>
      </c>
      <c r="M1016" s="4">
        <f t="shared" si="61"/>
        <v>15.290933333333333</v>
      </c>
      <c r="P1016" s="4" t="str">
        <f>"ttr-59"</f>
        <v>ttr-59</v>
      </c>
      <c r="Q1016" s="4">
        <v>14.679752147172101</v>
      </c>
      <c r="R1016" s="4">
        <v>14.9746059443888</v>
      </c>
      <c r="S1016" s="4">
        <v>15.126709331561401</v>
      </c>
      <c r="T1016" s="4">
        <f t="shared" si="62"/>
        <v>14.9270224743741</v>
      </c>
      <c r="W1016" s="4" t="str">
        <f>"pptr-2"</f>
        <v>pptr-2</v>
      </c>
      <c r="X1016" s="4">
        <v>15.110941888657299</v>
      </c>
      <c r="Y1016" s="4">
        <v>15.110916118546401</v>
      </c>
      <c r="Z1016" s="4">
        <v>14.8639197488199</v>
      </c>
      <c r="AA1016" s="4">
        <f t="shared" si="63"/>
        <v>15.028592585341201</v>
      </c>
    </row>
    <row r="1017" spans="2:27" x14ac:dyDescent="0.2">
      <c r="B1017" s="4" t="s">
        <v>3567</v>
      </c>
      <c r="C1017" s="4">
        <v>14.8408</v>
      </c>
      <c r="D1017" s="4">
        <v>15.2753</v>
      </c>
      <c r="E1017" s="4">
        <v>15.6296</v>
      </c>
      <c r="F1017" s="4">
        <f t="shared" si="60"/>
        <v>15.248566666666667</v>
      </c>
      <c r="I1017" s="4" t="s">
        <v>2268</v>
      </c>
      <c r="J1017" s="4">
        <v>15.491300000000001</v>
      </c>
      <c r="K1017" s="4">
        <v>15.6469</v>
      </c>
      <c r="L1017" s="4">
        <v>14.7286</v>
      </c>
      <c r="M1017" s="4">
        <f t="shared" si="61"/>
        <v>15.288933333333333</v>
      </c>
      <c r="P1017" s="4" t="str">
        <f>"eif-2bdelta"</f>
        <v>eif-2bdelta</v>
      </c>
      <c r="Q1017" s="4">
        <v>14.723832537842201</v>
      </c>
      <c r="R1017" s="4">
        <v>14.955800729924499</v>
      </c>
      <c r="S1017" s="4">
        <v>15.0790952232362</v>
      </c>
      <c r="T1017" s="4">
        <f t="shared" si="62"/>
        <v>14.919576163667633</v>
      </c>
      <c r="W1017" s="4" t="str">
        <f>"glrx-5"</f>
        <v>glrx-5</v>
      </c>
      <c r="X1017" s="4">
        <v>14.8289773868908</v>
      </c>
      <c r="Y1017" s="4">
        <v>14.783501291946701</v>
      </c>
      <c r="Z1017" s="4">
        <v>15.472659929905401</v>
      </c>
      <c r="AA1017" s="4">
        <f t="shared" si="63"/>
        <v>15.028379536247634</v>
      </c>
    </row>
    <row r="1018" spans="2:27" x14ac:dyDescent="0.2">
      <c r="B1018" s="4" t="s">
        <v>481</v>
      </c>
      <c r="C1018" s="4">
        <v>15.0822</v>
      </c>
      <c r="D1018" s="4">
        <v>15.4603</v>
      </c>
      <c r="E1018" s="4">
        <v>15.2018</v>
      </c>
      <c r="F1018" s="4">
        <f t="shared" si="60"/>
        <v>15.248100000000001</v>
      </c>
      <c r="I1018" s="4" t="s">
        <v>1442</v>
      </c>
      <c r="J1018" s="4">
        <v>15.5154</v>
      </c>
      <c r="K1018" s="4">
        <v>15.074199999999999</v>
      </c>
      <c r="L1018" s="4">
        <v>15.2766</v>
      </c>
      <c r="M1018" s="4">
        <f t="shared" si="61"/>
        <v>15.288733333333333</v>
      </c>
      <c r="P1018" s="4" t="str">
        <f>"ech-4"</f>
        <v>ech-4</v>
      </c>
      <c r="Q1018" s="4">
        <v>15.2427492718012</v>
      </c>
      <c r="R1018" s="4">
        <v>14.6679134213217</v>
      </c>
      <c r="S1018" s="4">
        <v>14.845017205648601</v>
      </c>
      <c r="T1018" s="4">
        <f t="shared" si="62"/>
        <v>14.918559966257169</v>
      </c>
      <c r="W1018" s="4" t="str">
        <f>"vps-45"</f>
        <v>vps-45</v>
      </c>
      <c r="X1018" s="4">
        <v>14.774101673571399</v>
      </c>
      <c r="Y1018" s="4">
        <v>15.185760861139</v>
      </c>
      <c r="Z1018" s="4">
        <v>15.122970242962699</v>
      </c>
      <c r="AA1018" s="4">
        <f t="shared" si="63"/>
        <v>15.027610925891032</v>
      </c>
    </row>
    <row r="1019" spans="2:27" x14ac:dyDescent="0.2">
      <c r="B1019" s="4" t="s">
        <v>3236</v>
      </c>
      <c r="C1019" s="4">
        <v>15.623900000000001</v>
      </c>
      <c r="D1019" s="4">
        <v>14.588699999999999</v>
      </c>
      <c r="E1019" s="4">
        <v>15.523199999999999</v>
      </c>
      <c r="F1019" s="4">
        <f t="shared" si="60"/>
        <v>15.245266666666666</v>
      </c>
      <c r="I1019" s="4" t="s">
        <v>2753</v>
      </c>
      <c r="J1019" s="4">
        <v>15.5618</v>
      </c>
      <c r="K1019" s="4">
        <v>14.925000000000001</v>
      </c>
      <c r="L1019" s="4">
        <v>15.3718</v>
      </c>
      <c r="M1019" s="4">
        <f t="shared" si="61"/>
        <v>15.286200000000001</v>
      </c>
      <c r="P1019" s="4" t="str">
        <f>"C40H1.7"</f>
        <v>C40H1.7</v>
      </c>
      <c r="Q1019" s="4">
        <v>15.1096109848247</v>
      </c>
      <c r="R1019" s="4">
        <v>14.826499222385101</v>
      </c>
      <c r="S1019" s="4">
        <v>14.8171543506022</v>
      </c>
      <c r="T1019" s="4">
        <f t="shared" si="62"/>
        <v>14.917754852604</v>
      </c>
      <c r="W1019" s="4" t="str">
        <f>"Y62H9A.3"</f>
        <v>Y62H9A.3</v>
      </c>
      <c r="X1019" s="4">
        <v>15.0295456600343</v>
      </c>
      <c r="Y1019" s="4">
        <v>14.775030955582301</v>
      </c>
      <c r="Z1019" s="4">
        <v>15.272198904023</v>
      </c>
      <c r="AA1019" s="4">
        <f t="shared" si="63"/>
        <v>15.025591839879866</v>
      </c>
    </row>
    <row r="1020" spans="2:27" x14ac:dyDescent="0.2">
      <c r="B1020" s="4" t="s">
        <v>1158</v>
      </c>
      <c r="C1020" s="4">
        <v>15.0661</v>
      </c>
      <c r="D1020" s="4">
        <v>15.4984</v>
      </c>
      <c r="E1020" s="4">
        <v>15.170500000000001</v>
      </c>
      <c r="F1020" s="4">
        <f t="shared" si="60"/>
        <v>15.244999999999999</v>
      </c>
      <c r="I1020" s="4" t="s">
        <v>4652</v>
      </c>
      <c r="J1020" s="4">
        <v>15.1516</v>
      </c>
      <c r="K1020" s="4">
        <v>15.551299999999999</v>
      </c>
      <c r="L1020" s="4">
        <v>15.1523</v>
      </c>
      <c r="M1020" s="4">
        <f t="shared" si="61"/>
        <v>15.285066666666665</v>
      </c>
      <c r="P1020" s="4" t="str">
        <f>"par-1"</f>
        <v>par-1</v>
      </c>
      <c r="Q1020" s="4">
        <v>15.003079603540501</v>
      </c>
      <c r="R1020" s="4">
        <v>14.848335033665499</v>
      </c>
      <c r="S1020" s="4">
        <v>14.900927207111399</v>
      </c>
      <c r="T1020" s="4">
        <f t="shared" si="62"/>
        <v>14.917447281439133</v>
      </c>
      <c r="W1020" s="4" t="str">
        <f>"inx-15"</f>
        <v>inx-15</v>
      </c>
      <c r="X1020" s="4">
        <v>15.0881163839331</v>
      </c>
      <c r="Y1020" s="4">
        <v>15.059229904229401</v>
      </c>
      <c r="Z1020" s="4">
        <v>14.922382886246901</v>
      </c>
      <c r="AA1020" s="4">
        <f t="shared" si="63"/>
        <v>15.023243058136467</v>
      </c>
    </row>
    <row r="1021" spans="2:27" x14ac:dyDescent="0.2">
      <c r="B1021" s="4" t="s">
        <v>1537</v>
      </c>
      <c r="C1021" s="4">
        <v>15.049799999999999</v>
      </c>
      <c r="D1021" s="4">
        <v>15.379099999999999</v>
      </c>
      <c r="E1021" s="4">
        <v>15.3003</v>
      </c>
      <c r="F1021" s="4">
        <f t="shared" si="60"/>
        <v>15.243066666666666</v>
      </c>
      <c r="I1021" s="4" t="s">
        <v>1870</v>
      </c>
      <c r="J1021" s="4">
        <v>15.305300000000001</v>
      </c>
      <c r="K1021" s="4">
        <v>15.2911</v>
      </c>
      <c r="L1021" s="4">
        <v>15.252000000000001</v>
      </c>
      <c r="M1021" s="4">
        <f t="shared" si="61"/>
        <v>15.282800000000002</v>
      </c>
      <c r="P1021" s="4" t="str">
        <f>"dhs-1"</f>
        <v>dhs-1</v>
      </c>
      <c r="Q1021" s="4">
        <v>14.846926058815599</v>
      </c>
      <c r="R1021" s="4">
        <v>14.9072649693366</v>
      </c>
      <c r="S1021" s="4">
        <v>14.989941089732801</v>
      </c>
      <c r="T1021" s="4">
        <f t="shared" si="62"/>
        <v>14.914710705961667</v>
      </c>
      <c r="W1021" s="4" t="str">
        <f>"mrck-1"</f>
        <v>mrck-1</v>
      </c>
      <c r="X1021" s="4">
        <v>14.843111441872299</v>
      </c>
      <c r="Y1021" s="4">
        <v>15.125743918578699</v>
      </c>
      <c r="Z1021" s="4">
        <v>15.100775342945999</v>
      </c>
      <c r="AA1021" s="4">
        <f t="shared" si="63"/>
        <v>15.023210234465665</v>
      </c>
    </row>
    <row r="1022" spans="2:27" x14ac:dyDescent="0.2">
      <c r="B1022" s="4" t="s">
        <v>1423</v>
      </c>
      <c r="C1022" s="4">
        <v>15.310499999999999</v>
      </c>
      <c r="D1022" s="4">
        <v>15.324199999999999</v>
      </c>
      <c r="E1022" s="4">
        <v>15.0867</v>
      </c>
      <c r="F1022" s="4">
        <f t="shared" si="60"/>
        <v>15.240466666666668</v>
      </c>
      <c r="I1022" s="4" t="s">
        <v>3733</v>
      </c>
      <c r="J1022" s="4">
        <v>15.4542</v>
      </c>
      <c r="K1022" s="4">
        <v>15.190099999999999</v>
      </c>
      <c r="L1022" s="4">
        <v>15.1952</v>
      </c>
      <c r="M1022" s="4">
        <f t="shared" si="61"/>
        <v>15.279833333333334</v>
      </c>
      <c r="P1022" s="4" t="str">
        <f>"cisd-3.2"</f>
        <v>cisd-3.2</v>
      </c>
      <c r="Q1022" s="4">
        <v>15.074610973534201</v>
      </c>
      <c r="R1022" s="4">
        <v>14.7008906239246</v>
      </c>
      <c r="S1022" s="4">
        <v>14.956788833686</v>
      </c>
      <c r="T1022" s="4">
        <f t="shared" si="62"/>
        <v>14.910763477048265</v>
      </c>
      <c r="W1022" s="4" t="str">
        <f>"npp-18"</f>
        <v>npp-18</v>
      </c>
      <c r="X1022" s="4">
        <v>15.2660263336606</v>
      </c>
      <c r="Y1022" s="4">
        <v>14.7465912091353</v>
      </c>
      <c r="Z1022" s="4">
        <v>15.0509209763939</v>
      </c>
      <c r="AA1022" s="4">
        <f t="shared" si="63"/>
        <v>15.021179506396601</v>
      </c>
    </row>
    <row r="1023" spans="2:27" x14ac:dyDescent="0.2">
      <c r="B1023" s="4" t="s">
        <v>2806</v>
      </c>
      <c r="C1023" s="4">
        <v>15.164899999999999</v>
      </c>
      <c r="D1023" s="4">
        <v>15.266400000000001</v>
      </c>
      <c r="E1023" s="4">
        <v>15.2774</v>
      </c>
      <c r="F1023" s="4">
        <f t="shared" si="60"/>
        <v>15.236233333333333</v>
      </c>
      <c r="I1023" s="4" t="s">
        <v>741</v>
      </c>
      <c r="J1023" s="4">
        <v>14.9727</v>
      </c>
      <c r="K1023" s="4">
        <v>15.164199999999999</v>
      </c>
      <c r="L1023" s="4">
        <v>15.6927</v>
      </c>
      <c r="M1023" s="4">
        <f t="shared" si="61"/>
        <v>15.276533333333333</v>
      </c>
      <c r="P1023" s="4" t="str">
        <f>"rap-1"</f>
        <v>rap-1</v>
      </c>
      <c r="Q1023" s="4">
        <v>14.9628709383613</v>
      </c>
      <c r="R1023" s="4">
        <v>14.7716500263491</v>
      </c>
      <c r="S1023" s="4">
        <v>14.997198328157101</v>
      </c>
      <c r="T1023" s="4">
        <f t="shared" si="62"/>
        <v>14.910573097622498</v>
      </c>
      <c r="W1023" s="4" t="str">
        <f>"hsp-60"</f>
        <v>hsp-60</v>
      </c>
      <c r="X1023" s="4">
        <v>14.869440214878701</v>
      </c>
      <c r="Y1023" s="4">
        <v>15.081061116420001</v>
      </c>
      <c r="Z1023" s="4">
        <v>15.107417254587601</v>
      </c>
      <c r="AA1023" s="4">
        <f t="shared" si="63"/>
        <v>15.019306195295435</v>
      </c>
    </row>
    <row r="1024" spans="2:27" x14ac:dyDescent="0.2">
      <c r="B1024" s="4" t="s">
        <v>3309</v>
      </c>
      <c r="C1024" s="4">
        <v>15.1625</v>
      </c>
      <c r="D1024" s="4">
        <v>15.342599999999999</v>
      </c>
      <c r="E1024" s="4">
        <v>15.202400000000001</v>
      </c>
      <c r="F1024" s="4">
        <f t="shared" si="60"/>
        <v>15.235833333333332</v>
      </c>
      <c r="I1024" s="4" t="s">
        <v>1639</v>
      </c>
      <c r="J1024" s="4">
        <v>15.643800000000001</v>
      </c>
      <c r="K1024" s="4">
        <v>15.4161</v>
      </c>
      <c r="L1024" s="4">
        <v>14.769500000000001</v>
      </c>
      <c r="M1024" s="4">
        <f t="shared" si="61"/>
        <v>15.276466666666666</v>
      </c>
      <c r="P1024" s="4" t="str">
        <f>"W07E11.1"</f>
        <v>W07E11.1</v>
      </c>
      <c r="Q1024" s="4">
        <v>14.910529634165099</v>
      </c>
      <c r="R1024" s="4">
        <v>14.843986216217999</v>
      </c>
      <c r="S1024" s="4">
        <v>14.965926388246199</v>
      </c>
      <c r="T1024" s="4">
        <f t="shared" si="62"/>
        <v>14.906814079543102</v>
      </c>
      <c r="W1024" s="4" t="str">
        <f>"ostb-1"</f>
        <v>ostb-1</v>
      </c>
      <c r="X1024" s="4">
        <v>15.341083407697001</v>
      </c>
      <c r="Y1024" s="4">
        <v>14.9734007351692</v>
      </c>
      <c r="Z1024" s="4">
        <v>14.7387347176593</v>
      </c>
      <c r="AA1024" s="4">
        <f t="shared" si="63"/>
        <v>15.017739620175165</v>
      </c>
    </row>
    <row r="1025" spans="2:27" x14ac:dyDescent="0.2">
      <c r="B1025" s="4" t="s">
        <v>3706</v>
      </c>
      <c r="C1025" s="4">
        <v>15.3392</v>
      </c>
      <c r="D1025" s="4">
        <v>15.103899999999999</v>
      </c>
      <c r="E1025" s="4">
        <v>15.264099999999999</v>
      </c>
      <c r="F1025" s="4">
        <f t="shared" si="60"/>
        <v>15.235733333333334</v>
      </c>
      <c r="I1025" s="4" t="s">
        <v>728</v>
      </c>
      <c r="J1025" s="4">
        <v>15.608000000000001</v>
      </c>
      <c r="K1025" s="4">
        <v>15.330299999999999</v>
      </c>
      <c r="L1025" s="4">
        <v>14.8901</v>
      </c>
      <c r="M1025" s="4">
        <f t="shared" si="61"/>
        <v>15.276133333333334</v>
      </c>
      <c r="P1025" s="4" t="str">
        <f>"wdr-4"</f>
        <v>wdr-4</v>
      </c>
      <c r="Q1025" s="4">
        <v>14.775278322483301</v>
      </c>
      <c r="R1025" s="4">
        <v>14.924978176900201</v>
      </c>
      <c r="S1025" s="4">
        <v>15.015326586095499</v>
      </c>
      <c r="T1025" s="4">
        <f t="shared" si="62"/>
        <v>14.905194361826332</v>
      </c>
      <c r="W1025" s="4" t="str">
        <f>"tbc-14"</f>
        <v>tbc-14</v>
      </c>
      <c r="X1025" s="4">
        <v>15.1221478710277</v>
      </c>
      <c r="Y1025" s="4">
        <v>14.940609616105601</v>
      </c>
      <c r="Z1025" s="4">
        <v>14.981967591213699</v>
      </c>
      <c r="AA1025" s="4">
        <f t="shared" si="63"/>
        <v>15.014908359449</v>
      </c>
    </row>
    <row r="1026" spans="2:27" x14ac:dyDescent="0.2">
      <c r="B1026" s="4" t="s">
        <v>936</v>
      </c>
      <c r="C1026" s="4">
        <v>15.6774</v>
      </c>
      <c r="D1026" s="4">
        <v>14.8939</v>
      </c>
      <c r="E1026" s="4">
        <v>15.1213</v>
      </c>
      <c r="F1026" s="4">
        <f t="shared" ref="F1026:F1089" si="64">(C1026+D1026+E1026)/3</f>
        <v>15.230866666666666</v>
      </c>
      <c r="I1026" s="4" t="s">
        <v>1007</v>
      </c>
      <c r="J1026" s="4">
        <v>15.170500000000001</v>
      </c>
      <c r="K1026" s="4">
        <v>14.7331</v>
      </c>
      <c r="L1026" s="4">
        <v>15.916600000000001</v>
      </c>
      <c r="M1026" s="4">
        <f t="shared" ref="M1026:M1089" si="65">(J1026+K1026+L1026)/3</f>
        <v>15.273400000000001</v>
      </c>
      <c r="P1026" s="4" t="str">
        <f>"shc-1"</f>
        <v>shc-1</v>
      </c>
      <c r="Q1026" s="4">
        <v>14.870628030254601</v>
      </c>
      <c r="R1026" s="4">
        <v>14.8226385139562</v>
      </c>
      <c r="S1026" s="4">
        <v>15.0178126166785</v>
      </c>
      <c r="T1026" s="4">
        <f t="shared" ref="T1026:T1089" si="66">(Q1026+R1026+S1026)/3</f>
        <v>14.903693053629766</v>
      </c>
      <c r="W1026" s="4" t="str">
        <f>"miro-1"</f>
        <v>miro-1</v>
      </c>
      <c r="X1026" s="4">
        <v>14.958015269351099</v>
      </c>
      <c r="Y1026" s="4">
        <v>15.0171335154064</v>
      </c>
      <c r="Z1026" s="4">
        <v>15.061341572864</v>
      </c>
      <c r="AA1026" s="4">
        <f t="shared" ref="AA1026:AA1089" si="67">(X1026+Y1026+Z1026)/3</f>
        <v>15.0121634525405</v>
      </c>
    </row>
    <row r="1027" spans="2:27" x14ac:dyDescent="0.2">
      <c r="B1027" s="4" t="s">
        <v>3928</v>
      </c>
      <c r="C1027" s="4">
        <v>14.931699999999999</v>
      </c>
      <c r="D1027" s="4">
        <v>15.4693</v>
      </c>
      <c r="E1027" s="4">
        <v>15.2905</v>
      </c>
      <c r="F1027" s="4">
        <f t="shared" si="64"/>
        <v>15.230499999999999</v>
      </c>
      <c r="I1027" s="4" t="s">
        <v>2498</v>
      </c>
      <c r="J1027" s="4">
        <v>15.381600000000001</v>
      </c>
      <c r="K1027" s="4">
        <v>15.3688</v>
      </c>
      <c r="L1027" s="4">
        <v>15.0562</v>
      </c>
      <c r="M1027" s="4">
        <f t="shared" si="65"/>
        <v>15.268866666666668</v>
      </c>
      <c r="P1027" s="4" t="str">
        <f>"ogt-1"</f>
        <v>ogt-1</v>
      </c>
      <c r="Q1027" s="4">
        <v>14.979727317642199</v>
      </c>
      <c r="R1027" s="4">
        <v>14.8449137496294</v>
      </c>
      <c r="S1027" s="4">
        <v>14.885677533227801</v>
      </c>
      <c r="T1027" s="4">
        <f t="shared" si="66"/>
        <v>14.9034395334998</v>
      </c>
      <c r="W1027" s="4" t="str">
        <f>"lig-1"</f>
        <v>lig-1</v>
      </c>
      <c r="X1027" s="4">
        <v>15.030802285162601</v>
      </c>
      <c r="Y1027" s="4">
        <v>15.054971696910799</v>
      </c>
      <c r="Z1027" s="4">
        <v>14.948938951535499</v>
      </c>
      <c r="AA1027" s="4">
        <f t="shared" si="67"/>
        <v>15.011570977869633</v>
      </c>
    </row>
    <row r="1028" spans="2:27" x14ac:dyDescent="0.2">
      <c r="B1028" s="4" t="s">
        <v>419</v>
      </c>
      <c r="C1028" s="4">
        <v>14.965199999999999</v>
      </c>
      <c r="D1028" s="4">
        <v>15.0244</v>
      </c>
      <c r="E1028" s="4">
        <v>15.701599999999999</v>
      </c>
      <c r="F1028" s="4">
        <f t="shared" si="64"/>
        <v>15.230399999999998</v>
      </c>
      <c r="I1028" s="4" t="s">
        <v>2216</v>
      </c>
      <c r="J1028" s="4">
        <v>15.0977</v>
      </c>
      <c r="K1028" s="4">
        <v>15.7682</v>
      </c>
      <c r="L1028" s="4">
        <v>14.929399999999999</v>
      </c>
      <c r="M1028" s="4">
        <f t="shared" si="65"/>
        <v>15.265099999999999</v>
      </c>
      <c r="P1028" s="4" t="str">
        <f>"lcmt-1"</f>
        <v>lcmt-1</v>
      </c>
      <c r="Q1028" s="4">
        <v>14.655091460796401</v>
      </c>
      <c r="R1028" s="4">
        <v>14.9561967744744</v>
      </c>
      <c r="S1028" s="4">
        <v>15.0928038522721</v>
      </c>
      <c r="T1028" s="4">
        <f t="shared" si="66"/>
        <v>14.901364029180966</v>
      </c>
      <c r="W1028" s="4" t="str">
        <f>"klc-2"</f>
        <v>klc-2</v>
      </c>
      <c r="X1028" s="4">
        <v>14.9094281554685</v>
      </c>
      <c r="Y1028" s="4">
        <v>15.1890786717951</v>
      </c>
      <c r="Z1028" s="4">
        <v>14.9293815166952</v>
      </c>
      <c r="AA1028" s="4">
        <f t="shared" si="67"/>
        <v>15.009296114652933</v>
      </c>
    </row>
    <row r="1029" spans="2:27" x14ac:dyDescent="0.2">
      <c r="B1029" s="4" t="s">
        <v>2272</v>
      </c>
      <c r="C1029" s="4">
        <v>15.3422</v>
      </c>
      <c r="D1029" s="4">
        <v>15.1943</v>
      </c>
      <c r="E1029" s="4">
        <v>15.150399999999999</v>
      </c>
      <c r="F1029" s="4">
        <f t="shared" si="64"/>
        <v>15.228966666666667</v>
      </c>
      <c r="I1029" s="4" t="s">
        <v>1009</v>
      </c>
      <c r="J1029" s="4">
        <v>15.956300000000001</v>
      </c>
      <c r="K1029" s="4">
        <v>14.888400000000001</v>
      </c>
      <c r="L1029" s="4">
        <v>14.9405</v>
      </c>
      <c r="M1029" s="4">
        <f t="shared" si="65"/>
        <v>15.261733333333334</v>
      </c>
      <c r="P1029" s="4" t="str">
        <f>"trm-1"</f>
        <v>trm-1</v>
      </c>
      <c r="Q1029" s="4">
        <v>15.122010440291801</v>
      </c>
      <c r="R1029" s="4">
        <v>14.780786679042199</v>
      </c>
      <c r="S1029" s="4">
        <v>14.785449490282501</v>
      </c>
      <c r="T1029" s="4">
        <f t="shared" si="66"/>
        <v>14.8960822032055</v>
      </c>
      <c r="W1029" s="4" t="str">
        <f>"C29F7.2"</f>
        <v>C29F7.2</v>
      </c>
      <c r="X1029" s="4">
        <v>15.0081879573041</v>
      </c>
      <c r="Y1029" s="4">
        <v>15.1009565504958</v>
      </c>
      <c r="Z1029" s="4">
        <v>14.9158460022593</v>
      </c>
      <c r="AA1029" s="4">
        <f t="shared" si="67"/>
        <v>15.008330170019732</v>
      </c>
    </row>
    <row r="1030" spans="2:27" x14ac:dyDescent="0.2">
      <c r="B1030" s="4" t="s">
        <v>3977</v>
      </c>
      <c r="C1030" s="4">
        <v>15.141999999999999</v>
      </c>
      <c r="D1030" s="4">
        <v>15.191700000000001</v>
      </c>
      <c r="E1030" s="4">
        <v>15.351100000000001</v>
      </c>
      <c r="F1030" s="4">
        <f t="shared" si="64"/>
        <v>15.228266666666668</v>
      </c>
      <c r="I1030" s="4" t="s">
        <v>1864</v>
      </c>
      <c r="J1030" s="4">
        <v>15.218500000000001</v>
      </c>
      <c r="K1030" s="4">
        <v>15.2567</v>
      </c>
      <c r="L1030" s="4">
        <v>15.308299999999999</v>
      </c>
      <c r="M1030" s="4">
        <f t="shared" si="65"/>
        <v>15.261166666666668</v>
      </c>
      <c r="P1030" s="4" t="str">
        <f>"lmd-3"</f>
        <v>lmd-3</v>
      </c>
      <c r="Q1030" s="4">
        <v>14.856047619656</v>
      </c>
      <c r="R1030" s="4">
        <v>14.8550634627753</v>
      </c>
      <c r="S1030" s="4">
        <v>14.975503499237499</v>
      </c>
      <c r="T1030" s="4">
        <f t="shared" si="66"/>
        <v>14.8955381938896</v>
      </c>
      <c r="W1030" s="4" t="str">
        <f>"C08A9.10"</f>
        <v>C08A9.10</v>
      </c>
      <c r="X1030" s="4">
        <v>14.6334013092996</v>
      </c>
      <c r="Y1030" s="4">
        <v>15.481064722179701</v>
      </c>
      <c r="Z1030" s="4">
        <v>14.910427237271699</v>
      </c>
      <c r="AA1030" s="4">
        <f t="shared" si="67"/>
        <v>15.008297756250334</v>
      </c>
    </row>
    <row r="1031" spans="2:27" x14ac:dyDescent="0.2">
      <c r="B1031" s="4" t="s">
        <v>3683</v>
      </c>
      <c r="C1031" s="4">
        <v>15.0769</v>
      </c>
      <c r="D1031" s="4">
        <v>15.6296</v>
      </c>
      <c r="E1031" s="4">
        <v>14.9648</v>
      </c>
      <c r="F1031" s="4">
        <f t="shared" si="64"/>
        <v>15.223766666666668</v>
      </c>
      <c r="I1031" s="4" t="s">
        <v>2043</v>
      </c>
      <c r="J1031" s="4">
        <v>15.417199999999999</v>
      </c>
      <c r="K1031" s="4">
        <v>15.104699999999999</v>
      </c>
      <c r="L1031" s="4">
        <v>15.254</v>
      </c>
      <c r="M1031" s="4">
        <f t="shared" si="65"/>
        <v>15.258633333333334</v>
      </c>
      <c r="P1031" s="4" t="str">
        <f>"ZK686.2"</f>
        <v>ZK686.2</v>
      </c>
      <c r="Q1031" s="4">
        <v>14.779145994759199</v>
      </c>
      <c r="R1031" s="4">
        <v>14.9775317284009</v>
      </c>
      <c r="S1031" s="4">
        <v>14.928245027620299</v>
      </c>
      <c r="T1031" s="4">
        <f t="shared" si="66"/>
        <v>14.894974250260134</v>
      </c>
      <c r="W1031" s="4" t="str">
        <f>"cept-2"</f>
        <v>cept-2</v>
      </c>
      <c r="X1031" s="4">
        <v>15.1799507669161</v>
      </c>
      <c r="Y1031" s="4">
        <v>14.9942425472083</v>
      </c>
      <c r="Z1031" s="4">
        <v>14.846711852030699</v>
      </c>
      <c r="AA1031" s="4">
        <f t="shared" si="67"/>
        <v>15.006968388718368</v>
      </c>
    </row>
    <row r="1032" spans="2:27" x14ac:dyDescent="0.2">
      <c r="B1032" s="4" t="s">
        <v>2567</v>
      </c>
      <c r="C1032" s="4">
        <v>15.267899999999999</v>
      </c>
      <c r="D1032" s="4">
        <v>15.3026</v>
      </c>
      <c r="E1032" s="4">
        <v>15.0946</v>
      </c>
      <c r="F1032" s="4">
        <f t="shared" si="64"/>
        <v>15.221699999999998</v>
      </c>
      <c r="I1032" s="4" t="s">
        <v>666</v>
      </c>
      <c r="J1032" s="4">
        <v>15.082800000000001</v>
      </c>
      <c r="K1032" s="4">
        <v>15.3376</v>
      </c>
      <c r="L1032" s="4">
        <v>15.355</v>
      </c>
      <c r="M1032" s="4">
        <f t="shared" si="65"/>
        <v>15.258466666666669</v>
      </c>
      <c r="P1032" s="4" t="str">
        <f>"mrpl-20"</f>
        <v>mrpl-20</v>
      </c>
      <c r="Q1032" s="4">
        <v>15.120276683697799</v>
      </c>
      <c r="R1032" s="4">
        <v>14.746517856675</v>
      </c>
      <c r="S1032" s="4">
        <v>14.816390028091901</v>
      </c>
      <c r="T1032" s="4">
        <f t="shared" si="66"/>
        <v>14.894394856154902</v>
      </c>
      <c r="W1032" s="4" t="str">
        <f>"gpdh-3"</f>
        <v>gpdh-3</v>
      </c>
      <c r="X1032" s="4">
        <v>14.915831959727401</v>
      </c>
      <c r="Y1032" s="4">
        <v>15.046682486360799</v>
      </c>
      <c r="Z1032" s="4">
        <v>15.057798969010401</v>
      </c>
      <c r="AA1032" s="4">
        <f t="shared" si="67"/>
        <v>15.006771138366199</v>
      </c>
    </row>
    <row r="1033" spans="2:27" x14ac:dyDescent="0.2">
      <c r="B1033" s="4" t="s">
        <v>3915</v>
      </c>
      <c r="C1033" s="4">
        <v>15.5143</v>
      </c>
      <c r="D1033" s="4">
        <v>14.664400000000001</v>
      </c>
      <c r="E1033" s="4">
        <v>15.4816</v>
      </c>
      <c r="F1033" s="4">
        <f t="shared" si="64"/>
        <v>15.2201</v>
      </c>
      <c r="I1033" s="4" t="s">
        <v>3412</v>
      </c>
      <c r="J1033" s="4">
        <v>15.214399999999999</v>
      </c>
      <c r="K1033" s="4">
        <v>15.3994</v>
      </c>
      <c r="L1033" s="4">
        <v>15.1539</v>
      </c>
      <c r="M1033" s="4">
        <f t="shared" si="65"/>
        <v>15.255899999999999</v>
      </c>
      <c r="P1033" s="4" t="str">
        <f>"tftc-1"</f>
        <v>tftc-1</v>
      </c>
      <c r="Q1033" s="4">
        <v>14.933058610770701</v>
      </c>
      <c r="R1033" s="4">
        <v>14.9034347278489</v>
      </c>
      <c r="S1033" s="4">
        <v>14.842821817608501</v>
      </c>
      <c r="T1033" s="4">
        <f t="shared" si="66"/>
        <v>14.893105052076033</v>
      </c>
      <c r="W1033" s="4" t="str">
        <f>"T04A11.1"</f>
        <v>T04A11.1</v>
      </c>
      <c r="X1033" s="4">
        <v>14.899968241532701</v>
      </c>
      <c r="Y1033" s="4">
        <v>15.0364305489353</v>
      </c>
      <c r="Z1033" s="4">
        <v>15.051151109722399</v>
      </c>
      <c r="AA1033" s="4">
        <f t="shared" si="67"/>
        <v>14.995849966730134</v>
      </c>
    </row>
    <row r="1034" spans="2:27" x14ac:dyDescent="0.2">
      <c r="B1034" s="4" t="s">
        <v>2043</v>
      </c>
      <c r="C1034" s="4">
        <v>15.3851</v>
      </c>
      <c r="D1034" s="4">
        <v>15.2643</v>
      </c>
      <c r="E1034" s="4">
        <v>15.0052</v>
      </c>
      <c r="F1034" s="4">
        <f t="shared" si="64"/>
        <v>15.218200000000001</v>
      </c>
      <c r="I1034" s="4" t="s">
        <v>2902</v>
      </c>
      <c r="J1034" s="4">
        <v>15.286899999999999</v>
      </c>
      <c r="K1034" s="4">
        <v>15.1212</v>
      </c>
      <c r="L1034" s="4">
        <v>15.353199999999999</v>
      </c>
      <c r="M1034" s="4">
        <f t="shared" si="65"/>
        <v>15.253766666666666</v>
      </c>
      <c r="P1034" s="4" t="str">
        <f>"dnpp-1"</f>
        <v>dnpp-1</v>
      </c>
      <c r="Q1034" s="4">
        <v>15.018645738932699</v>
      </c>
      <c r="R1034" s="4">
        <v>14.7547200135855</v>
      </c>
      <c r="S1034" s="4">
        <v>14.9042504015808</v>
      </c>
      <c r="T1034" s="4">
        <f t="shared" si="66"/>
        <v>14.892538718033</v>
      </c>
      <c r="W1034" s="4" t="str">
        <f>"rpl-38"</f>
        <v>rpl-38</v>
      </c>
      <c r="X1034" s="4">
        <v>15.0524378665539</v>
      </c>
      <c r="Y1034" s="4">
        <v>14.932974035351901</v>
      </c>
      <c r="Z1034" s="4">
        <v>15.002003401305901</v>
      </c>
      <c r="AA1034" s="4">
        <f t="shared" si="67"/>
        <v>14.995805101070566</v>
      </c>
    </row>
    <row r="1035" spans="2:27" x14ac:dyDescent="0.2">
      <c r="B1035" s="4" t="s">
        <v>471</v>
      </c>
      <c r="C1035" s="4">
        <v>15.432600000000001</v>
      </c>
      <c r="D1035" s="4">
        <v>15.334300000000001</v>
      </c>
      <c r="E1035" s="4">
        <v>14.8873</v>
      </c>
      <c r="F1035" s="4">
        <f t="shared" si="64"/>
        <v>15.218066666666667</v>
      </c>
      <c r="I1035" s="4" t="s">
        <v>2172</v>
      </c>
      <c r="J1035" s="4">
        <v>15.1858</v>
      </c>
      <c r="K1035" s="4">
        <v>15.1204</v>
      </c>
      <c r="L1035" s="4">
        <v>15.4503</v>
      </c>
      <c r="M1035" s="4">
        <f t="shared" si="65"/>
        <v>15.252166666666668</v>
      </c>
      <c r="P1035" s="4" t="str">
        <f>"tsg-101"</f>
        <v>tsg-101</v>
      </c>
      <c r="Q1035" s="4">
        <v>14.9221671033776</v>
      </c>
      <c r="R1035" s="4">
        <v>14.7042714586582</v>
      </c>
      <c r="S1035" s="4">
        <v>15.047748855588001</v>
      </c>
      <c r="T1035" s="4">
        <f t="shared" si="66"/>
        <v>14.8913958058746</v>
      </c>
      <c r="W1035" s="4" t="str">
        <f>"atp-5"</f>
        <v>atp-5</v>
      </c>
      <c r="X1035" s="4">
        <v>15.140957162279699</v>
      </c>
      <c r="Y1035" s="4">
        <v>14.958366299223799</v>
      </c>
      <c r="Z1035" s="4">
        <v>14.870331298456099</v>
      </c>
      <c r="AA1035" s="4">
        <f t="shared" si="67"/>
        <v>14.989884919986531</v>
      </c>
    </row>
    <row r="1036" spans="2:27" x14ac:dyDescent="0.2">
      <c r="B1036" s="4" t="s">
        <v>2028</v>
      </c>
      <c r="C1036" s="4">
        <v>15.0731</v>
      </c>
      <c r="D1036" s="4">
        <v>15.142200000000001</v>
      </c>
      <c r="E1036" s="4">
        <v>15.426299999999999</v>
      </c>
      <c r="F1036" s="4">
        <f t="shared" si="64"/>
        <v>15.213866666666666</v>
      </c>
      <c r="I1036" s="4" t="s">
        <v>3817</v>
      </c>
      <c r="J1036" s="4">
        <v>15.3523</v>
      </c>
      <c r="K1036" s="4">
        <v>15.4788</v>
      </c>
      <c r="L1036" s="4">
        <v>14.9178</v>
      </c>
      <c r="M1036" s="4">
        <f t="shared" si="65"/>
        <v>15.249633333333334</v>
      </c>
      <c r="P1036" s="4" t="str">
        <f>"C49A9.6"</f>
        <v>C49A9.6</v>
      </c>
      <c r="Q1036" s="4">
        <v>14.9519849143283</v>
      </c>
      <c r="R1036" s="4">
        <v>14.784023540726499</v>
      </c>
      <c r="S1036" s="4">
        <v>14.9265181989091</v>
      </c>
      <c r="T1036" s="4">
        <f t="shared" si="66"/>
        <v>14.887508884654634</v>
      </c>
      <c r="W1036" s="4" t="str">
        <f>"gcy-13"</f>
        <v>gcy-13</v>
      </c>
      <c r="X1036" s="4">
        <v>14.661830213590401</v>
      </c>
      <c r="Y1036" s="4">
        <v>15.1492018213291</v>
      </c>
      <c r="Z1036" s="4">
        <v>15.134480553432599</v>
      </c>
      <c r="AA1036" s="4">
        <f t="shared" si="67"/>
        <v>14.981837529450701</v>
      </c>
    </row>
    <row r="1037" spans="2:27" x14ac:dyDescent="0.2">
      <c r="B1037" s="4" t="s">
        <v>2408</v>
      </c>
      <c r="C1037" s="4">
        <v>15.5722</v>
      </c>
      <c r="D1037" s="4">
        <v>14.687099999999999</v>
      </c>
      <c r="E1037" s="4">
        <v>15.3765</v>
      </c>
      <c r="F1037" s="4">
        <f t="shared" si="64"/>
        <v>15.211933333333334</v>
      </c>
      <c r="I1037" s="4" t="s">
        <v>3308</v>
      </c>
      <c r="J1037" s="4">
        <v>15.356299999999999</v>
      </c>
      <c r="K1037" s="4">
        <v>15.136100000000001</v>
      </c>
      <c r="L1037" s="4">
        <v>15.2559</v>
      </c>
      <c r="M1037" s="4">
        <f t="shared" si="65"/>
        <v>15.249433333333334</v>
      </c>
      <c r="P1037" s="4" t="str">
        <f>"F17H10.1"</f>
        <v>F17H10.1</v>
      </c>
      <c r="Q1037" s="4">
        <v>15.0283845707325</v>
      </c>
      <c r="R1037" s="4">
        <v>14.779815881282101</v>
      </c>
      <c r="S1037" s="4">
        <v>14.843874586858099</v>
      </c>
      <c r="T1037" s="4">
        <f t="shared" si="66"/>
        <v>14.884025012957567</v>
      </c>
      <c r="W1037" s="4" t="str">
        <f>"unc-104"</f>
        <v>unc-104</v>
      </c>
      <c r="X1037" s="4">
        <v>14.9342622023236</v>
      </c>
      <c r="Y1037" s="4">
        <v>15.054787108711199</v>
      </c>
      <c r="Z1037" s="4">
        <v>14.9552562723491</v>
      </c>
      <c r="AA1037" s="4">
        <f t="shared" si="67"/>
        <v>14.981435194461298</v>
      </c>
    </row>
    <row r="1038" spans="2:27" x14ac:dyDescent="0.2">
      <c r="B1038" s="4" t="s">
        <v>1496</v>
      </c>
      <c r="C1038" s="4">
        <v>15.229200000000001</v>
      </c>
      <c r="D1038" s="4">
        <v>15.586600000000001</v>
      </c>
      <c r="E1038" s="4">
        <v>14.8184</v>
      </c>
      <c r="F1038" s="4">
        <f t="shared" si="64"/>
        <v>15.211400000000003</v>
      </c>
      <c r="I1038" s="4" t="s">
        <v>1718</v>
      </c>
      <c r="J1038" s="4">
        <v>15.4579</v>
      </c>
      <c r="K1038" s="4">
        <v>15.094099999999999</v>
      </c>
      <c r="L1038" s="4">
        <v>15.187099999999999</v>
      </c>
      <c r="M1038" s="4">
        <f t="shared" si="65"/>
        <v>15.246366666666667</v>
      </c>
      <c r="P1038" s="4" t="str">
        <f>"vps-18"</f>
        <v>vps-18</v>
      </c>
      <c r="Q1038" s="4">
        <v>14.8500978878496</v>
      </c>
      <c r="R1038" s="4">
        <v>14.940761453883001</v>
      </c>
      <c r="S1038" s="4">
        <v>14.857283614415</v>
      </c>
      <c r="T1038" s="4">
        <f t="shared" si="66"/>
        <v>14.882714318715864</v>
      </c>
      <c r="W1038" s="4" t="str">
        <f>"cra-1"</f>
        <v>cra-1</v>
      </c>
      <c r="X1038" s="4">
        <v>15.138411351869999</v>
      </c>
      <c r="Y1038" s="4">
        <v>15.040605466798</v>
      </c>
      <c r="Z1038" s="4">
        <v>14.761594609875999</v>
      </c>
      <c r="AA1038" s="4">
        <f t="shared" si="67"/>
        <v>14.980203809514668</v>
      </c>
    </row>
    <row r="1039" spans="2:27" x14ac:dyDescent="0.2">
      <c r="B1039" s="4" t="s">
        <v>4072</v>
      </c>
      <c r="C1039" s="4">
        <v>15.3512</v>
      </c>
      <c r="D1039" s="4">
        <v>14.7806</v>
      </c>
      <c r="E1039" s="4">
        <v>15.496700000000001</v>
      </c>
      <c r="F1039" s="4">
        <f t="shared" si="64"/>
        <v>15.2095</v>
      </c>
      <c r="I1039" s="4" t="s">
        <v>3651</v>
      </c>
      <c r="J1039" s="4">
        <v>15.5929</v>
      </c>
      <c r="K1039" s="4">
        <v>14.9339</v>
      </c>
      <c r="L1039" s="4">
        <v>15.207000000000001</v>
      </c>
      <c r="M1039" s="4">
        <f t="shared" si="65"/>
        <v>15.2446</v>
      </c>
      <c r="P1039" s="4" t="str">
        <f>"csq-1"</f>
        <v>csq-1</v>
      </c>
      <c r="Q1039" s="4">
        <v>15.051696349226599</v>
      </c>
      <c r="R1039" s="4">
        <v>14.7039162115813</v>
      </c>
      <c r="S1039" s="4">
        <v>14.886332274266801</v>
      </c>
      <c r="T1039" s="4">
        <f t="shared" si="66"/>
        <v>14.880648278358231</v>
      </c>
      <c r="W1039" s="4" t="str">
        <f>"ufl-1"</f>
        <v>ufl-1</v>
      </c>
      <c r="X1039" s="4">
        <v>14.8899199217143</v>
      </c>
      <c r="Y1039" s="4">
        <v>15.228684339267</v>
      </c>
      <c r="Z1039" s="4">
        <v>14.8158329577732</v>
      </c>
      <c r="AA1039" s="4">
        <f t="shared" si="67"/>
        <v>14.978145739584832</v>
      </c>
    </row>
    <row r="1040" spans="2:27" x14ac:dyDescent="0.2">
      <c r="B1040" s="4" t="s">
        <v>3383</v>
      </c>
      <c r="C1040" s="4">
        <v>15.170500000000001</v>
      </c>
      <c r="D1040" s="4">
        <v>15.396100000000001</v>
      </c>
      <c r="E1040" s="4">
        <v>15.060600000000001</v>
      </c>
      <c r="F1040" s="4">
        <f t="shared" si="64"/>
        <v>15.209066666666667</v>
      </c>
      <c r="I1040" s="4" t="s">
        <v>3797</v>
      </c>
      <c r="J1040" s="4">
        <v>15.111700000000001</v>
      </c>
      <c r="K1040" s="4">
        <v>15.4038</v>
      </c>
      <c r="L1040" s="4">
        <v>15.211600000000001</v>
      </c>
      <c r="M1040" s="4">
        <f t="shared" si="65"/>
        <v>15.242366666666669</v>
      </c>
      <c r="P1040" s="4" t="str">
        <f>"gpx-2"</f>
        <v>gpx-2</v>
      </c>
      <c r="Q1040" s="4">
        <v>14.758175156310299</v>
      </c>
      <c r="R1040" s="4">
        <v>14.827752282557</v>
      </c>
      <c r="S1040" s="4">
        <v>15.046771617186501</v>
      </c>
      <c r="T1040" s="4">
        <f t="shared" si="66"/>
        <v>14.877566352017935</v>
      </c>
      <c r="W1040" s="4" t="str">
        <f>"iscu-1"</f>
        <v>iscu-1</v>
      </c>
      <c r="X1040" s="4">
        <v>14.8857401586533</v>
      </c>
      <c r="Y1040" s="4">
        <v>14.8119849738586</v>
      </c>
      <c r="Z1040" s="4">
        <v>15.233088877534801</v>
      </c>
      <c r="AA1040" s="4">
        <f t="shared" si="67"/>
        <v>14.9769380033489</v>
      </c>
    </row>
    <row r="1041" spans="2:27" x14ac:dyDescent="0.2">
      <c r="B1041" s="4" t="s">
        <v>3213</v>
      </c>
      <c r="C1041" s="4">
        <v>15.1083</v>
      </c>
      <c r="D1041" s="4">
        <v>15.359500000000001</v>
      </c>
      <c r="E1041" s="4">
        <v>15.1571</v>
      </c>
      <c r="F1041" s="4">
        <f t="shared" si="64"/>
        <v>15.208299999999999</v>
      </c>
      <c r="I1041" s="4" t="s">
        <v>3346</v>
      </c>
      <c r="J1041" s="4">
        <v>14.8613</v>
      </c>
      <c r="K1041" s="4">
        <v>15.144500000000001</v>
      </c>
      <c r="L1041" s="4">
        <v>15.720800000000001</v>
      </c>
      <c r="M1041" s="4">
        <f t="shared" si="65"/>
        <v>15.242200000000002</v>
      </c>
      <c r="P1041" s="4" t="str">
        <f>"dnbp-1"</f>
        <v>dnbp-1</v>
      </c>
      <c r="Q1041" s="4">
        <v>14.6624923804158</v>
      </c>
      <c r="R1041" s="4">
        <v>14.9138929687218</v>
      </c>
      <c r="S1041" s="4">
        <v>15.0514956243406</v>
      </c>
      <c r="T1041" s="4">
        <f t="shared" si="66"/>
        <v>14.875960324492732</v>
      </c>
      <c r="W1041" s="4" t="str">
        <f>"gld-2"</f>
        <v>gld-2</v>
      </c>
      <c r="X1041" s="4">
        <v>15.10262109764</v>
      </c>
      <c r="Y1041" s="4">
        <v>14.996236990725899</v>
      </c>
      <c r="Z1041" s="4">
        <v>14.8295151766646</v>
      </c>
      <c r="AA1041" s="4">
        <f t="shared" si="67"/>
        <v>14.976124421676834</v>
      </c>
    </row>
    <row r="1042" spans="2:27" x14ac:dyDescent="0.2">
      <c r="B1042" s="4" t="s">
        <v>2762</v>
      </c>
      <c r="C1042" s="4">
        <v>15.110799999999999</v>
      </c>
      <c r="D1042" s="4">
        <v>15.3849</v>
      </c>
      <c r="E1042" s="4">
        <v>15.125299999999999</v>
      </c>
      <c r="F1042" s="4">
        <f t="shared" si="64"/>
        <v>15.206999999999999</v>
      </c>
      <c r="I1042" s="4" t="s">
        <v>3876</v>
      </c>
      <c r="J1042" s="4">
        <v>15.330399999999999</v>
      </c>
      <c r="K1042" s="4">
        <v>15.3194</v>
      </c>
      <c r="L1042" s="4">
        <v>15.073499999999999</v>
      </c>
      <c r="M1042" s="4">
        <f t="shared" si="65"/>
        <v>15.241099999999998</v>
      </c>
      <c r="P1042" s="4" t="str">
        <f>"sdha-2"</f>
        <v>sdha-2</v>
      </c>
      <c r="Q1042" s="4">
        <v>14.958560483346901</v>
      </c>
      <c r="R1042" s="4">
        <v>14.806594754179899</v>
      </c>
      <c r="S1042" s="4">
        <v>14.861298536720099</v>
      </c>
      <c r="T1042" s="4">
        <f t="shared" si="66"/>
        <v>14.875484591415633</v>
      </c>
      <c r="W1042" s="4" t="str">
        <f>"ahsa-1"</f>
        <v>ahsa-1</v>
      </c>
      <c r="X1042" s="4">
        <v>15.314046984927099</v>
      </c>
      <c r="Y1042" s="4">
        <v>14.907553854609301</v>
      </c>
      <c r="Z1042" s="4">
        <v>14.699982449255099</v>
      </c>
      <c r="AA1042" s="4">
        <f t="shared" si="67"/>
        <v>14.973861096263832</v>
      </c>
    </row>
    <row r="1043" spans="2:27" x14ac:dyDescent="0.2">
      <c r="B1043" s="4" t="s">
        <v>3677</v>
      </c>
      <c r="C1043" s="4">
        <v>15.174300000000001</v>
      </c>
      <c r="D1043" s="4">
        <v>15.164199999999999</v>
      </c>
      <c r="E1043" s="4">
        <v>15.280799999999999</v>
      </c>
      <c r="F1043" s="4">
        <f t="shared" si="64"/>
        <v>15.206433333333331</v>
      </c>
      <c r="I1043" s="4" t="s">
        <v>2827</v>
      </c>
      <c r="J1043" s="4">
        <v>15.3146</v>
      </c>
      <c r="K1043" s="4">
        <v>15.2041</v>
      </c>
      <c r="L1043" s="4">
        <v>15.1976</v>
      </c>
      <c r="M1043" s="4">
        <f t="shared" si="65"/>
        <v>15.238766666666669</v>
      </c>
      <c r="P1043" s="4" t="str">
        <f>"ifc-1"</f>
        <v>ifc-1</v>
      </c>
      <c r="Q1043" s="4">
        <v>15.126046716986499</v>
      </c>
      <c r="R1043" s="4">
        <v>14.315866639205501</v>
      </c>
      <c r="S1043" s="4">
        <v>15.1791346536902</v>
      </c>
      <c r="T1043" s="4">
        <f t="shared" si="66"/>
        <v>14.873682669960735</v>
      </c>
      <c r="W1043" s="4" t="str">
        <f>"msh-2"</f>
        <v>msh-2</v>
      </c>
      <c r="X1043" s="4">
        <v>15.0208176328394</v>
      </c>
      <c r="Y1043" s="4">
        <v>15.055706347596001</v>
      </c>
      <c r="Z1043" s="4">
        <v>14.824724774175399</v>
      </c>
      <c r="AA1043" s="4">
        <f t="shared" si="67"/>
        <v>14.9670829182036</v>
      </c>
    </row>
    <row r="1044" spans="2:27" x14ac:dyDescent="0.2">
      <c r="B1044" s="4" t="s">
        <v>2445</v>
      </c>
      <c r="C1044" s="4">
        <v>15.184799999999999</v>
      </c>
      <c r="D1044" s="4">
        <v>15.223000000000001</v>
      </c>
      <c r="E1044" s="4">
        <v>15.2097</v>
      </c>
      <c r="F1044" s="4">
        <f t="shared" si="64"/>
        <v>15.205833333333333</v>
      </c>
      <c r="I1044" s="4" t="s">
        <v>1147</v>
      </c>
      <c r="J1044" s="4">
        <v>15.227</v>
      </c>
      <c r="K1044" s="4">
        <v>15.38</v>
      </c>
      <c r="L1044" s="4">
        <v>15.106999999999999</v>
      </c>
      <c r="M1044" s="4">
        <f t="shared" si="65"/>
        <v>15.238</v>
      </c>
      <c r="P1044" s="4" t="str">
        <f>"T16G1.9"</f>
        <v>T16G1.9</v>
      </c>
      <c r="Q1044" s="4">
        <v>14.894913544938399</v>
      </c>
      <c r="R1044" s="4">
        <v>14.878641870424101</v>
      </c>
      <c r="S1044" s="4">
        <v>14.829631583487201</v>
      </c>
      <c r="T1044" s="4">
        <f t="shared" si="66"/>
        <v>14.867728999616567</v>
      </c>
      <c r="W1044" s="4" t="str">
        <f>"F53B3.6"</f>
        <v>F53B3.6</v>
      </c>
      <c r="X1044" s="4">
        <v>14.6995726599565</v>
      </c>
      <c r="Y1044" s="4">
        <v>15.171693146187501</v>
      </c>
      <c r="Z1044" s="4">
        <v>15.0207596385888</v>
      </c>
      <c r="AA1044" s="4">
        <f t="shared" si="67"/>
        <v>14.964008481577601</v>
      </c>
    </row>
    <row r="1045" spans="2:27" x14ac:dyDescent="0.2">
      <c r="B1045" s="4" t="s">
        <v>3401</v>
      </c>
      <c r="C1045" s="4">
        <v>15.254799999999999</v>
      </c>
      <c r="D1045" s="4">
        <v>14.876799999999999</v>
      </c>
      <c r="E1045" s="4">
        <v>15.4811</v>
      </c>
      <c r="F1045" s="4">
        <f t="shared" si="64"/>
        <v>15.204233333333333</v>
      </c>
      <c r="I1045" s="4" t="s">
        <v>3227</v>
      </c>
      <c r="J1045" s="4">
        <v>15.5738</v>
      </c>
      <c r="K1045" s="4">
        <v>15.2484</v>
      </c>
      <c r="L1045" s="4">
        <v>14.8804</v>
      </c>
      <c r="M1045" s="4">
        <f t="shared" si="65"/>
        <v>15.234200000000001</v>
      </c>
      <c r="P1045" s="4" t="str">
        <f>"grld-1"</f>
        <v>grld-1</v>
      </c>
      <c r="Q1045" s="4">
        <v>14.9079986183066</v>
      </c>
      <c r="R1045" s="4">
        <v>14.8761584436243</v>
      </c>
      <c r="S1045" s="4">
        <v>14.817667084762</v>
      </c>
      <c r="T1045" s="4">
        <f t="shared" si="66"/>
        <v>14.867274715564299</v>
      </c>
      <c r="W1045" s="4" t="str">
        <f>"rpn-6.1"</f>
        <v>rpn-6.1</v>
      </c>
      <c r="X1045" s="4">
        <v>15.2972527410708</v>
      </c>
      <c r="Y1045" s="4">
        <v>14.808061712704699</v>
      </c>
      <c r="Z1045" s="4">
        <v>14.784453279374899</v>
      </c>
      <c r="AA1045" s="4">
        <f t="shared" si="67"/>
        <v>14.963255911050133</v>
      </c>
    </row>
    <row r="1046" spans="2:27" x14ac:dyDescent="0.2">
      <c r="B1046" s="4" t="s">
        <v>1395</v>
      </c>
      <c r="C1046" s="4">
        <v>15.1142</v>
      </c>
      <c r="D1046" s="4">
        <v>15.2385</v>
      </c>
      <c r="E1046" s="4">
        <v>15.2483</v>
      </c>
      <c r="F1046" s="4">
        <f t="shared" si="64"/>
        <v>15.200333333333333</v>
      </c>
      <c r="I1046" s="4" t="s">
        <v>2467</v>
      </c>
      <c r="J1046" s="4">
        <v>14.9884</v>
      </c>
      <c r="K1046" s="4">
        <v>15.248799999999999</v>
      </c>
      <c r="L1046" s="4">
        <v>15.4627</v>
      </c>
      <c r="M1046" s="4">
        <f t="shared" si="65"/>
        <v>15.2333</v>
      </c>
      <c r="P1046" s="4" t="str">
        <f>"usp-14"</f>
        <v>usp-14</v>
      </c>
      <c r="Q1046" s="4">
        <v>15.0286905379694</v>
      </c>
      <c r="R1046" s="4">
        <v>14.8224143415482</v>
      </c>
      <c r="S1046" s="4">
        <v>14.7493198368969</v>
      </c>
      <c r="T1046" s="4">
        <f t="shared" si="66"/>
        <v>14.866808238804834</v>
      </c>
      <c r="W1046" s="4" t="str">
        <f>"kdp-1"</f>
        <v>kdp-1</v>
      </c>
      <c r="X1046" s="4">
        <v>15.240854573935099</v>
      </c>
      <c r="Y1046" s="4">
        <v>14.9906084841523</v>
      </c>
      <c r="Z1046" s="4">
        <v>14.657343661688399</v>
      </c>
      <c r="AA1046" s="4">
        <f t="shared" si="67"/>
        <v>14.9629355732586</v>
      </c>
    </row>
    <row r="1047" spans="2:27" x14ac:dyDescent="0.2">
      <c r="B1047" s="4" t="s">
        <v>2111</v>
      </c>
      <c r="C1047" s="4">
        <v>15.361000000000001</v>
      </c>
      <c r="D1047" s="4">
        <v>14.932399999999999</v>
      </c>
      <c r="E1047" s="4">
        <v>15.306699999999999</v>
      </c>
      <c r="F1047" s="4">
        <f t="shared" si="64"/>
        <v>15.200033333333332</v>
      </c>
      <c r="I1047" s="4" t="s">
        <v>2350</v>
      </c>
      <c r="J1047" s="4">
        <v>15.0855</v>
      </c>
      <c r="K1047" s="4">
        <v>15.2157</v>
      </c>
      <c r="L1047" s="4">
        <v>15.3957</v>
      </c>
      <c r="M1047" s="4">
        <f t="shared" si="65"/>
        <v>15.2323</v>
      </c>
      <c r="P1047" s="4" t="str">
        <f>"acox-1.5"</f>
        <v>acox-1.5</v>
      </c>
      <c r="Q1047" s="4">
        <v>14.928354034562799</v>
      </c>
      <c r="R1047" s="4">
        <v>14.887757885399299</v>
      </c>
      <c r="S1047" s="4">
        <v>14.782912437472</v>
      </c>
      <c r="T1047" s="4">
        <f t="shared" si="66"/>
        <v>14.866341452478032</v>
      </c>
      <c r="W1047" s="4" t="str">
        <f>"plin-1"</f>
        <v>plin-1</v>
      </c>
      <c r="X1047" s="4">
        <v>15.2161830971976</v>
      </c>
      <c r="Y1047" s="4">
        <v>14.8340929755555</v>
      </c>
      <c r="Z1047" s="4">
        <v>14.833040325043299</v>
      </c>
      <c r="AA1047" s="4">
        <f t="shared" si="67"/>
        <v>14.961105465932134</v>
      </c>
    </row>
    <row r="1048" spans="2:27" x14ac:dyDescent="0.2">
      <c r="B1048" s="4" t="s">
        <v>3966</v>
      </c>
      <c r="C1048" s="4">
        <v>15.308999999999999</v>
      </c>
      <c r="D1048" s="4">
        <v>15.386799999999999</v>
      </c>
      <c r="E1048" s="4">
        <v>14.8931</v>
      </c>
      <c r="F1048" s="4">
        <f t="shared" si="64"/>
        <v>15.196299999999999</v>
      </c>
      <c r="I1048" s="4" t="s">
        <v>2272</v>
      </c>
      <c r="J1048" s="4">
        <v>15.4528</v>
      </c>
      <c r="K1048" s="4">
        <v>15.2182</v>
      </c>
      <c r="L1048" s="4">
        <v>15.025399999999999</v>
      </c>
      <c r="M1048" s="4">
        <f t="shared" si="65"/>
        <v>15.232133333333332</v>
      </c>
      <c r="P1048" s="4" t="str">
        <f>"W03F8.4"</f>
        <v>W03F8.4</v>
      </c>
      <c r="Q1048" s="4">
        <v>14.9504273611988</v>
      </c>
      <c r="R1048" s="4">
        <v>14.7794399924129</v>
      </c>
      <c r="S1048" s="4">
        <v>14.8673544617372</v>
      </c>
      <c r="T1048" s="4">
        <f t="shared" si="66"/>
        <v>14.865740605116301</v>
      </c>
      <c r="W1048" s="4" t="str">
        <f>"B0001.4"</f>
        <v>B0001.4</v>
      </c>
      <c r="X1048" s="4">
        <v>14.9179315857165</v>
      </c>
      <c r="Y1048" s="4">
        <v>15.0123349950437</v>
      </c>
      <c r="Z1048" s="4">
        <v>14.9505505173955</v>
      </c>
      <c r="AA1048" s="4">
        <f t="shared" si="67"/>
        <v>14.960272366051901</v>
      </c>
    </row>
    <row r="1049" spans="2:27" x14ac:dyDescent="0.2">
      <c r="B1049" s="4" t="s">
        <v>1675</v>
      </c>
      <c r="C1049" s="4">
        <v>15.4758</v>
      </c>
      <c r="D1049" s="4">
        <v>15.2791</v>
      </c>
      <c r="E1049" s="4">
        <v>14.8337</v>
      </c>
      <c r="F1049" s="4">
        <f t="shared" si="64"/>
        <v>15.196199999999999</v>
      </c>
      <c r="I1049" s="4" t="s">
        <v>2113</v>
      </c>
      <c r="J1049" s="4">
        <v>14.805</v>
      </c>
      <c r="K1049" s="4">
        <v>15.363799999999999</v>
      </c>
      <c r="L1049" s="4">
        <v>15.519399999999999</v>
      </c>
      <c r="M1049" s="4">
        <f t="shared" si="65"/>
        <v>15.229399999999998</v>
      </c>
      <c r="P1049" s="4" t="str">
        <f>"nhr-1"</f>
        <v>nhr-1</v>
      </c>
      <c r="Q1049" s="4">
        <v>15.0180551461458</v>
      </c>
      <c r="R1049" s="4">
        <v>14.8186995659789</v>
      </c>
      <c r="S1049" s="4">
        <v>14.757499238480399</v>
      </c>
      <c r="T1049" s="4">
        <f t="shared" si="66"/>
        <v>14.864751316868366</v>
      </c>
      <c r="W1049" s="4" t="str">
        <f>"T09B4.8"</f>
        <v>T09B4.8</v>
      </c>
      <c r="X1049" s="4">
        <v>14.7635567750382</v>
      </c>
      <c r="Y1049" s="4">
        <v>14.7430925722966</v>
      </c>
      <c r="Z1049" s="4">
        <v>15.3698103549346</v>
      </c>
      <c r="AA1049" s="4">
        <f t="shared" si="67"/>
        <v>14.958819900756467</v>
      </c>
    </row>
    <row r="1050" spans="2:27" x14ac:dyDescent="0.2">
      <c r="B1050" s="4" t="s">
        <v>2935</v>
      </c>
      <c r="C1050" s="4">
        <v>15.2395</v>
      </c>
      <c r="D1050" s="4">
        <v>15.2667</v>
      </c>
      <c r="E1050" s="4">
        <v>15.0806</v>
      </c>
      <c r="F1050" s="4">
        <f t="shared" si="64"/>
        <v>15.195599999999999</v>
      </c>
      <c r="I1050" s="4" t="s">
        <v>1437</v>
      </c>
      <c r="J1050" s="4">
        <v>15.389799999999999</v>
      </c>
      <c r="K1050" s="4">
        <v>14.991400000000001</v>
      </c>
      <c r="L1050" s="4">
        <v>15.306699999999999</v>
      </c>
      <c r="M1050" s="4">
        <f t="shared" si="65"/>
        <v>15.2293</v>
      </c>
      <c r="P1050" s="4" t="str">
        <f>"hbs-1"</f>
        <v>hbs-1</v>
      </c>
      <c r="Q1050" s="4">
        <v>14.959753064789799</v>
      </c>
      <c r="R1050" s="4">
        <v>14.7667372142975</v>
      </c>
      <c r="S1050" s="4">
        <v>14.8660470367084</v>
      </c>
      <c r="T1050" s="4">
        <f t="shared" si="66"/>
        <v>14.864179105265235</v>
      </c>
      <c r="W1050" s="4" t="str">
        <f>"ben-1"</f>
        <v>ben-1</v>
      </c>
      <c r="X1050" s="4">
        <v>14.645155118638501</v>
      </c>
      <c r="Y1050" s="4">
        <v>15.0955375155207</v>
      </c>
      <c r="Z1050" s="4">
        <v>15.1351665761349</v>
      </c>
      <c r="AA1050" s="4">
        <f t="shared" si="67"/>
        <v>14.958619736764701</v>
      </c>
    </row>
    <row r="1051" spans="2:27" x14ac:dyDescent="0.2">
      <c r="B1051" s="4" t="s">
        <v>3002</v>
      </c>
      <c r="C1051" s="4">
        <v>15.231299999999999</v>
      </c>
      <c r="D1051" s="4">
        <v>15.1435</v>
      </c>
      <c r="E1051" s="4">
        <v>15.209099999999999</v>
      </c>
      <c r="F1051" s="4">
        <f t="shared" si="64"/>
        <v>15.194633333333334</v>
      </c>
      <c r="I1051" s="4" t="s">
        <v>1067</v>
      </c>
      <c r="J1051" s="4">
        <v>14.6013</v>
      </c>
      <c r="K1051" s="4">
        <v>15.0838</v>
      </c>
      <c r="L1051" s="4">
        <v>16.001999999999999</v>
      </c>
      <c r="M1051" s="4">
        <f t="shared" si="65"/>
        <v>15.229033333333334</v>
      </c>
      <c r="P1051" s="4" t="str">
        <f>"scyl-1"</f>
        <v>scyl-1</v>
      </c>
      <c r="Q1051" s="4">
        <v>15.031937486347401</v>
      </c>
      <c r="R1051" s="4">
        <v>14.862118021306101</v>
      </c>
      <c r="S1051" s="4">
        <v>14.6971617876642</v>
      </c>
      <c r="T1051" s="4">
        <f t="shared" si="66"/>
        <v>14.863739098439234</v>
      </c>
      <c r="W1051" s="4" t="str">
        <f>"pix-1"</f>
        <v>pix-1</v>
      </c>
      <c r="X1051" s="4">
        <v>15.025819821341701</v>
      </c>
      <c r="Y1051" s="4">
        <v>15.022802212393399</v>
      </c>
      <c r="Z1051" s="4">
        <v>14.8213669549861</v>
      </c>
      <c r="AA1051" s="4">
        <f t="shared" si="67"/>
        <v>14.956662996240402</v>
      </c>
    </row>
    <row r="1052" spans="2:27" x14ac:dyDescent="0.2">
      <c r="B1052" s="4" t="s">
        <v>188</v>
      </c>
      <c r="C1052" s="4">
        <v>15.084300000000001</v>
      </c>
      <c r="D1052" s="4">
        <v>15.2006</v>
      </c>
      <c r="E1052" s="4">
        <v>15.296200000000001</v>
      </c>
      <c r="F1052" s="4">
        <f t="shared" si="64"/>
        <v>15.1937</v>
      </c>
      <c r="I1052" s="4" t="s">
        <v>2883</v>
      </c>
      <c r="J1052" s="4">
        <v>15.216900000000001</v>
      </c>
      <c r="K1052" s="4">
        <v>15.0215</v>
      </c>
      <c r="L1052" s="4">
        <v>15.440099999999999</v>
      </c>
      <c r="M1052" s="4">
        <f t="shared" si="65"/>
        <v>15.226166666666666</v>
      </c>
      <c r="P1052" s="4" t="str">
        <f>"ctl-1"</f>
        <v>ctl-1</v>
      </c>
      <c r="Q1052" s="4">
        <v>15.010628624258899</v>
      </c>
      <c r="R1052" s="4">
        <v>14.701841087337099</v>
      </c>
      <c r="S1052" s="4">
        <v>14.869411304638801</v>
      </c>
      <c r="T1052" s="4">
        <f t="shared" si="66"/>
        <v>14.860627005411601</v>
      </c>
      <c r="W1052" s="4" t="str">
        <f>"ttr-16"</f>
        <v>ttr-16</v>
      </c>
      <c r="X1052" s="4">
        <v>14.7598430857753</v>
      </c>
      <c r="Y1052" s="4">
        <v>15.243615853948601</v>
      </c>
      <c r="Z1052" s="4">
        <v>14.8642426678991</v>
      </c>
      <c r="AA1052" s="4">
        <f t="shared" si="67"/>
        <v>14.955900535874333</v>
      </c>
    </row>
    <row r="1053" spans="2:27" x14ac:dyDescent="0.2">
      <c r="B1053" s="4" t="s">
        <v>2568</v>
      </c>
      <c r="C1053" s="4">
        <v>15.2651</v>
      </c>
      <c r="D1053" s="4">
        <v>15.2277</v>
      </c>
      <c r="E1053" s="4">
        <v>15.087999999999999</v>
      </c>
      <c r="F1053" s="4">
        <f t="shared" si="64"/>
        <v>15.193600000000002</v>
      </c>
      <c r="I1053" s="4" t="s">
        <v>3683</v>
      </c>
      <c r="J1053" s="4">
        <v>15.123200000000001</v>
      </c>
      <c r="K1053" s="4">
        <v>15.1587</v>
      </c>
      <c r="L1053" s="4">
        <v>15.391400000000001</v>
      </c>
      <c r="M1053" s="4">
        <f t="shared" si="65"/>
        <v>15.224433333333332</v>
      </c>
      <c r="P1053" s="4" t="str">
        <f>"tsfm-1"</f>
        <v>tsfm-1</v>
      </c>
      <c r="Q1053" s="4">
        <v>14.952723456356701</v>
      </c>
      <c r="R1053" s="4">
        <v>14.6539887402761</v>
      </c>
      <c r="S1053" s="4">
        <v>14.972599371909199</v>
      </c>
      <c r="T1053" s="4">
        <f t="shared" si="66"/>
        <v>14.859770522847333</v>
      </c>
      <c r="W1053" s="4" t="str">
        <f>"W09H1.5"</f>
        <v>W09H1.5</v>
      </c>
      <c r="X1053" s="4">
        <v>14.869359437115699</v>
      </c>
      <c r="Y1053" s="4">
        <v>14.9872233186596</v>
      </c>
      <c r="Z1053" s="4">
        <v>15.0073299285215</v>
      </c>
      <c r="AA1053" s="4">
        <f t="shared" si="67"/>
        <v>14.954637561432266</v>
      </c>
    </row>
    <row r="1054" spans="2:27" x14ac:dyDescent="0.2">
      <c r="B1054" s="4" t="s">
        <v>3382</v>
      </c>
      <c r="C1054" s="4">
        <v>15.332000000000001</v>
      </c>
      <c r="D1054" s="4">
        <v>15.336</v>
      </c>
      <c r="E1054" s="4">
        <v>14.904999999999999</v>
      </c>
      <c r="F1054" s="4">
        <f t="shared" si="64"/>
        <v>15.191000000000001</v>
      </c>
      <c r="I1054" s="4" t="s">
        <v>697</v>
      </c>
      <c r="J1054" s="4">
        <v>14.726699999999999</v>
      </c>
      <c r="K1054" s="4">
        <v>15.022600000000001</v>
      </c>
      <c r="L1054" s="4">
        <v>15.923</v>
      </c>
      <c r="M1054" s="4">
        <f t="shared" si="65"/>
        <v>15.2241</v>
      </c>
      <c r="P1054" s="4" t="str">
        <f>"gmps-1"</f>
        <v>gmps-1</v>
      </c>
      <c r="Q1054" s="4">
        <v>14.6974289566151</v>
      </c>
      <c r="R1054" s="4">
        <v>14.889558741408999</v>
      </c>
      <c r="S1054" s="4">
        <v>14.984552078821</v>
      </c>
      <c r="T1054" s="4">
        <f t="shared" si="66"/>
        <v>14.857179925615034</v>
      </c>
      <c r="W1054" s="4" t="str">
        <f>"pde-4"</f>
        <v>pde-4</v>
      </c>
      <c r="X1054" s="4">
        <v>14.7128316178788</v>
      </c>
      <c r="Y1054" s="4">
        <v>15.1184488951004</v>
      </c>
      <c r="Z1054" s="4">
        <v>15.0323749400966</v>
      </c>
      <c r="AA1054" s="4">
        <f t="shared" si="67"/>
        <v>14.954551817691934</v>
      </c>
    </row>
    <row r="1055" spans="2:27" x14ac:dyDescent="0.2">
      <c r="B1055" s="4" t="s">
        <v>4653</v>
      </c>
      <c r="C1055" s="4">
        <v>15.3598</v>
      </c>
      <c r="D1055" s="4">
        <v>14.9648</v>
      </c>
      <c r="E1055" s="4">
        <v>15.247999999999999</v>
      </c>
      <c r="F1055" s="4">
        <f t="shared" si="64"/>
        <v>15.190866666666667</v>
      </c>
      <c r="I1055" s="4" t="s">
        <v>2147</v>
      </c>
      <c r="J1055" s="4">
        <v>15.6305</v>
      </c>
      <c r="K1055" s="4">
        <v>14.8073</v>
      </c>
      <c r="L1055" s="4">
        <v>15.231</v>
      </c>
      <c r="M1055" s="4">
        <f t="shared" si="65"/>
        <v>15.222933333333332</v>
      </c>
      <c r="P1055" s="4" t="str">
        <f>"B0001.4"</f>
        <v>B0001.4</v>
      </c>
      <c r="Q1055" s="4">
        <v>14.9120313521637</v>
      </c>
      <c r="R1055" s="4">
        <v>14.889668643586299</v>
      </c>
      <c r="S1055" s="4">
        <v>14.7672952012088</v>
      </c>
      <c r="T1055" s="4">
        <f t="shared" si="66"/>
        <v>14.856331732319598</v>
      </c>
      <c r="W1055" s="4" t="str">
        <f>"F44E5.1"</f>
        <v>F44E5.1</v>
      </c>
      <c r="X1055" s="4">
        <v>15.014420388364099</v>
      </c>
      <c r="Y1055" s="4">
        <v>15.076887666907</v>
      </c>
      <c r="Z1055" s="4">
        <v>14.771427564950599</v>
      </c>
      <c r="AA1055" s="4">
        <f t="shared" si="67"/>
        <v>14.954245206740566</v>
      </c>
    </row>
    <row r="1056" spans="2:27" x14ac:dyDescent="0.2">
      <c r="B1056" s="4" t="s">
        <v>2487</v>
      </c>
      <c r="C1056" s="4">
        <v>15.0832</v>
      </c>
      <c r="D1056" s="4">
        <v>15.323700000000001</v>
      </c>
      <c r="E1056" s="4">
        <v>15.164199999999999</v>
      </c>
      <c r="F1056" s="4">
        <f t="shared" si="64"/>
        <v>15.190366666666668</v>
      </c>
      <c r="I1056" s="4" t="s">
        <v>3862</v>
      </c>
      <c r="J1056" s="4">
        <v>15.4717</v>
      </c>
      <c r="K1056" s="4">
        <v>15.144299999999999</v>
      </c>
      <c r="L1056" s="4">
        <v>15.0501</v>
      </c>
      <c r="M1056" s="4">
        <f t="shared" si="65"/>
        <v>15.222033333333334</v>
      </c>
      <c r="P1056" s="4" t="str">
        <f>"hcf-1"</f>
        <v>hcf-1</v>
      </c>
      <c r="Q1056" s="4">
        <v>15.020511043042999</v>
      </c>
      <c r="R1056" s="4">
        <v>14.7432281196064</v>
      </c>
      <c r="S1056" s="4">
        <v>14.8021132014074</v>
      </c>
      <c r="T1056" s="4">
        <f t="shared" si="66"/>
        <v>14.855284121352268</v>
      </c>
      <c r="W1056" s="4" t="str">
        <f>"rpb-7"</f>
        <v>rpb-7</v>
      </c>
      <c r="X1056" s="4">
        <v>14.9199058471012</v>
      </c>
      <c r="Y1056" s="4">
        <v>14.9059304782359</v>
      </c>
      <c r="Z1056" s="4">
        <v>15.0223611171696</v>
      </c>
      <c r="AA1056" s="4">
        <f t="shared" si="67"/>
        <v>14.949399147502234</v>
      </c>
    </row>
    <row r="1057" spans="2:27" x14ac:dyDescent="0.2">
      <c r="B1057" s="4" t="s">
        <v>1685</v>
      </c>
      <c r="C1057" s="4">
        <v>15.1113</v>
      </c>
      <c r="D1057" s="4">
        <v>15.215</v>
      </c>
      <c r="E1057" s="4">
        <v>15.238899999999999</v>
      </c>
      <c r="F1057" s="4">
        <f t="shared" si="64"/>
        <v>15.1884</v>
      </c>
      <c r="I1057" s="4" t="s">
        <v>3478</v>
      </c>
      <c r="J1057" s="4">
        <v>14.828200000000001</v>
      </c>
      <c r="K1057" s="4">
        <v>15.693899999999999</v>
      </c>
      <c r="L1057" s="4">
        <v>15.128299999999999</v>
      </c>
      <c r="M1057" s="4">
        <f t="shared" si="65"/>
        <v>15.216800000000001</v>
      </c>
      <c r="P1057" s="4" t="str">
        <f>"fmo-1"</f>
        <v>fmo-1</v>
      </c>
      <c r="Q1057" s="4">
        <v>14.9923404550906</v>
      </c>
      <c r="R1057" s="4">
        <v>14.7299201791808</v>
      </c>
      <c r="S1057" s="4">
        <v>14.8432838563422</v>
      </c>
      <c r="T1057" s="4">
        <f t="shared" si="66"/>
        <v>14.855181496871202</v>
      </c>
      <c r="W1057" s="4" t="str">
        <f>"mtk-1"</f>
        <v>mtk-1</v>
      </c>
      <c r="X1057" s="4">
        <v>14.7709473713157</v>
      </c>
      <c r="Y1057" s="4">
        <v>15.029157028196799</v>
      </c>
      <c r="Z1057" s="4">
        <v>15.043156836587499</v>
      </c>
      <c r="AA1057" s="4">
        <f t="shared" si="67"/>
        <v>14.947753745366667</v>
      </c>
    </row>
    <row r="1058" spans="2:27" x14ac:dyDescent="0.2">
      <c r="B1058" s="4" t="s">
        <v>30</v>
      </c>
      <c r="C1058" s="4">
        <v>15.1395</v>
      </c>
      <c r="D1058" s="4">
        <v>15.4922</v>
      </c>
      <c r="E1058" s="4">
        <v>14.922499999999999</v>
      </c>
      <c r="F1058" s="4">
        <f t="shared" si="64"/>
        <v>15.184733333333334</v>
      </c>
      <c r="I1058" s="4" t="s">
        <v>293</v>
      </c>
      <c r="J1058" s="4">
        <v>15.3569</v>
      </c>
      <c r="K1058" s="4">
        <v>14.943199999999999</v>
      </c>
      <c r="L1058" s="4">
        <v>15.3482</v>
      </c>
      <c r="M1058" s="4">
        <f t="shared" si="65"/>
        <v>15.216099999999999</v>
      </c>
      <c r="P1058" s="4" t="str">
        <f>"gip-1"</f>
        <v>gip-1</v>
      </c>
      <c r="Q1058" s="4">
        <v>14.929388957067101</v>
      </c>
      <c r="R1058" s="4">
        <v>14.841931724219</v>
      </c>
      <c r="S1058" s="4">
        <v>14.784210941383</v>
      </c>
      <c r="T1058" s="4">
        <f t="shared" si="66"/>
        <v>14.851843874223034</v>
      </c>
      <c r="W1058" s="4" t="str">
        <f>"nubp-1"</f>
        <v>nubp-1</v>
      </c>
      <c r="X1058" s="4">
        <v>14.8481518757965</v>
      </c>
      <c r="Y1058" s="4">
        <v>15.1528376931065</v>
      </c>
      <c r="Z1058" s="4">
        <v>14.841720374049499</v>
      </c>
      <c r="AA1058" s="4">
        <f t="shared" si="67"/>
        <v>14.947569980984168</v>
      </c>
    </row>
    <row r="1059" spans="2:27" x14ac:dyDescent="0.2">
      <c r="B1059" s="4" t="s">
        <v>2960</v>
      </c>
      <c r="C1059" s="4">
        <v>15.090299999999999</v>
      </c>
      <c r="D1059" s="4">
        <v>15.244199999999999</v>
      </c>
      <c r="E1059" s="4">
        <v>15.2171</v>
      </c>
      <c r="F1059" s="4">
        <f t="shared" si="64"/>
        <v>15.183866666666667</v>
      </c>
      <c r="I1059" s="4" t="s">
        <v>1799</v>
      </c>
      <c r="J1059" s="4">
        <v>14.6653</v>
      </c>
      <c r="K1059" s="4">
        <v>15.5892</v>
      </c>
      <c r="L1059" s="4">
        <v>15.370799999999999</v>
      </c>
      <c r="M1059" s="4">
        <f t="shared" si="65"/>
        <v>15.208433333333332</v>
      </c>
      <c r="P1059" s="4" t="str">
        <f>"lfi-1"</f>
        <v>lfi-1</v>
      </c>
      <c r="Q1059" s="4">
        <v>15.037185343353601</v>
      </c>
      <c r="R1059" s="4">
        <v>14.610512436811799</v>
      </c>
      <c r="S1059" s="4">
        <v>14.8916291447125</v>
      </c>
      <c r="T1059" s="4">
        <f t="shared" si="66"/>
        <v>14.846442308292632</v>
      </c>
      <c r="W1059" s="4" t="str">
        <f>"nath-10"</f>
        <v>nath-10</v>
      </c>
      <c r="X1059" s="4">
        <v>15.0718634489221</v>
      </c>
      <c r="Y1059" s="4">
        <v>14.929486606458999</v>
      </c>
      <c r="Z1059" s="4">
        <v>14.8395755273171</v>
      </c>
      <c r="AA1059" s="4">
        <f t="shared" si="67"/>
        <v>14.946975194232733</v>
      </c>
    </row>
    <row r="1060" spans="2:27" x14ac:dyDescent="0.2">
      <c r="B1060" s="4" t="s">
        <v>3303</v>
      </c>
      <c r="C1060" s="4">
        <v>15.350300000000001</v>
      </c>
      <c r="D1060" s="4">
        <v>14.9992</v>
      </c>
      <c r="E1060" s="4">
        <v>15.195600000000001</v>
      </c>
      <c r="F1060" s="4">
        <f t="shared" si="64"/>
        <v>15.181699999999999</v>
      </c>
      <c r="I1060" s="4" t="s">
        <v>2073</v>
      </c>
      <c r="J1060" s="4">
        <v>15.201700000000001</v>
      </c>
      <c r="K1060" s="4">
        <v>15.3248</v>
      </c>
      <c r="L1060" s="4">
        <v>15.098000000000001</v>
      </c>
      <c r="M1060" s="4">
        <f t="shared" si="65"/>
        <v>15.208166666666665</v>
      </c>
      <c r="P1060" s="4" t="str">
        <f>"eftu-2"</f>
        <v>eftu-2</v>
      </c>
      <c r="Q1060" s="4">
        <v>14.976890884096299</v>
      </c>
      <c r="R1060" s="4">
        <v>14.705286235446399</v>
      </c>
      <c r="S1060" s="4">
        <v>14.844908464311301</v>
      </c>
      <c r="T1060" s="4">
        <f t="shared" si="66"/>
        <v>14.842361861284667</v>
      </c>
      <c r="W1060" s="4" t="str">
        <f>"F52B5.3"</f>
        <v>F52B5.3</v>
      </c>
      <c r="X1060" s="4">
        <v>15.0016049228007</v>
      </c>
      <c r="Y1060" s="4">
        <v>15.0028538107917</v>
      </c>
      <c r="Z1060" s="4">
        <v>14.8294079025875</v>
      </c>
      <c r="AA1060" s="4">
        <f t="shared" si="67"/>
        <v>14.944622212059967</v>
      </c>
    </row>
    <row r="1061" spans="2:27" x14ac:dyDescent="0.2">
      <c r="B1061" s="4" t="s">
        <v>3308</v>
      </c>
      <c r="C1061" s="4">
        <v>15.2987</v>
      </c>
      <c r="D1061" s="4">
        <v>15.1854</v>
      </c>
      <c r="E1061" s="4">
        <v>15.0604</v>
      </c>
      <c r="F1061" s="4">
        <f t="shared" si="64"/>
        <v>15.1815</v>
      </c>
      <c r="I1061" s="4" t="s">
        <v>2028</v>
      </c>
      <c r="J1061" s="4">
        <v>15.120699999999999</v>
      </c>
      <c r="K1061" s="4">
        <v>15.040699999999999</v>
      </c>
      <c r="L1061" s="4">
        <v>15.4621</v>
      </c>
      <c r="M1061" s="4">
        <f t="shared" si="65"/>
        <v>15.207833333333333</v>
      </c>
      <c r="P1061" s="4" t="str">
        <f>"npp-18"</f>
        <v>npp-18</v>
      </c>
      <c r="Q1061" s="4">
        <v>14.842596530797101</v>
      </c>
      <c r="R1061" s="4">
        <v>14.809759587019499</v>
      </c>
      <c r="S1061" s="4">
        <v>14.8745282398969</v>
      </c>
      <c r="T1061" s="4">
        <f t="shared" si="66"/>
        <v>14.8422947859045</v>
      </c>
      <c r="W1061" s="4" t="str">
        <f>"sma-1"</f>
        <v>sma-1</v>
      </c>
      <c r="X1061" s="4">
        <v>15.0147305775654</v>
      </c>
      <c r="Y1061" s="4">
        <v>14.8358981456206</v>
      </c>
      <c r="Z1061" s="4">
        <v>14.9815356717101</v>
      </c>
      <c r="AA1061" s="4">
        <f t="shared" si="67"/>
        <v>14.9440547982987</v>
      </c>
    </row>
    <row r="1062" spans="2:27" x14ac:dyDescent="0.2">
      <c r="B1062" s="4" t="s">
        <v>4032</v>
      </c>
      <c r="C1062" s="4">
        <v>14.998900000000001</v>
      </c>
      <c r="D1062" s="4">
        <v>15.534000000000001</v>
      </c>
      <c r="E1062" s="4">
        <v>15.005000000000001</v>
      </c>
      <c r="F1062" s="4">
        <f t="shared" si="64"/>
        <v>15.1793</v>
      </c>
      <c r="I1062" s="4" t="s">
        <v>3401</v>
      </c>
      <c r="J1062" s="4">
        <v>14.8881</v>
      </c>
      <c r="K1062" s="4">
        <v>15.0282</v>
      </c>
      <c r="L1062" s="4">
        <v>15.702500000000001</v>
      </c>
      <c r="M1062" s="4">
        <f t="shared" si="65"/>
        <v>15.206266666666666</v>
      </c>
      <c r="P1062" s="4" t="str">
        <f>"nxf-1"</f>
        <v>nxf-1</v>
      </c>
      <c r="Q1062" s="4">
        <v>15.0644002297676</v>
      </c>
      <c r="R1062" s="4">
        <v>14.666653563380599</v>
      </c>
      <c r="S1062" s="4">
        <v>14.7892642784009</v>
      </c>
      <c r="T1062" s="4">
        <f t="shared" si="66"/>
        <v>14.8401060238497</v>
      </c>
      <c r="W1062" s="4" t="str">
        <f>"pas-3"</f>
        <v>pas-3</v>
      </c>
      <c r="X1062" s="4">
        <v>14.819007730756001</v>
      </c>
      <c r="Y1062" s="4">
        <v>14.827775692978401</v>
      </c>
      <c r="Z1062" s="4">
        <v>15.178102008615401</v>
      </c>
      <c r="AA1062" s="4">
        <f t="shared" si="67"/>
        <v>14.941628477449933</v>
      </c>
    </row>
    <row r="1063" spans="2:27" x14ac:dyDescent="0.2">
      <c r="B1063" s="4" t="s">
        <v>932</v>
      </c>
      <c r="C1063" s="4">
        <v>15.8927</v>
      </c>
      <c r="D1063" s="4">
        <v>15.047700000000001</v>
      </c>
      <c r="E1063" s="4">
        <v>14.591799999999999</v>
      </c>
      <c r="F1063" s="4">
        <f t="shared" si="64"/>
        <v>15.1774</v>
      </c>
      <c r="I1063" s="4" t="s">
        <v>2227</v>
      </c>
      <c r="J1063" s="4">
        <v>15.3391</v>
      </c>
      <c r="K1063" s="4">
        <v>15.112299999999999</v>
      </c>
      <c r="L1063" s="4">
        <v>15.1473</v>
      </c>
      <c r="M1063" s="4">
        <f t="shared" si="65"/>
        <v>15.199566666666668</v>
      </c>
      <c r="P1063" s="4" t="str">
        <f>"sams-4"</f>
        <v>sams-4</v>
      </c>
      <c r="Q1063" s="4">
        <v>15.4197876955288</v>
      </c>
      <c r="R1063" s="4">
        <v>14.7025133536707</v>
      </c>
      <c r="S1063" s="4">
        <v>14.3933651254133</v>
      </c>
      <c r="T1063" s="4">
        <f t="shared" si="66"/>
        <v>14.838555391537602</v>
      </c>
      <c r="W1063" s="4" t="str">
        <f>"F49E2.5"</f>
        <v>F49E2.5</v>
      </c>
      <c r="X1063" s="4">
        <v>14.1851183797672</v>
      </c>
      <c r="Y1063" s="4">
        <v>15.234514904128201</v>
      </c>
      <c r="Z1063" s="4">
        <v>15.4005015790291</v>
      </c>
      <c r="AA1063" s="4">
        <f t="shared" si="67"/>
        <v>14.940044954308169</v>
      </c>
    </row>
    <row r="1064" spans="2:27" x14ac:dyDescent="0.2">
      <c r="B1064" s="4" t="s">
        <v>777</v>
      </c>
      <c r="C1064" s="4">
        <v>14.9367</v>
      </c>
      <c r="D1064" s="4">
        <v>15.6097</v>
      </c>
      <c r="E1064" s="4">
        <v>14.981299999999999</v>
      </c>
      <c r="F1064" s="4">
        <f t="shared" si="64"/>
        <v>15.175899999999999</v>
      </c>
      <c r="I1064" s="4" t="s">
        <v>4072</v>
      </c>
      <c r="J1064" s="4">
        <v>15.2768</v>
      </c>
      <c r="K1064" s="4">
        <v>15.1402</v>
      </c>
      <c r="L1064" s="4">
        <v>15.1783</v>
      </c>
      <c r="M1064" s="4">
        <f t="shared" si="65"/>
        <v>15.198433333333334</v>
      </c>
      <c r="P1064" s="4" t="str">
        <f>"lin-61"</f>
        <v>lin-61</v>
      </c>
      <c r="Q1064" s="4">
        <v>14.7005545072959</v>
      </c>
      <c r="R1064" s="4">
        <v>14.9888926914332</v>
      </c>
      <c r="S1064" s="4">
        <v>14.822115497034201</v>
      </c>
      <c r="T1064" s="4">
        <f t="shared" si="66"/>
        <v>14.837187565254434</v>
      </c>
      <c r="W1064" s="4" t="str">
        <f>"eif-2bdelta"</f>
        <v>eif-2bdelta</v>
      </c>
      <c r="X1064" s="4">
        <v>14.875916308109501</v>
      </c>
      <c r="Y1064" s="4">
        <v>15.0050226202546</v>
      </c>
      <c r="Z1064" s="4">
        <v>14.938689459436199</v>
      </c>
      <c r="AA1064" s="4">
        <f t="shared" si="67"/>
        <v>14.939876129266766</v>
      </c>
    </row>
    <row r="1065" spans="2:27" x14ac:dyDescent="0.2">
      <c r="B1065" s="4" t="s">
        <v>2216</v>
      </c>
      <c r="C1065" s="4">
        <v>15.215999999999999</v>
      </c>
      <c r="D1065" s="4">
        <v>15.3079</v>
      </c>
      <c r="E1065" s="4">
        <v>14.999700000000001</v>
      </c>
      <c r="F1065" s="4">
        <f t="shared" si="64"/>
        <v>15.174533333333335</v>
      </c>
      <c r="I1065" s="4" t="s">
        <v>1969</v>
      </c>
      <c r="J1065" s="4">
        <v>15.402100000000001</v>
      </c>
      <c r="K1065" s="4">
        <v>15.2545</v>
      </c>
      <c r="L1065" s="4">
        <v>14.938599999999999</v>
      </c>
      <c r="M1065" s="4">
        <f t="shared" si="65"/>
        <v>15.198399999999999</v>
      </c>
      <c r="P1065" s="4" t="str">
        <f>"vha-16"</f>
        <v>vha-16</v>
      </c>
      <c r="Q1065" s="4">
        <v>14.803973204523899</v>
      </c>
      <c r="R1065" s="4">
        <v>14.793562637307501</v>
      </c>
      <c r="S1065" s="4">
        <v>14.8937970451246</v>
      </c>
      <c r="T1065" s="4">
        <f t="shared" si="66"/>
        <v>14.830444295652001</v>
      </c>
      <c r="W1065" s="4" t="str">
        <f>"snfc-5"</f>
        <v>snfc-5</v>
      </c>
      <c r="X1065" s="4">
        <v>14.9309915950013</v>
      </c>
      <c r="Y1065" s="4">
        <v>14.843516427097899</v>
      </c>
      <c r="Z1065" s="4">
        <v>15.0428206168329</v>
      </c>
      <c r="AA1065" s="4">
        <f t="shared" si="67"/>
        <v>14.939109546310698</v>
      </c>
    </row>
    <row r="1066" spans="2:27" x14ac:dyDescent="0.2">
      <c r="B1066" s="4" t="s">
        <v>3050</v>
      </c>
      <c r="C1066" s="4">
        <v>15.2151</v>
      </c>
      <c r="D1066" s="4">
        <v>14.986499999999999</v>
      </c>
      <c r="E1066" s="4">
        <v>15.317500000000001</v>
      </c>
      <c r="F1066" s="4">
        <f t="shared" si="64"/>
        <v>15.173033333333334</v>
      </c>
      <c r="I1066" s="4" t="s">
        <v>1762</v>
      </c>
      <c r="J1066" s="4">
        <v>15.151</v>
      </c>
      <c r="K1066" s="4">
        <v>15.1143</v>
      </c>
      <c r="L1066" s="4">
        <v>15.329599999999999</v>
      </c>
      <c r="M1066" s="4">
        <f t="shared" si="65"/>
        <v>15.198299999999998</v>
      </c>
      <c r="P1066" s="4" t="str">
        <f>"vacl-14"</f>
        <v>vacl-14</v>
      </c>
      <c r="Q1066" s="4">
        <v>14.5835581044414</v>
      </c>
      <c r="R1066" s="4">
        <v>14.976878905408199</v>
      </c>
      <c r="S1066" s="4">
        <v>14.9288788901662</v>
      </c>
      <c r="T1066" s="4">
        <f t="shared" si="66"/>
        <v>14.829771966671933</v>
      </c>
      <c r="W1066" s="4" t="str">
        <f>"unc-132"</f>
        <v>unc-132</v>
      </c>
      <c r="X1066" s="4">
        <v>15.0621101119089</v>
      </c>
      <c r="Y1066" s="4">
        <v>14.791091413005001</v>
      </c>
      <c r="Z1066" s="4">
        <v>14.9640621442715</v>
      </c>
      <c r="AA1066" s="4">
        <f t="shared" si="67"/>
        <v>14.939087889728468</v>
      </c>
    </row>
    <row r="1067" spans="2:27" x14ac:dyDescent="0.2">
      <c r="B1067" s="4" t="s">
        <v>4018</v>
      </c>
      <c r="C1067" s="4">
        <v>15.321999999999999</v>
      </c>
      <c r="D1067" s="4">
        <v>14.8024</v>
      </c>
      <c r="E1067" s="4">
        <v>15.3896</v>
      </c>
      <c r="F1067" s="4">
        <f t="shared" si="64"/>
        <v>15.171333333333335</v>
      </c>
      <c r="I1067" s="4" t="s">
        <v>2762</v>
      </c>
      <c r="J1067" s="4">
        <v>15.357100000000001</v>
      </c>
      <c r="K1067" s="4">
        <v>14.977600000000001</v>
      </c>
      <c r="L1067" s="4">
        <v>15.257</v>
      </c>
      <c r="M1067" s="4">
        <f t="shared" si="65"/>
        <v>15.197233333333335</v>
      </c>
      <c r="P1067" s="4" t="str">
        <f>"Y55F3BR.1"</f>
        <v>Y55F3BR.1</v>
      </c>
      <c r="Q1067" s="4">
        <v>14.7765077443861</v>
      </c>
      <c r="R1067" s="4">
        <v>14.773031972267701</v>
      </c>
      <c r="S1067" s="4">
        <v>14.9310641978446</v>
      </c>
      <c r="T1067" s="4">
        <f t="shared" si="66"/>
        <v>14.826867971499468</v>
      </c>
      <c r="W1067" s="4" t="str">
        <f>"coq-6"</f>
        <v>coq-6</v>
      </c>
      <c r="X1067" s="4">
        <v>14.5141813239446</v>
      </c>
      <c r="Y1067" s="4">
        <v>15.0916599157843</v>
      </c>
      <c r="Z1067" s="4">
        <v>15.208345121173901</v>
      </c>
      <c r="AA1067" s="4">
        <f t="shared" si="67"/>
        <v>14.938062120300934</v>
      </c>
    </row>
    <row r="1068" spans="2:27" x14ac:dyDescent="0.2">
      <c r="B1068" s="4" t="s">
        <v>2883</v>
      </c>
      <c r="C1068" s="4">
        <v>15.427099999999999</v>
      </c>
      <c r="D1068" s="4">
        <v>15.368399999999999</v>
      </c>
      <c r="E1068" s="4">
        <v>14.7157</v>
      </c>
      <c r="F1068" s="4">
        <f t="shared" si="64"/>
        <v>15.170399999999999</v>
      </c>
      <c r="I1068" s="4" t="s">
        <v>4086</v>
      </c>
      <c r="J1068" s="4">
        <v>15.1861</v>
      </c>
      <c r="K1068" s="4">
        <v>15.1601</v>
      </c>
      <c r="L1068" s="4">
        <v>15.240600000000001</v>
      </c>
      <c r="M1068" s="4">
        <f t="shared" si="65"/>
        <v>15.195599999999999</v>
      </c>
      <c r="P1068" s="4" t="str">
        <f>"B0035.3"</f>
        <v>B0035.3</v>
      </c>
      <c r="Q1068" s="4">
        <v>14.965627015871499</v>
      </c>
      <c r="R1068" s="4">
        <v>14.6670791964822</v>
      </c>
      <c r="S1068" s="4">
        <v>14.8447829506222</v>
      </c>
      <c r="T1068" s="4">
        <f t="shared" si="66"/>
        <v>14.825829720991967</v>
      </c>
      <c r="W1068" s="4" t="str">
        <f>"ucp-4"</f>
        <v>ucp-4</v>
      </c>
      <c r="X1068" s="4">
        <v>14.866258460813601</v>
      </c>
      <c r="Y1068" s="4">
        <v>14.8697818346027</v>
      </c>
      <c r="Z1068" s="4">
        <v>15.076036486423</v>
      </c>
      <c r="AA1068" s="4">
        <f t="shared" si="67"/>
        <v>14.937358927279767</v>
      </c>
    </row>
    <row r="1069" spans="2:27" x14ac:dyDescent="0.2">
      <c r="B1069" s="4" t="s">
        <v>1487</v>
      </c>
      <c r="C1069" s="4">
        <v>15.379799999999999</v>
      </c>
      <c r="D1069" s="4">
        <v>14.693199999999999</v>
      </c>
      <c r="E1069" s="4">
        <v>15.430999999999999</v>
      </c>
      <c r="F1069" s="4">
        <f t="shared" si="64"/>
        <v>15.167999999999999</v>
      </c>
      <c r="I1069" s="4" t="s">
        <v>2977</v>
      </c>
      <c r="J1069" s="4">
        <v>15.007899999999999</v>
      </c>
      <c r="K1069" s="4">
        <v>15.186400000000001</v>
      </c>
      <c r="L1069" s="4">
        <v>15.3874</v>
      </c>
      <c r="M1069" s="4">
        <f t="shared" si="65"/>
        <v>15.193899999999999</v>
      </c>
      <c r="P1069" s="4" t="str">
        <f>"mms-19"</f>
        <v>mms-19</v>
      </c>
      <c r="Q1069" s="4">
        <v>14.909352275123799</v>
      </c>
      <c r="R1069" s="4">
        <v>14.859132243714001</v>
      </c>
      <c r="S1069" s="4">
        <v>14.7045927639896</v>
      </c>
      <c r="T1069" s="4">
        <f t="shared" si="66"/>
        <v>14.824359094275801</v>
      </c>
      <c r="W1069" s="4" t="str">
        <f>"par-1"</f>
        <v>par-1</v>
      </c>
      <c r="X1069" s="4">
        <v>15.2664027471838</v>
      </c>
      <c r="Y1069" s="4">
        <v>14.7248893376398</v>
      </c>
      <c r="Z1069" s="4">
        <v>14.815311286362</v>
      </c>
      <c r="AA1069" s="4">
        <f t="shared" si="67"/>
        <v>14.935534457061868</v>
      </c>
    </row>
    <row r="1070" spans="2:27" x14ac:dyDescent="0.2">
      <c r="B1070" s="4" t="s">
        <v>37</v>
      </c>
      <c r="C1070" s="4">
        <v>14.630599999999999</v>
      </c>
      <c r="D1070" s="4">
        <v>15.3689</v>
      </c>
      <c r="E1070" s="4">
        <v>15.501799999999999</v>
      </c>
      <c r="F1070" s="4">
        <f t="shared" si="64"/>
        <v>15.1671</v>
      </c>
      <c r="I1070" s="4" t="s">
        <v>3865</v>
      </c>
      <c r="J1070" s="4">
        <v>15.3116</v>
      </c>
      <c r="K1070" s="4">
        <v>15.120699999999999</v>
      </c>
      <c r="L1070" s="4">
        <v>15.146100000000001</v>
      </c>
      <c r="M1070" s="4">
        <f t="shared" si="65"/>
        <v>15.1928</v>
      </c>
      <c r="P1070" s="4" t="str">
        <f>"F32D8.12"</f>
        <v>F32D8.12</v>
      </c>
      <c r="Q1070" s="4">
        <v>15.1087431623661</v>
      </c>
      <c r="R1070" s="4">
        <v>14.6477606600653</v>
      </c>
      <c r="S1070" s="4">
        <v>14.698754573804299</v>
      </c>
      <c r="T1070" s="4">
        <f t="shared" si="66"/>
        <v>14.8184194654119</v>
      </c>
      <c r="W1070" s="4" t="str">
        <f>"eif-1"</f>
        <v>eif-1</v>
      </c>
      <c r="X1070" s="4">
        <v>14.897781029244801</v>
      </c>
      <c r="Y1070" s="4">
        <v>15.075095942087801</v>
      </c>
      <c r="Z1070" s="4">
        <v>14.8318821150887</v>
      </c>
      <c r="AA1070" s="4">
        <f t="shared" si="67"/>
        <v>14.934919695473766</v>
      </c>
    </row>
    <row r="1071" spans="2:27" x14ac:dyDescent="0.2">
      <c r="B1071" s="4" t="s">
        <v>3774</v>
      </c>
      <c r="C1071" s="4">
        <v>14.8492</v>
      </c>
      <c r="D1071" s="4">
        <v>15.181699999999999</v>
      </c>
      <c r="E1071" s="4">
        <v>15.459099999999999</v>
      </c>
      <c r="F1071" s="4">
        <f t="shared" si="64"/>
        <v>15.163333333333332</v>
      </c>
      <c r="I1071" s="4" t="s">
        <v>3567</v>
      </c>
      <c r="J1071" s="4">
        <v>14.9834</v>
      </c>
      <c r="K1071" s="4">
        <v>15.5641</v>
      </c>
      <c r="L1071" s="4">
        <v>15.002599999999999</v>
      </c>
      <c r="M1071" s="4">
        <f t="shared" si="65"/>
        <v>15.183366666666666</v>
      </c>
      <c r="P1071" s="4" t="str">
        <f>"klc-2"</f>
        <v>klc-2</v>
      </c>
      <c r="Q1071" s="4">
        <v>14.848333243336301</v>
      </c>
      <c r="R1071" s="4">
        <v>14.6936867808279</v>
      </c>
      <c r="S1071" s="4">
        <v>14.9100286035612</v>
      </c>
      <c r="T1071" s="4">
        <f t="shared" si="66"/>
        <v>14.817349542575135</v>
      </c>
      <c r="W1071" s="4" t="str">
        <f>"acly-2"</f>
        <v>acly-2</v>
      </c>
      <c r="X1071" s="4">
        <v>14.887105864851501</v>
      </c>
      <c r="Y1071" s="4">
        <v>14.873820442606601</v>
      </c>
      <c r="Z1071" s="4">
        <v>15.028687814513701</v>
      </c>
      <c r="AA1071" s="4">
        <f t="shared" si="67"/>
        <v>14.929871373990601</v>
      </c>
    </row>
    <row r="1072" spans="2:27" x14ac:dyDescent="0.2">
      <c r="B1072" s="4" t="s">
        <v>2630</v>
      </c>
      <c r="C1072" s="4">
        <v>14.817299999999999</v>
      </c>
      <c r="D1072" s="4">
        <v>15.4978</v>
      </c>
      <c r="E1072" s="4">
        <v>15.1738</v>
      </c>
      <c r="F1072" s="4">
        <f t="shared" si="64"/>
        <v>15.162966666666668</v>
      </c>
      <c r="I1072" s="4" t="s">
        <v>53</v>
      </c>
      <c r="J1072" s="4">
        <v>15.0221</v>
      </c>
      <c r="K1072" s="4">
        <v>15.116099999999999</v>
      </c>
      <c r="L1072" s="4">
        <v>15.407999999999999</v>
      </c>
      <c r="M1072" s="4">
        <f t="shared" si="65"/>
        <v>15.182066666666666</v>
      </c>
      <c r="P1072" s="4" t="str">
        <f>"sars-2"</f>
        <v>sars-2</v>
      </c>
      <c r="Q1072" s="4">
        <v>14.6919159442175</v>
      </c>
      <c r="R1072" s="4">
        <v>14.8150440555304</v>
      </c>
      <c r="S1072" s="4">
        <v>14.929310406138001</v>
      </c>
      <c r="T1072" s="4">
        <f t="shared" si="66"/>
        <v>14.8120901352953</v>
      </c>
      <c r="W1072" s="4" t="str">
        <f>"nkb-3"</f>
        <v>nkb-3</v>
      </c>
      <c r="X1072" s="4">
        <v>14.9514615809245</v>
      </c>
      <c r="Y1072" s="4">
        <v>14.8479267986054</v>
      </c>
      <c r="Z1072" s="4">
        <v>14.9769062396172</v>
      </c>
      <c r="AA1072" s="4">
        <f t="shared" si="67"/>
        <v>14.925431539715701</v>
      </c>
    </row>
    <row r="1073" spans="2:27" x14ac:dyDescent="0.2">
      <c r="B1073" s="4" t="s">
        <v>2950</v>
      </c>
      <c r="C1073" s="4">
        <v>14.988099999999999</v>
      </c>
      <c r="D1073" s="4">
        <v>15.465199999999999</v>
      </c>
      <c r="E1073" s="4">
        <v>15.0341</v>
      </c>
      <c r="F1073" s="4">
        <f t="shared" si="64"/>
        <v>15.162466666666667</v>
      </c>
      <c r="I1073" s="4" t="s">
        <v>608</v>
      </c>
      <c r="J1073" s="4">
        <v>15.215</v>
      </c>
      <c r="K1073" s="4">
        <v>15.257199999999999</v>
      </c>
      <c r="L1073" s="4">
        <v>15.061199999999999</v>
      </c>
      <c r="M1073" s="4">
        <f t="shared" si="65"/>
        <v>15.1778</v>
      </c>
      <c r="P1073" s="4" t="str">
        <f>"T24H10.1"</f>
        <v>T24H10.1</v>
      </c>
      <c r="Q1073" s="4">
        <v>14.9806394742452</v>
      </c>
      <c r="R1073" s="4">
        <v>14.652842441457</v>
      </c>
      <c r="S1073" s="4">
        <v>14.8000602415829</v>
      </c>
      <c r="T1073" s="4">
        <f t="shared" si="66"/>
        <v>14.811180719095033</v>
      </c>
      <c r="W1073" s="4" t="str">
        <f>"C49A9.9"</f>
        <v>C49A9.9</v>
      </c>
      <c r="X1073" s="4">
        <v>14.968767515168199</v>
      </c>
      <c r="Y1073" s="4">
        <v>14.9261452166369</v>
      </c>
      <c r="Z1073" s="4">
        <v>14.8786204991369</v>
      </c>
      <c r="AA1073" s="4">
        <f t="shared" si="67"/>
        <v>14.924511076980666</v>
      </c>
    </row>
    <row r="1074" spans="2:27" x14ac:dyDescent="0.2">
      <c r="B1074" s="4" t="s">
        <v>2540</v>
      </c>
      <c r="C1074" s="4">
        <v>14.561500000000001</v>
      </c>
      <c r="D1074" s="4">
        <v>15.214600000000001</v>
      </c>
      <c r="E1074" s="4">
        <v>15.7029</v>
      </c>
      <c r="F1074" s="4">
        <f t="shared" si="64"/>
        <v>15.159666666666666</v>
      </c>
      <c r="I1074" s="4" t="s">
        <v>1070</v>
      </c>
      <c r="J1074" s="4">
        <v>14.968299999999999</v>
      </c>
      <c r="K1074" s="4">
        <v>14.9932</v>
      </c>
      <c r="L1074" s="4">
        <v>15.5702</v>
      </c>
      <c r="M1074" s="4">
        <f t="shared" si="65"/>
        <v>15.177233333333334</v>
      </c>
      <c r="P1074" s="4" t="str">
        <f>"dpy-18"</f>
        <v>dpy-18</v>
      </c>
      <c r="Q1074" s="4">
        <v>14.717946385705799</v>
      </c>
      <c r="R1074" s="4">
        <v>14.889766271179701</v>
      </c>
      <c r="S1074" s="4">
        <v>14.8105765676508</v>
      </c>
      <c r="T1074" s="4">
        <f t="shared" si="66"/>
        <v>14.806096408178767</v>
      </c>
      <c r="W1074" s="4" t="str">
        <f>"fgt-1"</f>
        <v>fgt-1</v>
      </c>
      <c r="X1074" s="4">
        <v>15.325288534437</v>
      </c>
      <c r="Y1074" s="4">
        <v>14.6723970529775</v>
      </c>
      <c r="Z1074" s="4">
        <v>14.7686835010189</v>
      </c>
      <c r="AA1074" s="4">
        <f t="shared" si="67"/>
        <v>14.922123029477801</v>
      </c>
    </row>
    <row r="1075" spans="2:27" x14ac:dyDescent="0.2">
      <c r="B1075" s="4" t="s">
        <v>4654</v>
      </c>
      <c r="C1075" s="4">
        <v>15.321099999999999</v>
      </c>
      <c r="D1075" s="4">
        <v>14.9795</v>
      </c>
      <c r="E1075" s="4">
        <v>15.1753</v>
      </c>
      <c r="F1075" s="4">
        <f t="shared" si="64"/>
        <v>15.158633333333333</v>
      </c>
      <c r="I1075" s="4" t="s">
        <v>2540</v>
      </c>
      <c r="J1075" s="4">
        <v>15.045</v>
      </c>
      <c r="K1075" s="4">
        <v>15.2468</v>
      </c>
      <c r="L1075" s="4">
        <v>15.231400000000001</v>
      </c>
      <c r="M1075" s="4">
        <f t="shared" si="65"/>
        <v>15.1744</v>
      </c>
      <c r="P1075" s="4" t="str">
        <f>"F25B5.5"</f>
        <v>F25B5.5</v>
      </c>
      <c r="Q1075" s="4">
        <v>15.051185036286499</v>
      </c>
      <c r="R1075" s="4">
        <v>14.633871546246899</v>
      </c>
      <c r="S1075" s="4">
        <v>14.7324561742819</v>
      </c>
      <c r="T1075" s="4">
        <f t="shared" si="66"/>
        <v>14.805837585605099</v>
      </c>
      <c r="W1075" s="4" t="str">
        <f>"T04G9.4"</f>
        <v>T04G9.4</v>
      </c>
      <c r="X1075" s="4">
        <v>14.9143417916247</v>
      </c>
      <c r="Y1075" s="4">
        <v>14.884709635193101</v>
      </c>
      <c r="Z1075" s="4">
        <v>14.9633696686929</v>
      </c>
      <c r="AA1075" s="4">
        <f t="shared" si="67"/>
        <v>14.920807031836901</v>
      </c>
    </row>
    <row r="1076" spans="2:27" x14ac:dyDescent="0.2">
      <c r="B1076" s="4" t="s">
        <v>1527</v>
      </c>
      <c r="C1076" s="4">
        <v>15.639799999999999</v>
      </c>
      <c r="D1076" s="4">
        <v>14.946199999999999</v>
      </c>
      <c r="E1076" s="4">
        <v>14.884600000000001</v>
      </c>
      <c r="F1076" s="4">
        <f t="shared" si="64"/>
        <v>15.156866666666666</v>
      </c>
      <c r="I1076" s="4" t="s">
        <v>3300</v>
      </c>
      <c r="J1076" s="4">
        <v>15.1364</v>
      </c>
      <c r="K1076" s="4">
        <v>15.3245</v>
      </c>
      <c r="L1076" s="4">
        <v>15.060499999999999</v>
      </c>
      <c r="M1076" s="4">
        <f t="shared" si="65"/>
        <v>15.1738</v>
      </c>
      <c r="P1076" s="4" t="str">
        <f>"let-805"</f>
        <v>let-805</v>
      </c>
      <c r="Q1076" s="4">
        <v>15.142905524858399</v>
      </c>
      <c r="R1076" s="4">
        <v>14.2476412198655</v>
      </c>
      <c r="S1076" s="4">
        <v>15.0181283896789</v>
      </c>
      <c r="T1076" s="4">
        <f t="shared" si="66"/>
        <v>14.8028917114676</v>
      </c>
      <c r="W1076" s="4" t="str">
        <f>"lam-1"</f>
        <v>lam-1</v>
      </c>
      <c r="X1076" s="4">
        <v>14.4894679900158</v>
      </c>
      <c r="Y1076" s="4">
        <v>15.0449597319896</v>
      </c>
      <c r="Z1076" s="4">
        <v>15.224557610519</v>
      </c>
      <c r="AA1076" s="4">
        <f t="shared" si="67"/>
        <v>14.919661777508134</v>
      </c>
    </row>
    <row r="1077" spans="2:27" x14ac:dyDescent="0.2">
      <c r="B1077" s="4" t="s">
        <v>2805</v>
      </c>
      <c r="C1077" s="4">
        <v>15.192299999999999</v>
      </c>
      <c r="D1077" s="4">
        <v>15.040100000000001</v>
      </c>
      <c r="E1077" s="4">
        <v>15.2379</v>
      </c>
      <c r="F1077" s="4">
        <f t="shared" si="64"/>
        <v>15.156766666666664</v>
      </c>
      <c r="I1077" s="4" t="s">
        <v>2909</v>
      </c>
      <c r="J1077" s="4">
        <v>15.4108</v>
      </c>
      <c r="K1077" s="4">
        <v>14.8812</v>
      </c>
      <c r="L1077" s="4">
        <v>15.226699999999999</v>
      </c>
      <c r="M1077" s="4">
        <f t="shared" si="65"/>
        <v>15.1729</v>
      </c>
      <c r="P1077" s="4" t="str">
        <f>"cdk-1"</f>
        <v>cdk-1</v>
      </c>
      <c r="Q1077" s="4">
        <v>14.713122055088199</v>
      </c>
      <c r="R1077" s="4">
        <v>14.859377904527999</v>
      </c>
      <c r="S1077" s="4">
        <v>14.8238166023381</v>
      </c>
      <c r="T1077" s="4">
        <f t="shared" si="66"/>
        <v>14.7987721873181</v>
      </c>
      <c r="W1077" s="4" t="str">
        <f>"dnj-29"</f>
        <v>dnj-29</v>
      </c>
      <c r="X1077" s="4">
        <v>15.1882927549287</v>
      </c>
      <c r="Y1077" s="4">
        <v>14.760637203299</v>
      </c>
      <c r="Z1077" s="4">
        <v>14.756102510945199</v>
      </c>
      <c r="AA1077" s="4">
        <f t="shared" si="67"/>
        <v>14.9016774897243</v>
      </c>
    </row>
    <row r="1078" spans="2:27" x14ac:dyDescent="0.2">
      <c r="B1078" s="4" t="s">
        <v>2615</v>
      </c>
      <c r="C1078" s="4">
        <v>15.2613</v>
      </c>
      <c r="D1078" s="4">
        <v>15.0953</v>
      </c>
      <c r="E1078" s="4">
        <v>15.093500000000001</v>
      </c>
      <c r="F1078" s="4">
        <f t="shared" si="64"/>
        <v>15.150033333333333</v>
      </c>
      <c r="I1078" s="4" t="s">
        <v>160</v>
      </c>
      <c r="J1078" s="4">
        <v>15.075900000000001</v>
      </c>
      <c r="K1078" s="4">
        <v>15.010999999999999</v>
      </c>
      <c r="L1078" s="4">
        <v>15.427199999999999</v>
      </c>
      <c r="M1078" s="4">
        <f t="shared" si="65"/>
        <v>15.171366666666666</v>
      </c>
      <c r="P1078" s="4" t="str">
        <f>"T09B4.8"</f>
        <v>T09B4.8</v>
      </c>
      <c r="Q1078" s="4">
        <v>15.0696258304999</v>
      </c>
      <c r="R1078" s="4">
        <v>14.526612837642899</v>
      </c>
      <c r="S1078" s="4">
        <v>14.7900065988874</v>
      </c>
      <c r="T1078" s="4">
        <f t="shared" si="66"/>
        <v>14.795415089010065</v>
      </c>
      <c r="W1078" s="4" t="str">
        <f>"usp-4"</f>
        <v>usp-4</v>
      </c>
      <c r="X1078" s="4">
        <v>15.0692715872497</v>
      </c>
      <c r="Y1078" s="4">
        <v>14.768872941123099</v>
      </c>
      <c r="Z1078" s="4">
        <v>14.8584616574427</v>
      </c>
      <c r="AA1078" s="4">
        <f t="shared" si="67"/>
        <v>14.898868728605166</v>
      </c>
    </row>
    <row r="1079" spans="2:27" x14ac:dyDescent="0.2">
      <c r="B1079" s="4" t="s">
        <v>3611</v>
      </c>
      <c r="C1079" s="4">
        <v>14.912100000000001</v>
      </c>
      <c r="D1079" s="4">
        <v>15.396100000000001</v>
      </c>
      <c r="E1079" s="4">
        <v>15.1365</v>
      </c>
      <c r="F1079" s="4">
        <f t="shared" si="64"/>
        <v>15.148233333333332</v>
      </c>
      <c r="I1079" s="4" t="s">
        <v>2232</v>
      </c>
      <c r="J1079" s="4">
        <v>15.0375</v>
      </c>
      <c r="K1079" s="4">
        <v>15.549300000000001</v>
      </c>
      <c r="L1079" s="4">
        <v>14.9254</v>
      </c>
      <c r="M1079" s="4">
        <f t="shared" si="65"/>
        <v>15.170733333333333</v>
      </c>
      <c r="P1079" s="4" t="str">
        <f>"snap-1"</f>
        <v>snap-1</v>
      </c>
      <c r="Q1079" s="4">
        <v>14.5858443757026</v>
      </c>
      <c r="R1079" s="4">
        <v>14.704525111943999</v>
      </c>
      <c r="S1079" s="4">
        <v>15.0914940917166</v>
      </c>
      <c r="T1079" s="4">
        <f t="shared" si="66"/>
        <v>14.793954526454399</v>
      </c>
      <c r="W1079" s="4" t="str">
        <f>"npp-10"</f>
        <v>npp-10</v>
      </c>
      <c r="X1079" s="4">
        <v>15.215108687472201</v>
      </c>
      <c r="Y1079" s="4">
        <v>14.843944695780401</v>
      </c>
      <c r="Z1079" s="4">
        <v>14.6374918861127</v>
      </c>
      <c r="AA1079" s="4">
        <f t="shared" si="67"/>
        <v>14.898848423121768</v>
      </c>
    </row>
    <row r="1080" spans="2:27" x14ac:dyDescent="0.2">
      <c r="B1080" s="4" t="s">
        <v>3449</v>
      </c>
      <c r="C1080" s="4">
        <v>15.1418</v>
      </c>
      <c r="D1080" s="4">
        <v>15.186500000000001</v>
      </c>
      <c r="E1080" s="4">
        <v>15.113899999999999</v>
      </c>
      <c r="F1080" s="4">
        <f t="shared" si="64"/>
        <v>15.147399999999999</v>
      </c>
      <c r="I1080" s="4" t="s">
        <v>2185</v>
      </c>
      <c r="J1080" s="4">
        <v>15.3376</v>
      </c>
      <c r="K1080" s="4">
        <v>15.190300000000001</v>
      </c>
      <c r="L1080" s="4">
        <v>14.9809</v>
      </c>
      <c r="M1080" s="4">
        <f t="shared" si="65"/>
        <v>15.169600000000001</v>
      </c>
      <c r="P1080" s="4" t="str">
        <f>"acs-7"</f>
        <v>acs-7</v>
      </c>
      <c r="Q1080" s="4">
        <v>14.813925687882801</v>
      </c>
      <c r="R1080" s="4">
        <v>14.838772045505801</v>
      </c>
      <c r="S1080" s="4">
        <v>14.709802314271</v>
      </c>
      <c r="T1080" s="4">
        <f t="shared" si="66"/>
        <v>14.787500015886534</v>
      </c>
      <c r="W1080" s="4" t="str">
        <f>"mms-19"</f>
        <v>mms-19</v>
      </c>
      <c r="X1080" s="4">
        <v>14.868496076119801</v>
      </c>
      <c r="Y1080" s="4">
        <v>14.9262769417917</v>
      </c>
      <c r="Z1080" s="4">
        <v>14.8963155619339</v>
      </c>
      <c r="AA1080" s="4">
        <f t="shared" si="67"/>
        <v>14.897029526615134</v>
      </c>
    </row>
    <row r="1081" spans="2:27" x14ac:dyDescent="0.2">
      <c r="B1081" s="4" t="s">
        <v>2149</v>
      </c>
      <c r="C1081" s="4">
        <v>15.0395</v>
      </c>
      <c r="D1081" s="4">
        <v>14.872999999999999</v>
      </c>
      <c r="E1081" s="4">
        <v>15.527799999999999</v>
      </c>
      <c r="F1081" s="4">
        <f t="shared" si="64"/>
        <v>15.146766666666666</v>
      </c>
      <c r="I1081" s="4" t="s">
        <v>535</v>
      </c>
      <c r="J1081" s="4">
        <v>15.2858</v>
      </c>
      <c r="K1081" s="4">
        <v>14.987399999999999</v>
      </c>
      <c r="L1081" s="4">
        <v>15.222300000000001</v>
      </c>
      <c r="M1081" s="4">
        <f t="shared" si="65"/>
        <v>15.165166666666666</v>
      </c>
      <c r="P1081" s="4" t="str">
        <f>"F54D5.7"</f>
        <v>F54D5.7</v>
      </c>
      <c r="Q1081" s="4">
        <v>14.868093745532001</v>
      </c>
      <c r="R1081" s="4">
        <v>14.5712863719359</v>
      </c>
      <c r="S1081" s="4">
        <v>14.8992422487098</v>
      </c>
      <c r="T1081" s="4">
        <f t="shared" si="66"/>
        <v>14.779540788725901</v>
      </c>
      <c r="W1081" s="4" t="str">
        <f>"K07E3.4"</f>
        <v>K07E3.4</v>
      </c>
      <c r="X1081" s="4">
        <v>14.702227361344001</v>
      </c>
      <c r="Y1081" s="4">
        <v>15.015026897212501</v>
      </c>
      <c r="Z1081" s="4">
        <v>14.970083941270399</v>
      </c>
      <c r="AA1081" s="4">
        <f t="shared" si="67"/>
        <v>14.895779399942299</v>
      </c>
    </row>
    <row r="1082" spans="2:27" x14ac:dyDescent="0.2">
      <c r="B1082" s="4" t="s">
        <v>2880</v>
      </c>
      <c r="C1082" s="4">
        <v>14.938599999999999</v>
      </c>
      <c r="D1082" s="4">
        <v>15.3834</v>
      </c>
      <c r="E1082" s="4">
        <v>15.105700000000001</v>
      </c>
      <c r="F1082" s="4">
        <f t="shared" si="64"/>
        <v>15.142566666666667</v>
      </c>
      <c r="I1082" s="4" t="s">
        <v>2501</v>
      </c>
      <c r="J1082" s="4">
        <v>15.1569</v>
      </c>
      <c r="K1082" s="4">
        <v>15.4611</v>
      </c>
      <c r="L1082" s="4">
        <v>14.8726</v>
      </c>
      <c r="M1082" s="4">
        <f t="shared" si="65"/>
        <v>15.163533333333334</v>
      </c>
      <c r="P1082" s="4" t="str">
        <f>"Y32F6A.5"</f>
        <v>Y32F6A.5</v>
      </c>
      <c r="Q1082" s="4">
        <v>14.7701130115545</v>
      </c>
      <c r="R1082" s="4">
        <v>14.665083361508</v>
      </c>
      <c r="S1082" s="4">
        <v>14.9005087309805</v>
      </c>
      <c r="T1082" s="4">
        <f t="shared" si="66"/>
        <v>14.778568368014334</v>
      </c>
      <c r="W1082" s="4" t="str">
        <f>"gtf-2h4"</f>
        <v>gtf-2h4</v>
      </c>
      <c r="X1082" s="4">
        <v>14.8418998423796</v>
      </c>
      <c r="Y1082" s="4">
        <v>15.0143533856458</v>
      </c>
      <c r="Z1082" s="4">
        <v>14.8188953854752</v>
      </c>
      <c r="AA1082" s="4">
        <f t="shared" si="67"/>
        <v>14.891716204500201</v>
      </c>
    </row>
    <row r="1083" spans="2:27" x14ac:dyDescent="0.2">
      <c r="B1083" s="4" t="s">
        <v>2269</v>
      </c>
      <c r="C1083" s="4">
        <v>15.3049</v>
      </c>
      <c r="D1083" s="4">
        <v>14.9794</v>
      </c>
      <c r="E1083" s="4">
        <v>15.1411</v>
      </c>
      <c r="F1083" s="4">
        <f t="shared" si="64"/>
        <v>15.141800000000002</v>
      </c>
      <c r="I1083" s="4" t="s">
        <v>795</v>
      </c>
      <c r="J1083" s="4">
        <v>15.086499999999999</v>
      </c>
      <c r="K1083" s="4">
        <v>14.9818</v>
      </c>
      <c r="L1083" s="4">
        <v>15.419</v>
      </c>
      <c r="M1083" s="4">
        <f t="shared" si="65"/>
        <v>15.162433333333334</v>
      </c>
      <c r="P1083" s="4" t="str">
        <f>"eppl-1"</f>
        <v>eppl-1</v>
      </c>
      <c r="Q1083" s="4">
        <v>14.898501711107601</v>
      </c>
      <c r="R1083" s="4">
        <v>14.6229119272778</v>
      </c>
      <c r="S1083" s="4">
        <v>14.8102359862479</v>
      </c>
      <c r="T1083" s="4">
        <f t="shared" si="66"/>
        <v>14.777216541544433</v>
      </c>
      <c r="W1083" s="4" t="str">
        <f>"C14C10.5"</f>
        <v>C14C10.5</v>
      </c>
      <c r="X1083" s="4">
        <v>15.011032766654299</v>
      </c>
      <c r="Y1083" s="4">
        <v>14.917817393195399</v>
      </c>
      <c r="Z1083" s="4">
        <v>14.7436834227908</v>
      </c>
      <c r="AA1083" s="4">
        <f t="shared" si="67"/>
        <v>14.890844527546832</v>
      </c>
    </row>
    <row r="1084" spans="2:27" x14ac:dyDescent="0.2">
      <c r="B1084" s="4" t="s">
        <v>2934</v>
      </c>
      <c r="C1084" s="4">
        <v>15.069599999999999</v>
      </c>
      <c r="D1084" s="4">
        <v>15.0871</v>
      </c>
      <c r="E1084" s="4">
        <v>15.266400000000001</v>
      </c>
      <c r="F1084" s="4">
        <f t="shared" si="64"/>
        <v>15.141033333333334</v>
      </c>
      <c r="I1084" s="4" t="s">
        <v>1496</v>
      </c>
      <c r="J1084" s="4">
        <v>15.39</v>
      </c>
      <c r="K1084" s="4">
        <v>15.103</v>
      </c>
      <c r="L1084" s="4">
        <v>14.9938</v>
      </c>
      <c r="M1084" s="4">
        <f t="shared" si="65"/>
        <v>15.162266666666667</v>
      </c>
      <c r="P1084" s="4" t="str">
        <f>"Y92H12BL.7"</f>
        <v>Y92H12BL.7</v>
      </c>
      <c r="Q1084" s="4">
        <v>14.807092261191</v>
      </c>
      <c r="R1084" s="4">
        <v>14.777834743310899</v>
      </c>
      <c r="S1084" s="4">
        <v>14.7446840681258</v>
      </c>
      <c r="T1084" s="4">
        <f t="shared" si="66"/>
        <v>14.776537024209233</v>
      </c>
      <c r="W1084" s="4" t="str">
        <f>"pcn-1"</f>
        <v>pcn-1</v>
      </c>
      <c r="X1084" s="4">
        <v>14.336870163792</v>
      </c>
      <c r="Y1084" s="4">
        <v>15.168353058160401</v>
      </c>
      <c r="Z1084" s="4">
        <v>15.1557608963838</v>
      </c>
      <c r="AA1084" s="4">
        <f t="shared" si="67"/>
        <v>14.886994706112068</v>
      </c>
    </row>
    <row r="1085" spans="2:27" x14ac:dyDescent="0.2">
      <c r="B1085" s="4" t="s">
        <v>448</v>
      </c>
      <c r="C1085" s="4">
        <v>15.3444</v>
      </c>
      <c r="D1085" s="4">
        <v>14.4518</v>
      </c>
      <c r="E1085" s="4">
        <v>15.6233</v>
      </c>
      <c r="F1085" s="4">
        <f t="shared" si="64"/>
        <v>15.139833333333334</v>
      </c>
      <c r="I1085" s="4" t="s">
        <v>2149</v>
      </c>
      <c r="J1085" s="4">
        <v>15.1564</v>
      </c>
      <c r="K1085" s="4">
        <v>15.059900000000001</v>
      </c>
      <c r="L1085" s="4">
        <v>15.265599999999999</v>
      </c>
      <c r="M1085" s="4">
        <f t="shared" si="65"/>
        <v>15.160633333333331</v>
      </c>
      <c r="P1085" s="4" t="str">
        <f>"akt-2"</f>
        <v>akt-2</v>
      </c>
      <c r="Q1085" s="4">
        <v>14.8451598052199</v>
      </c>
      <c r="R1085" s="4">
        <v>14.818574423850499</v>
      </c>
      <c r="S1085" s="4">
        <v>14.662250842181701</v>
      </c>
      <c r="T1085" s="4">
        <f t="shared" si="66"/>
        <v>14.775328357084033</v>
      </c>
      <c r="W1085" s="4" t="str">
        <f>"csq-1"</f>
        <v>csq-1</v>
      </c>
      <c r="X1085" s="4">
        <v>14.604539649086099</v>
      </c>
      <c r="Y1085" s="4">
        <v>14.9072296972186</v>
      </c>
      <c r="Z1085" s="4">
        <v>15.1490955578524</v>
      </c>
      <c r="AA1085" s="4">
        <f t="shared" si="67"/>
        <v>14.886954968052367</v>
      </c>
    </row>
    <row r="1086" spans="2:27" x14ac:dyDescent="0.2">
      <c r="B1086" s="4" t="s">
        <v>722</v>
      </c>
      <c r="C1086" s="4">
        <v>14.904299999999999</v>
      </c>
      <c r="D1086" s="4">
        <v>15.3553</v>
      </c>
      <c r="E1086" s="4">
        <v>15.1593</v>
      </c>
      <c r="F1086" s="4">
        <f t="shared" si="64"/>
        <v>15.139633333333334</v>
      </c>
      <c r="I1086" s="4" t="s">
        <v>3896</v>
      </c>
      <c r="J1086" s="4">
        <v>15.57</v>
      </c>
      <c r="K1086" s="4">
        <v>15.354100000000001</v>
      </c>
      <c r="L1086" s="4">
        <v>14.548400000000001</v>
      </c>
      <c r="M1086" s="4">
        <f t="shared" si="65"/>
        <v>15.157500000000001</v>
      </c>
      <c r="P1086" s="4" t="str">
        <f>"hsp-60"</f>
        <v>hsp-60</v>
      </c>
      <c r="Q1086" s="4">
        <v>14.9457463062997</v>
      </c>
      <c r="R1086" s="4">
        <v>14.5982973744331</v>
      </c>
      <c r="S1086" s="4">
        <v>14.7795336965972</v>
      </c>
      <c r="T1086" s="4">
        <f t="shared" si="66"/>
        <v>14.774525792443333</v>
      </c>
      <c r="W1086" s="4" t="str">
        <f>"sec-24.1"</f>
        <v>sec-24.1</v>
      </c>
      <c r="X1086" s="4">
        <v>15.010767887982601</v>
      </c>
      <c r="Y1086" s="4">
        <v>14.9604607323976</v>
      </c>
      <c r="Z1086" s="4">
        <v>14.6877237784296</v>
      </c>
      <c r="AA1086" s="4">
        <f t="shared" si="67"/>
        <v>14.886317466269935</v>
      </c>
    </row>
    <row r="1087" spans="2:27" x14ac:dyDescent="0.2">
      <c r="B1087" s="4" t="s">
        <v>2597</v>
      </c>
      <c r="C1087" s="4">
        <v>15.150499999999999</v>
      </c>
      <c r="D1087" s="4">
        <v>15.233700000000001</v>
      </c>
      <c r="E1087" s="4">
        <v>15.033099999999999</v>
      </c>
      <c r="F1087" s="4">
        <f t="shared" si="64"/>
        <v>15.139099999999999</v>
      </c>
      <c r="I1087" s="4" t="s">
        <v>3493</v>
      </c>
      <c r="J1087" s="4">
        <v>15.265599999999999</v>
      </c>
      <c r="K1087" s="4">
        <v>14.9862</v>
      </c>
      <c r="L1087" s="4">
        <v>15.2195</v>
      </c>
      <c r="M1087" s="4">
        <f t="shared" si="65"/>
        <v>15.1571</v>
      </c>
      <c r="P1087" s="4" t="str">
        <f>"mop-25.2"</f>
        <v>mop-25.2</v>
      </c>
      <c r="Q1087" s="4">
        <v>14.7191152198045</v>
      </c>
      <c r="R1087" s="4">
        <v>14.8785237331671</v>
      </c>
      <c r="S1087" s="4">
        <v>14.7246568919673</v>
      </c>
      <c r="T1087" s="4">
        <f t="shared" si="66"/>
        <v>14.774098614979634</v>
      </c>
      <c r="W1087" s="4" t="str">
        <f>"erm-1"</f>
        <v>erm-1</v>
      </c>
      <c r="X1087" s="4">
        <v>14.7760048207192</v>
      </c>
      <c r="Y1087" s="4">
        <v>14.6246823129618</v>
      </c>
      <c r="Z1087" s="4">
        <v>15.2520159780379</v>
      </c>
      <c r="AA1087" s="4">
        <f t="shared" si="67"/>
        <v>14.884234370572967</v>
      </c>
    </row>
    <row r="1088" spans="2:27" x14ac:dyDescent="0.2">
      <c r="B1088" s="4" t="s">
        <v>3066</v>
      </c>
      <c r="C1088" s="4">
        <v>14.9749</v>
      </c>
      <c r="D1088" s="4">
        <v>14.8879</v>
      </c>
      <c r="E1088" s="4">
        <v>15.5542</v>
      </c>
      <c r="F1088" s="4">
        <f t="shared" si="64"/>
        <v>15.139000000000001</v>
      </c>
      <c r="I1088" s="4" t="s">
        <v>3043</v>
      </c>
      <c r="J1088" s="4">
        <v>15.2837</v>
      </c>
      <c r="K1088" s="4">
        <v>14.798400000000001</v>
      </c>
      <c r="L1088" s="4">
        <v>15.3887</v>
      </c>
      <c r="M1088" s="4">
        <f t="shared" si="65"/>
        <v>15.156933333333333</v>
      </c>
      <c r="P1088" s="4" t="str">
        <f>"K05C4.2"</f>
        <v>K05C4.2</v>
      </c>
      <c r="Q1088" s="4">
        <v>14.7171440030813</v>
      </c>
      <c r="R1088" s="4">
        <v>14.354791872437101</v>
      </c>
      <c r="S1088" s="4">
        <v>15.242445643681</v>
      </c>
      <c r="T1088" s="4">
        <f t="shared" si="66"/>
        <v>14.7714605063998</v>
      </c>
      <c r="W1088" s="4" t="str">
        <f>"4D656"</f>
        <v>4D656</v>
      </c>
      <c r="X1088" s="4">
        <v>14.9962385083812</v>
      </c>
      <c r="Y1088" s="4">
        <v>14.9314735960336</v>
      </c>
      <c r="Z1088" s="4">
        <v>14.719083766850099</v>
      </c>
      <c r="AA1088" s="4">
        <f t="shared" si="67"/>
        <v>14.882265290421634</v>
      </c>
    </row>
    <row r="1089" spans="2:27" x14ac:dyDescent="0.2">
      <c r="B1089" s="4" t="s">
        <v>2073</v>
      </c>
      <c r="C1089" s="4">
        <v>15.083299999999999</v>
      </c>
      <c r="D1089" s="4">
        <v>15.193</v>
      </c>
      <c r="E1089" s="4">
        <v>15.140499999999999</v>
      </c>
      <c r="F1089" s="4">
        <f t="shared" si="64"/>
        <v>15.138933333333332</v>
      </c>
      <c r="I1089" s="4" t="s">
        <v>3209</v>
      </c>
      <c r="J1089" s="4">
        <v>15.1959</v>
      </c>
      <c r="K1089" s="4">
        <v>15.2135</v>
      </c>
      <c r="L1089" s="4">
        <v>15.0572</v>
      </c>
      <c r="M1089" s="4">
        <f t="shared" si="65"/>
        <v>15.155533333333333</v>
      </c>
      <c r="P1089" s="4" t="str">
        <f>"cpg-1"</f>
        <v>cpg-1</v>
      </c>
      <c r="Q1089" s="4">
        <v>14.198728140667599</v>
      </c>
      <c r="R1089" s="4">
        <v>14.609308629434199</v>
      </c>
      <c r="S1089" s="4">
        <v>15.4895368236936</v>
      </c>
      <c r="T1089" s="4">
        <f t="shared" si="66"/>
        <v>14.765857864598466</v>
      </c>
      <c r="W1089" s="4" t="str">
        <f>"snr-2"</f>
        <v>snr-2</v>
      </c>
      <c r="X1089" s="4">
        <v>14.681269059551999</v>
      </c>
      <c r="Y1089" s="4">
        <v>14.9506941415355</v>
      </c>
      <c r="Z1089" s="4">
        <v>15.0124271961608</v>
      </c>
      <c r="AA1089" s="4">
        <f t="shared" si="67"/>
        <v>14.881463465749434</v>
      </c>
    </row>
    <row r="1090" spans="2:27" x14ac:dyDescent="0.2">
      <c r="B1090" s="4" t="s">
        <v>4652</v>
      </c>
      <c r="C1090" s="4">
        <v>15.0444</v>
      </c>
      <c r="D1090" s="4">
        <v>15.0336</v>
      </c>
      <c r="E1090" s="4">
        <v>15.335699999999999</v>
      </c>
      <c r="F1090" s="4">
        <f t="shared" ref="F1090:F1153" si="68">(C1090+D1090+E1090)/3</f>
        <v>15.1379</v>
      </c>
      <c r="I1090" s="4" t="s">
        <v>3621</v>
      </c>
      <c r="J1090" s="4">
        <v>15.3079</v>
      </c>
      <c r="K1090" s="4">
        <v>15.0702</v>
      </c>
      <c r="L1090" s="4">
        <v>15.0854</v>
      </c>
      <c r="M1090" s="4">
        <f t="shared" ref="M1090:M1153" si="69">(J1090+K1090+L1090)/3</f>
        <v>15.154499999999999</v>
      </c>
      <c r="P1090" s="4" t="str">
        <f>"M03C11.8"</f>
        <v>M03C11.8</v>
      </c>
      <c r="Q1090" s="4">
        <v>14.5664054350284</v>
      </c>
      <c r="R1090" s="4">
        <v>14.914437434668001</v>
      </c>
      <c r="S1090" s="4">
        <v>14.812582779255401</v>
      </c>
      <c r="T1090" s="4">
        <f t="shared" ref="T1090:T1153" si="70">(Q1090+R1090+S1090)/3</f>
        <v>14.764475216317267</v>
      </c>
      <c r="W1090" s="4" t="str">
        <f>"hsp-43"</f>
        <v>hsp-43</v>
      </c>
      <c r="X1090" s="4">
        <v>14.354169357330999</v>
      </c>
      <c r="Y1090" s="4">
        <v>15.028113244331401</v>
      </c>
      <c r="Z1090" s="4">
        <v>15.2598491963264</v>
      </c>
      <c r="AA1090" s="4">
        <f t="shared" ref="AA1090:AA1153" si="71">(X1090+Y1090+Z1090)/3</f>
        <v>14.880710599329598</v>
      </c>
    </row>
    <row r="1091" spans="2:27" x14ac:dyDescent="0.2">
      <c r="B1091" s="4" t="s">
        <v>2608</v>
      </c>
      <c r="C1091" s="4">
        <v>15.102600000000001</v>
      </c>
      <c r="D1091" s="4">
        <v>14.92</v>
      </c>
      <c r="E1091" s="4">
        <v>15.382199999999999</v>
      </c>
      <c r="F1091" s="4">
        <f t="shared" si="68"/>
        <v>15.134933333333334</v>
      </c>
      <c r="I1091" s="4" t="s">
        <v>2063</v>
      </c>
      <c r="J1091" s="4">
        <v>15.214600000000001</v>
      </c>
      <c r="K1091" s="4">
        <v>15.1707</v>
      </c>
      <c r="L1091" s="4">
        <v>15.0769</v>
      </c>
      <c r="M1091" s="4">
        <f t="shared" si="69"/>
        <v>15.154066666666667</v>
      </c>
      <c r="P1091" s="4" t="str">
        <f>"unc-84"</f>
        <v>unc-84</v>
      </c>
      <c r="Q1091" s="4">
        <v>15.007917842208199</v>
      </c>
      <c r="R1091" s="4">
        <v>14.616221009779</v>
      </c>
      <c r="S1091" s="4">
        <v>14.6683320954095</v>
      </c>
      <c r="T1091" s="4">
        <f t="shared" si="70"/>
        <v>14.764156982465565</v>
      </c>
      <c r="W1091" s="4" t="str">
        <f>"mct-5"</f>
        <v>mct-5</v>
      </c>
      <c r="X1091" s="4">
        <v>15.1477618983829</v>
      </c>
      <c r="Y1091" s="4">
        <v>14.8261380970666</v>
      </c>
      <c r="Z1091" s="4">
        <v>14.667266977056601</v>
      </c>
      <c r="AA1091" s="4">
        <f t="shared" si="71"/>
        <v>14.880388990835366</v>
      </c>
    </row>
    <row r="1092" spans="2:27" x14ac:dyDescent="0.2">
      <c r="B1092" s="4" t="s">
        <v>3300</v>
      </c>
      <c r="C1092" s="4">
        <v>15.1816</v>
      </c>
      <c r="D1092" s="4">
        <v>15.058400000000001</v>
      </c>
      <c r="E1092" s="4">
        <v>15.1632</v>
      </c>
      <c r="F1092" s="4">
        <f t="shared" si="68"/>
        <v>15.134399999999999</v>
      </c>
      <c r="I1092" s="4" t="s">
        <v>317</v>
      </c>
      <c r="J1092" s="4">
        <v>15.1546</v>
      </c>
      <c r="K1092" s="4">
        <v>15.1943</v>
      </c>
      <c r="L1092" s="4">
        <v>15.098000000000001</v>
      </c>
      <c r="M1092" s="4">
        <f t="shared" si="69"/>
        <v>15.148966666666666</v>
      </c>
      <c r="P1092" s="4" t="str">
        <f>"hipr-1"</f>
        <v>hipr-1</v>
      </c>
      <c r="Q1092" s="4">
        <v>14.680982459901101</v>
      </c>
      <c r="R1092" s="4">
        <v>14.8706461344545</v>
      </c>
      <c r="S1092" s="4">
        <v>14.739628657972499</v>
      </c>
      <c r="T1092" s="4">
        <f t="shared" si="70"/>
        <v>14.763752417442698</v>
      </c>
      <c r="W1092" s="4" t="str">
        <f>"sec-8"</f>
        <v>sec-8</v>
      </c>
      <c r="X1092" s="4">
        <v>14.680329458645099</v>
      </c>
      <c r="Y1092" s="4">
        <v>15.085309940633699</v>
      </c>
      <c r="Z1092" s="4">
        <v>14.870247785446599</v>
      </c>
      <c r="AA1092" s="4">
        <f t="shared" si="71"/>
        <v>14.878629061575133</v>
      </c>
    </row>
    <row r="1093" spans="2:27" x14ac:dyDescent="0.2">
      <c r="B1093" s="4" t="s">
        <v>2752</v>
      </c>
      <c r="C1093" s="4">
        <v>15.2607</v>
      </c>
      <c r="D1093" s="4">
        <v>14.949199999999999</v>
      </c>
      <c r="E1093" s="4">
        <v>15.189</v>
      </c>
      <c r="F1093" s="4">
        <f t="shared" si="68"/>
        <v>15.132966666666666</v>
      </c>
      <c r="I1093" s="4" t="s">
        <v>2978</v>
      </c>
      <c r="J1093" s="4">
        <v>15.008699999999999</v>
      </c>
      <c r="K1093" s="4">
        <v>15.209199999999999</v>
      </c>
      <c r="L1093" s="4">
        <v>15.2258</v>
      </c>
      <c r="M1093" s="4">
        <f t="shared" si="69"/>
        <v>15.1479</v>
      </c>
      <c r="P1093" s="4" t="str">
        <f>"him-4"</f>
        <v>him-4</v>
      </c>
      <c r="Q1093" s="4">
        <v>14.7714865310611</v>
      </c>
      <c r="R1093" s="4">
        <v>14.652058501271</v>
      </c>
      <c r="S1093" s="4">
        <v>14.866794138127799</v>
      </c>
      <c r="T1093" s="4">
        <f t="shared" si="70"/>
        <v>14.7634463901533</v>
      </c>
      <c r="W1093" s="4" t="str">
        <f>"ZK370.4"</f>
        <v>ZK370.4</v>
      </c>
      <c r="X1093" s="4">
        <v>14.8212113893535</v>
      </c>
      <c r="Y1093" s="4">
        <v>14.9821915169787</v>
      </c>
      <c r="Z1093" s="4">
        <v>14.832112167849999</v>
      </c>
      <c r="AA1093" s="4">
        <f t="shared" si="71"/>
        <v>14.878505024727401</v>
      </c>
    </row>
    <row r="1094" spans="2:27" x14ac:dyDescent="0.2">
      <c r="B1094" s="4" t="s">
        <v>1710</v>
      </c>
      <c r="C1094" s="4">
        <v>15.2514</v>
      </c>
      <c r="D1094" s="4">
        <v>14.8863</v>
      </c>
      <c r="E1094" s="4">
        <v>15.2605</v>
      </c>
      <c r="F1094" s="4">
        <f t="shared" si="68"/>
        <v>15.132733333333334</v>
      </c>
      <c r="I1094" s="4" t="s">
        <v>2880</v>
      </c>
      <c r="J1094" s="4">
        <v>15.1553</v>
      </c>
      <c r="K1094" s="4">
        <v>14.934699999999999</v>
      </c>
      <c r="L1094" s="4">
        <v>15.351000000000001</v>
      </c>
      <c r="M1094" s="4">
        <f t="shared" si="69"/>
        <v>15.147</v>
      </c>
      <c r="P1094" s="4" t="str">
        <f>"pix-1"</f>
        <v>pix-1</v>
      </c>
      <c r="Q1094" s="4">
        <v>14.713715259291799</v>
      </c>
      <c r="R1094" s="4">
        <v>14.735259024191601</v>
      </c>
      <c r="S1094" s="4">
        <v>14.8392542936685</v>
      </c>
      <c r="T1094" s="4">
        <f t="shared" si="70"/>
        <v>14.762742859050633</v>
      </c>
      <c r="W1094" s="4" t="str">
        <f>"B0035.3"</f>
        <v>B0035.3</v>
      </c>
      <c r="X1094" s="4">
        <v>14.8812257078347</v>
      </c>
      <c r="Y1094" s="4">
        <v>14.769710198259901</v>
      </c>
      <c r="Z1094" s="4">
        <v>14.982965910077301</v>
      </c>
      <c r="AA1094" s="4">
        <f t="shared" si="71"/>
        <v>14.877967272057299</v>
      </c>
    </row>
    <row r="1095" spans="2:27" x14ac:dyDescent="0.2">
      <c r="B1095" s="4" t="s">
        <v>4655</v>
      </c>
      <c r="C1095" s="4">
        <v>15.334099999999999</v>
      </c>
      <c r="D1095" s="4">
        <v>15.220700000000001</v>
      </c>
      <c r="E1095" s="4">
        <v>14.8278</v>
      </c>
      <c r="F1095" s="4">
        <f t="shared" si="68"/>
        <v>15.127533333333332</v>
      </c>
      <c r="I1095" s="4" t="s">
        <v>4603</v>
      </c>
      <c r="J1095" s="4">
        <v>15.2233</v>
      </c>
      <c r="K1095" s="4">
        <v>15.419499999999999</v>
      </c>
      <c r="L1095" s="4">
        <v>14.795199999999999</v>
      </c>
      <c r="M1095" s="4">
        <f t="shared" si="69"/>
        <v>15.146000000000001</v>
      </c>
      <c r="P1095" s="4" t="str">
        <f>"F08F3.4"</f>
        <v>F08F3.4</v>
      </c>
      <c r="Q1095" s="4">
        <v>14.902313419816901</v>
      </c>
      <c r="R1095" s="4">
        <v>14.6314825854231</v>
      </c>
      <c r="S1095" s="4">
        <v>14.7516285162858</v>
      </c>
      <c r="T1095" s="4">
        <f t="shared" si="70"/>
        <v>14.761808173841933</v>
      </c>
      <c r="W1095" s="4" t="str">
        <f>"utp-20"</f>
        <v>utp-20</v>
      </c>
      <c r="X1095" s="4">
        <v>14.864659572638701</v>
      </c>
      <c r="Y1095" s="4">
        <v>14.8906507355982</v>
      </c>
      <c r="Z1095" s="4">
        <v>14.873717233491201</v>
      </c>
      <c r="AA1095" s="4">
        <f t="shared" si="71"/>
        <v>14.876342513909366</v>
      </c>
    </row>
    <row r="1096" spans="2:27" x14ac:dyDescent="0.2">
      <c r="B1096" s="4" t="s">
        <v>462</v>
      </c>
      <c r="C1096" s="4">
        <v>14.873699999999999</v>
      </c>
      <c r="D1096" s="4">
        <v>15.470499999999999</v>
      </c>
      <c r="E1096" s="4">
        <v>15.0296</v>
      </c>
      <c r="F1096" s="4">
        <f t="shared" si="68"/>
        <v>15.124600000000001</v>
      </c>
      <c r="I1096" s="4" t="s">
        <v>1512</v>
      </c>
      <c r="J1096" s="4">
        <v>14.1432</v>
      </c>
      <c r="K1096" s="4">
        <v>15.1455</v>
      </c>
      <c r="L1096" s="4">
        <v>16.1464</v>
      </c>
      <c r="M1096" s="4">
        <f t="shared" si="69"/>
        <v>15.145033333333332</v>
      </c>
      <c r="P1096" s="4" t="str">
        <f>"sup-26"</f>
        <v>sup-26</v>
      </c>
      <c r="Q1096" s="4">
        <v>14.955990710140901</v>
      </c>
      <c r="R1096" s="4">
        <v>14.5713683699986</v>
      </c>
      <c r="S1096" s="4">
        <v>14.750332138826099</v>
      </c>
      <c r="T1096" s="4">
        <f t="shared" si="70"/>
        <v>14.759230406321867</v>
      </c>
      <c r="W1096" s="4" t="str">
        <f>"R05D11.9"</f>
        <v>R05D11.9</v>
      </c>
      <c r="X1096" s="4">
        <v>14.9254963703937</v>
      </c>
      <c r="Y1096" s="4">
        <v>14.8803251051039</v>
      </c>
      <c r="Z1096" s="4">
        <v>14.813377468504401</v>
      </c>
      <c r="AA1096" s="4">
        <f t="shared" si="71"/>
        <v>14.873066314667334</v>
      </c>
    </row>
    <row r="1097" spans="2:27" x14ac:dyDescent="0.2">
      <c r="B1097" s="4" t="s">
        <v>3561</v>
      </c>
      <c r="C1097" s="4">
        <v>15.0786</v>
      </c>
      <c r="D1097" s="4">
        <v>14.8292</v>
      </c>
      <c r="E1097" s="4">
        <v>15.4611</v>
      </c>
      <c r="F1097" s="4">
        <f t="shared" si="68"/>
        <v>15.122966666666668</v>
      </c>
      <c r="I1097" s="4" t="s">
        <v>4031</v>
      </c>
      <c r="J1097" s="4">
        <v>15.020799999999999</v>
      </c>
      <c r="K1097" s="4">
        <v>15.0951</v>
      </c>
      <c r="L1097" s="4">
        <v>15.3178</v>
      </c>
      <c r="M1097" s="4">
        <f t="shared" si="69"/>
        <v>15.144566666666668</v>
      </c>
      <c r="P1097" s="4" t="str">
        <f>"lpd-7"</f>
        <v>lpd-7</v>
      </c>
      <c r="Q1097" s="4">
        <v>14.7472274012868</v>
      </c>
      <c r="R1097" s="4">
        <v>14.816297919073</v>
      </c>
      <c r="S1097" s="4">
        <v>14.7077784880147</v>
      </c>
      <c r="T1097" s="4">
        <f t="shared" si="70"/>
        <v>14.757101269458166</v>
      </c>
      <c r="W1097" s="4" t="str">
        <f>"fard-1"</f>
        <v>fard-1</v>
      </c>
      <c r="X1097" s="4">
        <v>14.857856077336301</v>
      </c>
      <c r="Y1097" s="4">
        <v>14.910688942859</v>
      </c>
      <c r="Z1097" s="4">
        <v>14.848784380562201</v>
      </c>
      <c r="AA1097" s="4">
        <f t="shared" si="71"/>
        <v>14.872443133585833</v>
      </c>
    </row>
    <row r="1098" spans="2:27" x14ac:dyDescent="0.2">
      <c r="B1098" s="4" t="s">
        <v>599</v>
      </c>
      <c r="C1098" s="4">
        <v>14.9377</v>
      </c>
      <c r="D1098" s="4">
        <v>15.3171</v>
      </c>
      <c r="E1098" s="4">
        <v>15.1114</v>
      </c>
      <c r="F1098" s="4">
        <f t="shared" si="68"/>
        <v>15.122066666666667</v>
      </c>
      <c r="I1098" s="4" t="s">
        <v>1249</v>
      </c>
      <c r="J1098" s="4">
        <v>15.246499999999999</v>
      </c>
      <c r="K1098" s="4">
        <v>15.199400000000001</v>
      </c>
      <c r="L1098" s="4">
        <v>14.984999999999999</v>
      </c>
      <c r="M1098" s="4">
        <f t="shared" si="69"/>
        <v>15.143633333333334</v>
      </c>
      <c r="P1098" s="4" t="str">
        <f>"hmg-11"</f>
        <v>hmg-11</v>
      </c>
      <c r="Q1098" s="4">
        <v>15.181994792135701</v>
      </c>
      <c r="R1098" s="4">
        <v>14.6496427372401</v>
      </c>
      <c r="S1098" s="4">
        <v>14.438412236516101</v>
      </c>
      <c r="T1098" s="4">
        <f t="shared" si="70"/>
        <v>14.756683255297299</v>
      </c>
      <c r="W1098" s="4" t="str">
        <f>"syf-1"</f>
        <v>syf-1</v>
      </c>
      <c r="X1098" s="4">
        <v>14.9400696445213</v>
      </c>
      <c r="Y1098" s="4">
        <v>14.9728290054484</v>
      </c>
      <c r="Z1098" s="4">
        <v>14.7028990850045</v>
      </c>
      <c r="AA1098" s="4">
        <f t="shared" si="71"/>
        <v>14.871932578324731</v>
      </c>
    </row>
    <row r="1099" spans="2:27" x14ac:dyDescent="0.2">
      <c r="B1099" s="4" t="s">
        <v>4502</v>
      </c>
      <c r="C1099" s="4">
        <v>15.055400000000001</v>
      </c>
      <c r="D1099" s="4">
        <v>15.1015</v>
      </c>
      <c r="E1099" s="4">
        <v>15.1905</v>
      </c>
      <c r="F1099" s="4">
        <f t="shared" si="68"/>
        <v>15.1158</v>
      </c>
      <c r="I1099" s="4" t="s">
        <v>3574</v>
      </c>
      <c r="J1099" s="4">
        <v>14.981199999999999</v>
      </c>
      <c r="K1099" s="4">
        <v>14.8302</v>
      </c>
      <c r="L1099" s="4">
        <v>15.5969</v>
      </c>
      <c r="M1099" s="4">
        <f t="shared" si="69"/>
        <v>15.136099999999999</v>
      </c>
      <c r="P1099" s="4" t="str">
        <f>"F58H1.8"</f>
        <v>F58H1.8</v>
      </c>
      <c r="Q1099" s="4">
        <v>14.6340102288547</v>
      </c>
      <c r="R1099" s="4">
        <v>14.831434107245499</v>
      </c>
      <c r="S1099" s="4">
        <v>14.8009463417758</v>
      </c>
      <c r="T1099" s="4">
        <f t="shared" si="70"/>
        <v>14.755463559291998</v>
      </c>
      <c r="W1099" s="4" t="str">
        <f>"F19B6.1"</f>
        <v>F19B6.1</v>
      </c>
      <c r="X1099" s="4">
        <v>14.899196592930799</v>
      </c>
      <c r="Y1099" s="4">
        <v>14.912825672969401</v>
      </c>
      <c r="Z1099" s="4">
        <v>14.781635076170801</v>
      </c>
      <c r="AA1099" s="4">
        <f t="shared" si="71"/>
        <v>14.864552447356999</v>
      </c>
    </row>
    <row r="1100" spans="2:27" x14ac:dyDescent="0.2">
      <c r="B1100" s="4" t="s">
        <v>4487</v>
      </c>
      <c r="C1100" s="4">
        <v>14.962</v>
      </c>
      <c r="D1100" s="4">
        <v>15.5221</v>
      </c>
      <c r="E1100" s="4">
        <v>14.8575</v>
      </c>
      <c r="F1100" s="4">
        <f t="shared" si="68"/>
        <v>15.113866666666667</v>
      </c>
      <c r="I1100" s="4" t="s">
        <v>2758</v>
      </c>
      <c r="J1100" s="4">
        <v>15.073399999999999</v>
      </c>
      <c r="K1100" s="4">
        <v>15.537000000000001</v>
      </c>
      <c r="L1100" s="4">
        <v>14.790900000000001</v>
      </c>
      <c r="M1100" s="4">
        <f t="shared" si="69"/>
        <v>15.133766666666666</v>
      </c>
      <c r="P1100" s="4" t="str">
        <f>"let-60"</f>
        <v>let-60</v>
      </c>
      <c r="Q1100" s="4">
        <v>15.1032835205309</v>
      </c>
      <c r="R1100" s="4">
        <v>14.5941552562693</v>
      </c>
      <c r="S1100" s="4">
        <v>14.5652878566541</v>
      </c>
      <c r="T1100" s="4">
        <f t="shared" si="70"/>
        <v>14.754242211151434</v>
      </c>
      <c r="W1100" s="4" t="str">
        <f>"T16G1.9"</f>
        <v>T16G1.9</v>
      </c>
      <c r="X1100" s="4">
        <v>14.960919471285701</v>
      </c>
      <c r="Y1100" s="4">
        <v>14.841457746619801</v>
      </c>
      <c r="Z1100" s="4">
        <v>14.7823639774277</v>
      </c>
      <c r="AA1100" s="4">
        <f t="shared" si="71"/>
        <v>14.861580398444401</v>
      </c>
    </row>
    <row r="1101" spans="2:27" x14ac:dyDescent="0.2">
      <c r="B1101" s="4" t="s">
        <v>2254</v>
      </c>
      <c r="C1101" s="4">
        <v>15.319699999999999</v>
      </c>
      <c r="D1101" s="4">
        <v>14.8256</v>
      </c>
      <c r="E1101" s="4">
        <v>15.195499999999999</v>
      </c>
      <c r="F1101" s="4">
        <f t="shared" si="68"/>
        <v>15.1136</v>
      </c>
      <c r="I1101" s="4" t="s">
        <v>4656</v>
      </c>
      <c r="J1101" s="4">
        <v>15.061199999999999</v>
      </c>
      <c r="K1101" s="4">
        <v>15.0838</v>
      </c>
      <c r="L1101" s="4">
        <v>15.2532</v>
      </c>
      <c r="M1101" s="4">
        <f t="shared" si="69"/>
        <v>15.132733333333334</v>
      </c>
      <c r="P1101" s="4" t="str">
        <f>"F46B6.6"</f>
        <v>F46B6.6</v>
      </c>
      <c r="Q1101" s="4">
        <v>14.9621629721735</v>
      </c>
      <c r="R1101" s="4">
        <v>14.639902486174099</v>
      </c>
      <c r="S1101" s="4">
        <v>14.6605480861733</v>
      </c>
      <c r="T1101" s="4">
        <f t="shared" si="70"/>
        <v>14.754204514840302</v>
      </c>
      <c r="W1101" s="4" t="str">
        <f>"pkc-1"</f>
        <v>pkc-1</v>
      </c>
      <c r="X1101" s="4">
        <v>14.943796948139401</v>
      </c>
      <c r="Y1101" s="4">
        <v>14.7681588433</v>
      </c>
      <c r="Z1101" s="4">
        <v>14.872397405065101</v>
      </c>
      <c r="AA1101" s="4">
        <f t="shared" si="71"/>
        <v>14.8614510655015</v>
      </c>
    </row>
    <row r="1102" spans="2:27" x14ac:dyDescent="0.2">
      <c r="B1102" s="4" t="s">
        <v>4086</v>
      </c>
      <c r="C1102" s="4">
        <v>14.9924</v>
      </c>
      <c r="D1102" s="4">
        <v>15.0395</v>
      </c>
      <c r="E1102" s="4">
        <v>15.303800000000001</v>
      </c>
      <c r="F1102" s="4">
        <f t="shared" si="68"/>
        <v>15.1119</v>
      </c>
      <c r="I1102" s="4" t="s">
        <v>940</v>
      </c>
      <c r="J1102" s="4">
        <v>14.911300000000001</v>
      </c>
      <c r="K1102" s="4">
        <v>15.2149</v>
      </c>
      <c r="L1102" s="4">
        <v>15.267099999999999</v>
      </c>
      <c r="M1102" s="4">
        <f t="shared" si="69"/>
        <v>15.131099999999998</v>
      </c>
      <c r="P1102" s="4" t="str">
        <f>"lin-35"</f>
        <v>lin-35</v>
      </c>
      <c r="Q1102" s="4">
        <v>14.9441339071993</v>
      </c>
      <c r="R1102" s="4">
        <v>14.6816405670496</v>
      </c>
      <c r="S1102" s="4">
        <v>14.6334828971353</v>
      </c>
      <c r="T1102" s="4">
        <f t="shared" si="70"/>
        <v>14.7530857904614</v>
      </c>
      <c r="W1102" s="4" t="str">
        <f>"B0334.5"</f>
        <v>B0334.5</v>
      </c>
      <c r="X1102" s="4">
        <v>14.7059543702239</v>
      </c>
      <c r="Y1102" s="4">
        <v>14.8933697296294</v>
      </c>
      <c r="Z1102" s="4">
        <v>14.9706036658595</v>
      </c>
      <c r="AA1102" s="4">
        <f t="shared" si="71"/>
        <v>14.856642588570933</v>
      </c>
    </row>
    <row r="1103" spans="2:27" x14ac:dyDescent="0.2">
      <c r="B1103" s="4" t="s">
        <v>245</v>
      </c>
      <c r="C1103" s="4">
        <v>14.936400000000001</v>
      </c>
      <c r="D1103" s="4">
        <v>15.2386</v>
      </c>
      <c r="E1103" s="4">
        <v>15.1602</v>
      </c>
      <c r="F1103" s="4">
        <f t="shared" si="68"/>
        <v>15.111733333333333</v>
      </c>
      <c r="I1103" s="4" t="s">
        <v>471</v>
      </c>
      <c r="J1103" s="4">
        <v>15.0611</v>
      </c>
      <c r="K1103" s="4">
        <v>15.669600000000001</v>
      </c>
      <c r="L1103" s="4">
        <v>14.6617</v>
      </c>
      <c r="M1103" s="4">
        <f t="shared" si="69"/>
        <v>15.130799999999999</v>
      </c>
      <c r="P1103" s="4" t="str">
        <f>"Y66H1A.4"</f>
        <v>Y66H1A.4</v>
      </c>
      <c r="Q1103" s="4">
        <v>14.7711833959922</v>
      </c>
      <c r="R1103" s="4">
        <v>14.658818504014899</v>
      </c>
      <c r="S1103" s="4">
        <v>14.828515265736099</v>
      </c>
      <c r="T1103" s="4">
        <f t="shared" si="70"/>
        <v>14.752839055247733</v>
      </c>
      <c r="W1103" s="4" t="str">
        <f>"F52C9.3"</f>
        <v>F52C9.3</v>
      </c>
      <c r="X1103" s="4">
        <v>14.8159075003336</v>
      </c>
      <c r="Y1103" s="4">
        <v>14.9110458199831</v>
      </c>
      <c r="Z1103" s="4">
        <v>14.8366719166549</v>
      </c>
      <c r="AA1103" s="4">
        <f t="shared" si="71"/>
        <v>14.854541745657201</v>
      </c>
    </row>
    <row r="1104" spans="2:27" x14ac:dyDescent="0.2">
      <c r="B1104" s="4" t="s">
        <v>3782</v>
      </c>
      <c r="C1104" s="4">
        <v>15.0258</v>
      </c>
      <c r="D1104" s="4">
        <v>15.4194</v>
      </c>
      <c r="E1104" s="4">
        <v>14.8889</v>
      </c>
      <c r="F1104" s="4">
        <f t="shared" si="68"/>
        <v>15.111366666666667</v>
      </c>
      <c r="I1104" s="4" t="s">
        <v>1272</v>
      </c>
      <c r="J1104" s="4">
        <v>15.057600000000001</v>
      </c>
      <c r="K1104" s="4">
        <v>15.1488</v>
      </c>
      <c r="L1104" s="4">
        <v>15.174200000000001</v>
      </c>
      <c r="M1104" s="4">
        <f t="shared" si="69"/>
        <v>15.126866666666666</v>
      </c>
      <c r="P1104" s="4" t="str">
        <f>"arrd-25"</f>
        <v>arrd-25</v>
      </c>
      <c r="Q1104" s="4">
        <v>14.8647271224389</v>
      </c>
      <c r="R1104" s="4">
        <v>14.5947005720259</v>
      </c>
      <c r="S1104" s="4">
        <v>14.7987238320749</v>
      </c>
      <c r="T1104" s="4">
        <f t="shared" si="70"/>
        <v>14.752717175513233</v>
      </c>
      <c r="W1104" s="4" t="str">
        <f>"Y39A3CL.4"</f>
        <v>Y39A3CL.4</v>
      </c>
      <c r="X1104" s="4">
        <v>14.9489030287096</v>
      </c>
      <c r="Y1104" s="4">
        <v>14.8273942031866</v>
      </c>
      <c r="Z1104" s="4">
        <v>14.787306551226401</v>
      </c>
      <c r="AA1104" s="4">
        <f t="shared" si="71"/>
        <v>14.854534594374201</v>
      </c>
    </row>
    <row r="1105" spans="2:27" x14ac:dyDescent="0.2">
      <c r="B1105" s="4" t="s">
        <v>1724</v>
      </c>
      <c r="C1105" s="4">
        <v>15.1677</v>
      </c>
      <c r="D1105" s="4">
        <v>14.917999999999999</v>
      </c>
      <c r="E1105" s="4">
        <v>15.248200000000001</v>
      </c>
      <c r="F1105" s="4">
        <f t="shared" si="68"/>
        <v>15.1113</v>
      </c>
      <c r="I1105" s="4" t="s">
        <v>3138</v>
      </c>
      <c r="J1105" s="4">
        <v>15.056100000000001</v>
      </c>
      <c r="K1105" s="4">
        <v>14.3926</v>
      </c>
      <c r="L1105" s="4">
        <v>15.930300000000001</v>
      </c>
      <c r="M1105" s="4">
        <f t="shared" si="69"/>
        <v>15.126333333333335</v>
      </c>
      <c r="P1105" s="4" t="str">
        <f>"pad-1"</f>
        <v>pad-1</v>
      </c>
      <c r="Q1105" s="4">
        <v>14.6867505903981</v>
      </c>
      <c r="R1105" s="4">
        <v>14.923308250863199</v>
      </c>
      <c r="S1105" s="4">
        <v>14.647398258478299</v>
      </c>
      <c r="T1105" s="4">
        <f t="shared" si="70"/>
        <v>14.752485699913199</v>
      </c>
      <c r="W1105" s="4" t="str">
        <f>"cpz-1"</f>
        <v>cpz-1</v>
      </c>
      <c r="X1105" s="4">
        <v>14.555612028891201</v>
      </c>
      <c r="Y1105" s="4">
        <v>15.0626723305433</v>
      </c>
      <c r="Z1105" s="4">
        <v>14.9361689297598</v>
      </c>
      <c r="AA1105" s="4">
        <f t="shared" si="71"/>
        <v>14.851484429731434</v>
      </c>
    </row>
    <row r="1106" spans="2:27" x14ac:dyDescent="0.2">
      <c r="B1106" s="4" t="s">
        <v>2836</v>
      </c>
      <c r="C1106" s="4">
        <v>15.1683</v>
      </c>
      <c r="D1106" s="4">
        <v>15.2316</v>
      </c>
      <c r="E1106" s="4">
        <v>14.930999999999999</v>
      </c>
      <c r="F1106" s="4">
        <f t="shared" si="68"/>
        <v>15.110300000000001</v>
      </c>
      <c r="I1106" s="4" t="s">
        <v>1152</v>
      </c>
      <c r="J1106" s="4">
        <v>15.001799999999999</v>
      </c>
      <c r="K1106" s="4">
        <v>15.238200000000001</v>
      </c>
      <c r="L1106" s="4">
        <v>15.1371</v>
      </c>
      <c r="M1106" s="4">
        <f t="shared" si="69"/>
        <v>15.1257</v>
      </c>
      <c r="P1106" s="4" t="str">
        <f>"inpp-4B"</f>
        <v>inpp-4B</v>
      </c>
      <c r="Q1106" s="4">
        <v>14.878765036945</v>
      </c>
      <c r="R1106" s="4">
        <v>14.753481776436701</v>
      </c>
      <c r="S1106" s="4">
        <v>14.6231188642289</v>
      </c>
      <c r="T1106" s="4">
        <f t="shared" si="70"/>
        <v>14.751788559203533</v>
      </c>
      <c r="W1106" s="4" t="str">
        <f>"cept-1"</f>
        <v>cept-1</v>
      </c>
      <c r="X1106" s="4">
        <v>15.0614924596027</v>
      </c>
      <c r="Y1106" s="4">
        <v>14.9199103093632</v>
      </c>
      <c r="Z1106" s="4">
        <v>14.5718551754095</v>
      </c>
      <c r="AA1106" s="4">
        <f t="shared" si="71"/>
        <v>14.851085981458468</v>
      </c>
    </row>
    <row r="1107" spans="2:27" x14ac:dyDescent="0.2">
      <c r="B1107" s="4" t="s">
        <v>1718</v>
      </c>
      <c r="C1107" s="4">
        <v>15.3512</v>
      </c>
      <c r="D1107" s="4">
        <v>14.825900000000001</v>
      </c>
      <c r="E1107" s="4">
        <v>15.1533</v>
      </c>
      <c r="F1107" s="4">
        <f t="shared" si="68"/>
        <v>15.110133333333335</v>
      </c>
      <c r="I1107" s="4" t="s">
        <v>551</v>
      </c>
      <c r="J1107" s="4">
        <v>14.9291</v>
      </c>
      <c r="K1107" s="4">
        <v>15.298999999999999</v>
      </c>
      <c r="L1107" s="4">
        <v>15.1455</v>
      </c>
      <c r="M1107" s="4">
        <f t="shared" si="69"/>
        <v>15.124533333333332</v>
      </c>
      <c r="P1107" s="4" t="str">
        <f>"F56A11.5"</f>
        <v>F56A11.5</v>
      </c>
      <c r="Q1107" s="4">
        <v>14.7993639908502</v>
      </c>
      <c r="R1107" s="4">
        <v>14.637141786069799</v>
      </c>
      <c r="S1107" s="4">
        <v>14.808175882062701</v>
      </c>
      <c r="T1107" s="4">
        <f t="shared" si="70"/>
        <v>14.748227219660899</v>
      </c>
      <c r="W1107" s="4" t="str">
        <f>"got-2.2"</f>
        <v>got-2.2</v>
      </c>
      <c r="X1107" s="4">
        <v>14.3627942817159</v>
      </c>
      <c r="Y1107" s="4">
        <v>14.4645316548763</v>
      </c>
      <c r="Z1107" s="4">
        <v>15.7257126243643</v>
      </c>
      <c r="AA1107" s="4">
        <f t="shared" si="71"/>
        <v>14.851012853652167</v>
      </c>
    </row>
    <row r="1108" spans="2:27" x14ac:dyDescent="0.2">
      <c r="B1108" s="4" t="s">
        <v>106</v>
      </c>
      <c r="C1108" s="4">
        <v>15.2841</v>
      </c>
      <c r="D1108" s="4">
        <v>14.994199999999999</v>
      </c>
      <c r="E1108" s="4">
        <v>15.046799999999999</v>
      </c>
      <c r="F1108" s="4">
        <f t="shared" si="68"/>
        <v>15.108366666666667</v>
      </c>
      <c r="I1108" s="4" t="s">
        <v>2926</v>
      </c>
      <c r="J1108" s="4">
        <v>14.9716</v>
      </c>
      <c r="K1108" s="4">
        <v>14.928599999999999</v>
      </c>
      <c r="L1108" s="4">
        <v>15.471</v>
      </c>
      <c r="M1108" s="4">
        <f t="shared" si="69"/>
        <v>15.123733333333334</v>
      </c>
      <c r="P1108" s="4" t="str">
        <f>"trap-1"</f>
        <v>trap-1</v>
      </c>
      <c r="Q1108" s="4">
        <v>14.537492007551201</v>
      </c>
      <c r="R1108" s="4">
        <v>14.6622443338727</v>
      </c>
      <c r="S1108" s="4">
        <v>15.0390669436477</v>
      </c>
      <c r="T1108" s="4">
        <f t="shared" si="70"/>
        <v>14.746267761690532</v>
      </c>
      <c r="W1108" s="4" t="str">
        <f>"mrpl-16"</f>
        <v>mrpl-16</v>
      </c>
      <c r="X1108" s="4">
        <v>14.6830087294754</v>
      </c>
      <c r="Y1108" s="4">
        <v>14.9062058184302</v>
      </c>
      <c r="Z1108" s="4">
        <v>14.9608543031966</v>
      </c>
      <c r="AA1108" s="4">
        <f t="shared" si="71"/>
        <v>14.850022950367398</v>
      </c>
    </row>
    <row r="1109" spans="2:27" x14ac:dyDescent="0.2">
      <c r="B1109" s="4" t="s">
        <v>4341</v>
      </c>
      <c r="C1109" s="4">
        <v>15.245900000000001</v>
      </c>
      <c r="D1109" s="4">
        <v>15.056100000000001</v>
      </c>
      <c r="E1109" s="4">
        <v>15.0092</v>
      </c>
      <c r="F1109" s="4">
        <f t="shared" si="68"/>
        <v>15.103733333333333</v>
      </c>
      <c r="I1109" s="4" t="s">
        <v>2597</v>
      </c>
      <c r="J1109" s="4">
        <v>15.1035</v>
      </c>
      <c r="K1109" s="4">
        <v>15.2784</v>
      </c>
      <c r="L1109" s="4">
        <v>14.9832</v>
      </c>
      <c r="M1109" s="4">
        <f t="shared" si="69"/>
        <v>15.121699999999999</v>
      </c>
      <c r="P1109" s="4" t="str">
        <f>"ark-1"</f>
        <v>ark-1</v>
      </c>
      <c r="Q1109" s="4">
        <v>14.7514213429967</v>
      </c>
      <c r="R1109" s="4">
        <v>14.837801881526699</v>
      </c>
      <c r="S1109" s="4">
        <v>14.646779600605401</v>
      </c>
      <c r="T1109" s="4">
        <f t="shared" si="70"/>
        <v>14.745334275042934</v>
      </c>
      <c r="W1109" s="4" t="str">
        <f>"ccdc-47"</f>
        <v>ccdc-47</v>
      </c>
      <c r="X1109" s="4">
        <v>15.1843688570904</v>
      </c>
      <c r="Y1109" s="4">
        <v>14.8996321927255</v>
      </c>
      <c r="Z1109" s="4">
        <v>14.4651382199926</v>
      </c>
      <c r="AA1109" s="4">
        <f t="shared" si="71"/>
        <v>14.849713089936166</v>
      </c>
    </row>
    <row r="1110" spans="2:27" x14ac:dyDescent="0.2">
      <c r="B1110" s="4" t="s">
        <v>608</v>
      </c>
      <c r="C1110" s="4">
        <v>15.0807</v>
      </c>
      <c r="D1110" s="4">
        <v>15.309200000000001</v>
      </c>
      <c r="E1110" s="4">
        <v>14.920299999999999</v>
      </c>
      <c r="F1110" s="4">
        <f t="shared" si="68"/>
        <v>15.103400000000001</v>
      </c>
      <c r="I1110" s="4" t="s">
        <v>1435</v>
      </c>
      <c r="J1110" s="4">
        <v>15.434900000000001</v>
      </c>
      <c r="K1110" s="4">
        <v>14.717499999999999</v>
      </c>
      <c r="L1110" s="4">
        <v>15.2105</v>
      </c>
      <c r="M1110" s="4">
        <f t="shared" si="69"/>
        <v>15.120966666666666</v>
      </c>
      <c r="P1110" s="4" t="str">
        <f>"F21C10.10"</f>
        <v>F21C10.10</v>
      </c>
      <c r="Q1110" s="4">
        <v>15.0737197048659</v>
      </c>
      <c r="R1110" s="4">
        <v>14.537503904227</v>
      </c>
      <c r="S1110" s="4">
        <v>14.623971399837799</v>
      </c>
      <c r="T1110" s="4">
        <f t="shared" si="70"/>
        <v>14.745065002976901</v>
      </c>
      <c r="W1110" s="4" t="str">
        <f>"T04A8.7"</f>
        <v>T04A8.7</v>
      </c>
      <c r="X1110" s="4">
        <v>14.700449692551301</v>
      </c>
      <c r="Y1110" s="4">
        <v>14.782665247395601</v>
      </c>
      <c r="Z1110" s="4">
        <v>15.061949389353099</v>
      </c>
      <c r="AA1110" s="4">
        <f t="shared" si="71"/>
        <v>14.848354776433334</v>
      </c>
    </row>
    <row r="1111" spans="2:27" x14ac:dyDescent="0.2">
      <c r="B1111" s="4" t="s">
        <v>3615</v>
      </c>
      <c r="C1111" s="4">
        <v>14.7685</v>
      </c>
      <c r="D1111" s="4">
        <v>14.8917</v>
      </c>
      <c r="E1111" s="4">
        <v>15.648199999999999</v>
      </c>
      <c r="F1111" s="4">
        <f t="shared" si="68"/>
        <v>15.1028</v>
      </c>
      <c r="I1111" s="4" t="s">
        <v>37</v>
      </c>
      <c r="J1111" s="4">
        <v>14.9816</v>
      </c>
      <c r="K1111" s="4">
        <v>14.863200000000001</v>
      </c>
      <c r="L1111" s="4">
        <v>15.516</v>
      </c>
      <c r="M1111" s="4">
        <f t="shared" si="69"/>
        <v>15.120266666666666</v>
      </c>
      <c r="P1111" s="4" t="str">
        <f>"ulp-2"</f>
        <v>ulp-2</v>
      </c>
      <c r="Q1111" s="4">
        <v>14.935658521206101</v>
      </c>
      <c r="R1111" s="4">
        <v>14.604402267961801</v>
      </c>
      <c r="S1111" s="4">
        <v>14.6948335124507</v>
      </c>
      <c r="T1111" s="4">
        <f t="shared" si="70"/>
        <v>14.7449647672062</v>
      </c>
      <c r="W1111" s="4" t="str">
        <f>"F16B12.1"</f>
        <v>F16B12.1</v>
      </c>
      <c r="X1111" s="4">
        <v>14.6454783217808</v>
      </c>
      <c r="Y1111" s="4">
        <v>14.713832200894</v>
      </c>
      <c r="Z1111" s="4">
        <v>15.1731892445864</v>
      </c>
      <c r="AA1111" s="4">
        <f t="shared" si="71"/>
        <v>14.844166589087067</v>
      </c>
    </row>
    <row r="1112" spans="2:27" x14ac:dyDescent="0.2">
      <c r="B1112" s="4" t="s">
        <v>2937</v>
      </c>
      <c r="C1112" s="4">
        <v>15.0871</v>
      </c>
      <c r="D1112" s="4">
        <v>14.7227</v>
      </c>
      <c r="E1112" s="4">
        <v>15.488799999999999</v>
      </c>
      <c r="F1112" s="4">
        <f t="shared" si="68"/>
        <v>15.099533333333333</v>
      </c>
      <c r="I1112" s="4" t="s">
        <v>1556</v>
      </c>
      <c r="J1112" s="4">
        <v>15.315200000000001</v>
      </c>
      <c r="K1112" s="4">
        <v>14.510899999999999</v>
      </c>
      <c r="L1112" s="4">
        <v>15.5311</v>
      </c>
      <c r="M1112" s="4">
        <f t="shared" si="69"/>
        <v>15.119066666666667</v>
      </c>
      <c r="P1112" s="4" t="str">
        <f>"twf-2"</f>
        <v>twf-2</v>
      </c>
      <c r="Q1112" s="4">
        <v>14.864805000284401</v>
      </c>
      <c r="R1112" s="4">
        <v>14.5806949749004</v>
      </c>
      <c r="S1112" s="4">
        <v>14.7870871025168</v>
      </c>
      <c r="T1112" s="4">
        <f t="shared" si="70"/>
        <v>14.744195692567201</v>
      </c>
      <c r="W1112" s="4" t="str">
        <f>"F58H1.8"</f>
        <v>F58H1.8</v>
      </c>
      <c r="X1112" s="4">
        <v>14.7526746816015</v>
      </c>
      <c r="Y1112" s="4">
        <v>14.803464723984799</v>
      </c>
      <c r="Z1112" s="4">
        <v>14.971799887374599</v>
      </c>
      <c r="AA1112" s="4">
        <f t="shared" si="71"/>
        <v>14.842646430986967</v>
      </c>
    </row>
    <row r="1113" spans="2:27" x14ac:dyDescent="0.2">
      <c r="B1113" s="4" t="s">
        <v>941</v>
      </c>
      <c r="C1113" s="4">
        <v>15.2408</v>
      </c>
      <c r="D1113" s="4">
        <v>14.9672</v>
      </c>
      <c r="E1113" s="4">
        <v>15.089399999999999</v>
      </c>
      <c r="F1113" s="4">
        <f t="shared" si="68"/>
        <v>15.099133333333333</v>
      </c>
      <c r="I1113" s="4" t="s">
        <v>3616</v>
      </c>
      <c r="J1113" s="4">
        <v>15.3421</v>
      </c>
      <c r="K1113" s="4">
        <v>14.764699999999999</v>
      </c>
      <c r="L1113" s="4">
        <v>15.250299999999999</v>
      </c>
      <c r="M1113" s="4">
        <f t="shared" si="69"/>
        <v>15.119033333333334</v>
      </c>
      <c r="P1113" s="4" t="str">
        <f>"lpin-1"</f>
        <v>lpin-1</v>
      </c>
      <c r="Q1113" s="4">
        <v>14.7257872221423</v>
      </c>
      <c r="R1113" s="4">
        <v>14.661155253341599</v>
      </c>
      <c r="S1113" s="4">
        <v>14.842144211300001</v>
      </c>
      <c r="T1113" s="4">
        <f t="shared" si="70"/>
        <v>14.743028895594634</v>
      </c>
      <c r="W1113" s="4" t="str">
        <f>"F46F11.1"</f>
        <v>F46F11.1</v>
      </c>
      <c r="X1113" s="4">
        <v>14.763153308588199</v>
      </c>
      <c r="Y1113" s="4">
        <v>14.9102691562271</v>
      </c>
      <c r="Z1113" s="4">
        <v>14.846011010218801</v>
      </c>
      <c r="AA1113" s="4">
        <f t="shared" si="71"/>
        <v>14.8398111583447</v>
      </c>
    </row>
    <row r="1114" spans="2:27" x14ac:dyDescent="0.2">
      <c r="B1114" s="4" t="s">
        <v>606</v>
      </c>
      <c r="C1114" s="4">
        <v>15.1639</v>
      </c>
      <c r="D1114" s="4">
        <v>15.0322</v>
      </c>
      <c r="E1114" s="4">
        <v>15.092499999999999</v>
      </c>
      <c r="F1114" s="4">
        <f t="shared" si="68"/>
        <v>15.096200000000001</v>
      </c>
      <c r="I1114" s="4" t="s">
        <v>4657</v>
      </c>
      <c r="J1114" s="4">
        <v>14.9856</v>
      </c>
      <c r="K1114" s="4">
        <v>15.212899999999999</v>
      </c>
      <c r="L1114" s="4">
        <v>15.1549</v>
      </c>
      <c r="M1114" s="4">
        <f t="shared" si="69"/>
        <v>15.117800000000001</v>
      </c>
      <c r="P1114" s="4" t="str">
        <f>"eif-1"</f>
        <v>eif-1</v>
      </c>
      <c r="Q1114" s="4">
        <v>14.366771820049101</v>
      </c>
      <c r="R1114" s="4">
        <v>14.6059193444828</v>
      </c>
      <c r="S1114" s="4">
        <v>15.249369003655801</v>
      </c>
      <c r="T1114" s="4">
        <f t="shared" si="70"/>
        <v>14.740686722729235</v>
      </c>
      <c r="W1114" s="4" t="str">
        <f>"C16C10.3"</f>
        <v>C16C10.3</v>
      </c>
      <c r="X1114" s="4">
        <v>14.888448130117499</v>
      </c>
      <c r="Y1114" s="4">
        <v>14.873510815803</v>
      </c>
      <c r="Z1114" s="4">
        <v>14.757379224763</v>
      </c>
      <c r="AA1114" s="4">
        <f t="shared" si="71"/>
        <v>14.839779390227832</v>
      </c>
    </row>
    <row r="1115" spans="2:27" x14ac:dyDescent="0.2">
      <c r="B1115" s="4" t="s">
        <v>4658</v>
      </c>
      <c r="C1115" s="4">
        <v>15.199199999999999</v>
      </c>
      <c r="D1115" s="4">
        <v>15.133900000000001</v>
      </c>
      <c r="E1115" s="4">
        <v>14.952999999999999</v>
      </c>
      <c r="F1115" s="4">
        <f t="shared" si="68"/>
        <v>15.095366666666669</v>
      </c>
      <c r="I1115" s="4" t="s">
        <v>198</v>
      </c>
      <c r="J1115" s="4">
        <v>14.932</v>
      </c>
      <c r="K1115" s="4">
        <v>14.997999999999999</v>
      </c>
      <c r="L1115" s="4">
        <v>15.4114</v>
      </c>
      <c r="M1115" s="4">
        <f t="shared" si="69"/>
        <v>15.113799999999999</v>
      </c>
      <c r="P1115" s="4" t="str">
        <f>"ykt-6"</f>
        <v>ykt-6</v>
      </c>
      <c r="Q1115" s="4">
        <v>14.878835380761799</v>
      </c>
      <c r="R1115" s="4">
        <v>14.638930778017</v>
      </c>
      <c r="S1115" s="4">
        <v>14.701181635021101</v>
      </c>
      <c r="T1115" s="4">
        <f t="shared" si="70"/>
        <v>14.739649264599967</v>
      </c>
      <c r="W1115" s="4" t="str">
        <f>"spl-1"</f>
        <v>spl-1</v>
      </c>
      <c r="X1115" s="4">
        <v>15.019066329298999</v>
      </c>
      <c r="Y1115" s="4">
        <v>14.7080142616415</v>
      </c>
      <c r="Z1115" s="4">
        <v>14.791474718213101</v>
      </c>
      <c r="AA1115" s="4">
        <f t="shared" si="71"/>
        <v>14.839518436384532</v>
      </c>
    </row>
    <row r="1116" spans="2:27" x14ac:dyDescent="0.2">
      <c r="B1116" s="4" t="s">
        <v>3034</v>
      </c>
      <c r="C1116" s="4">
        <v>15.1737</v>
      </c>
      <c r="D1116" s="4">
        <v>15.049300000000001</v>
      </c>
      <c r="E1116" s="4">
        <v>15.0596</v>
      </c>
      <c r="F1116" s="4">
        <f t="shared" si="68"/>
        <v>15.094200000000001</v>
      </c>
      <c r="I1116" s="4" t="s">
        <v>2450</v>
      </c>
      <c r="J1116" s="4">
        <v>14.801399999999999</v>
      </c>
      <c r="K1116" s="4">
        <v>15.2867</v>
      </c>
      <c r="L1116" s="4">
        <v>15.2401</v>
      </c>
      <c r="M1116" s="4">
        <f t="shared" si="69"/>
        <v>15.109399999999999</v>
      </c>
      <c r="P1116" s="4" t="str">
        <f>"patr-1"</f>
        <v>patr-1</v>
      </c>
      <c r="Q1116" s="4">
        <v>14.908187033761299</v>
      </c>
      <c r="R1116" s="4">
        <v>14.693644189602299</v>
      </c>
      <c r="S1116" s="4">
        <v>14.609874782456201</v>
      </c>
      <c r="T1116" s="4">
        <f t="shared" si="70"/>
        <v>14.737235335273267</v>
      </c>
      <c r="W1116" s="4" t="str">
        <f>"F25B5.6"</f>
        <v>F25B5.6</v>
      </c>
      <c r="X1116" s="4">
        <v>14.8123073853445</v>
      </c>
      <c r="Y1116" s="4">
        <v>14.883914629156701</v>
      </c>
      <c r="Z1116" s="4">
        <v>14.818716949003701</v>
      </c>
      <c r="AA1116" s="4">
        <f t="shared" si="71"/>
        <v>14.838312987834968</v>
      </c>
    </row>
    <row r="1117" spans="2:27" x14ac:dyDescent="0.2">
      <c r="B1117" s="4" t="s">
        <v>3106</v>
      </c>
      <c r="C1117" s="4">
        <v>15.301500000000001</v>
      </c>
      <c r="D1117" s="4">
        <v>15.1556</v>
      </c>
      <c r="E1117" s="4">
        <v>14.821300000000001</v>
      </c>
      <c r="F1117" s="4">
        <f t="shared" si="68"/>
        <v>15.092800000000002</v>
      </c>
      <c r="I1117" s="4" t="s">
        <v>1302</v>
      </c>
      <c r="J1117" s="4">
        <v>14.999700000000001</v>
      </c>
      <c r="K1117" s="4">
        <v>15.2988</v>
      </c>
      <c r="L1117" s="4">
        <v>15.026999999999999</v>
      </c>
      <c r="M1117" s="4">
        <f t="shared" si="69"/>
        <v>15.108499999999999</v>
      </c>
      <c r="P1117" s="4" t="str">
        <f>"rab-14"</f>
        <v>rab-14</v>
      </c>
      <c r="Q1117" s="4">
        <v>14.804648211983899</v>
      </c>
      <c r="R1117" s="4">
        <v>14.629039817857301</v>
      </c>
      <c r="S1117" s="4">
        <v>14.7769559735257</v>
      </c>
      <c r="T1117" s="4">
        <f t="shared" si="70"/>
        <v>14.736881334455633</v>
      </c>
      <c r="W1117" s="4" t="str">
        <f>"Y39A1A.14"</f>
        <v>Y39A1A.14</v>
      </c>
      <c r="X1117" s="4">
        <v>14.7004835625567</v>
      </c>
      <c r="Y1117" s="4">
        <v>15.032649609349701</v>
      </c>
      <c r="Z1117" s="4">
        <v>14.7808146022324</v>
      </c>
      <c r="AA1117" s="4">
        <f t="shared" si="71"/>
        <v>14.8379825913796</v>
      </c>
    </row>
    <row r="1118" spans="2:27" x14ac:dyDescent="0.2">
      <c r="B1118" s="4" t="s">
        <v>3358</v>
      </c>
      <c r="C1118" s="4">
        <v>15.0101</v>
      </c>
      <c r="D1118" s="4">
        <v>15.2759</v>
      </c>
      <c r="E1118" s="4">
        <v>14.9861</v>
      </c>
      <c r="F1118" s="4">
        <f t="shared" si="68"/>
        <v>15.0907</v>
      </c>
      <c r="I1118" s="4" t="s">
        <v>2064</v>
      </c>
      <c r="J1118" s="4">
        <v>15.192299999999999</v>
      </c>
      <c r="K1118" s="4">
        <v>15.0603</v>
      </c>
      <c r="L1118" s="4">
        <v>15.0726</v>
      </c>
      <c r="M1118" s="4">
        <f t="shared" si="69"/>
        <v>15.108400000000001</v>
      </c>
      <c r="P1118" s="4" t="str">
        <f>"ZK829.7"</f>
        <v>ZK829.7</v>
      </c>
      <c r="Q1118" s="4">
        <v>14.5029454954923</v>
      </c>
      <c r="R1118" s="4">
        <v>14.8212523796506</v>
      </c>
      <c r="S1118" s="4">
        <v>14.8861242316424</v>
      </c>
      <c r="T1118" s="4">
        <f t="shared" si="70"/>
        <v>14.736774035595099</v>
      </c>
      <c r="W1118" s="4" t="str">
        <f>"C18B2.5"</f>
        <v>C18B2.5</v>
      </c>
      <c r="X1118" s="4">
        <v>14.9183762011575</v>
      </c>
      <c r="Y1118" s="4">
        <v>14.7948141463181</v>
      </c>
      <c r="Z1118" s="4">
        <v>14.7956066797263</v>
      </c>
      <c r="AA1118" s="4">
        <f t="shared" si="71"/>
        <v>14.836265675733967</v>
      </c>
    </row>
    <row r="1119" spans="2:27" x14ac:dyDescent="0.2">
      <c r="B1119" s="4" t="s">
        <v>4184</v>
      </c>
      <c r="C1119" s="4">
        <v>15.3186</v>
      </c>
      <c r="D1119" s="4">
        <v>15.010999999999999</v>
      </c>
      <c r="E1119" s="4">
        <v>14.938800000000001</v>
      </c>
      <c r="F1119" s="4">
        <f t="shared" si="68"/>
        <v>15.089466666666667</v>
      </c>
      <c r="I1119" s="4" t="s">
        <v>2469</v>
      </c>
      <c r="J1119" s="4">
        <v>15.214499999999999</v>
      </c>
      <c r="K1119" s="4">
        <v>14.5182</v>
      </c>
      <c r="L1119" s="4">
        <v>15.5877</v>
      </c>
      <c r="M1119" s="4">
        <f t="shared" si="69"/>
        <v>15.1068</v>
      </c>
      <c r="P1119" s="4" t="str">
        <f>"C29F7.3"</f>
        <v>C29F7.3</v>
      </c>
      <c r="Q1119" s="4">
        <v>14.855249801430899</v>
      </c>
      <c r="R1119" s="4">
        <v>14.609849783836401</v>
      </c>
      <c r="S1119" s="4">
        <v>14.7402732647726</v>
      </c>
      <c r="T1119" s="4">
        <f t="shared" si="70"/>
        <v>14.735124283346634</v>
      </c>
      <c r="W1119" s="4" t="str">
        <f>"gop-3"</f>
        <v>gop-3</v>
      </c>
      <c r="X1119" s="4">
        <v>14.9119652514709</v>
      </c>
      <c r="Y1119" s="4">
        <v>14.8014136616189</v>
      </c>
      <c r="Z1119" s="4">
        <v>14.7906581105822</v>
      </c>
      <c r="AA1119" s="4">
        <f t="shared" si="71"/>
        <v>14.834679007890665</v>
      </c>
    </row>
    <row r="1120" spans="2:27" x14ac:dyDescent="0.2">
      <c r="B1120" s="4" t="s">
        <v>2335</v>
      </c>
      <c r="C1120" s="4">
        <v>14.961499999999999</v>
      </c>
      <c r="D1120" s="4">
        <v>15.2536</v>
      </c>
      <c r="E1120" s="4">
        <v>15.037800000000001</v>
      </c>
      <c r="F1120" s="4">
        <f t="shared" si="68"/>
        <v>15.084299999999999</v>
      </c>
      <c r="I1120" s="4" t="s">
        <v>2479</v>
      </c>
      <c r="J1120" s="4">
        <v>15.097</v>
      </c>
      <c r="K1120" s="4">
        <v>15.2247</v>
      </c>
      <c r="L1120" s="4">
        <v>14.9968</v>
      </c>
      <c r="M1120" s="4">
        <f t="shared" si="69"/>
        <v>15.106166666666667</v>
      </c>
      <c r="P1120" s="4" t="str">
        <f>"4D656"</f>
        <v>4D656</v>
      </c>
      <c r="Q1120" s="4">
        <v>14.5288739927576</v>
      </c>
      <c r="R1120" s="4">
        <v>14.608701047733501</v>
      </c>
      <c r="S1120" s="4">
        <v>15.065843649546</v>
      </c>
      <c r="T1120" s="4">
        <f t="shared" si="70"/>
        <v>14.734472896679032</v>
      </c>
      <c r="W1120" s="4" t="str">
        <f>"ned-8"</f>
        <v>ned-8</v>
      </c>
      <c r="X1120" s="4">
        <v>14.950950806604601</v>
      </c>
      <c r="Y1120" s="4">
        <v>14.6408265601846</v>
      </c>
      <c r="Z1120" s="4">
        <v>14.899059967480699</v>
      </c>
      <c r="AA1120" s="4">
        <f t="shared" si="71"/>
        <v>14.8302791114233</v>
      </c>
    </row>
    <row r="1121" spans="2:27" x14ac:dyDescent="0.2">
      <c r="B1121" s="4" t="s">
        <v>4659</v>
      </c>
      <c r="C1121" s="4">
        <v>15.2506</v>
      </c>
      <c r="D1121" s="4">
        <v>15.016999999999999</v>
      </c>
      <c r="E1121" s="4">
        <v>14.9795</v>
      </c>
      <c r="F1121" s="4">
        <f t="shared" si="68"/>
        <v>15.082366666666667</v>
      </c>
      <c r="I1121" s="4" t="s">
        <v>2252</v>
      </c>
      <c r="J1121" s="4">
        <v>15.0779</v>
      </c>
      <c r="K1121" s="4">
        <v>15.0451</v>
      </c>
      <c r="L1121" s="4">
        <v>15.1945</v>
      </c>
      <c r="M1121" s="4">
        <f t="shared" si="69"/>
        <v>15.105833333333331</v>
      </c>
      <c r="P1121" s="4" t="str">
        <f>"djr-1.2"</f>
        <v>djr-1.2</v>
      </c>
      <c r="Q1121" s="4">
        <v>14.6797078796378</v>
      </c>
      <c r="R1121" s="4">
        <v>14.8535646120159</v>
      </c>
      <c r="S1121" s="4">
        <v>14.665518816066699</v>
      </c>
      <c r="T1121" s="4">
        <f t="shared" si="70"/>
        <v>14.7329304359068</v>
      </c>
      <c r="W1121" s="4" t="str">
        <f>"ugt-22"</f>
        <v>ugt-22</v>
      </c>
      <c r="X1121" s="4">
        <v>15.161165335627899</v>
      </c>
      <c r="Y1121" s="4">
        <v>14.7312424646822</v>
      </c>
      <c r="Z1121" s="4">
        <v>14.5965628572217</v>
      </c>
      <c r="AA1121" s="4">
        <f t="shared" si="71"/>
        <v>14.829656885843933</v>
      </c>
    </row>
    <row r="1122" spans="2:27" x14ac:dyDescent="0.2">
      <c r="B1122" s="4" t="s">
        <v>1500</v>
      </c>
      <c r="C1122" s="4">
        <v>15.0641</v>
      </c>
      <c r="D1122" s="4">
        <v>15.226599999999999</v>
      </c>
      <c r="E1122" s="4">
        <v>14.9504</v>
      </c>
      <c r="F1122" s="4">
        <f t="shared" si="68"/>
        <v>15.080366666666668</v>
      </c>
      <c r="I1122" s="4" t="s">
        <v>858</v>
      </c>
      <c r="J1122" s="4">
        <v>15.3363</v>
      </c>
      <c r="K1122" s="4">
        <v>15.1309</v>
      </c>
      <c r="L1122" s="4">
        <v>14.846500000000001</v>
      </c>
      <c r="M1122" s="4">
        <f t="shared" si="69"/>
        <v>15.104566666666665</v>
      </c>
      <c r="P1122" s="4" t="str">
        <f>"mcat-1"</f>
        <v>mcat-1</v>
      </c>
      <c r="Q1122" s="4">
        <v>14.8659180441883</v>
      </c>
      <c r="R1122" s="4">
        <v>14.5887507145497</v>
      </c>
      <c r="S1122" s="4">
        <v>14.743637855081399</v>
      </c>
      <c r="T1122" s="4">
        <f t="shared" si="70"/>
        <v>14.732768871273132</v>
      </c>
      <c r="W1122" s="4" t="str">
        <f>"fbxa-135"</f>
        <v>fbxa-135</v>
      </c>
      <c r="X1122" s="4">
        <v>14.781998420310799</v>
      </c>
      <c r="Y1122" s="4">
        <v>15.0427149165705</v>
      </c>
      <c r="Z1122" s="4">
        <v>14.6546658880259</v>
      </c>
      <c r="AA1122" s="4">
        <f t="shared" si="71"/>
        <v>14.826459741635732</v>
      </c>
    </row>
    <row r="1123" spans="2:27" x14ac:dyDescent="0.2">
      <c r="B1123" s="4" t="s">
        <v>728</v>
      </c>
      <c r="C1123" s="4">
        <v>15.1092</v>
      </c>
      <c r="D1123" s="4">
        <v>15.311999999999999</v>
      </c>
      <c r="E1123" s="4">
        <v>14.816700000000001</v>
      </c>
      <c r="F1123" s="4">
        <f t="shared" si="68"/>
        <v>15.079299999999998</v>
      </c>
      <c r="I1123" s="4" t="s">
        <v>146</v>
      </c>
      <c r="J1123" s="4">
        <v>15.315099999999999</v>
      </c>
      <c r="K1123" s="4">
        <v>15.0387</v>
      </c>
      <c r="L1123" s="4">
        <v>14.9597</v>
      </c>
      <c r="M1123" s="4">
        <f t="shared" si="69"/>
        <v>15.1045</v>
      </c>
      <c r="P1123" s="4" t="str">
        <f>"fubl-2"</f>
        <v>fubl-2</v>
      </c>
      <c r="Q1123" s="4">
        <v>14.8500830824237</v>
      </c>
      <c r="R1123" s="4">
        <v>14.5864377889792</v>
      </c>
      <c r="S1123" s="4">
        <v>14.7613697090607</v>
      </c>
      <c r="T1123" s="4">
        <f t="shared" si="70"/>
        <v>14.732630193487866</v>
      </c>
      <c r="W1123" s="4" t="str">
        <f>"emc-6"</f>
        <v>emc-6</v>
      </c>
      <c r="X1123" s="4">
        <v>14.972923790686499</v>
      </c>
      <c r="Y1123" s="4">
        <v>14.8097935314448</v>
      </c>
      <c r="Z1123" s="4">
        <v>14.6891061865393</v>
      </c>
      <c r="AA1123" s="4">
        <f t="shared" si="71"/>
        <v>14.823941169556866</v>
      </c>
    </row>
    <row r="1124" spans="2:27" x14ac:dyDescent="0.2">
      <c r="B1124" s="4" t="s">
        <v>94</v>
      </c>
      <c r="C1124" s="4">
        <v>15.0304</v>
      </c>
      <c r="D1124" s="4">
        <v>15.2399</v>
      </c>
      <c r="E1124" s="4">
        <v>14.967000000000001</v>
      </c>
      <c r="F1124" s="4">
        <f t="shared" si="68"/>
        <v>15.079099999999999</v>
      </c>
      <c r="I1124" s="4" t="s">
        <v>878</v>
      </c>
      <c r="J1124" s="4">
        <v>15.0052</v>
      </c>
      <c r="K1124" s="4">
        <v>14.9085</v>
      </c>
      <c r="L1124" s="4">
        <v>15.398999999999999</v>
      </c>
      <c r="M1124" s="4">
        <f t="shared" si="69"/>
        <v>15.104233333333333</v>
      </c>
      <c r="P1124" s="4" t="str">
        <f>"scc-2"</f>
        <v>scc-2</v>
      </c>
      <c r="Q1124" s="4">
        <v>14.752510536916301</v>
      </c>
      <c r="R1124" s="4">
        <v>14.801589612380701</v>
      </c>
      <c r="S1124" s="4">
        <v>14.643608269219801</v>
      </c>
      <c r="T1124" s="4">
        <f t="shared" si="70"/>
        <v>14.732569472838932</v>
      </c>
      <c r="W1124" s="4" t="str">
        <f>"pqn-53"</f>
        <v>pqn-53</v>
      </c>
      <c r="X1124" s="4">
        <v>14.523715272531</v>
      </c>
      <c r="Y1124" s="4">
        <v>14.789109426922799</v>
      </c>
      <c r="Z1124" s="4">
        <v>15.154012995544001</v>
      </c>
      <c r="AA1124" s="4">
        <f t="shared" si="71"/>
        <v>14.822279231665933</v>
      </c>
    </row>
    <row r="1125" spans="2:27" x14ac:dyDescent="0.2">
      <c r="B1125" s="4" t="s">
        <v>2315</v>
      </c>
      <c r="C1125" s="4">
        <v>15.183</v>
      </c>
      <c r="D1125" s="4">
        <v>15.0753</v>
      </c>
      <c r="E1125" s="4">
        <v>14.975300000000001</v>
      </c>
      <c r="F1125" s="4">
        <f t="shared" si="68"/>
        <v>15.077866666666665</v>
      </c>
      <c r="I1125" s="4" t="s">
        <v>2248</v>
      </c>
      <c r="J1125" s="4">
        <v>15.0305</v>
      </c>
      <c r="K1125" s="4">
        <v>15.129200000000001</v>
      </c>
      <c r="L1125" s="4">
        <v>15.149900000000001</v>
      </c>
      <c r="M1125" s="4">
        <f t="shared" si="69"/>
        <v>15.103200000000001</v>
      </c>
      <c r="P1125" s="4" t="str">
        <f>"cyn-7"</f>
        <v>cyn-7</v>
      </c>
      <c r="Q1125" s="4">
        <v>14.704180607920399</v>
      </c>
      <c r="R1125" s="4">
        <v>14.7427717263067</v>
      </c>
      <c r="S1125" s="4">
        <v>14.743614396468599</v>
      </c>
      <c r="T1125" s="4">
        <f t="shared" si="70"/>
        <v>14.730188910231901</v>
      </c>
      <c r="W1125" s="4" t="str">
        <f>"cdk-5"</f>
        <v>cdk-5</v>
      </c>
      <c r="X1125" s="4">
        <v>14.7760702901518</v>
      </c>
      <c r="Y1125" s="4">
        <v>14.8717277420449</v>
      </c>
      <c r="Z1125" s="4">
        <v>14.815282979145399</v>
      </c>
      <c r="AA1125" s="4">
        <f t="shared" si="71"/>
        <v>14.821027003780699</v>
      </c>
    </row>
    <row r="1126" spans="2:27" x14ac:dyDescent="0.2">
      <c r="B1126" s="4" t="s">
        <v>937</v>
      </c>
      <c r="C1126" s="4">
        <v>14.749700000000001</v>
      </c>
      <c r="D1126" s="4">
        <v>14.374499999999999</v>
      </c>
      <c r="E1126" s="4">
        <v>16.109100000000002</v>
      </c>
      <c r="F1126" s="4">
        <f t="shared" si="68"/>
        <v>15.077766666666667</v>
      </c>
      <c r="I1126" s="4" t="s">
        <v>4328</v>
      </c>
      <c r="J1126" s="4">
        <v>14.940799999999999</v>
      </c>
      <c r="K1126" s="4">
        <v>15.3561</v>
      </c>
      <c r="L1126" s="4">
        <v>15.0114</v>
      </c>
      <c r="M1126" s="4">
        <f t="shared" si="69"/>
        <v>15.102766666666668</v>
      </c>
      <c r="P1126" s="4" t="str">
        <f>"mrpl-23"</f>
        <v>mrpl-23</v>
      </c>
      <c r="Q1126" s="4">
        <v>14.948621461909701</v>
      </c>
      <c r="R1126" s="4">
        <v>14.585320225706299</v>
      </c>
      <c r="S1126" s="4">
        <v>14.6536100268063</v>
      </c>
      <c r="T1126" s="4">
        <f t="shared" si="70"/>
        <v>14.729183904807433</v>
      </c>
      <c r="W1126" s="4" t="str">
        <f>"mrps-12"</f>
        <v>mrps-12</v>
      </c>
      <c r="X1126" s="4">
        <v>14.470580170488001</v>
      </c>
      <c r="Y1126" s="4">
        <v>14.927313811476999</v>
      </c>
      <c r="Z1126" s="4">
        <v>15.0520920523147</v>
      </c>
      <c r="AA1126" s="4">
        <f t="shared" si="71"/>
        <v>14.816662011426565</v>
      </c>
    </row>
    <row r="1127" spans="2:27" x14ac:dyDescent="0.2">
      <c r="B1127" s="4" t="s">
        <v>3487</v>
      </c>
      <c r="C1127" s="4">
        <v>15.2026</v>
      </c>
      <c r="D1127" s="4">
        <v>15.187200000000001</v>
      </c>
      <c r="E1127" s="4">
        <v>14.8392</v>
      </c>
      <c r="F1127" s="4">
        <f t="shared" si="68"/>
        <v>15.076333333333332</v>
      </c>
      <c r="I1127" s="4" t="s">
        <v>1073</v>
      </c>
      <c r="J1127" s="4">
        <v>14.903700000000001</v>
      </c>
      <c r="K1127" s="4">
        <v>14.8657</v>
      </c>
      <c r="L1127" s="4">
        <v>15.5389</v>
      </c>
      <c r="M1127" s="4">
        <f t="shared" si="69"/>
        <v>15.102766666666668</v>
      </c>
      <c r="P1127" s="4" t="str">
        <f>"nsy-1"</f>
        <v>nsy-1</v>
      </c>
      <c r="Q1127" s="4">
        <v>14.799257647547099</v>
      </c>
      <c r="R1127" s="4">
        <v>14.7241703700376</v>
      </c>
      <c r="S1127" s="4">
        <v>14.660564233187401</v>
      </c>
      <c r="T1127" s="4">
        <f t="shared" si="70"/>
        <v>14.727997416924033</v>
      </c>
      <c r="W1127" s="4" t="str">
        <f>"sur-5"</f>
        <v>sur-5</v>
      </c>
      <c r="X1127" s="4">
        <v>14.643662154536999</v>
      </c>
      <c r="Y1127" s="4">
        <v>14.9422952127144</v>
      </c>
      <c r="Z1127" s="4">
        <v>14.8576465980492</v>
      </c>
      <c r="AA1127" s="4">
        <f t="shared" si="71"/>
        <v>14.814534655100198</v>
      </c>
    </row>
    <row r="1128" spans="2:27" x14ac:dyDescent="0.2">
      <c r="B1128" s="4" t="s">
        <v>4660</v>
      </c>
      <c r="C1128" s="4">
        <v>15.126899999999999</v>
      </c>
      <c r="D1128" s="4">
        <v>15.3866</v>
      </c>
      <c r="E1128" s="4">
        <v>14.703900000000001</v>
      </c>
      <c r="F1128" s="4">
        <f t="shared" si="68"/>
        <v>15.072466666666665</v>
      </c>
      <c r="I1128" s="4" t="s">
        <v>3034</v>
      </c>
      <c r="J1128" s="4">
        <v>15.159599999999999</v>
      </c>
      <c r="K1128" s="4">
        <v>15.1671</v>
      </c>
      <c r="L1128" s="4">
        <v>14.9815</v>
      </c>
      <c r="M1128" s="4">
        <f t="shared" si="69"/>
        <v>15.102733333333333</v>
      </c>
      <c r="P1128" s="4" t="str">
        <f>"W09H1.5"</f>
        <v>W09H1.5</v>
      </c>
      <c r="Q1128" s="4">
        <v>14.6967835872846</v>
      </c>
      <c r="R1128" s="4">
        <v>14.801641500018899</v>
      </c>
      <c r="S1128" s="4">
        <v>14.6693564120673</v>
      </c>
      <c r="T1128" s="4">
        <f t="shared" si="70"/>
        <v>14.722593833123598</v>
      </c>
      <c r="W1128" s="4" t="str">
        <f>"acox-1.6"</f>
        <v>acox-1.6</v>
      </c>
      <c r="X1128" s="4">
        <v>14.650902794322</v>
      </c>
      <c r="Y1128" s="4">
        <v>14.6414216356611</v>
      </c>
      <c r="Z1128" s="4">
        <v>15.139204732999101</v>
      </c>
      <c r="AA1128" s="4">
        <f t="shared" si="71"/>
        <v>14.810509720994068</v>
      </c>
    </row>
    <row r="1129" spans="2:27" x14ac:dyDescent="0.2">
      <c r="B1129" s="4" t="s">
        <v>718</v>
      </c>
      <c r="C1129" s="4">
        <v>14.8713</v>
      </c>
      <c r="D1129" s="4">
        <v>15.340199999999999</v>
      </c>
      <c r="E1129" s="4">
        <v>15.003399999999999</v>
      </c>
      <c r="F1129" s="4">
        <f t="shared" si="68"/>
        <v>15.071633333333333</v>
      </c>
      <c r="I1129" s="4" t="s">
        <v>3826</v>
      </c>
      <c r="J1129" s="4">
        <v>14.986599999999999</v>
      </c>
      <c r="K1129" s="4">
        <v>15.057</v>
      </c>
      <c r="L1129" s="4">
        <v>15.257</v>
      </c>
      <c r="M1129" s="4">
        <f t="shared" si="69"/>
        <v>15.100199999999999</v>
      </c>
      <c r="P1129" s="4" t="str">
        <f>"phyh-1"</f>
        <v>phyh-1</v>
      </c>
      <c r="Q1129" s="4">
        <v>14.8538585122628</v>
      </c>
      <c r="R1129" s="4">
        <v>14.6790513028256</v>
      </c>
      <c r="S1129" s="4">
        <v>14.634865754407301</v>
      </c>
      <c r="T1129" s="4">
        <f t="shared" si="70"/>
        <v>14.722591856498568</v>
      </c>
      <c r="W1129" s="4" t="str">
        <f>"mrpl-23"</f>
        <v>mrpl-23</v>
      </c>
      <c r="X1129" s="4">
        <v>14.6102989048113</v>
      </c>
      <c r="Y1129" s="4">
        <v>14.944030427352599</v>
      </c>
      <c r="Z1129" s="4">
        <v>14.8770851253398</v>
      </c>
      <c r="AA1129" s="4">
        <f t="shared" si="71"/>
        <v>14.810471485834567</v>
      </c>
    </row>
    <row r="1130" spans="2:27" x14ac:dyDescent="0.2">
      <c r="B1130" s="4" t="s">
        <v>1919</v>
      </c>
      <c r="C1130" s="4">
        <v>15.211600000000001</v>
      </c>
      <c r="D1130" s="4">
        <v>15.0794</v>
      </c>
      <c r="E1130" s="4">
        <v>14.922000000000001</v>
      </c>
      <c r="F1130" s="4">
        <f t="shared" si="68"/>
        <v>15.071</v>
      </c>
      <c r="I1130" s="4" t="s">
        <v>423</v>
      </c>
      <c r="J1130" s="4">
        <v>14.629</v>
      </c>
      <c r="K1130" s="4">
        <v>14.7982</v>
      </c>
      <c r="L1130" s="4">
        <v>15.873200000000001</v>
      </c>
      <c r="M1130" s="4">
        <f t="shared" si="69"/>
        <v>15.100133333333332</v>
      </c>
      <c r="P1130" s="4" t="str">
        <f>"src-1"</f>
        <v>src-1</v>
      </c>
      <c r="Q1130" s="4">
        <v>14.731381070423801</v>
      </c>
      <c r="R1130" s="4">
        <v>14.600141650009901</v>
      </c>
      <c r="S1130" s="4">
        <v>14.8280357306807</v>
      </c>
      <c r="T1130" s="4">
        <f t="shared" si="70"/>
        <v>14.719852817038136</v>
      </c>
      <c r="W1130" s="4" t="str">
        <f>"H17B01.2"</f>
        <v>H17B01.2</v>
      </c>
      <c r="X1130" s="4">
        <v>14.4274007522195</v>
      </c>
      <c r="Y1130" s="4">
        <v>15.051543791581301</v>
      </c>
      <c r="Z1130" s="4">
        <v>14.9515375329091</v>
      </c>
      <c r="AA1130" s="4">
        <f t="shared" si="71"/>
        <v>14.810160692236634</v>
      </c>
    </row>
    <row r="1131" spans="2:27" x14ac:dyDescent="0.2">
      <c r="B1131" s="4" t="s">
        <v>2799</v>
      </c>
      <c r="C1131" s="4">
        <v>14.8452</v>
      </c>
      <c r="D1131" s="4">
        <v>15.1275</v>
      </c>
      <c r="E1131" s="4">
        <v>15.2386</v>
      </c>
      <c r="F1131" s="4">
        <f t="shared" si="68"/>
        <v>15.070433333333334</v>
      </c>
      <c r="I1131" s="4" t="s">
        <v>2487</v>
      </c>
      <c r="J1131" s="4">
        <v>15.037000000000001</v>
      </c>
      <c r="K1131" s="4">
        <v>15.1569</v>
      </c>
      <c r="L1131" s="4">
        <v>15.1037</v>
      </c>
      <c r="M1131" s="4">
        <f t="shared" si="69"/>
        <v>15.099200000000002</v>
      </c>
      <c r="P1131" s="4" t="str">
        <f>"sec-11"</f>
        <v>sec-11</v>
      </c>
      <c r="Q1131" s="4">
        <v>14.8131782886013</v>
      </c>
      <c r="R1131" s="4">
        <v>14.691120516840201</v>
      </c>
      <c r="S1131" s="4">
        <v>14.6524369820409</v>
      </c>
      <c r="T1131" s="4">
        <f t="shared" si="70"/>
        <v>14.718911929160802</v>
      </c>
      <c r="W1131" s="4" t="str">
        <f>"cox-18"</f>
        <v>cox-18</v>
      </c>
      <c r="X1131" s="4">
        <v>14.7460752815839</v>
      </c>
      <c r="Y1131" s="4">
        <v>14.986075405973599</v>
      </c>
      <c r="Z1131" s="4">
        <v>14.698308455414301</v>
      </c>
      <c r="AA1131" s="4">
        <f t="shared" si="71"/>
        <v>14.810153047657266</v>
      </c>
    </row>
    <row r="1132" spans="2:27" x14ac:dyDescent="0.2">
      <c r="B1132" s="4" t="s">
        <v>2672</v>
      </c>
      <c r="C1132" s="4">
        <v>15.247400000000001</v>
      </c>
      <c r="D1132" s="4">
        <v>15.060600000000001</v>
      </c>
      <c r="E1132" s="4">
        <v>14.902200000000001</v>
      </c>
      <c r="F1132" s="4">
        <f t="shared" si="68"/>
        <v>15.070066666666667</v>
      </c>
      <c r="I1132" s="4" t="s">
        <v>4661</v>
      </c>
      <c r="J1132" s="4">
        <v>15.1754</v>
      </c>
      <c r="K1132" s="4">
        <v>15.0449</v>
      </c>
      <c r="L1132" s="4">
        <v>15.071199999999999</v>
      </c>
      <c r="M1132" s="4">
        <f t="shared" si="69"/>
        <v>15.097166666666666</v>
      </c>
      <c r="P1132" s="4" t="str">
        <f>"Y66A7A.4"</f>
        <v>Y66A7A.4</v>
      </c>
      <c r="Q1132" s="4">
        <v>15.6321705263148</v>
      </c>
      <c r="R1132" s="4">
        <v>14.339764117436101</v>
      </c>
      <c r="S1132" s="4">
        <v>14.1684255378968</v>
      </c>
      <c r="T1132" s="4">
        <f t="shared" si="70"/>
        <v>14.713453393882567</v>
      </c>
      <c r="W1132" s="4" t="str">
        <f>"stl-1"</f>
        <v>stl-1</v>
      </c>
      <c r="X1132" s="4">
        <v>14.867121946417599</v>
      </c>
      <c r="Y1132" s="4">
        <v>14.7949474402718</v>
      </c>
      <c r="Z1132" s="4">
        <v>14.7671840614728</v>
      </c>
      <c r="AA1132" s="4">
        <f t="shared" si="71"/>
        <v>14.809751149387401</v>
      </c>
    </row>
    <row r="1133" spans="2:27" x14ac:dyDescent="0.2">
      <c r="B1133" s="4" t="s">
        <v>869</v>
      </c>
      <c r="C1133" s="4">
        <v>15.1953</v>
      </c>
      <c r="D1133" s="4">
        <v>14.7075</v>
      </c>
      <c r="E1133" s="4">
        <v>15.296900000000001</v>
      </c>
      <c r="F1133" s="4">
        <f t="shared" si="68"/>
        <v>15.066566666666667</v>
      </c>
      <c r="I1133" s="4" t="s">
        <v>606</v>
      </c>
      <c r="J1133" s="4">
        <v>14.5749</v>
      </c>
      <c r="K1133" s="4">
        <v>15.697800000000001</v>
      </c>
      <c r="L1133" s="4">
        <v>15.015599999999999</v>
      </c>
      <c r="M1133" s="4">
        <f t="shared" si="69"/>
        <v>15.0961</v>
      </c>
      <c r="P1133" s="4" t="str">
        <f>"pas-3"</f>
        <v>pas-3</v>
      </c>
      <c r="Q1133" s="4">
        <v>14.6469895741791</v>
      </c>
      <c r="R1133" s="4">
        <v>14.806307513646599</v>
      </c>
      <c r="S1133" s="4">
        <v>14.681200698919699</v>
      </c>
      <c r="T1133" s="4">
        <f t="shared" si="70"/>
        <v>14.711499262248466</v>
      </c>
      <c r="W1133" s="4" t="str">
        <f>"C02F5.3"</f>
        <v>C02F5.3</v>
      </c>
      <c r="X1133" s="4">
        <v>14.9218060480773</v>
      </c>
      <c r="Y1133" s="4">
        <v>14.7332304294178</v>
      </c>
      <c r="Z1133" s="4">
        <v>14.7700563432858</v>
      </c>
      <c r="AA1133" s="4">
        <f t="shared" si="71"/>
        <v>14.808364273593634</v>
      </c>
    </row>
    <row r="1134" spans="2:27" x14ac:dyDescent="0.2">
      <c r="B1134" s="4" t="s">
        <v>3817</v>
      </c>
      <c r="C1134" s="4">
        <v>15.751099999999999</v>
      </c>
      <c r="D1134" s="4">
        <v>14.665699999999999</v>
      </c>
      <c r="E1134" s="4">
        <v>14.7758</v>
      </c>
      <c r="F1134" s="4">
        <f t="shared" si="68"/>
        <v>15.0642</v>
      </c>
      <c r="I1134" s="4" t="s">
        <v>2905</v>
      </c>
      <c r="J1134" s="4">
        <v>15.007099999999999</v>
      </c>
      <c r="K1134" s="4">
        <v>15.168200000000001</v>
      </c>
      <c r="L1134" s="4">
        <v>15.1035</v>
      </c>
      <c r="M1134" s="4">
        <f t="shared" si="69"/>
        <v>15.092933333333335</v>
      </c>
      <c r="P1134" s="4" t="str">
        <f>"wars-2"</f>
        <v>wars-2</v>
      </c>
      <c r="Q1134" s="4">
        <v>15.046654452601</v>
      </c>
      <c r="R1134" s="4">
        <v>14.604876246525601</v>
      </c>
      <c r="S1134" s="4">
        <v>14.4823950494618</v>
      </c>
      <c r="T1134" s="4">
        <f t="shared" si="70"/>
        <v>14.711308582862801</v>
      </c>
      <c r="W1134" s="4" t="str">
        <f>"nsun-1"</f>
        <v>nsun-1</v>
      </c>
      <c r="X1134" s="4">
        <v>14.2817735510892</v>
      </c>
      <c r="Y1134" s="4">
        <v>15.1013278356684</v>
      </c>
      <c r="Z1134" s="4">
        <v>15.038298283182201</v>
      </c>
      <c r="AA1134" s="4">
        <f t="shared" si="71"/>
        <v>14.807133223313267</v>
      </c>
    </row>
    <row r="1135" spans="2:27" x14ac:dyDescent="0.2">
      <c r="B1135" s="4" t="s">
        <v>497</v>
      </c>
      <c r="C1135" s="4">
        <v>14.916</v>
      </c>
      <c r="D1135" s="4">
        <v>15.5113</v>
      </c>
      <c r="E1135" s="4">
        <v>14.7522</v>
      </c>
      <c r="F1135" s="4">
        <f t="shared" si="68"/>
        <v>15.059833333333335</v>
      </c>
      <c r="I1135" s="4" t="s">
        <v>3113</v>
      </c>
      <c r="J1135" s="4">
        <v>15.1004</v>
      </c>
      <c r="K1135" s="4">
        <v>15.217700000000001</v>
      </c>
      <c r="L1135" s="4">
        <v>14.9544</v>
      </c>
      <c r="M1135" s="4">
        <f t="shared" si="69"/>
        <v>15.090833333333334</v>
      </c>
      <c r="P1135" s="4" t="str">
        <f>"acds-10"</f>
        <v>acds-10</v>
      </c>
      <c r="Q1135" s="4">
        <v>14.7318411932344</v>
      </c>
      <c r="R1135" s="4">
        <v>14.7695204687911</v>
      </c>
      <c r="S1135" s="4">
        <v>14.6324273589359</v>
      </c>
      <c r="T1135" s="4">
        <f t="shared" si="70"/>
        <v>14.711263006987133</v>
      </c>
      <c r="W1135" s="4" t="str">
        <f>"prp-31"</f>
        <v>prp-31</v>
      </c>
      <c r="X1135" s="4">
        <v>14.8136459110801</v>
      </c>
      <c r="Y1135" s="4">
        <v>14.8434994594973</v>
      </c>
      <c r="Z1135" s="4">
        <v>14.7640443148132</v>
      </c>
      <c r="AA1135" s="4">
        <f t="shared" si="71"/>
        <v>14.807063228463534</v>
      </c>
    </row>
    <row r="1136" spans="2:27" x14ac:dyDescent="0.2">
      <c r="B1136" s="4" t="s">
        <v>2995</v>
      </c>
      <c r="C1136" s="4">
        <v>14.943099999999999</v>
      </c>
      <c r="D1136" s="4">
        <v>15.326599999999999</v>
      </c>
      <c r="E1136" s="4">
        <v>14.909000000000001</v>
      </c>
      <c r="F1136" s="4">
        <f t="shared" si="68"/>
        <v>15.059566666666667</v>
      </c>
      <c r="I1136" s="4" t="s">
        <v>4497</v>
      </c>
      <c r="J1136" s="4">
        <v>15.0274</v>
      </c>
      <c r="K1136" s="4">
        <v>14.9262</v>
      </c>
      <c r="L1136" s="4">
        <v>15.3187</v>
      </c>
      <c r="M1136" s="4">
        <f t="shared" si="69"/>
        <v>15.090766666666667</v>
      </c>
      <c r="P1136" s="4" t="str">
        <f>"nmt-1"</f>
        <v>nmt-1</v>
      </c>
      <c r="Q1136" s="4">
        <v>14.8938354469093</v>
      </c>
      <c r="R1136" s="4">
        <v>14.6190932399353</v>
      </c>
      <c r="S1136" s="4">
        <v>14.6167411312141</v>
      </c>
      <c r="T1136" s="4">
        <f t="shared" si="70"/>
        <v>14.7098899393529</v>
      </c>
      <c r="W1136" s="4" t="str">
        <f>"smg-9"</f>
        <v>smg-9</v>
      </c>
      <c r="X1136" s="4">
        <v>14.7534175923156</v>
      </c>
      <c r="Y1136" s="4">
        <v>14.8149248929849</v>
      </c>
      <c r="Z1136" s="4">
        <v>14.851726254346801</v>
      </c>
      <c r="AA1136" s="4">
        <f t="shared" si="71"/>
        <v>14.806689579882432</v>
      </c>
    </row>
    <row r="1137" spans="2:27" x14ac:dyDescent="0.2">
      <c r="B1137" s="4" t="s">
        <v>2905</v>
      </c>
      <c r="C1137" s="4">
        <v>15.0726</v>
      </c>
      <c r="D1137" s="4">
        <v>14.9598</v>
      </c>
      <c r="E1137" s="4">
        <v>15.1411</v>
      </c>
      <c r="F1137" s="4">
        <f t="shared" si="68"/>
        <v>15.057833333333333</v>
      </c>
      <c r="I1137" s="4" t="s">
        <v>3201</v>
      </c>
      <c r="J1137" s="4">
        <v>15.0091</v>
      </c>
      <c r="K1137" s="4">
        <v>15.0334</v>
      </c>
      <c r="L1137" s="4">
        <v>15.2272</v>
      </c>
      <c r="M1137" s="4">
        <f t="shared" si="69"/>
        <v>15.0899</v>
      </c>
      <c r="P1137" s="4" t="str">
        <f>"B0464.6"</f>
        <v>B0464.6</v>
      </c>
      <c r="Q1137" s="4">
        <v>14.6833859619398</v>
      </c>
      <c r="R1137" s="4">
        <v>14.6479157369082</v>
      </c>
      <c r="S1137" s="4">
        <v>14.7968129654765</v>
      </c>
      <c r="T1137" s="4">
        <f t="shared" si="70"/>
        <v>14.709371554774833</v>
      </c>
      <c r="W1137" s="4" t="str">
        <f>"odr-8"</f>
        <v>odr-8</v>
      </c>
      <c r="X1137" s="4">
        <v>14.9137094695035</v>
      </c>
      <c r="Y1137" s="4">
        <v>14.737175572159</v>
      </c>
      <c r="Z1137" s="4">
        <v>14.753431655999499</v>
      </c>
      <c r="AA1137" s="4">
        <f t="shared" si="71"/>
        <v>14.801438899220665</v>
      </c>
    </row>
    <row r="1138" spans="2:27" x14ac:dyDescent="0.2">
      <c r="B1138" s="4" t="s">
        <v>3513</v>
      </c>
      <c r="C1138" s="4">
        <v>15.273400000000001</v>
      </c>
      <c r="D1138" s="4">
        <v>14.861800000000001</v>
      </c>
      <c r="E1138" s="4">
        <v>15.0364</v>
      </c>
      <c r="F1138" s="4">
        <f t="shared" si="68"/>
        <v>15.0572</v>
      </c>
      <c r="I1138" s="4" t="s">
        <v>2621</v>
      </c>
      <c r="J1138" s="4">
        <v>15.120900000000001</v>
      </c>
      <c r="K1138" s="4">
        <v>15.003500000000001</v>
      </c>
      <c r="L1138" s="4">
        <v>15.145</v>
      </c>
      <c r="M1138" s="4">
        <f t="shared" si="69"/>
        <v>15.089800000000002</v>
      </c>
      <c r="P1138" s="4" t="str">
        <f>"srf-3"</f>
        <v>srf-3</v>
      </c>
      <c r="Q1138" s="4">
        <v>14.6760607536115</v>
      </c>
      <c r="R1138" s="4">
        <v>14.5791856293993</v>
      </c>
      <c r="S1138" s="4">
        <v>14.8693016256866</v>
      </c>
      <c r="T1138" s="4">
        <f t="shared" si="70"/>
        <v>14.708182669565801</v>
      </c>
      <c r="W1138" s="4" t="str">
        <f>"dig-1"</f>
        <v>dig-1</v>
      </c>
      <c r="X1138" s="4">
        <v>14.5778604887826</v>
      </c>
      <c r="Y1138" s="4">
        <v>14.6395234820061</v>
      </c>
      <c r="Z1138" s="4">
        <v>15.1860887174334</v>
      </c>
      <c r="AA1138" s="4">
        <f t="shared" si="71"/>
        <v>14.801157562740698</v>
      </c>
    </row>
    <row r="1139" spans="2:27" x14ac:dyDescent="0.2">
      <c r="B1139" s="4" t="s">
        <v>3504</v>
      </c>
      <c r="C1139" s="4">
        <v>14.9588</v>
      </c>
      <c r="D1139" s="4">
        <v>15.128500000000001</v>
      </c>
      <c r="E1139" s="4">
        <v>15.0678</v>
      </c>
      <c r="F1139" s="4">
        <f t="shared" si="68"/>
        <v>15.051699999999999</v>
      </c>
      <c r="I1139" s="4" t="s">
        <v>2836</v>
      </c>
      <c r="J1139" s="4">
        <v>15.1157</v>
      </c>
      <c r="K1139" s="4">
        <v>14.887700000000001</v>
      </c>
      <c r="L1139" s="4">
        <v>15.262499999999999</v>
      </c>
      <c r="M1139" s="4">
        <f t="shared" si="69"/>
        <v>15.088633333333334</v>
      </c>
      <c r="P1139" s="4" t="str">
        <f>"mrpl-46"</f>
        <v>mrpl-46</v>
      </c>
      <c r="Q1139" s="4">
        <v>14.633615132352499</v>
      </c>
      <c r="R1139" s="4">
        <v>14.8424835162139</v>
      </c>
      <c r="S1139" s="4">
        <v>14.6473850858502</v>
      </c>
      <c r="T1139" s="4">
        <f t="shared" si="70"/>
        <v>14.707827911472199</v>
      </c>
      <c r="W1139" s="4" t="str">
        <f>"sart-3"</f>
        <v>sart-3</v>
      </c>
      <c r="X1139" s="4">
        <v>14.901952790472601</v>
      </c>
      <c r="Y1139" s="4">
        <v>14.8487470418769</v>
      </c>
      <c r="Z1139" s="4">
        <v>14.6348902933687</v>
      </c>
      <c r="AA1139" s="4">
        <f t="shared" si="71"/>
        <v>14.795196708572734</v>
      </c>
    </row>
    <row r="1140" spans="2:27" x14ac:dyDescent="0.2">
      <c r="B1140" s="4" t="s">
        <v>3361</v>
      </c>
      <c r="C1140" s="4">
        <v>15.1462</v>
      </c>
      <c r="D1140" s="4">
        <v>14.9305</v>
      </c>
      <c r="E1140" s="4">
        <v>15.061400000000001</v>
      </c>
      <c r="F1140" s="4">
        <f t="shared" si="68"/>
        <v>15.046033333333334</v>
      </c>
      <c r="I1140" s="4" t="s">
        <v>2799</v>
      </c>
      <c r="J1140" s="4">
        <v>15.0556</v>
      </c>
      <c r="K1140" s="4">
        <v>15.414999999999999</v>
      </c>
      <c r="L1140" s="4">
        <v>14.7935</v>
      </c>
      <c r="M1140" s="4">
        <f t="shared" si="69"/>
        <v>15.088033333333334</v>
      </c>
      <c r="P1140" s="4" t="str">
        <f>"mek-2"</f>
        <v>mek-2</v>
      </c>
      <c r="Q1140" s="4">
        <v>14.8001444227361</v>
      </c>
      <c r="R1140" s="4">
        <v>14.700563811519601</v>
      </c>
      <c r="S1140" s="4">
        <v>14.621146400334901</v>
      </c>
      <c r="T1140" s="4">
        <f t="shared" si="70"/>
        <v>14.707284878196868</v>
      </c>
      <c r="W1140" s="4" t="str">
        <f>"fubl-2"</f>
        <v>fubl-2</v>
      </c>
      <c r="X1140" s="4">
        <v>15.052862405413</v>
      </c>
      <c r="Y1140" s="4">
        <v>14.656989969230001</v>
      </c>
      <c r="Z1140" s="4">
        <v>14.667649760617699</v>
      </c>
      <c r="AA1140" s="4">
        <f t="shared" si="71"/>
        <v>14.792500711753567</v>
      </c>
    </row>
    <row r="1141" spans="2:27" x14ac:dyDescent="0.2">
      <c r="B1141" s="4" t="s">
        <v>4662</v>
      </c>
      <c r="C1141" s="4">
        <v>14.8759</v>
      </c>
      <c r="D1141" s="4">
        <v>15.3073</v>
      </c>
      <c r="E1141" s="4">
        <v>14.9544</v>
      </c>
      <c r="F1141" s="4">
        <f t="shared" si="68"/>
        <v>15.045866666666667</v>
      </c>
      <c r="I1141" s="4" t="s">
        <v>2935</v>
      </c>
      <c r="J1141" s="4">
        <v>14.974</v>
      </c>
      <c r="K1141" s="4">
        <v>14.8081</v>
      </c>
      <c r="L1141" s="4">
        <v>15.479100000000001</v>
      </c>
      <c r="M1141" s="4">
        <f t="shared" si="69"/>
        <v>15.087066666666667</v>
      </c>
      <c r="P1141" s="4" t="str">
        <f>"pcf-11"</f>
        <v>pcf-11</v>
      </c>
      <c r="Q1141" s="4">
        <v>14.687505459946699</v>
      </c>
      <c r="R1141" s="4">
        <v>14.628983305371801</v>
      </c>
      <c r="S1141" s="4">
        <v>14.798797016240901</v>
      </c>
      <c r="T1141" s="4">
        <f t="shared" si="70"/>
        <v>14.7050952605198</v>
      </c>
      <c r="W1141" s="4" t="str">
        <f>"Y48B6A.13"</f>
        <v>Y48B6A.13</v>
      </c>
      <c r="X1141" s="4">
        <v>14.7283177099215</v>
      </c>
      <c r="Y1141" s="4">
        <v>14.852986688157401</v>
      </c>
      <c r="Z1141" s="4">
        <v>14.7869036780804</v>
      </c>
      <c r="AA1141" s="4">
        <f t="shared" si="71"/>
        <v>14.7894026920531</v>
      </c>
    </row>
    <row r="1142" spans="2:27" x14ac:dyDescent="0.2">
      <c r="B1142" s="4" t="s">
        <v>1420</v>
      </c>
      <c r="C1142" s="4">
        <v>14.640499999999999</v>
      </c>
      <c r="D1142" s="4">
        <v>15.7532</v>
      </c>
      <c r="E1142" s="4">
        <v>14.742800000000001</v>
      </c>
      <c r="F1142" s="4">
        <f t="shared" si="68"/>
        <v>15.045499999999999</v>
      </c>
      <c r="I1142" s="4" t="s">
        <v>3390</v>
      </c>
      <c r="J1142" s="4">
        <v>15.172499999999999</v>
      </c>
      <c r="K1142" s="4">
        <v>15.145300000000001</v>
      </c>
      <c r="L1142" s="4">
        <v>14.9406</v>
      </c>
      <c r="M1142" s="4">
        <f t="shared" si="69"/>
        <v>15.086133333333331</v>
      </c>
      <c r="P1142" s="4" t="str">
        <f>"trap-3"</f>
        <v>trap-3</v>
      </c>
      <c r="Q1142" s="4">
        <v>14.346042759608</v>
      </c>
      <c r="R1142" s="4">
        <v>14.7912083783279</v>
      </c>
      <c r="S1142" s="4">
        <v>14.973695233471201</v>
      </c>
      <c r="T1142" s="4">
        <f t="shared" si="70"/>
        <v>14.703648790469032</v>
      </c>
      <c r="W1142" s="4" t="str">
        <f>"scpl-4"</f>
        <v>scpl-4</v>
      </c>
      <c r="X1142" s="4">
        <v>14.7963043334593</v>
      </c>
      <c r="Y1142" s="4">
        <v>14.9568597223208</v>
      </c>
      <c r="Z1142" s="4">
        <v>14.613010163822601</v>
      </c>
      <c r="AA1142" s="4">
        <f t="shared" si="71"/>
        <v>14.788724739867567</v>
      </c>
    </row>
    <row r="1143" spans="2:27" x14ac:dyDescent="0.2">
      <c r="B1143" s="4" t="s">
        <v>1029</v>
      </c>
      <c r="C1143" s="4">
        <v>14.8626</v>
      </c>
      <c r="D1143" s="4">
        <v>15.402900000000001</v>
      </c>
      <c r="E1143" s="4">
        <v>14.869899999999999</v>
      </c>
      <c r="F1143" s="4">
        <f t="shared" si="68"/>
        <v>15.045133333333334</v>
      </c>
      <c r="I1143" s="4" t="s">
        <v>3303</v>
      </c>
      <c r="J1143" s="4">
        <v>15.005100000000001</v>
      </c>
      <c r="K1143" s="4">
        <v>15.055899999999999</v>
      </c>
      <c r="L1143" s="4">
        <v>15.184900000000001</v>
      </c>
      <c r="M1143" s="4">
        <f t="shared" si="69"/>
        <v>15.081966666666666</v>
      </c>
      <c r="P1143" s="4" t="str">
        <f>"pch-2"</f>
        <v>pch-2</v>
      </c>
      <c r="Q1143" s="4">
        <v>14.840587946845</v>
      </c>
      <c r="R1143" s="4">
        <v>14.6803598941312</v>
      </c>
      <c r="S1143" s="4">
        <v>14.5859276740214</v>
      </c>
      <c r="T1143" s="4">
        <f t="shared" si="70"/>
        <v>14.702291838332533</v>
      </c>
      <c r="W1143" s="4" t="str">
        <f>"D2023.6"</f>
        <v>D2023.6</v>
      </c>
      <c r="X1143" s="4">
        <v>14.609502342127101</v>
      </c>
      <c r="Y1143" s="4">
        <v>14.8291553119613</v>
      </c>
      <c r="Z1143" s="4">
        <v>14.9160159609571</v>
      </c>
      <c r="AA1143" s="4">
        <f t="shared" si="71"/>
        <v>14.784891205015166</v>
      </c>
    </row>
    <row r="1144" spans="2:27" x14ac:dyDescent="0.2">
      <c r="B1144" s="4" t="s">
        <v>3412</v>
      </c>
      <c r="C1144" s="4">
        <v>15.0396</v>
      </c>
      <c r="D1144" s="4">
        <v>14.952199999999999</v>
      </c>
      <c r="E1144" s="4">
        <v>15.142300000000001</v>
      </c>
      <c r="F1144" s="4">
        <f t="shared" si="68"/>
        <v>15.044699999999999</v>
      </c>
      <c r="I1144" s="4" t="s">
        <v>687</v>
      </c>
      <c r="J1144" s="4">
        <v>14.55</v>
      </c>
      <c r="K1144" s="4">
        <v>14.7967</v>
      </c>
      <c r="L1144" s="4">
        <v>15.8712</v>
      </c>
      <c r="M1144" s="4">
        <f t="shared" si="69"/>
        <v>15.072633333333334</v>
      </c>
      <c r="P1144" s="4" t="str">
        <f>"clec-266"</f>
        <v>clec-266</v>
      </c>
      <c r="Q1144" s="4">
        <v>14.6711236676943</v>
      </c>
      <c r="R1144" s="4">
        <v>14.5548140581955</v>
      </c>
      <c r="S1144" s="4">
        <v>14.879456543834999</v>
      </c>
      <c r="T1144" s="4">
        <f t="shared" si="70"/>
        <v>14.701798089908266</v>
      </c>
      <c r="W1144" s="4" t="str">
        <f>"xrn-2"</f>
        <v>xrn-2</v>
      </c>
      <c r="X1144" s="4">
        <v>15.089422162225601</v>
      </c>
      <c r="Y1144" s="4">
        <v>15.443663875301</v>
      </c>
      <c r="Z1144" s="4">
        <v>13.818848761300501</v>
      </c>
      <c r="AA1144" s="4">
        <f t="shared" si="71"/>
        <v>14.783978266275701</v>
      </c>
    </row>
    <row r="1145" spans="2:27" x14ac:dyDescent="0.2">
      <c r="B1145" s="4" t="s">
        <v>1432</v>
      </c>
      <c r="C1145" s="4">
        <v>14.9428</v>
      </c>
      <c r="D1145" s="4">
        <v>15.200200000000001</v>
      </c>
      <c r="E1145" s="4">
        <v>14.986700000000001</v>
      </c>
      <c r="F1145" s="4">
        <f t="shared" si="68"/>
        <v>15.043233333333333</v>
      </c>
      <c r="I1145" s="4" t="s">
        <v>3306</v>
      </c>
      <c r="J1145" s="4">
        <v>15.1031</v>
      </c>
      <c r="K1145" s="4">
        <v>15.188700000000001</v>
      </c>
      <c r="L1145" s="4">
        <v>14.919499999999999</v>
      </c>
      <c r="M1145" s="4">
        <f t="shared" si="69"/>
        <v>15.070433333333334</v>
      </c>
      <c r="P1145" s="4" t="str">
        <f>"immt-1"</f>
        <v>immt-1</v>
      </c>
      <c r="Q1145" s="4">
        <v>14.6326150434592</v>
      </c>
      <c r="R1145" s="4">
        <v>14.7468062195258</v>
      </c>
      <c r="S1145" s="4">
        <v>14.717705515410101</v>
      </c>
      <c r="T1145" s="4">
        <f t="shared" si="70"/>
        <v>14.699042259465033</v>
      </c>
      <c r="W1145" s="4" t="str">
        <f>"F25B5.5"</f>
        <v>F25B5.5</v>
      </c>
      <c r="X1145" s="4">
        <v>14.7641329444831</v>
      </c>
      <c r="Y1145" s="4">
        <v>14.749350591987399</v>
      </c>
      <c r="Z1145" s="4">
        <v>14.830429561306</v>
      </c>
      <c r="AA1145" s="4">
        <f t="shared" si="71"/>
        <v>14.7813043659255</v>
      </c>
    </row>
    <row r="1146" spans="2:27" x14ac:dyDescent="0.2">
      <c r="B1146" s="4" t="s">
        <v>1543</v>
      </c>
      <c r="C1146" s="4">
        <v>15.171799999999999</v>
      </c>
      <c r="D1146" s="4">
        <v>14.865500000000001</v>
      </c>
      <c r="E1146" s="4">
        <v>15.084199999999999</v>
      </c>
      <c r="F1146" s="4">
        <f t="shared" si="68"/>
        <v>15.0405</v>
      </c>
      <c r="I1146" s="4" t="s">
        <v>1704</v>
      </c>
      <c r="J1146" s="4">
        <v>14.9679</v>
      </c>
      <c r="K1146" s="4">
        <v>15.0077</v>
      </c>
      <c r="L1146" s="4">
        <v>15.233700000000001</v>
      </c>
      <c r="M1146" s="4">
        <f t="shared" si="69"/>
        <v>15.069766666666666</v>
      </c>
      <c r="P1146" s="4" t="str">
        <f>"T09F3.2"</f>
        <v>T09F3.2</v>
      </c>
      <c r="Q1146" s="4">
        <v>14.371886766347201</v>
      </c>
      <c r="R1146" s="4">
        <v>14.8399754891093</v>
      </c>
      <c r="S1146" s="4">
        <v>14.879982241614499</v>
      </c>
      <c r="T1146" s="4">
        <f t="shared" si="70"/>
        <v>14.697281499023667</v>
      </c>
      <c r="W1146" s="4" t="str">
        <f>"clec-7"</f>
        <v>clec-7</v>
      </c>
      <c r="X1146" s="4">
        <v>14.943712738550801</v>
      </c>
      <c r="Y1146" s="4">
        <v>14.7894812735868</v>
      </c>
      <c r="Z1146" s="4">
        <v>14.6070248750502</v>
      </c>
      <c r="AA1146" s="4">
        <f t="shared" si="71"/>
        <v>14.780072962395934</v>
      </c>
    </row>
    <row r="1147" spans="2:27" x14ac:dyDescent="0.2">
      <c r="B1147" s="4" t="s">
        <v>160</v>
      </c>
      <c r="C1147" s="4">
        <v>15.234999999999999</v>
      </c>
      <c r="D1147" s="4">
        <v>14.756500000000001</v>
      </c>
      <c r="E1147" s="4">
        <v>15.126300000000001</v>
      </c>
      <c r="F1147" s="4">
        <f t="shared" si="68"/>
        <v>15.039266666666668</v>
      </c>
      <c r="I1147" s="4" t="s">
        <v>2374</v>
      </c>
      <c r="J1147" s="4">
        <v>14.8781</v>
      </c>
      <c r="K1147" s="4">
        <v>15.2607</v>
      </c>
      <c r="L1147" s="4">
        <v>15.065200000000001</v>
      </c>
      <c r="M1147" s="4">
        <f t="shared" si="69"/>
        <v>15.068</v>
      </c>
      <c r="P1147" s="4" t="str">
        <f>"C32F10.8"</f>
        <v>C32F10.8</v>
      </c>
      <c r="Q1147" s="4">
        <v>14.673924408745799</v>
      </c>
      <c r="R1147" s="4">
        <v>14.7534108926101</v>
      </c>
      <c r="S1147" s="4">
        <v>14.6547900788</v>
      </c>
      <c r="T1147" s="4">
        <f t="shared" si="70"/>
        <v>14.694041793385301</v>
      </c>
      <c r="W1147" s="4" t="str">
        <f>"ddx-52"</f>
        <v>ddx-52</v>
      </c>
      <c r="X1147" s="4">
        <v>14.6823216533862</v>
      </c>
      <c r="Y1147" s="4">
        <v>14.9051436086639</v>
      </c>
      <c r="Z1147" s="4">
        <v>14.749594168002901</v>
      </c>
      <c r="AA1147" s="4">
        <f t="shared" si="71"/>
        <v>14.779019810017667</v>
      </c>
    </row>
    <row r="1148" spans="2:27" x14ac:dyDescent="0.2">
      <c r="B1148" s="4" t="s">
        <v>2780</v>
      </c>
      <c r="C1148" s="4">
        <v>15.1181</v>
      </c>
      <c r="D1148" s="4">
        <v>14.757899999999999</v>
      </c>
      <c r="E1148" s="4">
        <v>15.232100000000001</v>
      </c>
      <c r="F1148" s="4">
        <f t="shared" si="68"/>
        <v>15.036033333333334</v>
      </c>
      <c r="I1148" s="4" t="s">
        <v>2373</v>
      </c>
      <c r="J1148" s="4">
        <v>15.2189</v>
      </c>
      <c r="K1148" s="4">
        <v>14.975199999999999</v>
      </c>
      <c r="L1148" s="4">
        <v>14.999499999999999</v>
      </c>
      <c r="M1148" s="4">
        <f t="shared" si="69"/>
        <v>15.064533333333332</v>
      </c>
      <c r="P1148" s="4" t="str">
        <f>"M57.2"</f>
        <v>M57.2</v>
      </c>
      <c r="Q1148" s="4">
        <v>14.631932469832</v>
      </c>
      <c r="R1148" s="4">
        <v>14.5753527438</v>
      </c>
      <c r="S1148" s="4">
        <v>14.874780802099</v>
      </c>
      <c r="T1148" s="4">
        <f t="shared" si="70"/>
        <v>14.694022005243667</v>
      </c>
      <c r="W1148" s="4" t="str">
        <f>"mthf-1"</f>
        <v>mthf-1</v>
      </c>
      <c r="X1148" s="4">
        <v>14.958417763347899</v>
      </c>
      <c r="Y1148" s="4">
        <v>14.819096477599301</v>
      </c>
      <c r="Z1148" s="4">
        <v>14.557687256262501</v>
      </c>
      <c r="AA1148" s="4">
        <f t="shared" si="71"/>
        <v>14.778400499069898</v>
      </c>
    </row>
    <row r="1149" spans="2:27" x14ac:dyDescent="0.2">
      <c r="B1149" s="4" t="s">
        <v>2064</v>
      </c>
      <c r="C1149" s="4">
        <v>14.9078</v>
      </c>
      <c r="D1149" s="4">
        <v>15.078799999999999</v>
      </c>
      <c r="E1149" s="4">
        <v>15.12</v>
      </c>
      <c r="F1149" s="4">
        <f t="shared" si="68"/>
        <v>15.035533333333333</v>
      </c>
      <c r="I1149" s="4" t="s">
        <v>1668</v>
      </c>
      <c r="J1149" s="4">
        <v>15.3012</v>
      </c>
      <c r="K1149" s="4">
        <v>14.974299999999999</v>
      </c>
      <c r="L1149" s="4">
        <v>14.915900000000001</v>
      </c>
      <c r="M1149" s="4">
        <f t="shared" si="69"/>
        <v>15.063800000000001</v>
      </c>
      <c r="P1149" s="4" t="str">
        <f>"lonp-2"</f>
        <v>lonp-2</v>
      </c>
      <c r="Q1149" s="4">
        <v>14.7657731032855</v>
      </c>
      <c r="R1149" s="4">
        <v>14.7770164759956</v>
      </c>
      <c r="S1149" s="4">
        <v>14.5291904020152</v>
      </c>
      <c r="T1149" s="4">
        <f t="shared" si="70"/>
        <v>14.690659993765431</v>
      </c>
      <c r="W1149" s="4" t="str">
        <f>"B0511.6"</f>
        <v>B0511.6</v>
      </c>
      <c r="X1149" s="4">
        <v>14.9048707451091</v>
      </c>
      <c r="Y1149" s="4">
        <v>14.875580665382101</v>
      </c>
      <c r="Z1149" s="4">
        <v>14.547918885250899</v>
      </c>
      <c r="AA1149" s="4">
        <f t="shared" si="71"/>
        <v>14.776123431914035</v>
      </c>
    </row>
    <row r="1150" spans="2:27" x14ac:dyDescent="0.2">
      <c r="B1150" s="4" t="s">
        <v>2859</v>
      </c>
      <c r="C1150" s="4">
        <v>15.0379</v>
      </c>
      <c r="D1150" s="4">
        <v>14.9215</v>
      </c>
      <c r="E1150" s="4">
        <v>15.142099999999999</v>
      </c>
      <c r="F1150" s="4">
        <f t="shared" si="68"/>
        <v>15.033833333333334</v>
      </c>
      <c r="I1150" s="4" t="s">
        <v>3774</v>
      </c>
      <c r="J1150" s="4">
        <v>15.241199999999999</v>
      </c>
      <c r="K1150" s="4">
        <v>14.992000000000001</v>
      </c>
      <c r="L1150" s="4">
        <v>14.956899999999999</v>
      </c>
      <c r="M1150" s="4">
        <f t="shared" si="69"/>
        <v>15.063366666666667</v>
      </c>
      <c r="P1150" s="4" t="str">
        <f>"tep-1"</f>
        <v>tep-1</v>
      </c>
      <c r="Q1150" s="4">
        <v>14.614143919658</v>
      </c>
      <c r="R1150" s="4">
        <v>14.5896116958849</v>
      </c>
      <c r="S1150" s="4">
        <v>14.8668548985524</v>
      </c>
      <c r="T1150" s="4">
        <f t="shared" si="70"/>
        <v>14.690203504698433</v>
      </c>
      <c r="W1150" s="4" t="str">
        <f>"C18H7.1"</f>
        <v>C18H7.1</v>
      </c>
      <c r="X1150" s="4">
        <v>14.420749817516</v>
      </c>
      <c r="Y1150" s="4">
        <v>14.943993581022299</v>
      </c>
      <c r="Z1150" s="4">
        <v>14.9603789317738</v>
      </c>
      <c r="AA1150" s="4">
        <f t="shared" si="71"/>
        <v>14.7750407767707</v>
      </c>
    </row>
    <row r="1151" spans="2:27" x14ac:dyDescent="0.2">
      <c r="B1151" s="4" t="s">
        <v>1465</v>
      </c>
      <c r="C1151" s="4">
        <v>15.158300000000001</v>
      </c>
      <c r="D1151" s="4">
        <v>15.001799999999999</v>
      </c>
      <c r="E1151" s="4">
        <v>14.9338</v>
      </c>
      <c r="F1151" s="4">
        <f t="shared" si="68"/>
        <v>15.0313</v>
      </c>
      <c r="I1151" s="4" t="s">
        <v>2269</v>
      </c>
      <c r="J1151" s="4">
        <v>14.8123</v>
      </c>
      <c r="K1151" s="4">
        <v>15.164099999999999</v>
      </c>
      <c r="L1151" s="4">
        <v>15.2128</v>
      </c>
      <c r="M1151" s="4">
        <f t="shared" si="69"/>
        <v>15.063066666666666</v>
      </c>
      <c r="P1151" s="4" t="str">
        <f>"nprt-1"</f>
        <v>nprt-1</v>
      </c>
      <c r="Q1151" s="4">
        <v>14.7651563394212</v>
      </c>
      <c r="R1151" s="4">
        <v>14.709088851272099</v>
      </c>
      <c r="S1151" s="4">
        <v>14.5958552848687</v>
      </c>
      <c r="T1151" s="4">
        <f t="shared" si="70"/>
        <v>14.690033491854001</v>
      </c>
      <c r="W1151" s="4" t="str">
        <f>"F37C4.5"</f>
        <v>F37C4.5</v>
      </c>
      <c r="X1151" s="4">
        <v>14.774797795851001</v>
      </c>
      <c r="Y1151" s="4">
        <v>14.1007111016925</v>
      </c>
      <c r="Z1151" s="4">
        <v>15.444218501061799</v>
      </c>
      <c r="AA1151" s="4">
        <f t="shared" si="71"/>
        <v>14.773242466201767</v>
      </c>
    </row>
    <row r="1152" spans="2:27" x14ac:dyDescent="0.2">
      <c r="B1152" s="4" t="s">
        <v>2467</v>
      </c>
      <c r="C1152" s="4">
        <v>15.1129</v>
      </c>
      <c r="D1152" s="4">
        <v>14.6616</v>
      </c>
      <c r="E1152" s="4">
        <v>15.3139</v>
      </c>
      <c r="F1152" s="4">
        <f t="shared" si="68"/>
        <v>15.029466666666666</v>
      </c>
      <c r="I1152" s="4" t="s">
        <v>2321</v>
      </c>
      <c r="J1152" s="4">
        <v>14.667</v>
      </c>
      <c r="K1152" s="4">
        <v>15.4354</v>
      </c>
      <c r="L1152" s="4">
        <v>15.079000000000001</v>
      </c>
      <c r="M1152" s="4">
        <f t="shared" si="69"/>
        <v>15.060466666666665</v>
      </c>
      <c r="P1152" s="4" t="str">
        <f>"haf-2"</f>
        <v>haf-2</v>
      </c>
      <c r="Q1152" s="4">
        <v>14.7242573408022</v>
      </c>
      <c r="R1152" s="4">
        <v>14.6874303802791</v>
      </c>
      <c r="S1152" s="4">
        <v>14.6580817570505</v>
      </c>
      <c r="T1152" s="4">
        <f t="shared" si="70"/>
        <v>14.689923159377267</v>
      </c>
      <c r="W1152" s="4" t="str">
        <f>"F13D12.5"</f>
        <v>F13D12.5</v>
      </c>
      <c r="X1152" s="4">
        <v>14.8460960805785</v>
      </c>
      <c r="Y1152" s="4">
        <v>14.8273209843733</v>
      </c>
      <c r="Z1152" s="4">
        <v>14.645052482168399</v>
      </c>
      <c r="AA1152" s="4">
        <f t="shared" si="71"/>
        <v>14.772823182373401</v>
      </c>
    </row>
    <row r="1153" spans="2:27" x14ac:dyDescent="0.2">
      <c r="B1153" s="4" t="s">
        <v>3746</v>
      </c>
      <c r="C1153" s="4">
        <v>14.9353</v>
      </c>
      <c r="D1153" s="4">
        <v>15.002000000000001</v>
      </c>
      <c r="E1153" s="4">
        <v>15.150600000000001</v>
      </c>
      <c r="F1153" s="4">
        <f t="shared" si="68"/>
        <v>15.029300000000001</v>
      </c>
      <c r="I1153" s="4" t="s">
        <v>3772</v>
      </c>
      <c r="J1153" s="4">
        <v>14.6478</v>
      </c>
      <c r="K1153" s="4">
        <v>15.1882</v>
      </c>
      <c r="L1153" s="4">
        <v>15.3447</v>
      </c>
      <c r="M1153" s="4">
        <f t="shared" si="69"/>
        <v>15.060233333333334</v>
      </c>
      <c r="P1153" s="4" t="str">
        <f>"rpl-36"</f>
        <v>rpl-36</v>
      </c>
      <c r="Q1153" s="4">
        <v>14.395112998007599</v>
      </c>
      <c r="R1153" s="4">
        <v>15.1333163550233</v>
      </c>
      <c r="S1153" s="4">
        <v>14.538894062202001</v>
      </c>
      <c r="T1153" s="4">
        <f t="shared" si="70"/>
        <v>14.689107805077635</v>
      </c>
      <c r="W1153" s="4" t="str">
        <f>"plst-1"</f>
        <v>plst-1</v>
      </c>
      <c r="X1153" s="4">
        <v>14.990636430094799</v>
      </c>
      <c r="Y1153" s="4">
        <v>14.5117647127288</v>
      </c>
      <c r="Z1153" s="4">
        <v>14.8084310090796</v>
      </c>
      <c r="AA1153" s="4">
        <f t="shared" si="71"/>
        <v>14.770277383967732</v>
      </c>
    </row>
    <row r="1154" spans="2:27" x14ac:dyDescent="0.2">
      <c r="B1154" s="4" t="s">
        <v>2179</v>
      </c>
      <c r="C1154" s="4">
        <v>15.264799999999999</v>
      </c>
      <c r="D1154" s="4">
        <v>14.7834</v>
      </c>
      <c r="E1154" s="4">
        <v>15.034800000000001</v>
      </c>
      <c r="F1154" s="4">
        <f t="shared" ref="F1154:F1217" si="72">(C1154+D1154+E1154)/3</f>
        <v>15.027666666666667</v>
      </c>
      <c r="I1154" s="4" t="s">
        <v>2249</v>
      </c>
      <c r="J1154" s="4">
        <v>15.22</v>
      </c>
      <c r="K1154" s="4">
        <v>14.9991</v>
      </c>
      <c r="L1154" s="4">
        <v>14.9603</v>
      </c>
      <c r="M1154" s="4">
        <f t="shared" ref="M1154:M1217" si="73">(J1154+K1154+L1154)/3</f>
        <v>15.059800000000001</v>
      </c>
      <c r="P1154" s="4" t="str">
        <f>"fubl-3"</f>
        <v>fubl-3</v>
      </c>
      <c r="Q1154" s="4">
        <v>14.649135093644301</v>
      </c>
      <c r="R1154" s="4">
        <v>14.7309862548015</v>
      </c>
      <c r="S1154" s="4">
        <v>14.6757380676764</v>
      </c>
      <c r="T1154" s="4">
        <f t="shared" ref="T1154:T1217" si="74">(Q1154+R1154+S1154)/3</f>
        <v>14.685286472040735</v>
      </c>
      <c r="W1154" s="4" t="str">
        <f>"gip-1"</f>
        <v>gip-1</v>
      </c>
      <c r="X1154" s="4">
        <v>14.643937231253201</v>
      </c>
      <c r="Y1154" s="4">
        <v>14.8576224863088</v>
      </c>
      <c r="Z1154" s="4">
        <v>14.7883534640186</v>
      </c>
      <c r="AA1154" s="4">
        <f t="shared" ref="AA1154:AA1217" si="75">(X1154+Y1154+Z1154)/3</f>
        <v>14.763304393860201</v>
      </c>
    </row>
    <row r="1155" spans="2:27" x14ac:dyDescent="0.2">
      <c r="B1155" s="4" t="s">
        <v>3730</v>
      </c>
      <c r="C1155" s="4">
        <v>15.0816</v>
      </c>
      <c r="D1155" s="4">
        <v>14.9</v>
      </c>
      <c r="E1155" s="4">
        <v>15.100300000000001</v>
      </c>
      <c r="F1155" s="4">
        <f t="shared" si="72"/>
        <v>15.027300000000002</v>
      </c>
      <c r="I1155" s="4" t="s">
        <v>1395</v>
      </c>
      <c r="J1155" s="4">
        <v>14.764200000000001</v>
      </c>
      <c r="K1155" s="4">
        <v>14.9267</v>
      </c>
      <c r="L1155" s="4">
        <v>15.485300000000001</v>
      </c>
      <c r="M1155" s="4">
        <f t="shared" si="73"/>
        <v>15.058733333333334</v>
      </c>
      <c r="P1155" s="4" t="str">
        <f>"T24B8.7"</f>
        <v>T24B8.7</v>
      </c>
      <c r="Q1155" s="4">
        <v>14.693586973087401</v>
      </c>
      <c r="R1155" s="4">
        <v>14.7520253180545</v>
      </c>
      <c r="S1155" s="4">
        <v>14.6044397645027</v>
      </c>
      <c r="T1155" s="4">
        <f t="shared" si="74"/>
        <v>14.683350685214867</v>
      </c>
      <c r="W1155" s="4" t="str">
        <f>"lin-24"</f>
        <v>lin-24</v>
      </c>
      <c r="X1155" s="4">
        <v>14.587496963277101</v>
      </c>
      <c r="Y1155" s="4">
        <v>14.655432440394399</v>
      </c>
      <c r="Z1155" s="4">
        <v>15.045137021766299</v>
      </c>
      <c r="AA1155" s="4">
        <f t="shared" si="75"/>
        <v>14.762688808479266</v>
      </c>
    </row>
    <row r="1156" spans="2:27" x14ac:dyDescent="0.2">
      <c r="B1156" s="4" t="s">
        <v>1704</v>
      </c>
      <c r="C1156" s="4">
        <v>14.9315</v>
      </c>
      <c r="D1156" s="4">
        <v>15.1762</v>
      </c>
      <c r="E1156" s="4">
        <v>14.963900000000001</v>
      </c>
      <c r="F1156" s="4">
        <f t="shared" si="72"/>
        <v>15.023866666666668</v>
      </c>
      <c r="I1156" s="4" t="s">
        <v>2114</v>
      </c>
      <c r="J1156" s="4">
        <v>14.959899999999999</v>
      </c>
      <c r="K1156" s="4">
        <v>14.883699999999999</v>
      </c>
      <c r="L1156" s="4">
        <v>15.323399999999999</v>
      </c>
      <c r="M1156" s="4">
        <f t="shared" si="73"/>
        <v>15.055666666666667</v>
      </c>
      <c r="P1156" s="4" t="str">
        <f>"num-1"</f>
        <v>num-1</v>
      </c>
      <c r="Q1156" s="4">
        <v>14.8590048783174</v>
      </c>
      <c r="R1156" s="4">
        <v>14.5646697173569</v>
      </c>
      <c r="S1156" s="4">
        <v>14.620287719070999</v>
      </c>
      <c r="T1156" s="4">
        <f t="shared" si="74"/>
        <v>14.681320771581767</v>
      </c>
      <c r="W1156" s="4" t="str">
        <f>"C49A9.6"</f>
        <v>C49A9.6</v>
      </c>
      <c r="X1156" s="4">
        <v>14.757181276081701</v>
      </c>
      <c r="Y1156" s="4">
        <v>14.7618556838832</v>
      </c>
      <c r="Z1156" s="4">
        <v>14.766662853608601</v>
      </c>
      <c r="AA1156" s="4">
        <f t="shared" si="75"/>
        <v>14.761899937857834</v>
      </c>
    </row>
    <row r="1157" spans="2:27" x14ac:dyDescent="0.2">
      <c r="B1157" s="4" t="s">
        <v>1228</v>
      </c>
      <c r="C1157" s="4">
        <v>15.2135</v>
      </c>
      <c r="D1157" s="4">
        <v>15.225300000000001</v>
      </c>
      <c r="E1157" s="4">
        <v>14.629200000000001</v>
      </c>
      <c r="F1157" s="4">
        <f t="shared" si="72"/>
        <v>15.022666666666666</v>
      </c>
      <c r="I1157" s="4" t="s">
        <v>2122</v>
      </c>
      <c r="J1157" s="4">
        <v>15.4132</v>
      </c>
      <c r="K1157" s="4">
        <v>14.8856</v>
      </c>
      <c r="L1157" s="4">
        <v>14.8649</v>
      </c>
      <c r="M1157" s="4">
        <f t="shared" si="73"/>
        <v>15.054566666666666</v>
      </c>
      <c r="P1157" s="4" t="str">
        <f>"pdpr-1"</f>
        <v>pdpr-1</v>
      </c>
      <c r="Q1157" s="4">
        <v>14.8747868355492</v>
      </c>
      <c r="R1157" s="4">
        <v>14.6147285045557</v>
      </c>
      <c r="S1157" s="4">
        <v>14.551778320180199</v>
      </c>
      <c r="T1157" s="4">
        <f t="shared" si="74"/>
        <v>14.680431220095032</v>
      </c>
      <c r="W1157" s="4" t="str">
        <f>"mvk-1"</f>
        <v>mvk-1</v>
      </c>
      <c r="X1157" s="4">
        <v>14.810891499055099</v>
      </c>
      <c r="Y1157" s="4">
        <v>14.8274337581373</v>
      </c>
      <c r="Z1157" s="4">
        <v>14.646363785828999</v>
      </c>
      <c r="AA1157" s="4">
        <f t="shared" si="75"/>
        <v>14.761563014340467</v>
      </c>
    </row>
    <row r="1158" spans="2:27" x14ac:dyDescent="0.2">
      <c r="B1158" s="4" t="s">
        <v>2743</v>
      </c>
      <c r="C1158" s="4">
        <v>14.7639</v>
      </c>
      <c r="D1158" s="4">
        <v>14.875500000000001</v>
      </c>
      <c r="E1158" s="4">
        <v>15.427300000000001</v>
      </c>
      <c r="F1158" s="4">
        <f t="shared" si="72"/>
        <v>15.022233333333334</v>
      </c>
      <c r="I1158" s="4" t="s">
        <v>148</v>
      </c>
      <c r="J1158" s="4">
        <v>15.183199999999999</v>
      </c>
      <c r="K1158" s="4">
        <v>14.7019</v>
      </c>
      <c r="L1158" s="4">
        <v>15.277699999999999</v>
      </c>
      <c r="M1158" s="4">
        <f t="shared" si="73"/>
        <v>15.054266666666669</v>
      </c>
      <c r="P1158" s="4" t="str">
        <f>"tra-3"</f>
        <v>tra-3</v>
      </c>
      <c r="Q1158" s="4">
        <v>14.751242315405401</v>
      </c>
      <c r="R1158" s="4">
        <v>14.5398043725486</v>
      </c>
      <c r="S1158" s="4">
        <v>14.7499023290145</v>
      </c>
      <c r="T1158" s="4">
        <f t="shared" si="74"/>
        <v>14.680316338989499</v>
      </c>
      <c r="W1158" s="4" t="str">
        <f>"cpz-2"</f>
        <v>cpz-2</v>
      </c>
      <c r="X1158" s="4">
        <v>14.6635562720948</v>
      </c>
      <c r="Y1158" s="4">
        <v>14.9068571236576</v>
      </c>
      <c r="Z1158" s="4">
        <v>14.7136924398999</v>
      </c>
      <c r="AA1158" s="4">
        <f t="shared" si="75"/>
        <v>14.7613686118841</v>
      </c>
    </row>
    <row r="1159" spans="2:27" x14ac:dyDescent="0.2">
      <c r="B1159" s="4" t="s">
        <v>2056</v>
      </c>
      <c r="C1159" s="4">
        <v>14.9198</v>
      </c>
      <c r="D1159" s="4">
        <v>15.0837</v>
      </c>
      <c r="E1159" s="4">
        <v>15.0631</v>
      </c>
      <c r="F1159" s="4">
        <f t="shared" si="72"/>
        <v>15.0222</v>
      </c>
      <c r="I1159" s="4" t="s">
        <v>4304</v>
      </c>
      <c r="J1159" s="4">
        <v>15.219099999999999</v>
      </c>
      <c r="K1159" s="4">
        <v>14.954499999999999</v>
      </c>
      <c r="L1159" s="4">
        <v>14.9872</v>
      </c>
      <c r="M1159" s="4">
        <f t="shared" si="73"/>
        <v>15.053600000000001</v>
      </c>
      <c r="P1159" s="4" t="str">
        <f>"vps-36"</f>
        <v>vps-36</v>
      </c>
      <c r="Q1159" s="4">
        <v>14.7666683282766</v>
      </c>
      <c r="R1159" s="4">
        <v>14.6718918803573</v>
      </c>
      <c r="S1159" s="4">
        <v>14.6008776356752</v>
      </c>
      <c r="T1159" s="4">
        <f t="shared" si="74"/>
        <v>14.679812614769702</v>
      </c>
      <c r="W1159" s="4" t="str">
        <f>"ech-4"</f>
        <v>ech-4</v>
      </c>
      <c r="X1159" s="4">
        <v>14.6915858670968</v>
      </c>
      <c r="Y1159" s="4">
        <v>14.716268320577299</v>
      </c>
      <c r="Z1159" s="4">
        <v>14.8745774560416</v>
      </c>
      <c r="AA1159" s="4">
        <f t="shared" si="75"/>
        <v>14.760810547905232</v>
      </c>
    </row>
    <row r="1160" spans="2:27" x14ac:dyDescent="0.2">
      <c r="B1160" s="4" t="s">
        <v>3826</v>
      </c>
      <c r="C1160" s="4">
        <v>14.8446</v>
      </c>
      <c r="D1160" s="4">
        <v>14.6309</v>
      </c>
      <c r="E1160" s="4">
        <v>15.589</v>
      </c>
      <c r="F1160" s="4">
        <f t="shared" si="72"/>
        <v>15.021500000000001</v>
      </c>
      <c r="I1160" s="4" t="s">
        <v>1449</v>
      </c>
      <c r="J1160" s="4">
        <v>15.2049</v>
      </c>
      <c r="K1160" s="4">
        <v>14.648899999999999</v>
      </c>
      <c r="L1160" s="4">
        <v>15.293200000000001</v>
      </c>
      <c r="M1160" s="4">
        <f t="shared" si="73"/>
        <v>15.048999999999999</v>
      </c>
      <c r="P1160" s="4" t="str">
        <f>"C49A9.9"</f>
        <v>C49A9.9</v>
      </c>
      <c r="Q1160" s="4">
        <v>14.8301155677885</v>
      </c>
      <c r="R1160" s="4">
        <v>14.5335515510814</v>
      </c>
      <c r="S1160" s="4">
        <v>14.6704070829005</v>
      </c>
      <c r="T1160" s="4">
        <f t="shared" si="74"/>
        <v>14.678024733923465</v>
      </c>
      <c r="W1160" s="4" t="str">
        <f>"ifa-1"</f>
        <v>ifa-1</v>
      </c>
      <c r="X1160" s="4">
        <v>14.190439206380001</v>
      </c>
      <c r="Y1160" s="4">
        <v>14.5637619125689</v>
      </c>
      <c r="Z1160" s="4">
        <v>15.5252361224853</v>
      </c>
      <c r="AA1160" s="4">
        <f t="shared" si="75"/>
        <v>14.759812413811398</v>
      </c>
    </row>
    <row r="1161" spans="2:27" x14ac:dyDescent="0.2">
      <c r="B1161" s="4" t="s">
        <v>2200</v>
      </c>
      <c r="C1161" s="4">
        <v>15.1554</v>
      </c>
      <c r="D1161" s="4">
        <v>14.7989</v>
      </c>
      <c r="E1161" s="4">
        <v>15.1058</v>
      </c>
      <c r="F1161" s="4">
        <f t="shared" si="72"/>
        <v>15.020033333333332</v>
      </c>
      <c r="I1161" s="4" t="s">
        <v>3644</v>
      </c>
      <c r="J1161" s="4">
        <v>15.1396</v>
      </c>
      <c r="K1161" s="4">
        <v>15.201599999999999</v>
      </c>
      <c r="L1161" s="4">
        <v>14.7979</v>
      </c>
      <c r="M1161" s="4">
        <f t="shared" si="73"/>
        <v>15.046366666666666</v>
      </c>
      <c r="P1161" s="4" t="str">
        <f>"anc-1"</f>
        <v>anc-1</v>
      </c>
      <c r="Q1161" s="4">
        <v>14.8235765373077</v>
      </c>
      <c r="R1161" s="4">
        <v>14.552659706357501</v>
      </c>
      <c r="S1161" s="4">
        <v>14.6502939009931</v>
      </c>
      <c r="T1161" s="4">
        <f t="shared" si="74"/>
        <v>14.675510048219435</v>
      </c>
      <c r="W1161" s="4" t="str">
        <f>"snap-1"</f>
        <v>snap-1</v>
      </c>
      <c r="X1161" s="4">
        <v>14.8661551117812</v>
      </c>
      <c r="Y1161" s="4">
        <v>14.7596335083577</v>
      </c>
      <c r="Z1161" s="4">
        <v>14.644321665596699</v>
      </c>
      <c r="AA1161" s="4">
        <f t="shared" si="75"/>
        <v>14.756703428578533</v>
      </c>
    </row>
    <row r="1162" spans="2:27" x14ac:dyDescent="0.2">
      <c r="B1162" s="4" t="s">
        <v>2375</v>
      </c>
      <c r="C1162" s="4">
        <v>15.1203</v>
      </c>
      <c r="D1162" s="4">
        <v>14.6562</v>
      </c>
      <c r="E1162" s="4">
        <v>15.2814</v>
      </c>
      <c r="F1162" s="4">
        <f t="shared" si="72"/>
        <v>15.019299999999999</v>
      </c>
      <c r="I1162" s="4" t="s">
        <v>2950</v>
      </c>
      <c r="J1162" s="4">
        <v>14.764699999999999</v>
      </c>
      <c r="K1162" s="4">
        <v>14.857799999999999</v>
      </c>
      <c r="L1162" s="4">
        <v>15.514799999999999</v>
      </c>
      <c r="M1162" s="4">
        <f t="shared" si="73"/>
        <v>15.045766666666665</v>
      </c>
      <c r="P1162" s="4" t="str">
        <f>"asp-13"</f>
        <v>asp-13</v>
      </c>
      <c r="Q1162" s="4">
        <v>14.915266052558801</v>
      </c>
      <c r="R1162" s="4">
        <v>14.3629820838695</v>
      </c>
      <c r="S1162" s="4">
        <v>14.7465056018795</v>
      </c>
      <c r="T1162" s="4">
        <f t="shared" si="74"/>
        <v>14.674917912769267</v>
      </c>
      <c r="W1162" s="4" t="str">
        <f>"W04G3.5"</f>
        <v>W04G3.5</v>
      </c>
      <c r="X1162" s="4">
        <v>14.592997008622399</v>
      </c>
      <c r="Y1162" s="4">
        <v>14.908659976505399</v>
      </c>
      <c r="Z1162" s="4">
        <v>14.7571560566236</v>
      </c>
      <c r="AA1162" s="4">
        <f t="shared" si="75"/>
        <v>14.752937680583798</v>
      </c>
    </row>
    <row r="1163" spans="2:27" x14ac:dyDescent="0.2">
      <c r="B1163" s="4" t="s">
        <v>3609</v>
      </c>
      <c r="C1163" s="4">
        <v>14.8253</v>
      </c>
      <c r="D1163" s="4">
        <v>15.361000000000001</v>
      </c>
      <c r="E1163" s="4">
        <v>14.87</v>
      </c>
      <c r="F1163" s="4">
        <f t="shared" si="72"/>
        <v>15.018766666666666</v>
      </c>
      <c r="I1163" s="4" t="s">
        <v>931</v>
      </c>
      <c r="J1163" s="4">
        <v>15.172499999999999</v>
      </c>
      <c r="K1163" s="4">
        <v>14.9315</v>
      </c>
      <c r="L1163" s="4">
        <v>15.031499999999999</v>
      </c>
      <c r="M1163" s="4">
        <f t="shared" si="73"/>
        <v>15.045166666666667</v>
      </c>
      <c r="P1163" s="4" t="str">
        <f>"ife-1"</f>
        <v>ife-1</v>
      </c>
      <c r="Q1163" s="4">
        <v>14.438736195567801</v>
      </c>
      <c r="R1163" s="4">
        <v>14.7172619899982</v>
      </c>
      <c r="S1163" s="4">
        <v>14.8655070083786</v>
      </c>
      <c r="T1163" s="4">
        <f t="shared" si="74"/>
        <v>14.6738350646482</v>
      </c>
      <c r="W1163" s="4" t="str">
        <f>"kat-1"</f>
        <v>kat-1</v>
      </c>
      <c r="X1163" s="4">
        <v>14.5381393812404</v>
      </c>
      <c r="Y1163" s="4">
        <v>14.6969022309196</v>
      </c>
      <c r="Z1163" s="4">
        <v>15.019413685507001</v>
      </c>
      <c r="AA1163" s="4">
        <f t="shared" si="75"/>
        <v>14.751485099222334</v>
      </c>
    </row>
    <row r="1164" spans="2:27" x14ac:dyDescent="0.2">
      <c r="B1164" s="4" t="s">
        <v>3493</v>
      </c>
      <c r="C1164" s="4">
        <v>15.093999999999999</v>
      </c>
      <c r="D1164" s="4">
        <v>15.206899999999999</v>
      </c>
      <c r="E1164" s="4">
        <v>14.7523</v>
      </c>
      <c r="F1164" s="4">
        <f t="shared" si="72"/>
        <v>15.017733333333332</v>
      </c>
      <c r="I1164" s="4" t="s">
        <v>2222</v>
      </c>
      <c r="J1164" s="4">
        <v>14.9536</v>
      </c>
      <c r="K1164" s="4">
        <v>15.036</v>
      </c>
      <c r="L1164" s="4">
        <v>15.129099999999999</v>
      </c>
      <c r="M1164" s="4">
        <f t="shared" si="73"/>
        <v>15.039566666666666</v>
      </c>
      <c r="P1164" s="4" t="str">
        <f>"sto-1"</f>
        <v>sto-1</v>
      </c>
      <c r="Q1164" s="4">
        <v>14.7162103889022</v>
      </c>
      <c r="R1164" s="4">
        <v>14.522715711776801</v>
      </c>
      <c r="S1164" s="4">
        <v>14.781969324161</v>
      </c>
      <c r="T1164" s="4">
        <f t="shared" si="74"/>
        <v>14.673631808280001</v>
      </c>
      <c r="W1164" s="4" t="str">
        <f>"sto-1"</f>
        <v>sto-1</v>
      </c>
      <c r="X1164" s="4">
        <v>14.9710060189707</v>
      </c>
      <c r="Y1164" s="4">
        <v>14.412848878669299</v>
      </c>
      <c r="Z1164" s="4">
        <v>14.868482423987601</v>
      </c>
      <c r="AA1164" s="4">
        <f t="shared" si="75"/>
        <v>14.750779107209199</v>
      </c>
    </row>
    <row r="1165" spans="2:27" x14ac:dyDescent="0.2">
      <c r="B1165" s="4" t="s">
        <v>1263</v>
      </c>
      <c r="C1165" s="4">
        <v>14.8706</v>
      </c>
      <c r="D1165" s="4">
        <v>15.118</v>
      </c>
      <c r="E1165" s="4">
        <v>15.062200000000001</v>
      </c>
      <c r="F1165" s="4">
        <f t="shared" si="72"/>
        <v>15.016933333333332</v>
      </c>
      <c r="I1165" s="4" t="s">
        <v>4041</v>
      </c>
      <c r="J1165" s="4">
        <v>14.8355</v>
      </c>
      <c r="K1165" s="4">
        <v>15.254799999999999</v>
      </c>
      <c r="L1165" s="4">
        <v>15.027200000000001</v>
      </c>
      <c r="M1165" s="4">
        <f t="shared" si="73"/>
        <v>15.039166666666667</v>
      </c>
      <c r="P1165" s="4" t="str">
        <f>"F38B2.4"</f>
        <v>F38B2.4</v>
      </c>
      <c r="Q1165" s="4">
        <v>14.6652967679443</v>
      </c>
      <c r="R1165" s="4">
        <v>14.754324193344999</v>
      </c>
      <c r="S1165" s="4">
        <v>14.599266799904401</v>
      </c>
      <c r="T1165" s="4">
        <f t="shared" si="74"/>
        <v>14.672962587064566</v>
      </c>
      <c r="W1165" s="4" t="str">
        <f>"K12H4.3"</f>
        <v>K12H4.3</v>
      </c>
      <c r="X1165" s="4">
        <v>14.8442677076302</v>
      </c>
      <c r="Y1165" s="4">
        <v>14.5893714515366</v>
      </c>
      <c r="Z1165" s="4">
        <v>14.811553355208201</v>
      </c>
      <c r="AA1165" s="4">
        <f t="shared" si="75"/>
        <v>14.748397504791669</v>
      </c>
    </row>
    <row r="1166" spans="2:27" x14ac:dyDescent="0.2">
      <c r="B1166" s="4" t="s">
        <v>3616</v>
      </c>
      <c r="C1166" s="4">
        <v>14.900399999999999</v>
      </c>
      <c r="D1166" s="4">
        <v>15.309699999999999</v>
      </c>
      <c r="E1166" s="4">
        <v>14.839499999999999</v>
      </c>
      <c r="F1166" s="4">
        <f t="shared" si="72"/>
        <v>15.016533333333333</v>
      </c>
      <c r="I1166" s="4" t="s">
        <v>122</v>
      </c>
      <c r="J1166" s="4">
        <v>15.293900000000001</v>
      </c>
      <c r="K1166" s="4">
        <v>14.825900000000001</v>
      </c>
      <c r="L1166" s="4">
        <v>14.9861</v>
      </c>
      <c r="M1166" s="4">
        <f t="shared" si="73"/>
        <v>15.035300000000001</v>
      </c>
      <c r="P1166" s="4" t="str">
        <f>"kdin-1"</f>
        <v>kdin-1</v>
      </c>
      <c r="Q1166" s="4">
        <v>14.686358662319099</v>
      </c>
      <c r="R1166" s="4">
        <v>14.6952203858337</v>
      </c>
      <c r="S1166" s="4">
        <v>14.6288745494236</v>
      </c>
      <c r="T1166" s="4">
        <f t="shared" si="74"/>
        <v>14.670151199192134</v>
      </c>
      <c r="W1166" s="4" t="str">
        <f>"smc-4"</f>
        <v>smc-4</v>
      </c>
      <c r="X1166" s="4">
        <v>14.8019431860018</v>
      </c>
      <c r="Y1166" s="4">
        <v>14.8007599233989</v>
      </c>
      <c r="Z1166" s="4">
        <v>14.6374435956214</v>
      </c>
      <c r="AA1166" s="4">
        <f t="shared" si="75"/>
        <v>14.746715568340699</v>
      </c>
    </row>
    <row r="1167" spans="2:27" x14ac:dyDescent="0.2">
      <c r="B1167" s="4" t="s">
        <v>2867</v>
      </c>
      <c r="C1167" s="4">
        <v>15.0085</v>
      </c>
      <c r="D1167" s="4">
        <v>15.188000000000001</v>
      </c>
      <c r="E1167" s="4">
        <v>14.850899999999999</v>
      </c>
      <c r="F1167" s="4">
        <f t="shared" si="72"/>
        <v>15.015799999999999</v>
      </c>
      <c r="I1167" s="4" t="s">
        <v>3428</v>
      </c>
      <c r="J1167" s="4">
        <v>15.479900000000001</v>
      </c>
      <c r="K1167" s="4">
        <v>14.7661</v>
      </c>
      <c r="L1167" s="4">
        <v>14.8575</v>
      </c>
      <c r="M1167" s="4">
        <f t="shared" si="73"/>
        <v>15.034500000000001</v>
      </c>
      <c r="P1167" s="4" t="str">
        <f>"B0334.5"</f>
        <v>B0334.5</v>
      </c>
      <c r="Q1167" s="4">
        <v>14.943935445644399</v>
      </c>
      <c r="R1167" s="4">
        <v>14.506681884502299</v>
      </c>
      <c r="S1167" s="4">
        <v>14.5561602054537</v>
      </c>
      <c r="T1167" s="4">
        <f t="shared" si="74"/>
        <v>14.668925845200134</v>
      </c>
      <c r="W1167" s="4" t="str">
        <f>"eftu-2"</f>
        <v>eftu-2</v>
      </c>
      <c r="X1167" s="4">
        <v>14.860306070752699</v>
      </c>
      <c r="Y1167" s="4">
        <v>14.7029886649476</v>
      </c>
      <c r="Z1167" s="4">
        <v>14.6733814702452</v>
      </c>
      <c r="AA1167" s="4">
        <f t="shared" si="75"/>
        <v>14.745558735315166</v>
      </c>
    </row>
    <row r="1168" spans="2:27" x14ac:dyDescent="0.2">
      <c r="B1168" s="4" t="s">
        <v>2368</v>
      </c>
      <c r="C1168" s="4">
        <v>15.3674</v>
      </c>
      <c r="D1168" s="4">
        <v>14.531599999999999</v>
      </c>
      <c r="E1168" s="4">
        <v>15.1462</v>
      </c>
      <c r="F1168" s="4">
        <f t="shared" si="72"/>
        <v>15.015066666666668</v>
      </c>
      <c r="I1168" s="4" t="s">
        <v>1030</v>
      </c>
      <c r="J1168" s="4">
        <v>15.128</v>
      </c>
      <c r="K1168" s="4">
        <v>14.9633</v>
      </c>
      <c r="L1168" s="4">
        <v>15.008800000000001</v>
      </c>
      <c r="M1168" s="4">
        <f t="shared" si="73"/>
        <v>15.033366666666666</v>
      </c>
      <c r="P1168" s="4" t="str">
        <f>"dhs-4"</f>
        <v>dhs-4</v>
      </c>
      <c r="Q1168" s="4">
        <v>14.5527488995118</v>
      </c>
      <c r="R1168" s="4">
        <v>14.803611848705399</v>
      </c>
      <c r="S1168" s="4">
        <v>14.649869655997801</v>
      </c>
      <c r="T1168" s="4">
        <f t="shared" si="74"/>
        <v>14.668743468071668</v>
      </c>
      <c r="W1168" s="4" t="str">
        <f>"mter-4"</f>
        <v>mter-4</v>
      </c>
      <c r="X1168" s="4">
        <v>14.5997998113123</v>
      </c>
      <c r="Y1168" s="4">
        <v>14.74250854778</v>
      </c>
      <c r="Z1168" s="4">
        <v>14.891015624104799</v>
      </c>
      <c r="AA1168" s="4">
        <f t="shared" si="75"/>
        <v>14.744441327732366</v>
      </c>
    </row>
    <row r="1169" spans="2:27" x14ac:dyDescent="0.2">
      <c r="B1169" s="4" t="s">
        <v>3919</v>
      </c>
      <c r="C1169" s="4">
        <v>15.001799999999999</v>
      </c>
      <c r="D1169" s="4">
        <v>14.721399999999999</v>
      </c>
      <c r="E1169" s="4">
        <v>15.319599999999999</v>
      </c>
      <c r="F1169" s="4">
        <f t="shared" si="72"/>
        <v>15.014266666666666</v>
      </c>
      <c r="I1169" s="4" t="s">
        <v>3102</v>
      </c>
      <c r="J1169" s="4">
        <v>14.9749</v>
      </c>
      <c r="K1169" s="4">
        <v>15.0418</v>
      </c>
      <c r="L1169" s="4">
        <v>15.0787</v>
      </c>
      <c r="M1169" s="4">
        <f t="shared" si="73"/>
        <v>15.031799999999999</v>
      </c>
      <c r="P1169" s="4" t="str">
        <f>"Y47G6A.22"</f>
        <v>Y47G6A.22</v>
      </c>
      <c r="Q1169" s="4">
        <v>14.4008483914954</v>
      </c>
      <c r="R1169" s="4">
        <v>14.6145633914669</v>
      </c>
      <c r="S1169" s="4">
        <v>14.9844561433301</v>
      </c>
      <c r="T1169" s="4">
        <f t="shared" si="74"/>
        <v>14.666622642097465</v>
      </c>
      <c r="W1169" s="4" t="str">
        <f>"immt-1"</f>
        <v>immt-1</v>
      </c>
      <c r="X1169" s="4">
        <v>14.620964999858501</v>
      </c>
      <c r="Y1169" s="4">
        <v>14.826618733345301</v>
      </c>
      <c r="Z1169" s="4">
        <v>14.7854024456117</v>
      </c>
      <c r="AA1169" s="4">
        <f t="shared" si="75"/>
        <v>14.744328726271833</v>
      </c>
    </row>
    <row r="1170" spans="2:27" x14ac:dyDescent="0.2">
      <c r="B1170" s="4" t="s">
        <v>1864</v>
      </c>
      <c r="C1170" s="4">
        <v>15.1648</v>
      </c>
      <c r="D1170" s="4">
        <v>14.912599999999999</v>
      </c>
      <c r="E1170" s="4">
        <v>14.961499999999999</v>
      </c>
      <c r="F1170" s="4">
        <f t="shared" si="72"/>
        <v>15.012966666666665</v>
      </c>
      <c r="I1170" s="4" t="s">
        <v>4663</v>
      </c>
      <c r="J1170" s="4">
        <v>14.9756</v>
      </c>
      <c r="K1170" s="4">
        <v>15.0715</v>
      </c>
      <c r="L1170" s="4">
        <v>15.046900000000001</v>
      </c>
      <c r="M1170" s="4">
        <f t="shared" si="73"/>
        <v>15.031333333333334</v>
      </c>
      <c r="P1170" s="4" t="str">
        <f>"trr-1"</f>
        <v>trr-1</v>
      </c>
      <c r="Q1170" s="4">
        <v>14.7636450591373</v>
      </c>
      <c r="R1170" s="4">
        <v>14.6177570181578</v>
      </c>
      <c r="S1170" s="4">
        <v>14.6145939334356</v>
      </c>
      <c r="T1170" s="4">
        <f t="shared" si="74"/>
        <v>14.6653320035769</v>
      </c>
      <c r="W1170" s="4" t="str">
        <f>"M03C11.8"</f>
        <v>M03C11.8</v>
      </c>
      <c r="X1170" s="4">
        <v>14.759239775332601</v>
      </c>
      <c r="Y1170" s="4">
        <v>14.7553652983124</v>
      </c>
      <c r="Z1170" s="4">
        <v>14.7177597606532</v>
      </c>
      <c r="AA1170" s="4">
        <f t="shared" si="75"/>
        <v>14.744121611432734</v>
      </c>
    </row>
    <row r="1171" spans="2:27" x14ac:dyDescent="0.2">
      <c r="B1171" s="4" t="s">
        <v>3703</v>
      </c>
      <c r="C1171" s="4">
        <v>15.2728</v>
      </c>
      <c r="D1171" s="4">
        <v>14.708500000000001</v>
      </c>
      <c r="E1171" s="4">
        <v>15.045999999999999</v>
      </c>
      <c r="F1171" s="4">
        <f t="shared" si="72"/>
        <v>15.009099999999998</v>
      </c>
      <c r="I1171" s="4" t="s">
        <v>1218</v>
      </c>
      <c r="J1171" s="4">
        <v>15.0571</v>
      </c>
      <c r="K1171" s="4">
        <v>14.885300000000001</v>
      </c>
      <c r="L1171" s="4">
        <v>15.1502</v>
      </c>
      <c r="M1171" s="4">
        <f t="shared" si="73"/>
        <v>15.030866666666666</v>
      </c>
      <c r="P1171" s="4" t="str">
        <f>"dpy-4"</f>
        <v>dpy-4</v>
      </c>
      <c r="Q1171" s="4">
        <v>14.764738252335199</v>
      </c>
      <c r="R1171" s="4">
        <v>14.0441365172478</v>
      </c>
      <c r="S1171" s="4">
        <v>15.18578854756</v>
      </c>
      <c r="T1171" s="4">
        <f t="shared" si="74"/>
        <v>14.664887772381</v>
      </c>
      <c r="W1171" s="4" t="str">
        <f>"hum-7"</f>
        <v>hum-7</v>
      </c>
      <c r="X1171" s="4">
        <v>14.5624858104844</v>
      </c>
      <c r="Y1171" s="4">
        <v>14.6782035438367</v>
      </c>
      <c r="Z1171" s="4">
        <v>14.9820266156225</v>
      </c>
      <c r="AA1171" s="4">
        <f t="shared" si="75"/>
        <v>14.740905323314534</v>
      </c>
    </row>
    <row r="1172" spans="2:27" x14ac:dyDescent="0.2">
      <c r="B1172" s="4" t="s">
        <v>2930</v>
      </c>
      <c r="C1172" s="4">
        <v>14.915900000000001</v>
      </c>
      <c r="D1172" s="4">
        <v>14.8461</v>
      </c>
      <c r="E1172" s="4">
        <v>15.2631</v>
      </c>
      <c r="F1172" s="4">
        <f t="shared" si="72"/>
        <v>15.008366666666667</v>
      </c>
      <c r="I1172" s="4" t="s">
        <v>3638</v>
      </c>
      <c r="J1172" s="4">
        <v>14.857900000000001</v>
      </c>
      <c r="K1172" s="4">
        <v>14.8522</v>
      </c>
      <c r="L1172" s="4">
        <v>15.3809</v>
      </c>
      <c r="M1172" s="4">
        <f t="shared" si="73"/>
        <v>15.030333333333333</v>
      </c>
      <c r="P1172" s="4" t="str">
        <f>"eif-3.L"</f>
        <v>eif-3.L</v>
      </c>
      <c r="Q1172" s="4">
        <v>14.4396278731928</v>
      </c>
      <c r="R1172" s="4">
        <v>14.7836502438849</v>
      </c>
      <c r="S1172" s="4">
        <v>14.771352549160101</v>
      </c>
      <c r="T1172" s="4">
        <f t="shared" si="74"/>
        <v>14.664876888745932</v>
      </c>
      <c r="W1172" s="4" t="str">
        <f>"ipmk-1"</f>
        <v>ipmk-1</v>
      </c>
      <c r="X1172" s="4">
        <v>14.8151002492991</v>
      </c>
      <c r="Y1172" s="4">
        <v>14.7093904262723</v>
      </c>
      <c r="Z1172" s="4">
        <v>14.6961154289357</v>
      </c>
      <c r="AA1172" s="4">
        <f t="shared" si="75"/>
        <v>14.740202034835699</v>
      </c>
    </row>
    <row r="1173" spans="2:27" x14ac:dyDescent="0.2">
      <c r="B1173" s="4" t="s">
        <v>3048</v>
      </c>
      <c r="C1173" s="4">
        <v>15.069900000000001</v>
      </c>
      <c r="D1173" s="4">
        <v>15.257</v>
      </c>
      <c r="E1173" s="4">
        <v>14.6951</v>
      </c>
      <c r="F1173" s="4">
        <f t="shared" si="72"/>
        <v>15.007333333333335</v>
      </c>
      <c r="I1173" s="4" t="s">
        <v>586</v>
      </c>
      <c r="J1173" s="4">
        <v>14.9925</v>
      </c>
      <c r="K1173" s="4">
        <v>14.664</v>
      </c>
      <c r="L1173" s="4">
        <v>15.4254</v>
      </c>
      <c r="M1173" s="4">
        <f t="shared" si="73"/>
        <v>15.027300000000002</v>
      </c>
      <c r="P1173" s="4" t="str">
        <f>"sor-3"</f>
        <v>sor-3</v>
      </c>
      <c r="Q1173" s="4">
        <v>14.809255831517699</v>
      </c>
      <c r="R1173" s="4">
        <v>14.572048616497201</v>
      </c>
      <c r="S1173" s="4">
        <v>14.6121630989027</v>
      </c>
      <c r="T1173" s="4">
        <f t="shared" si="74"/>
        <v>14.664489182305866</v>
      </c>
      <c r="W1173" s="4" t="str">
        <f>"dsc-4"</f>
        <v>dsc-4</v>
      </c>
      <c r="X1173" s="4">
        <v>14.888940822443899</v>
      </c>
      <c r="Y1173" s="4">
        <v>14.7008651931959</v>
      </c>
      <c r="Z1173" s="4">
        <v>14.630373172335201</v>
      </c>
      <c r="AA1173" s="4">
        <f t="shared" si="75"/>
        <v>14.740059729325003</v>
      </c>
    </row>
    <row r="1174" spans="2:27" x14ac:dyDescent="0.2">
      <c r="B1174" s="4" t="s">
        <v>2501</v>
      </c>
      <c r="C1174" s="4">
        <v>14.6343</v>
      </c>
      <c r="D1174" s="4">
        <v>15.2575</v>
      </c>
      <c r="E1174" s="4">
        <v>15.126099999999999</v>
      </c>
      <c r="F1174" s="4">
        <f t="shared" si="72"/>
        <v>15.005966666666666</v>
      </c>
      <c r="I1174" s="4" t="s">
        <v>2577</v>
      </c>
      <c r="J1174" s="4">
        <v>15.095599999999999</v>
      </c>
      <c r="K1174" s="4">
        <v>14.752700000000001</v>
      </c>
      <c r="L1174" s="4">
        <v>15.232100000000001</v>
      </c>
      <c r="M1174" s="4">
        <f t="shared" si="73"/>
        <v>15.026800000000001</v>
      </c>
      <c r="P1174" s="4" t="str">
        <f>"C09D4.1"</f>
        <v>C09D4.1</v>
      </c>
      <c r="Q1174" s="4">
        <v>14.6021607838492</v>
      </c>
      <c r="R1174" s="4">
        <v>14.5937334806317</v>
      </c>
      <c r="S1174" s="4">
        <v>14.7830103210211</v>
      </c>
      <c r="T1174" s="4">
        <f t="shared" si="74"/>
        <v>14.659634861834</v>
      </c>
      <c r="W1174" s="4" t="str">
        <f>"evl-14"</f>
        <v>evl-14</v>
      </c>
      <c r="X1174" s="4">
        <v>14.683423854343699</v>
      </c>
      <c r="Y1174" s="4">
        <v>14.6785632787428</v>
      </c>
      <c r="Z1174" s="4">
        <v>14.854271839068099</v>
      </c>
      <c r="AA1174" s="4">
        <f t="shared" si="75"/>
        <v>14.738752990718199</v>
      </c>
    </row>
    <row r="1175" spans="2:27" x14ac:dyDescent="0.2">
      <c r="B1175" s="4" t="s">
        <v>3087</v>
      </c>
      <c r="C1175" s="4">
        <v>14.908300000000001</v>
      </c>
      <c r="D1175" s="4">
        <v>15.6576</v>
      </c>
      <c r="E1175" s="4">
        <v>14.449199999999999</v>
      </c>
      <c r="F1175" s="4">
        <f t="shared" si="72"/>
        <v>15.005033333333332</v>
      </c>
      <c r="I1175" s="4" t="s">
        <v>679</v>
      </c>
      <c r="J1175" s="4">
        <v>14.874499999999999</v>
      </c>
      <c r="K1175" s="4">
        <v>15.2873</v>
      </c>
      <c r="L1175" s="4">
        <v>14.912000000000001</v>
      </c>
      <c r="M1175" s="4">
        <f t="shared" si="73"/>
        <v>15.0246</v>
      </c>
      <c r="P1175" s="4" t="str">
        <f>"acs-21"</f>
        <v>acs-21</v>
      </c>
      <c r="Q1175" s="4">
        <v>14.809307858761001</v>
      </c>
      <c r="R1175" s="4">
        <v>14.5861261322329</v>
      </c>
      <c r="S1175" s="4">
        <v>14.579419426739401</v>
      </c>
      <c r="T1175" s="4">
        <f t="shared" si="74"/>
        <v>14.658284472577767</v>
      </c>
      <c r="W1175" s="4" t="str">
        <f>"cpr-9"</f>
        <v>cpr-9</v>
      </c>
      <c r="X1175" s="4">
        <v>14.6373626677956</v>
      </c>
      <c r="Y1175" s="4">
        <v>14.9970625961771</v>
      </c>
      <c r="Z1175" s="4">
        <v>14.581641831663401</v>
      </c>
      <c r="AA1175" s="4">
        <f t="shared" si="75"/>
        <v>14.738689031878701</v>
      </c>
    </row>
    <row r="1176" spans="2:27" x14ac:dyDescent="0.2">
      <c r="B1176" s="4" t="s">
        <v>1570</v>
      </c>
      <c r="C1176" s="4">
        <v>15.0036</v>
      </c>
      <c r="D1176" s="4">
        <v>15.117900000000001</v>
      </c>
      <c r="E1176" s="4">
        <v>14.8933</v>
      </c>
      <c r="F1176" s="4">
        <f t="shared" si="72"/>
        <v>15.004933333333334</v>
      </c>
      <c r="I1176" s="4" t="s">
        <v>2056</v>
      </c>
      <c r="J1176" s="4">
        <v>14.8599</v>
      </c>
      <c r="K1176" s="4">
        <v>14.654199999999999</v>
      </c>
      <c r="L1176" s="4">
        <v>15.5571</v>
      </c>
      <c r="M1176" s="4">
        <f t="shared" si="73"/>
        <v>15.023733333333332</v>
      </c>
      <c r="P1176" s="4" t="str">
        <f>"snr-2"</f>
        <v>snr-2</v>
      </c>
      <c r="Q1176" s="4">
        <v>14.7716955841017</v>
      </c>
      <c r="R1176" s="4">
        <v>14.4875405014061</v>
      </c>
      <c r="S1176" s="4">
        <v>14.7084947213574</v>
      </c>
      <c r="T1176" s="4">
        <f t="shared" si="74"/>
        <v>14.655910268955068</v>
      </c>
      <c r="W1176" s="4" t="str">
        <f>"wars-2"</f>
        <v>wars-2</v>
      </c>
      <c r="X1176" s="4">
        <v>14.6765487455946</v>
      </c>
      <c r="Y1176" s="4">
        <v>14.656912729711999</v>
      </c>
      <c r="Z1176" s="4">
        <v>14.88106034149</v>
      </c>
      <c r="AA1176" s="4">
        <f t="shared" si="75"/>
        <v>14.738173938932199</v>
      </c>
    </row>
    <row r="1177" spans="2:27" x14ac:dyDescent="0.2">
      <c r="B1177" s="4" t="s">
        <v>2683</v>
      </c>
      <c r="C1177" s="4">
        <v>15.0725</v>
      </c>
      <c r="D1177" s="4">
        <v>14.8407</v>
      </c>
      <c r="E1177" s="4">
        <v>15.1005</v>
      </c>
      <c r="F1177" s="4">
        <f t="shared" si="72"/>
        <v>15.004566666666667</v>
      </c>
      <c r="I1177" s="4" t="s">
        <v>2162</v>
      </c>
      <c r="J1177" s="4">
        <v>14.9208</v>
      </c>
      <c r="K1177" s="4">
        <v>15.0131</v>
      </c>
      <c r="L1177" s="4">
        <v>15.133800000000001</v>
      </c>
      <c r="M1177" s="4">
        <f t="shared" si="73"/>
        <v>15.022566666666668</v>
      </c>
      <c r="P1177" s="4" t="str">
        <f>"mrpl-15"</f>
        <v>mrpl-15</v>
      </c>
      <c r="Q1177" s="4">
        <v>15.113485159509301</v>
      </c>
      <c r="R1177" s="4">
        <v>14.3947030609951</v>
      </c>
      <c r="S1177" s="4">
        <v>14.457667253065599</v>
      </c>
      <c r="T1177" s="4">
        <f t="shared" si="74"/>
        <v>14.655285157856667</v>
      </c>
      <c r="W1177" s="4" t="str">
        <f>"cpn-1"</f>
        <v>cpn-1</v>
      </c>
      <c r="X1177" s="4">
        <v>14.8912998016458</v>
      </c>
      <c r="Y1177" s="4">
        <v>14.8980244431744</v>
      </c>
      <c r="Z1177" s="4">
        <v>14.413951710031</v>
      </c>
      <c r="AA1177" s="4">
        <f t="shared" si="75"/>
        <v>14.734425318283733</v>
      </c>
    </row>
    <row r="1178" spans="2:27" x14ac:dyDescent="0.2">
      <c r="B1178" s="4" t="s">
        <v>710</v>
      </c>
      <c r="C1178" s="4">
        <v>14.991400000000001</v>
      </c>
      <c r="D1178" s="4">
        <v>15.2578</v>
      </c>
      <c r="E1178" s="4">
        <v>14.7621</v>
      </c>
      <c r="F1178" s="4">
        <f t="shared" si="72"/>
        <v>15.003766666666669</v>
      </c>
      <c r="I1178" s="4" t="s">
        <v>3966</v>
      </c>
      <c r="J1178" s="4">
        <v>15.3789</v>
      </c>
      <c r="K1178" s="4">
        <v>15.1021</v>
      </c>
      <c r="L1178" s="4">
        <v>14.585699999999999</v>
      </c>
      <c r="M1178" s="4">
        <f t="shared" si="73"/>
        <v>15.022233333333332</v>
      </c>
      <c r="P1178" s="4" t="str">
        <f>"unc-26"</f>
        <v>unc-26</v>
      </c>
      <c r="Q1178" s="4">
        <v>14.7749655094403</v>
      </c>
      <c r="R1178" s="4">
        <v>14.5570728577258</v>
      </c>
      <c r="S1178" s="4">
        <v>14.6266819981336</v>
      </c>
      <c r="T1178" s="4">
        <f t="shared" si="74"/>
        <v>14.652906788433233</v>
      </c>
      <c r="W1178" s="4" t="str">
        <f>"pas-5"</f>
        <v>pas-5</v>
      </c>
      <c r="X1178" s="4">
        <v>14.929852302813099</v>
      </c>
      <c r="Y1178" s="4">
        <v>14.6618079294024</v>
      </c>
      <c r="Z1178" s="4">
        <v>14.609640544967901</v>
      </c>
      <c r="AA1178" s="4">
        <f t="shared" si="75"/>
        <v>14.733766925727799</v>
      </c>
    </row>
    <row r="1179" spans="2:27" x14ac:dyDescent="0.2">
      <c r="B1179" s="4" t="s">
        <v>3103</v>
      </c>
      <c r="C1179" s="4">
        <v>14.972300000000001</v>
      </c>
      <c r="D1179" s="4">
        <v>14.827500000000001</v>
      </c>
      <c r="E1179" s="4">
        <v>15.2073</v>
      </c>
      <c r="F1179" s="4">
        <f t="shared" si="72"/>
        <v>15.002366666666667</v>
      </c>
      <c r="I1179" s="4" t="s">
        <v>1014</v>
      </c>
      <c r="J1179" s="4">
        <v>15.439500000000001</v>
      </c>
      <c r="K1179" s="4">
        <v>14.6297</v>
      </c>
      <c r="L1179" s="4">
        <v>14.990600000000001</v>
      </c>
      <c r="M1179" s="4">
        <f t="shared" si="73"/>
        <v>15.019933333333334</v>
      </c>
      <c r="P1179" s="4" t="str">
        <f>"C26E6.12"</f>
        <v>C26E6.12</v>
      </c>
      <c r="Q1179" s="4">
        <v>14.7790745914812</v>
      </c>
      <c r="R1179" s="4">
        <v>14.644317312247701</v>
      </c>
      <c r="S1179" s="4">
        <v>14.5349331507771</v>
      </c>
      <c r="T1179" s="4">
        <f t="shared" si="74"/>
        <v>14.652775018168667</v>
      </c>
      <c r="W1179" s="4" t="str">
        <f>"ugt-58"</f>
        <v>ugt-58</v>
      </c>
      <c r="X1179" s="4">
        <v>14.752538090812701</v>
      </c>
      <c r="Y1179" s="4">
        <v>14.915770345996201</v>
      </c>
      <c r="Z1179" s="4">
        <v>14.5307144948084</v>
      </c>
      <c r="AA1179" s="4">
        <f t="shared" si="75"/>
        <v>14.733007643872433</v>
      </c>
    </row>
    <row r="1180" spans="2:27" x14ac:dyDescent="0.2">
      <c r="B1180" s="4" t="s">
        <v>663</v>
      </c>
      <c r="C1180" s="4">
        <v>15.185700000000001</v>
      </c>
      <c r="D1180" s="4">
        <v>15.154199999999999</v>
      </c>
      <c r="E1180" s="4">
        <v>14.6652</v>
      </c>
      <c r="F1180" s="4">
        <f t="shared" si="72"/>
        <v>15.0017</v>
      </c>
      <c r="I1180" s="4" t="s">
        <v>123</v>
      </c>
      <c r="J1180" s="4">
        <v>15.041499999999999</v>
      </c>
      <c r="K1180" s="4">
        <v>15.1503</v>
      </c>
      <c r="L1180" s="4">
        <v>14.867000000000001</v>
      </c>
      <c r="M1180" s="4">
        <f t="shared" si="73"/>
        <v>15.019600000000002</v>
      </c>
      <c r="P1180" s="4" t="str">
        <f>"mfn-1"</f>
        <v>mfn-1</v>
      </c>
      <c r="Q1180" s="4">
        <v>14.758723990345899</v>
      </c>
      <c r="R1180" s="4">
        <v>14.574874155061099</v>
      </c>
      <c r="S1180" s="4">
        <v>14.621526426512499</v>
      </c>
      <c r="T1180" s="4">
        <f t="shared" si="74"/>
        <v>14.651708190639832</v>
      </c>
      <c r="W1180" s="4" t="str">
        <f>"catp-8"</f>
        <v>catp-8</v>
      </c>
      <c r="X1180" s="4">
        <v>14.978299284813501</v>
      </c>
      <c r="Y1180" s="4">
        <v>14.6193674684424</v>
      </c>
      <c r="Z1180" s="4">
        <v>14.5967570206637</v>
      </c>
      <c r="AA1180" s="4">
        <f t="shared" si="75"/>
        <v>14.731474591306535</v>
      </c>
    </row>
    <row r="1181" spans="2:27" x14ac:dyDescent="0.2">
      <c r="B1181" s="4" t="s">
        <v>2918</v>
      </c>
      <c r="C1181" s="4">
        <v>14.930199999999999</v>
      </c>
      <c r="D1181" s="4">
        <v>14.8772</v>
      </c>
      <c r="E1181" s="4">
        <v>15.1968</v>
      </c>
      <c r="F1181" s="4">
        <f t="shared" si="72"/>
        <v>15.001399999999999</v>
      </c>
      <c r="I1181" s="4" t="s">
        <v>3182</v>
      </c>
      <c r="J1181" s="4">
        <v>14.992699999999999</v>
      </c>
      <c r="K1181" s="4">
        <v>14.9344</v>
      </c>
      <c r="L1181" s="4">
        <v>15.126200000000001</v>
      </c>
      <c r="M1181" s="4">
        <f t="shared" si="73"/>
        <v>15.017766666666667</v>
      </c>
      <c r="P1181" s="4" t="str">
        <f>"tag-131"</f>
        <v>tag-131</v>
      </c>
      <c r="Q1181" s="4">
        <v>14.7491987628411</v>
      </c>
      <c r="R1181" s="4">
        <v>14.5914641466176</v>
      </c>
      <c r="S1181" s="4">
        <v>14.603852385480099</v>
      </c>
      <c r="T1181" s="4">
        <f t="shared" si="74"/>
        <v>14.648171764979599</v>
      </c>
      <c r="W1181" s="4" t="str">
        <f>"dhod-1"</f>
        <v>dhod-1</v>
      </c>
      <c r="X1181" s="4">
        <v>14.611168425243701</v>
      </c>
      <c r="Y1181" s="4">
        <v>14.7064492121516</v>
      </c>
      <c r="Z1181" s="4">
        <v>14.874399460265799</v>
      </c>
      <c r="AA1181" s="4">
        <f t="shared" si="75"/>
        <v>14.730672365887033</v>
      </c>
    </row>
    <row r="1182" spans="2:27" x14ac:dyDescent="0.2">
      <c r="B1182" s="4" t="s">
        <v>2524</v>
      </c>
      <c r="C1182" s="4">
        <v>15.0213</v>
      </c>
      <c r="D1182" s="4">
        <v>15.1799</v>
      </c>
      <c r="E1182" s="4">
        <v>14.8004</v>
      </c>
      <c r="F1182" s="4">
        <f t="shared" si="72"/>
        <v>15.000533333333331</v>
      </c>
      <c r="I1182" s="4" t="s">
        <v>591</v>
      </c>
      <c r="J1182" s="4">
        <v>14.995799999999999</v>
      </c>
      <c r="K1182" s="4">
        <v>15.115</v>
      </c>
      <c r="L1182" s="4">
        <v>14.940899999999999</v>
      </c>
      <c r="M1182" s="4">
        <f t="shared" si="73"/>
        <v>15.017233333333332</v>
      </c>
      <c r="P1182" s="4" t="str">
        <f>"ucp-4"</f>
        <v>ucp-4</v>
      </c>
      <c r="Q1182" s="4">
        <v>14.6939154072248</v>
      </c>
      <c r="R1182" s="4">
        <v>14.418169868541099</v>
      </c>
      <c r="S1182" s="4">
        <v>14.826896723429799</v>
      </c>
      <c r="T1182" s="4">
        <f t="shared" si="74"/>
        <v>14.646327333065232</v>
      </c>
      <c r="W1182" s="4" t="str">
        <f>"mrpl-39"</f>
        <v>mrpl-39</v>
      </c>
      <c r="X1182" s="4">
        <v>14.875996115766499</v>
      </c>
      <c r="Y1182" s="4">
        <v>14.5547018558847</v>
      </c>
      <c r="Z1182" s="4">
        <v>14.7481276473607</v>
      </c>
      <c r="AA1182" s="4">
        <f t="shared" si="75"/>
        <v>14.7262752063373</v>
      </c>
    </row>
    <row r="1183" spans="2:27" x14ac:dyDescent="0.2">
      <c r="B1183" s="4" t="s">
        <v>3902</v>
      </c>
      <c r="C1183" s="4">
        <v>15.145799999999999</v>
      </c>
      <c r="D1183" s="4">
        <v>14.923</v>
      </c>
      <c r="E1183" s="4">
        <v>14.9315</v>
      </c>
      <c r="F1183" s="4">
        <f t="shared" si="72"/>
        <v>15.000099999999998</v>
      </c>
      <c r="I1183" s="4" t="s">
        <v>2189</v>
      </c>
      <c r="J1183" s="4">
        <v>14.9343</v>
      </c>
      <c r="K1183" s="4">
        <v>14.814</v>
      </c>
      <c r="L1183" s="4">
        <v>15.296099999999999</v>
      </c>
      <c r="M1183" s="4">
        <f t="shared" si="73"/>
        <v>15.014799999999999</v>
      </c>
      <c r="P1183" s="4" t="str">
        <f>"scpl-4"</f>
        <v>scpl-4</v>
      </c>
      <c r="Q1183" s="4">
        <v>14.5778798391196</v>
      </c>
      <c r="R1183" s="4">
        <v>14.590291800611</v>
      </c>
      <c r="S1183" s="4">
        <v>14.7585742970225</v>
      </c>
      <c r="T1183" s="4">
        <f t="shared" si="74"/>
        <v>14.642248645584367</v>
      </c>
      <c r="W1183" s="4" t="str">
        <f>"clec-266"</f>
        <v>clec-266</v>
      </c>
      <c r="X1183" s="4">
        <v>14.786881612033</v>
      </c>
      <c r="Y1183" s="4">
        <v>14.882282449371999</v>
      </c>
      <c r="Z1183" s="4">
        <v>14.5075231229458</v>
      </c>
      <c r="AA1183" s="4">
        <f t="shared" si="75"/>
        <v>14.7255623947836</v>
      </c>
    </row>
    <row r="1184" spans="2:27" x14ac:dyDescent="0.2">
      <c r="B1184" s="4" t="s">
        <v>2252</v>
      </c>
      <c r="C1184" s="4">
        <v>15.1014</v>
      </c>
      <c r="D1184" s="4">
        <v>14.927199999999999</v>
      </c>
      <c r="E1184" s="4">
        <v>14.9712</v>
      </c>
      <c r="F1184" s="4">
        <f t="shared" si="72"/>
        <v>14.999933333333331</v>
      </c>
      <c r="I1184" s="4" t="s">
        <v>2752</v>
      </c>
      <c r="J1184" s="4">
        <v>15.2508</v>
      </c>
      <c r="K1184" s="4">
        <v>15.0025</v>
      </c>
      <c r="L1184" s="4">
        <v>14.7782</v>
      </c>
      <c r="M1184" s="4">
        <f t="shared" si="73"/>
        <v>15.0105</v>
      </c>
      <c r="P1184" s="4" t="str">
        <f>"otub-1"</f>
        <v>otub-1</v>
      </c>
      <c r="Q1184" s="4">
        <v>14.7038446956372</v>
      </c>
      <c r="R1184" s="4">
        <v>14.7972300379929</v>
      </c>
      <c r="S1184" s="4">
        <v>14.4212561022479</v>
      </c>
      <c r="T1184" s="4">
        <f t="shared" si="74"/>
        <v>14.640776945292666</v>
      </c>
      <c r="W1184" s="4" t="str">
        <f>"etc-1"</f>
        <v>etc-1</v>
      </c>
      <c r="X1184" s="4">
        <v>14.697410887968299</v>
      </c>
      <c r="Y1184" s="4">
        <v>14.737765243446599</v>
      </c>
      <c r="Z1184" s="4">
        <v>14.739344013617201</v>
      </c>
      <c r="AA1184" s="4">
        <f t="shared" si="75"/>
        <v>14.724840048344033</v>
      </c>
    </row>
    <row r="1185" spans="2:27" x14ac:dyDescent="0.2">
      <c r="B1185" s="4" t="s">
        <v>2209</v>
      </c>
      <c r="C1185" s="4">
        <v>15.303599999999999</v>
      </c>
      <c r="D1185" s="4">
        <v>15.108000000000001</v>
      </c>
      <c r="E1185" s="4">
        <v>14.5825</v>
      </c>
      <c r="F1185" s="4">
        <f t="shared" si="72"/>
        <v>14.998033333333334</v>
      </c>
      <c r="I1185" s="4" t="s">
        <v>3661</v>
      </c>
      <c r="J1185" s="4">
        <v>15.0594</v>
      </c>
      <c r="K1185" s="4">
        <v>15.111700000000001</v>
      </c>
      <c r="L1185" s="4">
        <v>14.857200000000001</v>
      </c>
      <c r="M1185" s="4">
        <f t="shared" si="73"/>
        <v>15.009433333333334</v>
      </c>
      <c r="P1185" s="4" t="str">
        <f>"imp-2"</f>
        <v>imp-2</v>
      </c>
      <c r="Q1185" s="4">
        <v>14.4193239777461</v>
      </c>
      <c r="R1185" s="4">
        <v>14.572015360452699</v>
      </c>
      <c r="S1185" s="4">
        <v>14.9267319144056</v>
      </c>
      <c r="T1185" s="4">
        <f t="shared" si="74"/>
        <v>14.639357084201466</v>
      </c>
      <c r="W1185" s="4" t="str">
        <f>"kin-20"</f>
        <v>kin-20</v>
      </c>
      <c r="X1185" s="4">
        <v>14.6854274031156</v>
      </c>
      <c r="Y1185" s="4">
        <v>14.958823980242499</v>
      </c>
      <c r="Z1185" s="4">
        <v>14.5199593864956</v>
      </c>
      <c r="AA1185" s="4">
        <f t="shared" si="75"/>
        <v>14.721403589951231</v>
      </c>
    </row>
    <row r="1186" spans="2:27" x14ac:dyDescent="0.2">
      <c r="B1186" s="4" t="s">
        <v>2634</v>
      </c>
      <c r="C1186" s="4">
        <v>14.844799999999999</v>
      </c>
      <c r="D1186" s="4">
        <v>15.1265</v>
      </c>
      <c r="E1186" s="4">
        <v>15.022600000000001</v>
      </c>
      <c r="F1186" s="4">
        <f t="shared" si="72"/>
        <v>14.997966666666665</v>
      </c>
      <c r="I1186" s="4" t="s">
        <v>2524</v>
      </c>
      <c r="J1186" s="4">
        <v>15.0044</v>
      </c>
      <c r="K1186" s="4">
        <v>14.9673</v>
      </c>
      <c r="L1186" s="4">
        <v>15.0474</v>
      </c>
      <c r="M1186" s="4">
        <f t="shared" si="73"/>
        <v>15.006366666666665</v>
      </c>
      <c r="P1186" s="4" t="str">
        <f>"lin-45"</f>
        <v>lin-45</v>
      </c>
      <c r="Q1186" s="4">
        <v>14.776237056607201</v>
      </c>
      <c r="R1186" s="4">
        <v>14.571845600831599</v>
      </c>
      <c r="S1186" s="4">
        <v>14.569150031808499</v>
      </c>
      <c r="T1186" s="4">
        <f t="shared" si="74"/>
        <v>14.639077563082433</v>
      </c>
      <c r="W1186" s="4" t="str">
        <f>"coq-3"</f>
        <v>coq-3</v>
      </c>
      <c r="X1186" s="4">
        <v>14.7972213349719</v>
      </c>
      <c r="Y1186" s="4">
        <v>14.642205752954199</v>
      </c>
      <c r="Z1186" s="4">
        <v>14.721861847225499</v>
      </c>
      <c r="AA1186" s="4">
        <f t="shared" si="75"/>
        <v>14.720429645050531</v>
      </c>
    </row>
    <row r="1187" spans="2:27" x14ac:dyDescent="0.2">
      <c r="B1187" s="4" t="s">
        <v>63</v>
      </c>
      <c r="C1187" s="4">
        <v>14.849500000000001</v>
      </c>
      <c r="D1187" s="4">
        <v>15.201700000000001</v>
      </c>
      <c r="E1187" s="4">
        <v>14.936199999999999</v>
      </c>
      <c r="F1187" s="4">
        <f t="shared" si="72"/>
        <v>14.995800000000001</v>
      </c>
      <c r="I1187" s="4" t="s">
        <v>3832</v>
      </c>
      <c r="J1187" s="4">
        <v>15.1233</v>
      </c>
      <c r="K1187" s="4">
        <v>15.1088</v>
      </c>
      <c r="L1187" s="4">
        <v>14.786799999999999</v>
      </c>
      <c r="M1187" s="4">
        <f t="shared" si="73"/>
        <v>15.006300000000001</v>
      </c>
      <c r="P1187" s="4" t="str">
        <f>"lin-53"</f>
        <v>lin-53</v>
      </c>
      <c r="Q1187" s="4">
        <v>14.585065156562599</v>
      </c>
      <c r="R1187" s="4">
        <v>14.4993382734559</v>
      </c>
      <c r="S1187" s="4">
        <v>14.827488516557199</v>
      </c>
      <c r="T1187" s="4">
        <f t="shared" si="74"/>
        <v>14.637297315525231</v>
      </c>
      <c r="W1187" s="4" t="str">
        <f>"Y82E9BR.18"</f>
        <v>Y82E9BR.18</v>
      </c>
      <c r="X1187" s="4">
        <v>14.8409289428603</v>
      </c>
      <c r="Y1187" s="4">
        <v>14.6969151348622</v>
      </c>
      <c r="Z1187" s="4">
        <v>14.607749030156899</v>
      </c>
      <c r="AA1187" s="4">
        <f t="shared" si="75"/>
        <v>14.715197702626467</v>
      </c>
    </row>
    <row r="1188" spans="2:27" x14ac:dyDescent="0.2">
      <c r="B1188" s="4" t="s">
        <v>3389</v>
      </c>
      <c r="C1188" s="4">
        <v>14.386900000000001</v>
      </c>
      <c r="D1188" s="4">
        <v>15.473800000000001</v>
      </c>
      <c r="E1188" s="4">
        <v>15.126300000000001</v>
      </c>
      <c r="F1188" s="4">
        <f t="shared" si="72"/>
        <v>14.995666666666667</v>
      </c>
      <c r="I1188" s="4" t="s">
        <v>1352</v>
      </c>
      <c r="J1188" s="4">
        <v>14.7704</v>
      </c>
      <c r="K1188" s="4">
        <v>15.183999999999999</v>
      </c>
      <c r="L1188" s="4">
        <v>15.063499999999999</v>
      </c>
      <c r="M1188" s="4">
        <f t="shared" si="73"/>
        <v>15.005966666666666</v>
      </c>
      <c r="P1188" s="4" t="str">
        <f>"ran-2"</f>
        <v>ran-2</v>
      </c>
      <c r="Q1188" s="4">
        <v>14.6131748121306</v>
      </c>
      <c r="R1188" s="4">
        <v>14.700736957793399</v>
      </c>
      <c r="S1188" s="4">
        <v>14.568740497289401</v>
      </c>
      <c r="T1188" s="4">
        <f t="shared" si="74"/>
        <v>14.627550755737801</v>
      </c>
      <c r="W1188" s="4" t="str">
        <f>"inpp-4B"</f>
        <v>inpp-4B</v>
      </c>
      <c r="X1188" s="4">
        <v>14.869181993233999</v>
      </c>
      <c r="Y1188" s="4">
        <v>14.734457321455899</v>
      </c>
      <c r="Z1188" s="4">
        <v>14.5407546690523</v>
      </c>
      <c r="AA1188" s="4">
        <f t="shared" si="75"/>
        <v>14.714797994580733</v>
      </c>
    </row>
    <row r="1189" spans="2:27" x14ac:dyDescent="0.2">
      <c r="B1189" s="4" t="s">
        <v>2025</v>
      </c>
      <c r="C1189" s="4">
        <v>14.6633</v>
      </c>
      <c r="D1189" s="4">
        <v>15.4085</v>
      </c>
      <c r="E1189" s="4">
        <v>14.9145</v>
      </c>
      <c r="F1189" s="4">
        <f t="shared" si="72"/>
        <v>14.995433333333333</v>
      </c>
      <c r="I1189" s="4" t="s">
        <v>3048</v>
      </c>
      <c r="J1189" s="4">
        <v>14.9999</v>
      </c>
      <c r="K1189" s="4">
        <v>14.849500000000001</v>
      </c>
      <c r="L1189" s="4">
        <v>15.1591</v>
      </c>
      <c r="M1189" s="4">
        <f t="shared" si="73"/>
        <v>15.002833333333335</v>
      </c>
      <c r="P1189" s="4" t="str">
        <f>"mog-1"</f>
        <v>mog-1</v>
      </c>
      <c r="Q1189" s="4">
        <v>14.7287775934078</v>
      </c>
      <c r="R1189" s="4">
        <v>14.7754920258648</v>
      </c>
      <c r="S1189" s="4">
        <v>14.376767551876</v>
      </c>
      <c r="T1189" s="4">
        <f t="shared" si="74"/>
        <v>14.627012390382866</v>
      </c>
      <c r="W1189" s="4" t="str">
        <f>"mat-3"</f>
        <v>mat-3</v>
      </c>
      <c r="X1189" s="4">
        <v>14.865793331853901</v>
      </c>
      <c r="Y1189" s="4">
        <v>14.6655553895397</v>
      </c>
      <c r="Z1189" s="4">
        <v>14.610238251051101</v>
      </c>
      <c r="AA1189" s="4">
        <f t="shared" si="75"/>
        <v>14.713862324148232</v>
      </c>
    </row>
    <row r="1190" spans="2:27" x14ac:dyDescent="0.2">
      <c r="B1190" s="4" t="s">
        <v>2695</v>
      </c>
      <c r="C1190" s="4">
        <v>15.1418</v>
      </c>
      <c r="D1190" s="4">
        <v>14.7614</v>
      </c>
      <c r="E1190" s="4">
        <v>15.083</v>
      </c>
      <c r="F1190" s="4">
        <f t="shared" si="72"/>
        <v>14.995399999999998</v>
      </c>
      <c r="I1190" s="4" t="s">
        <v>2756</v>
      </c>
      <c r="J1190" s="4">
        <v>14.9472</v>
      </c>
      <c r="K1190" s="4">
        <v>15.0418</v>
      </c>
      <c r="L1190" s="4">
        <v>15.0162</v>
      </c>
      <c r="M1190" s="4">
        <f t="shared" si="73"/>
        <v>15.001733333333334</v>
      </c>
      <c r="P1190" s="4" t="str">
        <f>"C51E3.9"</f>
        <v>C51E3.9</v>
      </c>
      <c r="Q1190" s="4">
        <v>14.854591277173601</v>
      </c>
      <c r="R1190" s="4">
        <v>14.519062549595899</v>
      </c>
      <c r="S1190" s="4">
        <v>14.5012264857536</v>
      </c>
      <c r="T1190" s="4">
        <f t="shared" si="74"/>
        <v>14.624960104174365</v>
      </c>
      <c r="W1190" s="4" t="str">
        <f>"Y53F4B.13"</f>
        <v>Y53F4B.13</v>
      </c>
      <c r="X1190" s="4">
        <v>14.9532728126589</v>
      </c>
      <c r="Y1190" s="4">
        <v>14.6759610581269</v>
      </c>
      <c r="Z1190" s="4">
        <v>14.510465538308299</v>
      </c>
      <c r="AA1190" s="4">
        <f t="shared" si="75"/>
        <v>14.7132331363647</v>
      </c>
    </row>
    <row r="1191" spans="2:27" x14ac:dyDescent="0.2">
      <c r="B1191" s="4" t="s">
        <v>3673</v>
      </c>
      <c r="C1191" s="4">
        <v>14.5152</v>
      </c>
      <c r="D1191" s="4">
        <v>15.268599999999999</v>
      </c>
      <c r="E1191" s="4">
        <v>15.1995</v>
      </c>
      <c r="F1191" s="4">
        <f t="shared" si="72"/>
        <v>14.994433333333333</v>
      </c>
      <c r="I1191" s="4" t="s">
        <v>869</v>
      </c>
      <c r="J1191" s="4">
        <v>15.4984</v>
      </c>
      <c r="K1191" s="4">
        <v>15.2188</v>
      </c>
      <c r="L1191" s="4">
        <v>14.2849</v>
      </c>
      <c r="M1191" s="4">
        <f t="shared" si="73"/>
        <v>15.0007</v>
      </c>
      <c r="P1191" s="4" t="str">
        <f>"rrp-1"</f>
        <v>rrp-1</v>
      </c>
      <c r="Q1191" s="4">
        <v>14.6869482086188</v>
      </c>
      <c r="R1191" s="4">
        <v>14.7051195269656</v>
      </c>
      <c r="S1191" s="4">
        <v>14.472584251278599</v>
      </c>
      <c r="T1191" s="4">
        <f t="shared" si="74"/>
        <v>14.621550662287666</v>
      </c>
      <c r="W1191" s="4" t="str">
        <f>"exos-1"</f>
        <v>exos-1</v>
      </c>
      <c r="X1191" s="4">
        <v>14.702231334507299</v>
      </c>
      <c r="Y1191" s="4">
        <v>14.7859732289884</v>
      </c>
      <c r="Z1191" s="4">
        <v>14.6514389056758</v>
      </c>
      <c r="AA1191" s="4">
        <f t="shared" si="75"/>
        <v>14.713214489723834</v>
      </c>
    </row>
    <row r="1192" spans="2:27" x14ac:dyDescent="0.2">
      <c r="B1192" s="4" t="s">
        <v>3816</v>
      </c>
      <c r="C1192" s="4">
        <v>14.8993</v>
      </c>
      <c r="D1192" s="4">
        <v>15.387600000000001</v>
      </c>
      <c r="E1192" s="4">
        <v>14.692399999999999</v>
      </c>
      <c r="F1192" s="4">
        <f t="shared" si="72"/>
        <v>14.9931</v>
      </c>
      <c r="I1192" s="4" t="s">
        <v>1528</v>
      </c>
      <c r="J1192" s="4">
        <v>14.1546</v>
      </c>
      <c r="K1192" s="4">
        <v>14.686299999999999</v>
      </c>
      <c r="L1192" s="4">
        <v>16.156300000000002</v>
      </c>
      <c r="M1192" s="4">
        <f t="shared" si="73"/>
        <v>14.999066666666666</v>
      </c>
      <c r="P1192" s="4" t="str">
        <f>"xpb-1"</f>
        <v>xpb-1</v>
      </c>
      <c r="Q1192" s="4">
        <v>14.614376678400101</v>
      </c>
      <c r="R1192" s="4">
        <v>14.5896915691542</v>
      </c>
      <c r="S1192" s="4">
        <v>14.6490418438229</v>
      </c>
      <c r="T1192" s="4">
        <f t="shared" si="74"/>
        <v>14.617703363792401</v>
      </c>
      <c r="W1192" s="4" t="str">
        <f>"twf-2"</f>
        <v>twf-2</v>
      </c>
      <c r="X1192" s="4">
        <v>15.0191689450154</v>
      </c>
      <c r="Y1192" s="4">
        <v>14.720263160206001</v>
      </c>
      <c r="Z1192" s="4">
        <v>14.3886559453472</v>
      </c>
      <c r="AA1192" s="4">
        <f t="shared" si="75"/>
        <v>14.709362683522867</v>
      </c>
    </row>
    <row r="1193" spans="2:27" x14ac:dyDescent="0.2">
      <c r="B1193" s="4" t="s">
        <v>525</v>
      </c>
      <c r="C1193" s="4">
        <v>14.7803</v>
      </c>
      <c r="D1193" s="4">
        <v>15.2704</v>
      </c>
      <c r="E1193" s="4">
        <v>14.9285</v>
      </c>
      <c r="F1193" s="4">
        <f t="shared" si="72"/>
        <v>14.993066666666666</v>
      </c>
      <c r="I1193" s="4" t="s">
        <v>2514</v>
      </c>
      <c r="J1193" s="4">
        <v>14.883900000000001</v>
      </c>
      <c r="K1193" s="4">
        <v>15.1358</v>
      </c>
      <c r="L1193" s="4">
        <v>14.9763</v>
      </c>
      <c r="M1193" s="4">
        <f t="shared" si="73"/>
        <v>14.998666666666667</v>
      </c>
      <c r="P1193" s="4" t="str">
        <f>"rpa-1"</f>
        <v>rpa-1</v>
      </c>
      <c r="Q1193" s="4">
        <v>14.650283429446599</v>
      </c>
      <c r="R1193" s="4">
        <v>14.563361621920899</v>
      </c>
      <c r="S1193" s="4">
        <v>14.634788192723301</v>
      </c>
      <c r="T1193" s="4">
        <f t="shared" si="74"/>
        <v>14.616144414696933</v>
      </c>
      <c r="W1193" s="4" t="str">
        <f>"bca-1"</f>
        <v>bca-1</v>
      </c>
      <c r="X1193" s="4">
        <v>14.7938480461523</v>
      </c>
      <c r="Y1193" s="4">
        <v>14.5925322061745</v>
      </c>
      <c r="Z1193" s="4">
        <v>14.739025121140299</v>
      </c>
      <c r="AA1193" s="4">
        <f t="shared" si="75"/>
        <v>14.708468457822368</v>
      </c>
    </row>
    <row r="1194" spans="2:27" x14ac:dyDescent="0.2">
      <c r="B1194" s="4" t="s">
        <v>3052</v>
      </c>
      <c r="C1194" s="4">
        <v>15.079000000000001</v>
      </c>
      <c r="D1194" s="4">
        <v>14.9114</v>
      </c>
      <c r="E1194" s="4">
        <v>14.982799999999999</v>
      </c>
      <c r="F1194" s="4">
        <f t="shared" si="72"/>
        <v>14.991066666666667</v>
      </c>
      <c r="I1194" s="4" t="s">
        <v>1672</v>
      </c>
      <c r="J1194" s="4">
        <v>15.0754</v>
      </c>
      <c r="K1194" s="4">
        <v>15.076000000000001</v>
      </c>
      <c r="L1194" s="4">
        <v>14.841100000000001</v>
      </c>
      <c r="M1194" s="4">
        <f t="shared" si="73"/>
        <v>14.997500000000002</v>
      </c>
      <c r="P1194" s="4" t="str">
        <f>"T04G9.4"</f>
        <v>T04G9.4</v>
      </c>
      <c r="Q1194" s="4">
        <v>14.4713600503992</v>
      </c>
      <c r="R1194" s="4">
        <v>14.583507868319799</v>
      </c>
      <c r="S1194" s="4">
        <v>14.7767273510426</v>
      </c>
      <c r="T1194" s="4">
        <f t="shared" si="74"/>
        <v>14.6105317565872</v>
      </c>
      <c r="W1194" s="4" t="str">
        <f>"hbs-1"</f>
        <v>hbs-1</v>
      </c>
      <c r="X1194" s="4">
        <v>14.4565600022268</v>
      </c>
      <c r="Y1194" s="4">
        <v>14.874320575932099</v>
      </c>
      <c r="Z1194" s="4">
        <v>14.7943053013758</v>
      </c>
      <c r="AA1194" s="4">
        <f t="shared" si="75"/>
        <v>14.708395293178233</v>
      </c>
    </row>
    <row r="1195" spans="2:27" x14ac:dyDescent="0.2">
      <c r="B1195" s="4" t="s">
        <v>2479</v>
      </c>
      <c r="C1195" s="4">
        <v>15.0533</v>
      </c>
      <c r="D1195" s="4">
        <v>14.973699999999999</v>
      </c>
      <c r="E1195" s="4">
        <v>14.9442</v>
      </c>
      <c r="F1195" s="4">
        <f t="shared" si="72"/>
        <v>14.990400000000001</v>
      </c>
      <c r="I1195" s="4" t="s">
        <v>1033</v>
      </c>
      <c r="J1195" s="4">
        <v>15.0198</v>
      </c>
      <c r="K1195" s="4">
        <v>14.9986</v>
      </c>
      <c r="L1195" s="4">
        <v>14.973599999999999</v>
      </c>
      <c r="M1195" s="4">
        <f t="shared" si="73"/>
        <v>14.997333333333332</v>
      </c>
      <c r="P1195" s="4" t="str">
        <f>"rpn-11"</f>
        <v>rpn-11</v>
      </c>
      <c r="Q1195" s="4">
        <v>14.4824310206499</v>
      </c>
      <c r="R1195" s="4">
        <v>14.4932204175485</v>
      </c>
      <c r="S1195" s="4">
        <v>14.853671288193199</v>
      </c>
      <c r="T1195" s="4">
        <f t="shared" si="74"/>
        <v>14.609774242130532</v>
      </c>
      <c r="W1195" s="4" t="str">
        <f>"F54D5.7"</f>
        <v>F54D5.7</v>
      </c>
      <c r="X1195" s="4">
        <v>14.527422173390899</v>
      </c>
      <c r="Y1195" s="4">
        <v>14.4807097435984</v>
      </c>
      <c r="Z1195" s="4">
        <v>15.1090964319205</v>
      </c>
      <c r="AA1195" s="4">
        <f t="shared" si="75"/>
        <v>14.705742782969933</v>
      </c>
    </row>
    <row r="1196" spans="2:27" x14ac:dyDescent="0.2">
      <c r="B1196" s="4" t="s">
        <v>3203</v>
      </c>
      <c r="C1196" s="4">
        <v>14.8184</v>
      </c>
      <c r="D1196" s="4">
        <v>15.1592</v>
      </c>
      <c r="E1196" s="4">
        <v>14.993499999999999</v>
      </c>
      <c r="F1196" s="4">
        <f t="shared" si="72"/>
        <v>14.990366666666667</v>
      </c>
      <c r="I1196" s="4" t="s">
        <v>1856</v>
      </c>
      <c r="J1196" s="4">
        <v>15.0709</v>
      </c>
      <c r="K1196" s="4">
        <v>15.048400000000001</v>
      </c>
      <c r="L1196" s="4">
        <v>14.869400000000001</v>
      </c>
      <c r="M1196" s="4">
        <f t="shared" si="73"/>
        <v>14.996233333333334</v>
      </c>
      <c r="P1196" s="4" t="str">
        <f>"CTEL55X.1"</f>
        <v>CTEL55X.1</v>
      </c>
      <c r="Q1196" s="4">
        <v>14.2600532032584</v>
      </c>
      <c r="R1196" s="4">
        <v>14.8268787683387</v>
      </c>
      <c r="S1196" s="4">
        <v>14.740517250716699</v>
      </c>
      <c r="T1196" s="4">
        <f t="shared" si="74"/>
        <v>14.609149740771267</v>
      </c>
      <c r="W1196" s="4" t="str">
        <f>"C47E12.2"</f>
        <v>C47E12.2</v>
      </c>
      <c r="X1196" s="4">
        <v>14.6408162248969</v>
      </c>
      <c r="Y1196" s="4">
        <v>14.7331289219774</v>
      </c>
      <c r="Z1196" s="4">
        <v>14.7392053032452</v>
      </c>
      <c r="AA1196" s="4">
        <f t="shared" si="75"/>
        <v>14.704383483373165</v>
      </c>
    </row>
    <row r="1197" spans="2:27" x14ac:dyDescent="0.2">
      <c r="B1197" s="4" t="s">
        <v>1672</v>
      </c>
      <c r="C1197" s="4">
        <v>15.0457</v>
      </c>
      <c r="D1197" s="4">
        <v>15.082800000000001</v>
      </c>
      <c r="E1197" s="4">
        <v>14.839499999999999</v>
      </c>
      <c r="F1197" s="4">
        <f t="shared" si="72"/>
        <v>14.989333333333335</v>
      </c>
      <c r="I1197" s="4" t="s">
        <v>360</v>
      </c>
      <c r="J1197" s="4">
        <v>14.903</v>
      </c>
      <c r="K1197" s="4">
        <v>15.105499999999999</v>
      </c>
      <c r="L1197" s="4">
        <v>14.972</v>
      </c>
      <c r="M1197" s="4">
        <f t="shared" si="73"/>
        <v>14.993499999999999</v>
      </c>
      <c r="P1197" s="4" t="str">
        <f>"ZK1307.1"</f>
        <v>ZK1307.1</v>
      </c>
      <c r="Q1197" s="4">
        <v>14.8703694313866</v>
      </c>
      <c r="R1197" s="4">
        <v>14.4991805473221</v>
      </c>
      <c r="S1197" s="4">
        <v>14.45175987433</v>
      </c>
      <c r="T1197" s="4">
        <f t="shared" si="74"/>
        <v>14.607103284346232</v>
      </c>
      <c r="W1197" s="4" t="str">
        <f>"fdps-1"</f>
        <v>fdps-1</v>
      </c>
      <c r="X1197" s="4">
        <v>14.7907696591469</v>
      </c>
      <c r="Y1197" s="4">
        <v>14.6333967741444</v>
      </c>
      <c r="Z1197" s="4">
        <v>14.676108766637499</v>
      </c>
      <c r="AA1197" s="4">
        <f t="shared" si="75"/>
        <v>14.700091733309598</v>
      </c>
    </row>
    <row r="1198" spans="2:27" x14ac:dyDescent="0.2">
      <c r="B1198" s="4" t="s">
        <v>2114</v>
      </c>
      <c r="C1198" s="4">
        <v>14.9847</v>
      </c>
      <c r="D1198" s="4">
        <v>14.7295</v>
      </c>
      <c r="E1198" s="4">
        <v>15.2437</v>
      </c>
      <c r="F1198" s="4">
        <f t="shared" si="72"/>
        <v>14.985966666666664</v>
      </c>
      <c r="I1198" s="4" t="s">
        <v>3902</v>
      </c>
      <c r="J1198" s="4">
        <v>15.033200000000001</v>
      </c>
      <c r="K1198" s="4">
        <v>14.901400000000001</v>
      </c>
      <c r="L1198" s="4">
        <v>15.045500000000001</v>
      </c>
      <c r="M1198" s="4">
        <f t="shared" si="73"/>
        <v>14.993366666666669</v>
      </c>
      <c r="P1198" s="4" t="str">
        <f>"mrpl-39"</f>
        <v>mrpl-39</v>
      </c>
      <c r="Q1198" s="4">
        <v>14.680081557119101</v>
      </c>
      <c r="R1198" s="4">
        <v>14.572798171416901</v>
      </c>
      <c r="S1198" s="4">
        <v>14.565227224695301</v>
      </c>
      <c r="T1198" s="4">
        <f t="shared" si="74"/>
        <v>14.6060356510771</v>
      </c>
      <c r="W1198" s="4" t="str">
        <f>"irg-7"</f>
        <v>irg-7</v>
      </c>
      <c r="X1198" s="4">
        <v>15.7249804092313</v>
      </c>
      <c r="Y1198" s="4">
        <v>13.696314266436801</v>
      </c>
      <c r="Z1198" s="4">
        <v>14.6694659197112</v>
      </c>
      <c r="AA1198" s="4">
        <f t="shared" si="75"/>
        <v>14.696920198459766</v>
      </c>
    </row>
    <row r="1199" spans="2:27" x14ac:dyDescent="0.2">
      <c r="B1199" s="4" t="s">
        <v>3989</v>
      </c>
      <c r="C1199" s="4">
        <v>15.0657</v>
      </c>
      <c r="D1199" s="4">
        <v>14.668699999999999</v>
      </c>
      <c r="E1199" s="4">
        <v>15.2227</v>
      </c>
      <c r="F1199" s="4">
        <f t="shared" si="72"/>
        <v>14.9857</v>
      </c>
      <c r="I1199" s="4" t="s">
        <v>3722</v>
      </c>
      <c r="J1199" s="4">
        <v>15.108599999999999</v>
      </c>
      <c r="K1199" s="4">
        <v>14.893599999999999</v>
      </c>
      <c r="L1199" s="4">
        <v>14.9754</v>
      </c>
      <c r="M1199" s="4">
        <f t="shared" si="73"/>
        <v>14.992533333333332</v>
      </c>
      <c r="P1199" s="4" t="str">
        <f>"wdfy-3"</f>
        <v>wdfy-3</v>
      </c>
      <c r="Q1199" s="4">
        <v>14.7039767260275</v>
      </c>
      <c r="R1199" s="4">
        <v>14.591985764516799</v>
      </c>
      <c r="S1199" s="4">
        <v>14.5142562352254</v>
      </c>
      <c r="T1199" s="4">
        <f t="shared" si="74"/>
        <v>14.603406241923233</v>
      </c>
      <c r="W1199" s="4" t="str">
        <f>"hipr-1"</f>
        <v>hipr-1</v>
      </c>
      <c r="X1199" s="4">
        <v>14.7344799984707</v>
      </c>
      <c r="Y1199" s="4">
        <v>14.8232925508945</v>
      </c>
      <c r="Z1199" s="4">
        <v>14.5276186145457</v>
      </c>
      <c r="AA1199" s="4">
        <f t="shared" si="75"/>
        <v>14.6951303879703</v>
      </c>
    </row>
    <row r="1200" spans="2:27" x14ac:dyDescent="0.2">
      <c r="B1200" s="4" t="s">
        <v>3289</v>
      </c>
      <c r="C1200" s="4">
        <v>15.1591</v>
      </c>
      <c r="D1200" s="4">
        <v>14.8797</v>
      </c>
      <c r="E1200" s="4">
        <v>14.908799999999999</v>
      </c>
      <c r="F1200" s="4">
        <f t="shared" si="72"/>
        <v>14.982533333333334</v>
      </c>
      <c r="I1200" s="4" t="s">
        <v>3144</v>
      </c>
      <c r="J1200" s="4">
        <v>15.2119</v>
      </c>
      <c r="K1200" s="4">
        <v>15.025399999999999</v>
      </c>
      <c r="L1200" s="4">
        <v>14.732799999999999</v>
      </c>
      <c r="M1200" s="4">
        <f t="shared" si="73"/>
        <v>14.990033333333331</v>
      </c>
      <c r="P1200" s="4" t="str">
        <f>"C33A12.1"</f>
        <v>C33A12.1</v>
      </c>
      <c r="Q1200" s="4">
        <v>14.736610098507001</v>
      </c>
      <c r="R1200" s="4">
        <v>14.4889315872436</v>
      </c>
      <c r="S1200" s="4">
        <v>14.5734543863799</v>
      </c>
      <c r="T1200" s="4">
        <f t="shared" si="74"/>
        <v>14.599665357376834</v>
      </c>
      <c r="W1200" s="4" t="str">
        <f>"daf-15"</f>
        <v>daf-15</v>
      </c>
      <c r="X1200" s="4">
        <v>14.424725343645701</v>
      </c>
      <c r="Y1200" s="4">
        <v>14.8631105266701</v>
      </c>
      <c r="Z1200" s="4">
        <v>14.792536021735099</v>
      </c>
      <c r="AA1200" s="4">
        <f t="shared" si="75"/>
        <v>14.693457297350301</v>
      </c>
    </row>
    <row r="1201" spans="2:27" x14ac:dyDescent="0.2">
      <c r="B1201" s="4" t="s">
        <v>1154</v>
      </c>
      <c r="C1201" s="4">
        <v>15.261200000000001</v>
      </c>
      <c r="D1201" s="4">
        <v>14.7669</v>
      </c>
      <c r="E1201" s="4">
        <v>14.894500000000001</v>
      </c>
      <c r="F1201" s="4">
        <f t="shared" si="72"/>
        <v>14.974200000000002</v>
      </c>
      <c r="I1201" s="4" t="s">
        <v>698</v>
      </c>
      <c r="J1201" s="4">
        <v>14.8504</v>
      </c>
      <c r="K1201" s="4">
        <v>15.120900000000001</v>
      </c>
      <c r="L1201" s="4">
        <v>14.9955</v>
      </c>
      <c r="M1201" s="4">
        <f t="shared" si="73"/>
        <v>14.988933333333334</v>
      </c>
      <c r="P1201" s="4" t="str">
        <f>"dhs-25"</f>
        <v>dhs-25</v>
      </c>
      <c r="Q1201" s="4">
        <v>14.5933632998184</v>
      </c>
      <c r="R1201" s="4">
        <v>14.633300054821399</v>
      </c>
      <c r="S1201" s="4">
        <v>14.5647673924444</v>
      </c>
      <c r="T1201" s="4">
        <f t="shared" si="74"/>
        <v>14.597143582361399</v>
      </c>
      <c r="W1201" s="4" t="str">
        <f>"F25E2.2"</f>
        <v>F25E2.2</v>
      </c>
      <c r="X1201" s="4">
        <v>14.8865384180014</v>
      </c>
      <c r="Y1201" s="4">
        <v>14.711221616623799</v>
      </c>
      <c r="Z1201" s="4">
        <v>14.4815924855268</v>
      </c>
      <c r="AA1201" s="4">
        <f t="shared" si="75"/>
        <v>14.693117506717334</v>
      </c>
    </row>
    <row r="1202" spans="2:27" x14ac:dyDescent="0.2">
      <c r="B1202" s="4" t="s">
        <v>1316</v>
      </c>
      <c r="C1202" s="4">
        <v>14.7521</v>
      </c>
      <c r="D1202" s="4">
        <v>15.1731</v>
      </c>
      <c r="E1202" s="4">
        <v>14.9925</v>
      </c>
      <c r="F1202" s="4">
        <f t="shared" si="72"/>
        <v>14.972566666666665</v>
      </c>
      <c r="I1202" s="4" t="s">
        <v>3287</v>
      </c>
      <c r="J1202" s="4">
        <v>15.0351</v>
      </c>
      <c r="K1202" s="4">
        <v>14.8756</v>
      </c>
      <c r="L1202" s="4">
        <v>15.054399999999999</v>
      </c>
      <c r="M1202" s="4">
        <f t="shared" si="73"/>
        <v>14.988366666666666</v>
      </c>
      <c r="P1202" s="4" t="str">
        <f>"pes-4"</f>
        <v>pes-4</v>
      </c>
      <c r="Q1202" s="4">
        <v>14.6586549441858</v>
      </c>
      <c r="R1202" s="4">
        <v>14.401754130132501</v>
      </c>
      <c r="S1202" s="4">
        <v>14.7296809851678</v>
      </c>
      <c r="T1202" s="4">
        <f t="shared" si="74"/>
        <v>14.596696686495369</v>
      </c>
      <c r="W1202" s="4" t="str">
        <f>"pad-1"</f>
        <v>pad-1</v>
      </c>
      <c r="X1202" s="4">
        <v>14.6627454194661</v>
      </c>
      <c r="Y1202" s="4">
        <v>14.752532980952999</v>
      </c>
      <c r="Z1202" s="4">
        <v>14.6604639605436</v>
      </c>
      <c r="AA1202" s="4">
        <f t="shared" si="75"/>
        <v>14.6919141203209</v>
      </c>
    </row>
    <row r="1203" spans="2:27" x14ac:dyDescent="0.2">
      <c r="B1203" s="4" t="s">
        <v>1217</v>
      </c>
      <c r="C1203" s="4">
        <v>15.0998</v>
      </c>
      <c r="D1203" s="4">
        <v>14.762700000000001</v>
      </c>
      <c r="E1203" s="4">
        <v>15.0526</v>
      </c>
      <c r="F1203" s="4">
        <f t="shared" si="72"/>
        <v>14.9717</v>
      </c>
      <c r="I1203" s="4" t="s">
        <v>2608</v>
      </c>
      <c r="J1203" s="4">
        <v>14.804500000000001</v>
      </c>
      <c r="K1203" s="4">
        <v>15.215199999999999</v>
      </c>
      <c r="L1203" s="4">
        <v>14.931100000000001</v>
      </c>
      <c r="M1203" s="4">
        <f t="shared" si="73"/>
        <v>14.983600000000001</v>
      </c>
      <c r="P1203" s="4" t="str">
        <f>"gex-2"</f>
        <v>gex-2</v>
      </c>
      <c r="Q1203" s="4">
        <v>14.496156778152001</v>
      </c>
      <c r="R1203" s="4">
        <v>14.768813125852301</v>
      </c>
      <c r="S1203" s="4">
        <v>14.517065776131901</v>
      </c>
      <c r="T1203" s="4">
        <f t="shared" si="74"/>
        <v>14.594011893378735</v>
      </c>
      <c r="W1203" s="4" t="str">
        <f>"glh-4"</f>
        <v>glh-4</v>
      </c>
      <c r="X1203" s="4">
        <v>14.885157974303</v>
      </c>
      <c r="Y1203" s="4">
        <v>14.7019538950534</v>
      </c>
      <c r="Z1203" s="4">
        <v>14.480791429220799</v>
      </c>
      <c r="AA1203" s="4">
        <f t="shared" si="75"/>
        <v>14.689301099525734</v>
      </c>
    </row>
    <row r="1204" spans="2:27" x14ac:dyDescent="0.2">
      <c r="B1204" s="4" t="s">
        <v>1865</v>
      </c>
      <c r="C1204" s="4">
        <v>15.0924</v>
      </c>
      <c r="D1204" s="4">
        <v>16.063500000000001</v>
      </c>
      <c r="E1204" s="4">
        <v>13.7502</v>
      </c>
      <c r="F1204" s="4">
        <f t="shared" si="72"/>
        <v>14.9687</v>
      </c>
      <c r="I1204" s="4" t="s">
        <v>3730</v>
      </c>
      <c r="J1204" s="4">
        <v>15.111800000000001</v>
      </c>
      <c r="K1204" s="4">
        <v>14.7963</v>
      </c>
      <c r="L1204" s="4">
        <v>15.0412</v>
      </c>
      <c r="M1204" s="4">
        <f t="shared" si="73"/>
        <v>14.9831</v>
      </c>
      <c r="P1204" s="4" t="str">
        <f>"nlp-31"</f>
        <v>nlp-31</v>
      </c>
      <c r="Q1204" s="4">
        <v>14.638315998169199</v>
      </c>
      <c r="R1204" s="4">
        <v>14.3543328216363</v>
      </c>
      <c r="S1204" s="4">
        <v>14.785742959759901</v>
      </c>
      <c r="T1204" s="4">
        <f t="shared" si="74"/>
        <v>14.592797259855132</v>
      </c>
      <c r="W1204" s="4" t="str">
        <f>"F46B6.6"</f>
        <v>F46B6.6</v>
      </c>
      <c r="X1204" s="4">
        <v>14.4553253916375</v>
      </c>
      <c r="Y1204" s="4">
        <v>14.736856380005699</v>
      </c>
      <c r="Z1204" s="4">
        <v>14.859070386249901</v>
      </c>
      <c r="AA1204" s="4">
        <f t="shared" si="75"/>
        <v>14.6837507192977</v>
      </c>
    </row>
    <row r="1205" spans="2:27" x14ac:dyDescent="0.2">
      <c r="B1205" s="4" t="s">
        <v>7</v>
      </c>
      <c r="C1205" s="4">
        <v>14.848599999999999</v>
      </c>
      <c r="D1205" s="4">
        <v>15.4346</v>
      </c>
      <c r="E1205" s="4">
        <v>14.620799999999999</v>
      </c>
      <c r="F1205" s="4">
        <f t="shared" si="72"/>
        <v>14.967999999999998</v>
      </c>
      <c r="I1205" s="4" t="s">
        <v>2472</v>
      </c>
      <c r="J1205" s="4">
        <v>14.821899999999999</v>
      </c>
      <c r="K1205" s="4">
        <v>14.9139</v>
      </c>
      <c r="L1205" s="4">
        <v>15.210699999999999</v>
      </c>
      <c r="M1205" s="4">
        <f t="shared" si="73"/>
        <v>14.982166666666666</v>
      </c>
      <c r="P1205" s="4" t="str">
        <f>"rpac-40"</f>
        <v>rpac-40</v>
      </c>
      <c r="Q1205" s="4">
        <v>14.6971640428635</v>
      </c>
      <c r="R1205" s="4">
        <v>14.5835005192476</v>
      </c>
      <c r="S1205" s="4">
        <v>14.497360634497401</v>
      </c>
      <c r="T1205" s="4">
        <f t="shared" si="74"/>
        <v>14.592675065536165</v>
      </c>
      <c r="W1205" s="4" t="str">
        <f>"pud-1.2"</f>
        <v>pud-1.2</v>
      </c>
      <c r="X1205" s="4">
        <v>14.6021327413407</v>
      </c>
      <c r="Y1205" s="4">
        <v>14.8583462191927</v>
      </c>
      <c r="Z1205" s="4">
        <v>14.588520753843699</v>
      </c>
      <c r="AA1205" s="4">
        <f t="shared" si="75"/>
        <v>14.682999904792368</v>
      </c>
    </row>
    <row r="1206" spans="2:27" x14ac:dyDescent="0.2">
      <c r="B1206" s="4" t="s">
        <v>2189</v>
      </c>
      <c r="C1206" s="4">
        <v>14.9137</v>
      </c>
      <c r="D1206" s="4">
        <v>15.1408</v>
      </c>
      <c r="E1206" s="4">
        <v>14.8459</v>
      </c>
      <c r="F1206" s="4">
        <f t="shared" si="72"/>
        <v>14.966800000000001</v>
      </c>
      <c r="I1206" s="4" t="s">
        <v>3998</v>
      </c>
      <c r="J1206" s="4">
        <v>15.2051</v>
      </c>
      <c r="K1206" s="4">
        <v>15.1799</v>
      </c>
      <c r="L1206" s="4">
        <v>14.561400000000001</v>
      </c>
      <c r="M1206" s="4">
        <f t="shared" si="73"/>
        <v>14.982133333333332</v>
      </c>
      <c r="P1206" s="4" t="str">
        <f>"arf-6"</f>
        <v>arf-6</v>
      </c>
      <c r="Q1206" s="4">
        <v>14.6981657737156</v>
      </c>
      <c r="R1206" s="4">
        <v>14.6869970294038</v>
      </c>
      <c r="S1206" s="4">
        <v>14.3894780833686</v>
      </c>
      <c r="T1206" s="4">
        <f t="shared" si="74"/>
        <v>14.591546962162667</v>
      </c>
      <c r="W1206" s="4" t="str">
        <f>"math-33"</f>
        <v>math-33</v>
      </c>
      <c r="X1206" s="4">
        <v>14.761995490894</v>
      </c>
      <c r="Y1206" s="4">
        <v>14.4917740456952</v>
      </c>
      <c r="Z1206" s="4">
        <v>14.794637818509299</v>
      </c>
      <c r="AA1206" s="4">
        <f t="shared" si="75"/>
        <v>14.6828024516995</v>
      </c>
    </row>
    <row r="1207" spans="2:27" x14ac:dyDescent="0.2">
      <c r="B1207" s="4" t="s">
        <v>53</v>
      </c>
      <c r="C1207" s="4">
        <v>14.820399999999999</v>
      </c>
      <c r="D1207" s="4">
        <v>15.0031</v>
      </c>
      <c r="E1207" s="4">
        <v>15.0747</v>
      </c>
      <c r="F1207" s="4">
        <f t="shared" si="72"/>
        <v>14.966066666666668</v>
      </c>
      <c r="I1207" s="4" t="s">
        <v>443</v>
      </c>
      <c r="J1207" s="4">
        <v>15.0021</v>
      </c>
      <c r="K1207" s="4">
        <v>15.103</v>
      </c>
      <c r="L1207" s="4">
        <v>14.8329</v>
      </c>
      <c r="M1207" s="4">
        <f t="shared" si="73"/>
        <v>14.979333333333335</v>
      </c>
      <c r="P1207" s="4" t="str">
        <f>"fld-1"</f>
        <v>fld-1</v>
      </c>
      <c r="Q1207" s="4">
        <v>14.6147111794618</v>
      </c>
      <c r="R1207" s="4">
        <v>14.426744541940201</v>
      </c>
      <c r="S1207" s="4">
        <v>14.7304899690255</v>
      </c>
      <c r="T1207" s="4">
        <f t="shared" si="74"/>
        <v>14.590648563475833</v>
      </c>
      <c r="W1207" s="4" t="str">
        <f>"nkb-1"</f>
        <v>nkb-1</v>
      </c>
      <c r="X1207" s="4">
        <v>14.446917647641801</v>
      </c>
      <c r="Y1207" s="4">
        <v>14.759631586477999</v>
      </c>
      <c r="Z1207" s="4">
        <v>14.838915164023099</v>
      </c>
      <c r="AA1207" s="4">
        <f t="shared" si="75"/>
        <v>14.681821466047632</v>
      </c>
    </row>
    <row r="1208" spans="2:27" x14ac:dyDescent="0.2">
      <c r="B1208" s="4" t="s">
        <v>2498</v>
      </c>
      <c r="C1208" s="4">
        <v>14.8629</v>
      </c>
      <c r="D1208" s="4">
        <v>15.143599999999999</v>
      </c>
      <c r="E1208" s="4">
        <v>14.880699999999999</v>
      </c>
      <c r="F1208" s="4">
        <f t="shared" si="72"/>
        <v>14.962400000000001</v>
      </c>
      <c r="I1208" s="4" t="s">
        <v>4654</v>
      </c>
      <c r="J1208" s="4">
        <v>15.3811</v>
      </c>
      <c r="K1208" s="4">
        <v>14.989100000000001</v>
      </c>
      <c r="L1208" s="4">
        <v>14.567399999999999</v>
      </c>
      <c r="M1208" s="4">
        <f t="shared" si="73"/>
        <v>14.979200000000001</v>
      </c>
      <c r="P1208" s="4" t="str">
        <f>"fbxl-1"</f>
        <v>fbxl-1</v>
      </c>
      <c r="Q1208" s="4">
        <v>14.554977211826801</v>
      </c>
      <c r="R1208" s="4">
        <v>14.6007125200482</v>
      </c>
      <c r="S1208" s="4">
        <v>14.5782431103672</v>
      </c>
      <c r="T1208" s="4">
        <f t="shared" si="74"/>
        <v>14.577977614080732</v>
      </c>
      <c r="W1208" s="4" t="str">
        <f>"coq-5"</f>
        <v>coq-5</v>
      </c>
      <c r="X1208" s="4">
        <v>14.442381723143299</v>
      </c>
      <c r="Y1208" s="4">
        <v>14.6775365552518</v>
      </c>
      <c r="Z1208" s="4">
        <v>14.919844354184599</v>
      </c>
      <c r="AA1208" s="4">
        <f t="shared" si="75"/>
        <v>14.679920877526564</v>
      </c>
    </row>
    <row r="1209" spans="2:27" x14ac:dyDescent="0.2">
      <c r="B1209" s="4" t="s">
        <v>1339</v>
      </c>
      <c r="C1209" s="4">
        <v>14.565899999999999</v>
      </c>
      <c r="D1209" s="4">
        <v>15.6637</v>
      </c>
      <c r="E1209" s="4">
        <v>14.6517</v>
      </c>
      <c r="F1209" s="4">
        <f t="shared" si="72"/>
        <v>14.960433333333333</v>
      </c>
      <c r="I1209" s="4" t="s">
        <v>2513</v>
      </c>
      <c r="J1209" s="4">
        <v>15.079499999999999</v>
      </c>
      <c r="K1209" s="4">
        <v>14.716100000000001</v>
      </c>
      <c r="L1209" s="4">
        <v>15.1387</v>
      </c>
      <c r="M1209" s="4">
        <f t="shared" si="73"/>
        <v>14.9781</v>
      </c>
      <c r="P1209" s="4" t="str">
        <f>"aqp-10"</f>
        <v>aqp-10</v>
      </c>
      <c r="Q1209" s="4">
        <v>13.848239261034699</v>
      </c>
      <c r="R1209" s="4">
        <v>14.763303518215301</v>
      </c>
      <c r="S1209" s="4">
        <v>15.1174806619322</v>
      </c>
      <c r="T1209" s="4">
        <f t="shared" si="74"/>
        <v>14.576341147060733</v>
      </c>
      <c r="W1209" s="4" t="str">
        <f>"sec-5"</f>
        <v>sec-5</v>
      </c>
      <c r="X1209" s="4">
        <v>14.6490160650776</v>
      </c>
      <c r="Y1209" s="4">
        <v>14.6396012105627</v>
      </c>
      <c r="Z1209" s="4">
        <v>14.7462622619374</v>
      </c>
      <c r="AA1209" s="4">
        <f t="shared" si="75"/>
        <v>14.678293179192565</v>
      </c>
    </row>
    <row r="1210" spans="2:27" x14ac:dyDescent="0.2">
      <c r="B1210" s="4" t="s">
        <v>3453</v>
      </c>
      <c r="C1210" s="4">
        <v>14.9438</v>
      </c>
      <c r="D1210" s="4">
        <v>14.7956</v>
      </c>
      <c r="E1210" s="4">
        <v>15.1386</v>
      </c>
      <c r="F1210" s="4">
        <f t="shared" si="72"/>
        <v>14.959333333333333</v>
      </c>
      <c r="I1210" s="4" t="s">
        <v>3629</v>
      </c>
      <c r="J1210" s="4">
        <v>15.314399999999999</v>
      </c>
      <c r="K1210" s="4">
        <v>15.0662</v>
      </c>
      <c r="L1210" s="4">
        <v>14.55</v>
      </c>
      <c r="M1210" s="4">
        <f t="shared" si="73"/>
        <v>14.976866666666666</v>
      </c>
      <c r="P1210" s="4" t="str">
        <f>"perm-3"</f>
        <v>perm-3</v>
      </c>
      <c r="Q1210" s="4">
        <v>14.6107084959629</v>
      </c>
      <c r="R1210" s="4">
        <v>14.586606776479</v>
      </c>
      <c r="S1210" s="4">
        <v>14.523701665912199</v>
      </c>
      <c r="T1210" s="4">
        <f t="shared" si="74"/>
        <v>14.5736723127847</v>
      </c>
      <c r="W1210" s="4" t="str">
        <f>"perm-3"</f>
        <v>perm-3</v>
      </c>
      <c r="X1210" s="4">
        <v>14.811170682268401</v>
      </c>
      <c r="Y1210" s="4">
        <v>14.815148679141</v>
      </c>
      <c r="Z1210" s="4">
        <v>14.406152568642399</v>
      </c>
      <c r="AA1210" s="4">
        <f t="shared" si="75"/>
        <v>14.6774906433506</v>
      </c>
    </row>
    <row r="1211" spans="2:27" x14ac:dyDescent="0.2">
      <c r="B1211" s="4" t="s">
        <v>3896</v>
      </c>
      <c r="C1211" s="4">
        <v>15.4709</v>
      </c>
      <c r="D1211" s="4">
        <v>14.172700000000001</v>
      </c>
      <c r="E1211" s="4">
        <v>15.216799999999999</v>
      </c>
      <c r="F1211" s="4">
        <f t="shared" si="72"/>
        <v>14.953466666666666</v>
      </c>
      <c r="I1211" s="4" t="s">
        <v>162</v>
      </c>
      <c r="J1211" s="4">
        <v>15.095800000000001</v>
      </c>
      <c r="K1211" s="4">
        <v>15.093400000000001</v>
      </c>
      <c r="L1211" s="4">
        <v>14.741300000000001</v>
      </c>
      <c r="M1211" s="4">
        <f t="shared" si="73"/>
        <v>14.976833333333333</v>
      </c>
      <c r="P1211" s="4" t="str">
        <f>"T26C12.1"</f>
        <v>T26C12.1</v>
      </c>
      <c r="Q1211" s="4">
        <v>14.4781398972024</v>
      </c>
      <c r="R1211" s="4">
        <v>14.5351459997958</v>
      </c>
      <c r="S1211" s="4">
        <v>14.7073746548337</v>
      </c>
      <c r="T1211" s="4">
        <f t="shared" si="74"/>
        <v>14.573553517277299</v>
      </c>
      <c r="W1211" s="4" t="str">
        <f>"ger-1"</f>
        <v>ger-1</v>
      </c>
      <c r="X1211" s="4">
        <v>14.744956020015501</v>
      </c>
      <c r="Y1211" s="4">
        <v>14.8124753766068</v>
      </c>
      <c r="Z1211" s="4">
        <v>14.4648069963617</v>
      </c>
      <c r="AA1211" s="4">
        <f t="shared" si="75"/>
        <v>14.674079464328001</v>
      </c>
    </row>
    <row r="1212" spans="2:27" x14ac:dyDescent="0.2">
      <c r="B1212" s="4" t="s">
        <v>3685</v>
      </c>
      <c r="C1212" s="4">
        <v>15.167</v>
      </c>
      <c r="D1212" s="4">
        <v>14.7303</v>
      </c>
      <c r="E1212" s="4">
        <v>14.9589</v>
      </c>
      <c r="F1212" s="4">
        <f t="shared" si="72"/>
        <v>14.952066666666667</v>
      </c>
      <c r="I1212" s="4" t="s">
        <v>3123</v>
      </c>
      <c r="J1212" s="4">
        <v>15.037599999999999</v>
      </c>
      <c r="K1212" s="4">
        <v>14.9224</v>
      </c>
      <c r="L1212" s="4">
        <v>14.9626</v>
      </c>
      <c r="M1212" s="4">
        <f t="shared" si="73"/>
        <v>14.974200000000002</v>
      </c>
      <c r="P1212" s="4" t="str">
        <f>"plst-1"</f>
        <v>plst-1</v>
      </c>
      <c r="Q1212" s="4">
        <v>14.325680214397799</v>
      </c>
      <c r="R1212" s="4">
        <v>14.634197666101601</v>
      </c>
      <c r="S1212" s="4">
        <v>14.755838354578</v>
      </c>
      <c r="T1212" s="4">
        <f t="shared" si="74"/>
        <v>14.571905411692464</v>
      </c>
      <c r="W1212" s="4" t="str">
        <f>"H20J04.9"</f>
        <v>H20J04.9</v>
      </c>
      <c r="X1212" s="4">
        <v>14.4285469562945</v>
      </c>
      <c r="Y1212" s="4">
        <v>14.752309201678001</v>
      </c>
      <c r="Z1212" s="4">
        <v>14.841306567394501</v>
      </c>
      <c r="AA1212" s="4">
        <f t="shared" si="75"/>
        <v>14.674054241788999</v>
      </c>
    </row>
    <row r="1213" spans="2:27" x14ac:dyDescent="0.2">
      <c r="B1213" s="4" t="s">
        <v>1480</v>
      </c>
      <c r="C1213" s="4">
        <v>14.8881</v>
      </c>
      <c r="D1213" s="4">
        <v>15.105499999999999</v>
      </c>
      <c r="E1213" s="4">
        <v>14.854100000000001</v>
      </c>
      <c r="F1213" s="4">
        <f t="shared" si="72"/>
        <v>14.949233333333334</v>
      </c>
      <c r="I1213" s="4" t="s">
        <v>2601</v>
      </c>
      <c r="J1213" s="4">
        <v>15.0092</v>
      </c>
      <c r="K1213" s="4">
        <v>15.2966</v>
      </c>
      <c r="L1213" s="4">
        <v>14.615600000000001</v>
      </c>
      <c r="M1213" s="4">
        <f t="shared" si="73"/>
        <v>14.973799999999999</v>
      </c>
      <c r="P1213" s="4" t="str">
        <f>"psd-1"</f>
        <v>psd-1</v>
      </c>
      <c r="Q1213" s="4">
        <v>14.5804239758492</v>
      </c>
      <c r="R1213" s="4">
        <v>14.486382077480901</v>
      </c>
      <c r="S1213" s="4">
        <v>14.647860492768199</v>
      </c>
      <c r="T1213" s="4">
        <f t="shared" si="74"/>
        <v>14.5715555153661</v>
      </c>
      <c r="W1213" s="4" t="str">
        <f>"F28H1.4"</f>
        <v>F28H1.4</v>
      </c>
      <c r="X1213" s="4">
        <v>14.4138225695011</v>
      </c>
      <c r="Y1213" s="4">
        <v>14.8242383646503</v>
      </c>
      <c r="Z1213" s="4">
        <v>14.775046067068001</v>
      </c>
      <c r="AA1213" s="4">
        <f t="shared" si="75"/>
        <v>14.671035667073133</v>
      </c>
    </row>
    <row r="1214" spans="2:27" x14ac:dyDescent="0.2">
      <c r="B1214" s="4" t="s">
        <v>1014</v>
      </c>
      <c r="C1214" s="4">
        <v>14.6943</v>
      </c>
      <c r="D1214" s="4">
        <v>15.139200000000001</v>
      </c>
      <c r="E1214" s="4">
        <v>15.0069</v>
      </c>
      <c r="F1214" s="4">
        <f t="shared" si="72"/>
        <v>14.946800000000001</v>
      </c>
      <c r="I1214" s="4" t="s">
        <v>3816</v>
      </c>
      <c r="J1214" s="4">
        <v>15.122</v>
      </c>
      <c r="K1214" s="4">
        <v>14.9177</v>
      </c>
      <c r="L1214" s="4">
        <v>14.879099999999999</v>
      </c>
      <c r="M1214" s="4">
        <f t="shared" si="73"/>
        <v>14.972933333333332</v>
      </c>
      <c r="P1214" s="4" t="str">
        <f>"npp-19"</f>
        <v>npp-19</v>
      </c>
      <c r="Q1214" s="4">
        <v>14.5332472516289</v>
      </c>
      <c r="R1214" s="4">
        <v>14.4335433474496</v>
      </c>
      <c r="S1214" s="4">
        <v>14.7433093084866</v>
      </c>
      <c r="T1214" s="4">
        <f t="shared" si="74"/>
        <v>14.570033302521701</v>
      </c>
      <c r="W1214" s="4" t="str">
        <f>"tofu-6"</f>
        <v>tofu-6</v>
      </c>
      <c r="X1214" s="4">
        <v>14.7975713960593</v>
      </c>
      <c r="Y1214" s="4">
        <v>14.686679392557901</v>
      </c>
      <c r="Z1214" s="4">
        <v>14.5269090579247</v>
      </c>
      <c r="AA1214" s="4">
        <f t="shared" si="75"/>
        <v>14.670386615513967</v>
      </c>
    </row>
    <row r="1215" spans="2:27" x14ac:dyDescent="0.2">
      <c r="B1215" s="4" t="s">
        <v>3445</v>
      </c>
      <c r="C1215" s="4">
        <v>15.414199999999999</v>
      </c>
      <c r="D1215" s="4">
        <v>14.7379</v>
      </c>
      <c r="E1215" s="4">
        <v>14.683199999999999</v>
      </c>
      <c r="F1215" s="4">
        <f t="shared" si="72"/>
        <v>14.945099999999998</v>
      </c>
      <c r="I1215" s="4" t="s">
        <v>3870</v>
      </c>
      <c r="J1215" s="4">
        <v>15.104799999999999</v>
      </c>
      <c r="K1215" s="4">
        <v>15.1473</v>
      </c>
      <c r="L1215" s="4">
        <v>14.6648</v>
      </c>
      <c r="M1215" s="4">
        <f t="shared" si="73"/>
        <v>14.972299999999999</v>
      </c>
      <c r="P1215" s="4" t="str">
        <f>"emc-6"</f>
        <v>emc-6</v>
      </c>
      <c r="Q1215" s="4">
        <v>14.578035529190201</v>
      </c>
      <c r="R1215" s="4">
        <v>14.5352553003013</v>
      </c>
      <c r="S1215" s="4">
        <v>14.585927164911901</v>
      </c>
      <c r="T1215" s="4">
        <f t="shared" si="74"/>
        <v>14.566405998134465</v>
      </c>
      <c r="W1215" s="4" t="str">
        <f>"twk-1"</f>
        <v>twk-1</v>
      </c>
      <c r="X1215" s="4">
        <v>14.890547711048001</v>
      </c>
      <c r="Y1215" s="4">
        <v>14.7400079735704</v>
      </c>
      <c r="Z1215" s="4">
        <v>14.3801004249376</v>
      </c>
      <c r="AA1215" s="4">
        <f t="shared" si="75"/>
        <v>14.670218703185334</v>
      </c>
    </row>
    <row r="1216" spans="2:27" x14ac:dyDescent="0.2">
      <c r="B1216" s="4" t="s">
        <v>1609</v>
      </c>
      <c r="C1216" s="4">
        <v>15.068899999999999</v>
      </c>
      <c r="D1216" s="4">
        <v>14.7569</v>
      </c>
      <c r="E1216" s="4">
        <v>15.006399999999999</v>
      </c>
      <c r="F1216" s="4">
        <f t="shared" si="72"/>
        <v>14.944066666666666</v>
      </c>
      <c r="I1216" s="4" t="s">
        <v>1438</v>
      </c>
      <c r="J1216" s="4">
        <v>15.3725</v>
      </c>
      <c r="K1216" s="4">
        <v>14.430999999999999</v>
      </c>
      <c r="L1216" s="4">
        <v>15.0779</v>
      </c>
      <c r="M1216" s="4">
        <f t="shared" si="73"/>
        <v>14.960466666666667</v>
      </c>
      <c r="P1216" s="4" t="str">
        <f>"T25G3.3"</f>
        <v>T25G3.3</v>
      </c>
      <c r="Q1216" s="4">
        <v>14.4518144359334</v>
      </c>
      <c r="R1216" s="4">
        <v>14.5595577120224</v>
      </c>
      <c r="S1216" s="4">
        <v>14.683873522140701</v>
      </c>
      <c r="T1216" s="4">
        <f t="shared" si="74"/>
        <v>14.565081890032166</v>
      </c>
      <c r="W1216" s="4" t="str">
        <f>"H05C05.1"</f>
        <v>H05C05.1</v>
      </c>
      <c r="X1216" s="4">
        <v>14.6987401569392</v>
      </c>
      <c r="Y1216" s="4">
        <v>14.833101418857501</v>
      </c>
      <c r="Z1216" s="4">
        <v>14.468233374846699</v>
      </c>
      <c r="AA1216" s="4">
        <f t="shared" si="75"/>
        <v>14.666691650214467</v>
      </c>
    </row>
    <row r="1217" spans="2:27" x14ac:dyDescent="0.2">
      <c r="B1217" s="4" t="s">
        <v>842</v>
      </c>
      <c r="C1217" s="4">
        <v>14.854699999999999</v>
      </c>
      <c r="D1217" s="4">
        <v>14.932700000000001</v>
      </c>
      <c r="E1217" s="4">
        <v>15.041499999999999</v>
      </c>
      <c r="F1217" s="4">
        <f t="shared" si="72"/>
        <v>14.942966666666665</v>
      </c>
      <c r="I1217" s="4" t="s">
        <v>1059</v>
      </c>
      <c r="J1217" s="4">
        <v>15.083500000000001</v>
      </c>
      <c r="K1217" s="4">
        <v>14.531599999999999</v>
      </c>
      <c r="L1217" s="4">
        <v>15.2623</v>
      </c>
      <c r="M1217" s="4">
        <f t="shared" si="73"/>
        <v>14.959133333333332</v>
      </c>
      <c r="P1217" s="4" t="str">
        <f>"dig-1"</f>
        <v>dig-1</v>
      </c>
      <c r="Q1217" s="4">
        <v>14.779712554949301</v>
      </c>
      <c r="R1217" s="4">
        <v>14.3053043857349</v>
      </c>
      <c r="S1217" s="4">
        <v>14.606572105041201</v>
      </c>
      <c r="T1217" s="4">
        <f t="shared" si="74"/>
        <v>14.5638630152418</v>
      </c>
      <c r="W1217" s="4" t="str">
        <f>"acs-21"</f>
        <v>acs-21</v>
      </c>
      <c r="X1217" s="4">
        <v>14.458008571297301</v>
      </c>
      <c r="Y1217" s="4">
        <v>14.572308760346599</v>
      </c>
      <c r="Z1217" s="4">
        <v>14.9697155407701</v>
      </c>
      <c r="AA1217" s="4">
        <f t="shared" si="75"/>
        <v>14.666677624137998</v>
      </c>
    </row>
    <row r="1218" spans="2:27" x14ac:dyDescent="0.2">
      <c r="B1218" s="4" t="s">
        <v>738</v>
      </c>
      <c r="C1218" s="4">
        <v>14.6831</v>
      </c>
      <c r="D1218" s="4">
        <v>15.587</v>
      </c>
      <c r="E1218" s="4">
        <v>14.5542</v>
      </c>
      <c r="F1218" s="4">
        <f t="shared" ref="F1218:F1281" si="76">(C1218+D1218+E1218)/3</f>
        <v>14.941433333333334</v>
      </c>
      <c r="I1218" s="4" t="s">
        <v>3504</v>
      </c>
      <c r="J1218" s="4">
        <v>14.764200000000001</v>
      </c>
      <c r="K1218" s="4">
        <v>15.0657</v>
      </c>
      <c r="L1218" s="4">
        <v>15.0444</v>
      </c>
      <c r="M1218" s="4">
        <f t="shared" ref="M1218:M1281" si="77">(J1218+K1218+L1218)/3</f>
        <v>14.958100000000002</v>
      </c>
      <c r="P1218" s="4" t="str">
        <f>"cyn-1"</f>
        <v>cyn-1</v>
      </c>
      <c r="Q1218" s="4">
        <v>14.657149868293899</v>
      </c>
      <c r="R1218" s="4">
        <v>14.470939973108299</v>
      </c>
      <c r="S1218" s="4">
        <v>14.559842418485999</v>
      </c>
      <c r="T1218" s="4">
        <f t="shared" ref="T1218:T1281" si="78">(Q1218+R1218+S1218)/3</f>
        <v>14.562644086629399</v>
      </c>
      <c r="W1218" s="4" t="str">
        <f>"hrpu-2"</f>
        <v>hrpu-2</v>
      </c>
      <c r="X1218" s="4">
        <v>14.3912112133356</v>
      </c>
      <c r="Y1218" s="4">
        <v>14.8165752592347</v>
      </c>
      <c r="Z1218" s="4">
        <v>14.789493240480899</v>
      </c>
      <c r="AA1218" s="4">
        <f t="shared" ref="AA1218:AA1281" si="79">(X1218+Y1218+Z1218)/3</f>
        <v>14.6657599043504</v>
      </c>
    </row>
    <row r="1219" spans="2:27" x14ac:dyDescent="0.2">
      <c r="B1219" s="4" t="s">
        <v>4005</v>
      </c>
      <c r="C1219" s="4">
        <v>15.0487</v>
      </c>
      <c r="D1219" s="4">
        <v>14.9122</v>
      </c>
      <c r="E1219" s="4">
        <v>14.863200000000001</v>
      </c>
      <c r="F1219" s="4">
        <f t="shared" si="76"/>
        <v>14.941366666666667</v>
      </c>
      <c r="I1219" s="4" t="s">
        <v>3442</v>
      </c>
      <c r="J1219" s="4">
        <v>15.1671</v>
      </c>
      <c r="K1219" s="4">
        <v>14.9823</v>
      </c>
      <c r="L1219" s="4">
        <v>14.7224</v>
      </c>
      <c r="M1219" s="4">
        <f t="shared" si="77"/>
        <v>14.957266666666667</v>
      </c>
      <c r="P1219" s="4" t="str">
        <f>"F38B6.4"</f>
        <v>F38B6.4</v>
      </c>
      <c r="Q1219" s="4">
        <v>14.4780243748418</v>
      </c>
      <c r="R1219" s="4">
        <v>14.6519626223449</v>
      </c>
      <c r="S1219" s="4">
        <v>14.539046904058599</v>
      </c>
      <c r="T1219" s="4">
        <f t="shared" si="78"/>
        <v>14.556344633748433</v>
      </c>
      <c r="W1219" s="4" t="str">
        <f>"trr-1"</f>
        <v>trr-1</v>
      </c>
      <c r="X1219" s="4">
        <v>14.738356674792</v>
      </c>
      <c r="Y1219" s="4">
        <v>14.698997465393299</v>
      </c>
      <c r="Z1219" s="4">
        <v>14.5589689015885</v>
      </c>
      <c r="AA1219" s="4">
        <f t="shared" si="79"/>
        <v>14.6654410139246</v>
      </c>
    </row>
    <row r="1220" spans="2:27" x14ac:dyDescent="0.2">
      <c r="B1220" s="4" t="s">
        <v>2577</v>
      </c>
      <c r="C1220" s="4">
        <v>14.8177</v>
      </c>
      <c r="D1220" s="4">
        <v>14.9397</v>
      </c>
      <c r="E1220" s="4">
        <v>15.0656</v>
      </c>
      <c r="F1220" s="4">
        <f t="shared" si="76"/>
        <v>14.941000000000001</v>
      </c>
      <c r="I1220" s="4" t="s">
        <v>1475</v>
      </c>
      <c r="J1220" s="4">
        <v>14.7111</v>
      </c>
      <c r="K1220" s="4">
        <v>14.5527</v>
      </c>
      <c r="L1220" s="4">
        <v>15.606299999999999</v>
      </c>
      <c r="M1220" s="4">
        <f t="shared" si="77"/>
        <v>14.9567</v>
      </c>
      <c r="P1220" s="4" t="str">
        <f>"let-858"</f>
        <v>let-858</v>
      </c>
      <c r="Q1220" s="4">
        <v>14.594233801173401</v>
      </c>
      <c r="R1220" s="4">
        <v>14.6362013825144</v>
      </c>
      <c r="S1220" s="4">
        <v>14.4383294506382</v>
      </c>
      <c r="T1220" s="4">
        <f t="shared" si="78"/>
        <v>14.556254878108668</v>
      </c>
      <c r="W1220" s="4" t="str">
        <f>"scc-2"</f>
        <v>scc-2</v>
      </c>
      <c r="X1220" s="4">
        <v>14.629854979567</v>
      </c>
      <c r="Y1220" s="4">
        <v>14.6179860968874</v>
      </c>
      <c r="Z1220" s="4">
        <v>14.7412423597253</v>
      </c>
      <c r="AA1220" s="4">
        <f t="shared" si="79"/>
        <v>14.6630278120599</v>
      </c>
    </row>
    <row r="1221" spans="2:27" x14ac:dyDescent="0.2">
      <c r="B1221" s="4" t="s">
        <v>3639</v>
      </c>
      <c r="C1221" s="4">
        <v>14.859500000000001</v>
      </c>
      <c r="D1221" s="4">
        <v>15.3004</v>
      </c>
      <c r="E1221" s="4">
        <v>14.637</v>
      </c>
      <c r="F1221" s="4">
        <f t="shared" si="76"/>
        <v>14.9323</v>
      </c>
      <c r="I1221" s="4" t="s">
        <v>3213</v>
      </c>
      <c r="J1221" s="4">
        <v>15.012499999999999</v>
      </c>
      <c r="K1221" s="4">
        <v>14.7356</v>
      </c>
      <c r="L1221" s="4">
        <v>15.117599999999999</v>
      </c>
      <c r="M1221" s="4">
        <f t="shared" si="77"/>
        <v>14.955233333333334</v>
      </c>
      <c r="P1221" s="4" t="str">
        <f>"ubc-9"</f>
        <v>ubc-9</v>
      </c>
      <c r="Q1221" s="4">
        <v>14.388717119276199</v>
      </c>
      <c r="R1221" s="4">
        <v>14.5912660223276</v>
      </c>
      <c r="S1221" s="4">
        <v>14.681357007007801</v>
      </c>
      <c r="T1221" s="4">
        <f t="shared" si="78"/>
        <v>14.553780049537201</v>
      </c>
      <c r="W1221" s="4" t="str">
        <f>"csn-3"</f>
        <v>csn-3</v>
      </c>
      <c r="X1221" s="4">
        <v>14.702517487008899</v>
      </c>
      <c r="Y1221" s="4">
        <v>14.658843655848999</v>
      </c>
      <c r="Z1221" s="4">
        <v>14.6274884074789</v>
      </c>
      <c r="AA1221" s="4">
        <f t="shared" si="79"/>
        <v>14.662949850112264</v>
      </c>
    </row>
    <row r="1222" spans="2:27" x14ac:dyDescent="0.2">
      <c r="B1222" s="4" t="s">
        <v>4031</v>
      </c>
      <c r="C1222" s="4">
        <v>14.6866</v>
      </c>
      <c r="D1222" s="4">
        <v>14.8963</v>
      </c>
      <c r="E1222" s="4">
        <v>15.2128</v>
      </c>
      <c r="F1222" s="4">
        <f t="shared" si="76"/>
        <v>14.931900000000001</v>
      </c>
      <c r="I1222" s="4" t="s">
        <v>2693</v>
      </c>
      <c r="J1222" s="4">
        <v>15.2041</v>
      </c>
      <c r="K1222" s="4">
        <v>15.0845</v>
      </c>
      <c r="L1222" s="4">
        <v>14.571400000000001</v>
      </c>
      <c r="M1222" s="4">
        <f t="shared" si="77"/>
        <v>14.953333333333333</v>
      </c>
      <c r="P1222" s="4" t="str">
        <f>"mtg-1"</f>
        <v>mtg-1</v>
      </c>
      <c r="Q1222" s="4">
        <v>14.8223153171286</v>
      </c>
      <c r="R1222" s="4">
        <v>14.3825735257074</v>
      </c>
      <c r="S1222" s="4">
        <v>14.4551288611306</v>
      </c>
      <c r="T1222" s="4">
        <f t="shared" si="78"/>
        <v>14.553339234655533</v>
      </c>
      <c r="W1222" s="4" t="str">
        <f>"rod-1"</f>
        <v>rod-1</v>
      </c>
      <c r="X1222" s="4">
        <v>14.947010807893299</v>
      </c>
      <c r="Y1222" s="4">
        <v>14.5773042269202</v>
      </c>
      <c r="Z1222" s="4">
        <v>14.4626199489757</v>
      </c>
      <c r="AA1222" s="4">
        <f t="shared" si="79"/>
        <v>14.662311661263066</v>
      </c>
    </row>
    <row r="1223" spans="2:27" x14ac:dyDescent="0.2">
      <c r="B1223" s="4" t="s">
        <v>2606</v>
      </c>
      <c r="C1223" s="4">
        <v>15.1578</v>
      </c>
      <c r="D1223" s="4">
        <v>14.8887</v>
      </c>
      <c r="E1223" s="4">
        <v>14.7437</v>
      </c>
      <c r="F1223" s="4">
        <f t="shared" si="76"/>
        <v>14.930066666666667</v>
      </c>
      <c r="I1223" s="4" t="s">
        <v>3305</v>
      </c>
      <c r="J1223" s="4">
        <v>14.786</v>
      </c>
      <c r="K1223" s="4">
        <v>15.1517</v>
      </c>
      <c r="L1223" s="4">
        <v>14.912100000000001</v>
      </c>
      <c r="M1223" s="4">
        <f t="shared" si="77"/>
        <v>14.949933333333334</v>
      </c>
      <c r="P1223" s="4" t="str">
        <f>"etc-1"</f>
        <v>etc-1</v>
      </c>
      <c r="Q1223" s="4">
        <v>14.671526972093799</v>
      </c>
      <c r="R1223" s="4">
        <v>14.4945664597925</v>
      </c>
      <c r="S1223" s="4">
        <v>14.487144594028299</v>
      </c>
      <c r="T1223" s="4">
        <f t="shared" si="78"/>
        <v>14.551079341971532</v>
      </c>
      <c r="W1223" s="4" t="str">
        <f>"cogc-4"</f>
        <v>cogc-4</v>
      </c>
      <c r="X1223" s="4">
        <v>14.681656589066099</v>
      </c>
      <c r="Y1223" s="4">
        <v>14.7480993588876</v>
      </c>
      <c r="Z1223" s="4">
        <v>14.556960310991499</v>
      </c>
      <c r="AA1223" s="4">
        <f t="shared" si="79"/>
        <v>14.662238752981734</v>
      </c>
    </row>
    <row r="1224" spans="2:27" x14ac:dyDescent="0.2">
      <c r="B1224" s="4" t="s">
        <v>4657</v>
      </c>
      <c r="C1224" s="4">
        <v>15.3957</v>
      </c>
      <c r="D1224" s="4">
        <v>14.6677</v>
      </c>
      <c r="E1224" s="4">
        <v>14.726000000000001</v>
      </c>
      <c r="F1224" s="4">
        <f t="shared" si="76"/>
        <v>14.9298</v>
      </c>
      <c r="I1224" s="4" t="s">
        <v>4664</v>
      </c>
      <c r="J1224" s="4">
        <v>15.005800000000001</v>
      </c>
      <c r="K1224" s="4">
        <v>15.0296</v>
      </c>
      <c r="L1224" s="4">
        <v>14.8142</v>
      </c>
      <c r="M1224" s="4">
        <f t="shared" si="77"/>
        <v>14.949866666666667</v>
      </c>
      <c r="P1224" s="4" t="str">
        <f>"tald-1"</f>
        <v>tald-1</v>
      </c>
      <c r="Q1224" s="4">
        <v>14.6669961976013</v>
      </c>
      <c r="R1224" s="4">
        <v>14.313533833669799</v>
      </c>
      <c r="S1224" s="4">
        <v>14.6462427079778</v>
      </c>
      <c r="T1224" s="4">
        <f t="shared" si="78"/>
        <v>14.542257579749633</v>
      </c>
      <c r="W1224" s="4" t="str">
        <f>"acly-1"</f>
        <v>acly-1</v>
      </c>
      <c r="X1224" s="4">
        <v>14.676018469287699</v>
      </c>
      <c r="Y1224" s="4">
        <v>14.5288231831434</v>
      </c>
      <c r="Z1224" s="4">
        <v>14.776921769342501</v>
      </c>
      <c r="AA1224" s="4">
        <f t="shared" si="79"/>
        <v>14.660587807257867</v>
      </c>
    </row>
    <row r="1225" spans="2:27" x14ac:dyDescent="0.2">
      <c r="B1225" s="4" t="s">
        <v>3164</v>
      </c>
      <c r="C1225" s="4">
        <v>15.0319</v>
      </c>
      <c r="D1225" s="4">
        <v>15.2424</v>
      </c>
      <c r="E1225" s="4">
        <v>14.5114</v>
      </c>
      <c r="F1225" s="4">
        <f t="shared" si="76"/>
        <v>14.928566666666667</v>
      </c>
      <c r="I1225" s="4" t="s">
        <v>3242</v>
      </c>
      <c r="J1225" s="4">
        <v>14.8741</v>
      </c>
      <c r="K1225" s="4">
        <v>15.099299999999999</v>
      </c>
      <c r="L1225" s="4">
        <v>14.866199999999999</v>
      </c>
      <c r="M1225" s="4">
        <f t="shared" si="77"/>
        <v>14.946533333333333</v>
      </c>
      <c r="P1225" s="4" t="str">
        <f>"C50F4.1"</f>
        <v>C50F4.1</v>
      </c>
      <c r="Q1225" s="4">
        <v>14.5390087817393</v>
      </c>
      <c r="R1225" s="4">
        <v>14.5200011770344</v>
      </c>
      <c r="S1225" s="4">
        <v>14.562935493790899</v>
      </c>
      <c r="T1225" s="4">
        <f t="shared" si="78"/>
        <v>14.540648484188202</v>
      </c>
      <c r="W1225" s="4" t="str">
        <f>"F23B12.7"</f>
        <v>F23B12.7</v>
      </c>
      <c r="X1225" s="4">
        <v>14.545545884105101</v>
      </c>
      <c r="Y1225" s="4">
        <v>14.7046677112134</v>
      </c>
      <c r="Z1225" s="4">
        <v>14.7283720616471</v>
      </c>
      <c r="AA1225" s="4">
        <f t="shared" si="79"/>
        <v>14.659528552321866</v>
      </c>
    </row>
    <row r="1226" spans="2:27" x14ac:dyDescent="0.2">
      <c r="B1226" s="4" t="s">
        <v>3779</v>
      </c>
      <c r="C1226" s="4">
        <v>14.753399999999999</v>
      </c>
      <c r="D1226" s="4">
        <v>15.2897</v>
      </c>
      <c r="E1226" s="4">
        <v>14.7424</v>
      </c>
      <c r="F1226" s="4">
        <f t="shared" si="76"/>
        <v>14.9285</v>
      </c>
      <c r="I1226" s="4" t="s">
        <v>2960</v>
      </c>
      <c r="J1226" s="4">
        <v>15.105</v>
      </c>
      <c r="K1226" s="4">
        <v>14.6691</v>
      </c>
      <c r="L1226" s="4">
        <v>15.0601</v>
      </c>
      <c r="M1226" s="4">
        <f t="shared" si="77"/>
        <v>14.944733333333334</v>
      </c>
      <c r="P1226" s="4" t="str">
        <f>"sec-5"</f>
        <v>sec-5</v>
      </c>
      <c r="Q1226" s="4">
        <v>14.5598130501751</v>
      </c>
      <c r="R1226" s="4">
        <v>14.6151296552168</v>
      </c>
      <c r="S1226" s="4">
        <v>14.444983948253199</v>
      </c>
      <c r="T1226" s="4">
        <f t="shared" si="78"/>
        <v>14.539975551215031</v>
      </c>
      <c r="W1226" s="4" t="str">
        <f>"prmt-9"</f>
        <v>prmt-9</v>
      </c>
      <c r="X1226" s="4">
        <v>14.8023757716785</v>
      </c>
      <c r="Y1226" s="4">
        <v>14.543044293199801</v>
      </c>
      <c r="Z1226" s="4">
        <v>14.627989217351301</v>
      </c>
      <c r="AA1226" s="4">
        <f t="shared" si="79"/>
        <v>14.657803094076534</v>
      </c>
    </row>
    <row r="1227" spans="2:27" x14ac:dyDescent="0.2">
      <c r="B1227" s="4" t="s">
        <v>2560</v>
      </c>
      <c r="C1227" s="4">
        <v>14.8462</v>
      </c>
      <c r="D1227" s="4">
        <v>15.090199999999999</v>
      </c>
      <c r="E1227" s="4">
        <v>14.8444</v>
      </c>
      <c r="F1227" s="4">
        <f t="shared" si="76"/>
        <v>14.926933333333332</v>
      </c>
      <c r="I1227" s="4" t="s">
        <v>314</v>
      </c>
      <c r="J1227" s="4">
        <v>15.1471</v>
      </c>
      <c r="K1227" s="4">
        <v>15.0502</v>
      </c>
      <c r="L1227" s="4">
        <v>14.618</v>
      </c>
      <c r="M1227" s="4">
        <f t="shared" si="77"/>
        <v>14.938433333333334</v>
      </c>
      <c r="P1227" s="4" t="str">
        <f>"slc-25a21"</f>
        <v>slc-25a21</v>
      </c>
      <c r="Q1227" s="4">
        <v>14.3512309856517</v>
      </c>
      <c r="R1227" s="4">
        <v>14.5820585952619</v>
      </c>
      <c r="S1227" s="4">
        <v>14.6828892635803</v>
      </c>
      <c r="T1227" s="4">
        <f t="shared" si="78"/>
        <v>14.538726281497967</v>
      </c>
      <c r="W1227" s="4" t="str">
        <f>"pcf-11"</f>
        <v>pcf-11</v>
      </c>
      <c r="X1227" s="4">
        <v>14.926984587192701</v>
      </c>
      <c r="Y1227" s="4">
        <v>14.778926297999901</v>
      </c>
      <c r="Z1227" s="4">
        <v>14.2628928041478</v>
      </c>
      <c r="AA1227" s="4">
        <f t="shared" si="79"/>
        <v>14.656267896446801</v>
      </c>
    </row>
    <row r="1228" spans="2:27" x14ac:dyDescent="0.2">
      <c r="B1228" s="4" t="s">
        <v>4665</v>
      </c>
      <c r="C1228" s="4">
        <v>15.5647</v>
      </c>
      <c r="D1228" s="4">
        <v>14.731199999999999</v>
      </c>
      <c r="E1228" s="4">
        <v>14.4825</v>
      </c>
      <c r="F1228" s="4">
        <f t="shared" si="76"/>
        <v>14.926133333333333</v>
      </c>
      <c r="I1228" s="4" t="s">
        <v>4665</v>
      </c>
      <c r="J1228" s="4">
        <v>15.0063</v>
      </c>
      <c r="K1228" s="4">
        <v>14.716100000000001</v>
      </c>
      <c r="L1228" s="4">
        <v>15.0916</v>
      </c>
      <c r="M1228" s="4">
        <f t="shared" si="77"/>
        <v>14.938000000000001</v>
      </c>
      <c r="P1228" s="4" t="str">
        <f>"czw-1"</f>
        <v>czw-1</v>
      </c>
      <c r="Q1228" s="4">
        <v>14.239365497699101</v>
      </c>
      <c r="R1228" s="4">
        <v>14.7209371183394</v>
      </c>
      <c r="S1228" s="4">
        <v>14.6555792842868</v>
      </c>
      <c r="T1228" s="4">
        <f t="shared" si="78"/>
        <v>14.538627300108432</v>
      </c>
      <c r="W1228" s="4" t="str">
        <f>"ZK1307.1"</f>
        <v>ZK1307.1</v>
      </c>
      <c r="X1228" s="4">
        <v>14.4903649339221</v>
      </c>
      <c r="Y1228" s="4">
        <v>14.5112861995235</v>
      </c>
      <c r="Z1228" s="4">
        <v>14.957803587935899</v>
      </c>
      <c r="AA1228" s="4">
        <f t="shared" si="79"/>
        <v>14.653151573793833</v>
      </c>
    </row>
    <row r="1229" spans="2:27" x14ac:dyDescent="0.2">
      <c r="B1229" s="4" t="s">
        <v>2351</v>
      </c>
      <c r="C1229" s="4">
        <v>14.698399999999999</v>
      </c>
      <c r="D1229" s="4">
        <v>15.0619</v>
      </c>
      <c r="E1229" s="4">
        <v>15.0166</v>
      </c>
      <c r="F1229" s="4">
        <f t="shared" si="76"/>
        <v>14.925633333333332</v>
      </c>
      <c r="I1229" s="4" t="s">
        <v>3782</v>
      </c>
      <c r="J1229" s="4">
        <v>14.870200000000001</v>
      </c>
      <c r="K1229" s="4">
        <v>14.959199999999999</v>
      </c>
      <c r="L1229" s="4">
        <v>14.976100000000001</v>
      </c>
      <c r="M1229" s="4">
        <f t="shared" si="77"/>
        <v>14.935166666666667</v>
      </c>
      <c r="P1229" s="4" t="str">
        <f>"K10C3.4"</f>
        <v>K10C3.4</v>
      </c>
      <c r="Q1229" s="4">
        <v>14.555942867921599</v>
      </c>
      <c r="R1229" s="4">
        <v>14.4822784891927</v>
      </c>
      <c r="S1229" s="4">
        <v>14.574759600427599</v>
      </c>
      <c r="T1229" s="4">
        <f t="shared" si="78"/>
        <v>14.537660319180633</v>
      </c>
      <c r="W1229" s="4" t="str">
        <f>"tftc-1"</f>
        <v>tftc-1</v>
      </c>
      <c r="X1229" s="4">
        <v>14.588043095881901</v>
      </c>
      <c r="Y1229" s="4">
        <v>14.702575560123501</v>
      </c>
      <c r="Z1229" s="4">
        <v>14.664698447185501</v>
      </c>
      <c r="AA1229" s="4">
        <f t="shared" si="79"/>
        <v>14.651772367730301</v>
      </c>
    </row>
    <row r="1230" spans="2:27" x14ac:dyDescent="0.2">
      <c r="B1230" s="4" t="s">
        <v>2350</v>
      </c>
      <c r="C1230" s="4">
        <v>14.909599999999999</v>
      </c>
      <c r="D1230" s="4">
        <v>14.751899999999999</v>
      </c>
      <c r="E1230" s="4">
        <v>15.1151</v>
      </c>
      <c r="F1230" s="4">
        <f t="shared" si="76"/>
        <v>14.925533333333332</v>
      </c>
      <c r="I1230" s="4" t="s">
        <v>163</v>
      </c>
      <c r="J1230" s="4">
        <v>15.116899999999999</v>
      </c>
      <c r="K1230" s="4">
        <v>14.916</v>
      </c>
      <c r="L1230" s="4">
        <v>14.772</v>
      </c>
      <c r="M1230" s="4">
        <f t="shared" si="77"/>
        <v>14.934966666666666</v>
      </c>
      <c r="P1230" s="4" t="str">
        <f>"C14C10.5"</f>
        <v>C14C10.5</v>
      </c>
      <c r="Q1230" s="4">
        <v>14.3352091852298</v>
      </c>
      <c r="R1230" s="4">
        <v>14.5622331730772</v>
      </c>
      <c r="S1230" s="4">
        <v>14.7151561441057</v>
      </c>
      <c r="T1230" s="4">
        <f t="shared" si="78"/>
        <v>14.537532834137567</v>
      </c>
      <c r="W1230" s="4" t="str">
        <f>"ykt-6"</f>
        <v>ykt-6</v>
      </c>
      <c r="X1230" s="4">
        <v>14.8341453696329</v>
      </c>
      <c r="Y1230" s="4">
        <v>14.6188977749421</v>
      </c>
      <c r="Z1230" s="4">
        <v>14.4992371842535</v>
      </c>
      <c r="AA1230" s="4">
        <f t="shared" si="79"/>
        <v>14.6507601096095</v>
      </c>
    </row>
    <row r="1231" spans="2:27" x14ac:dyDescent="0.2">
      <c r="B1231" s="4" t="s">
        <v>1243</v>
      </c>
      <c r="C1231" s="4">
        <v>15.0604</v>
      </c>
      <c r="D1231" s="4">
        <v>14.7544</v>
      </c>
      <c r="E1231" s="4">
        <v>14.960100000000001</v>
      </c>
      <c r="F1231" s="4">
        <f t="shared" si="76"/>
        <v>14.924966666666668</v>
      </c>
      <c r="I1231" s="4" t="s">
        <v>842</v>
      </c>
      <c r="J1231" s="4">
        <v>14.980499999999999</v>
      </c>
      <c r="K1231" s="4">
        <v>14.8139</v>
      </c>
      <c r="L1231" s="4">
        <v>15.0082</v>
      </c>
      <c r="M1231" s="4">
        <f t="shared" si="77"/>
        <v>14.934199999999999</v>
      </c>
      <c r="P1231" s="4" t="str">
        <f>"tba-5"</f>
        <v>tba-5</v>
      </c>
      <c r="Q1231" s="4">
        <v>14.754359103537199</v>
      </c>
      <c r="R1231" s="4">
        <v>14.510416579170901</v>
      </c>
      <c r="S1231" s="4">
        <v>14.3392432810121</v>
      </c>
      <c r="T1231" s="4">
        <f t="shared" si="78"/>
        <v>14.534672987906733</v>
      </c>
      <c r="W1231" s="4" t="str">
        <f>"dcap-1"</f>
        <v>dcap-1</v>
      </c>
      <c r="X1231" s="4">
        <v>14.838765340027001</v>
      </c>
      <c r="Y1231" s="4">
        <v>14.6352950699853</v>
      </c>
      <c r="Z1231" s="4">
        <v>14.4746773514483</v>
      </c>
      <c r="AA1231" s="4">
        <f t="shared" si="79"/>
        <v>14.6495792538202</v>
      </c>
    </row>
    <row r="1232" spans="2:27" x14ac:dyDescent="0.2">
      <c r="B1232" s="4" t="s">
        <v>2232</v>
      </c>
      <c r="C1232" s="4">
        <v>14.9976</v>
      </c>
      <c r="D1232" s="4">
        <v>14.9885</v>
      </c>
      <c r="E1232" s="4">
        <v>14.7879</v>
      </c>
      <c r="F1232" s="4">
        <f t="shared" si="76"/>
        <v>14.924666666666667</v>
      </c>
      <c r="I1232" s="4" t="s">
        <v>2315</v>
      </c>
      <c r="J1232" s="4">
        <v>14.9671</v>
      </c>
      <c r="K1232" s="4">
        <v>14.84</v>
      </c>
      <c r="L1232" s="4">
        <v>14.9937</v>
      </c>
      <c r="M1232" s="4">
        <f t="shared" si="77"/>
        <v>14.933599999999998</v>
      </c>
      <c r="P1232" s="4" t="str">
        <f>"T13H5.1"</f>
        <v>T13H5.1</v>
      </c>
      <c r="Q1232" s="4">
        <v>14.919905633012799</v>
      </c>
      <c r="R1232" s="4">
        <v>14.4247421534387</v>
      </c>
      <c r="S1232" s="4">
        <v>14.2562384916097</v>
      </c>
      <c r="T1232" s="4">
        <f t="shared" si="78"/>
        <v>14.533628759353732</v>
      </c>
      <c r="W1232" s="4" t="str">
        <f>"haly-1"</f>
        <v>haly-1</v>
      </c>
      <c r="X1232" s="4">
        <v>14.8252771944969</v>
      </c>
      <c r="Y1232" s="4">
        <v>14.685896835490601</v>
      </c>
      <c r="Z1232" s="4">
        <v>14.4348934232573</v>
      </c>
      <c r="AA1232" s="4">
        <f t="shared" si="79"/>
        <v>14.6486891510816</v>
      </c>
    </row>
    <row r="1233" spans="2:27" x14ac:dyDescent="0.2">
      <c r="B1233" s="4" t="s">
        <v>666</v>
      </c>
      <c r="C1233" s="4">
        <v>15.1067</v>
      </c>
      <c r="D1233" s="4">
        <v>14.9336</v>
      </c>
      <c r="E1233" s="4">
        <v>14.727399999999999</v>
      </c>
      <c r="F1233" s="4">
        <f t="shared" si="76"/>
        <v>14.922566666666668</v>
      </c>
      <c r="I1233" s="4" t="s">
        <v>3389</v>
      </c>
      <c r="J1233" s="4">
        <v>14.732100000000001</v>
      </c>
      <c r="K1233" s="4">
        <v>14.824199999999999</v>
      </c>
      <c r="L1233" s="4">
        <v>15.240600000000001</v>
      </c>
      <c r="M1233" s="4">
        <f t="shared" si="77"/>
        <v>14.9323</v>
      </c>
      <c r="P1233" s="4" t="str">
        <f>"F23C8.5"</f>
        <v>F23C8.5</v>
      </c>
      <c r="Q1233" s="4">
        <v>15.036042472185599</v>
      </c>
      <c r="R1233" s="4">
        <v>14.374152093874899</v>
      </c>
      <c r="S1233" s="4">
        <v>14.1892413469487</v>
      </c>
      <c r="T1233" s="4">
        <f t="shared" si="78"/>
        <v>14.533145304336399</v>
      </c>
      <c r="W1233" s="4" t="str">
        <f>"gmps-1"</f>
        <v>gmps-1</v>
      </c>
      <c r="X1233" s="4">
        <v>14.5231419192239</v>
      </c>
      <c r="Y1233" s="4">
        <v>14.817542629552401</v>
      </c>
      <c r="Z1233" s="4">
        <v>14.600264463015201</v>
      </c>
      <c r="AA1233" s="4">
        <f t="shared" si="79"/>
        <v>14.646983003930501</v>
      </c>
    </row>
    <row r="1234" spans="2:27" x14ac:dyDescent="0.2">
      <c r="B1234" s="4" t="s">
        <v>2249</v>
      </c>
      <c r="C1234" s="4">
        <v>14.988099999999999</v>
      </c>
      <c r="D1234" s="4">
        <v>14.9947</v>
      </c>
      <c r="E1234" s="4">
        <v>14.7821</v>
      </c>
      <c r="F1234" s="4">
        <f t="shared" si="76"/>
        <v>14.921633333333332</v>
      </c>
      <c r="I1234" s="4" t="s">
        <v>1402</v>
      </c>
      <c r="J1234" s="4">
        <v>15.262</v>
      </c>
      <c r="K1234" s="4">
        <v>14.742000000000001</v>
      </c>
      <c r="L1234" s="4">
        <v>14.792</v>
      </c>
      <c r="M1234" s="4">
        <f t="shared" si="77"/>
        <v>14.932</v>
      </c>
      <c r="P1234" s="4" t="str">
        <f>"unc-27"</f>
        <v>unc-27</v>
      </c>
      <c r="Q1234" s="4">
        <v>14.2869116512587</v>
      </c>
      <c r="R1234" s="4">
        <v>14.6993458663576</v>
      </c>
      <c r="S1234" s="4">
        <v>14.6092096616155</v>
      </c>
      <c r="T1234" s="4">
        <f t="shared" si="78"/>
        <v>14.531822393077269</v>
      </c>
      <c r="W1234" s="4" t="str">
        <f>"Y54E10A.11"</f>
        <v>Y54E10A.11</v>
      </c>
      <c r="X1234" s="4">
        <v>14.656298861284901</v>
      </c>
      <c r="Y1234" s="4">
        <v>14.638137091927399</v>
      </c>
      <c r="Z1234" s="4">
        <v>14.643900505114001</v>
      </c>
      <c r="AA1234" s="4">
        <f t="shared" si="79"/>
        <v>14.646112152775435</v>
      </c>
    </row>
    <row r="1235" spans="2:27" x14ac:dyDescent="0.2">
      <c r="B1235" s="4" t="s">
        <v>4666</v>
      </c>
      <c r="C1235" s="4">
        <v>14.724299999999999</v>
      </c>
      <c r="D1235" s="4">
        <v>15.148099999999999</v>
      </c>
      <c r="E1235" s="4">
        <v>14.892200000000001</v>
      </c>
      <c r="F1235" s="4">
        <f t="shared" si="76"/>
        <v>14.921533333333334</v>
      </c>
      <c r="I1235" s="4" t="s">
        <v>3589</v>
      </c>
      <c r="J1235" s="4">
        <v>14.9755</v>
      </c>
      <c r="K1235" s="4">
        <v>14.9641</v>
      </c>
      <c r="L1235" s="4">
        <v>14.855700000000001</v>
      </c>
      <c r="M1235" s="4">
        <f t="shared" si="77"/>
        <v>14.931766666666666</v>
      </c>
      <c r="P1235" s="4" t="str">
        <f>"vps-26"</f>
        <v>vps-26</v>
      </c>
      <c r="Q1235" s="4">
        <v>14.504668588856299</v>
      </c>
      <c r="R1235" s="4">
        <v>14.321874074557501</v>
      </c>
      <c r="S1235" s="4">
        <v>14.768062460784799</v>
      </c>
      <c r="T1235" s="4">
        <f t="shared" si="78"/>
        <v>14.531535041399534</v>
      </c>
      <c r="W1235" s="4" t="str">
        <f>"F38B6.4"</f>
        <v>F38B6.4</v>
      </c>
      <c r="X1235" s="4">
        <v>14.608958461503301</v>
      </c>
      <c r="Y1235" s="4">
        <v>14.784645171942101</v>
      </c>
      <c r="Z1235" s="4">
        <v>14.5404809025326</v>
      </c>
      <c r="AA1235" s="4">
        <f t="shared" si="79"/>
        <v>14.644694845326001</v>
      </c>
    </row>
    <row r="1236" spans="2:27" x14ac:dyDescent="0.2">
      <c r="B1236" s="4" t="s">
        <v>2164</v>
      </c>
      <c r="C1236" s="4">
        <v>14.8459</v>
      </c>
      <c r="D1236" s="4">
        <v>15.607200000000001</v>
      </c>
      <c r="E1236" s="4">
        <v>14.3093</v>
      </c>
      <c r="F1236" s="4">
        <f t="shared" si="76"/>
        <v>14.9208</v>
      </c>
      <c r="I1236" s="4" t="s">
        <v>1760</v>
      </c>
      <c r="J1236" s="4">
        <v>14.9976</v>
      </c>
      <c r="K1236" s="4">
        <v>15.059200000000001</v>
      </c>
      <c r="L1236" s="4">
        <v>14.7384</v>
      </c>
      <c r="M1236" s="4">
        <f t="shared" si="77"/>
        <v>14.931733333333334</v>
      </c>
      <c r="P1236" s="4" t="str">
        <f>"C01B10.8"</f>
        <v>C01B10.8</v>
      </c>
      <c r="Q1236" s="4">
        <v>14.6818027740443</v>
      </c>
      <c r="R1236" s="4">
        <v>14.527497720957699</v>
      </c>
      <c r="S1236" s="4">
        <v>14.3839780466545</v>
      </c>
      <c r="T1236" s="4">
        <f t="shared" si="78"/>
        <v>14.531092847218831</v>
      </c>
      <c r="W1236" s="4" t="str">
        <f>"fmo-2"</f>
        <v>fmo-2</v>
      </c>
      <c r="X1236" s="4">
        <v>14.4719036787363</v>
      </c>
      <c r="Y1236" s="4">
        <v>14.9617194189236</v>
      </c>
      <c r="Z1236" s="4">
        <v>14.497917161339</v>
      </c>
      <c r="AA1236" s="4">
        <f t="shared" si="79"/>
        <v>14.643846752999634</v>
      </c>
    </row>
    <row r="1237" spans="2:27" x14ac:dyDescent="0.2">
      <c r="B1237" s="4" t="s">
        <v>1346</v>
      </c>
      <c r="C1237" s="4">
        <v>14.9307</v>
      </c>
      <c r="D1237" s="4">
        <v>14.960900000000001</v>
      </c>
      <c r="E1237" s="4">
        <v>14.869899999999999</v>
      </c>
      <c r="F1237" s="4">
        <f t="shared" si="76"/>
        <v>14.920499999999999</v>
      </c>
      <c r="I1237" s="4" t="s">
        <v>2018</v>
      </c>
      <c r="J1237" s="4">
        <v>14.8607</v>
      </c>
      <c r="K1237" s="4">
        <v>15.016299999999999</v>
      </c>
      <c r="L1237" s="4">
        <v>14.908200000000001</v>
      </c>
      <c r="M1237" s="4">
        <f t="shared" si="77"/>
        <v>14.928400000000002</v>
      </c>
      <c r="P1237" s="4" t="str">
        <f>"eif-6"</f>
        <v>eif-6</v>
      </c>
      <c r="Q1237" s="4">
        <v>14.629833333741701</v>
      </c>
      <c r="R1237" s="4">
        <v>14.467799377958199</v>
      </c>
      <c r="S1237" s="4">
        <v>14.4841721023256</v>
      </c>
      <c r="T1237" s="4">
        <f t="shared" si="78"/>
        <v>14.527268271341834</v>
      </c>
      <c r="W1237" s="4" t="str">
        <f>"nmy-1"</f>
        <v>nmy-1</v>
      </c>
      <c r="X1237" s="4">
        <v>14.0132539132179</v>
      </c>
      <c r="Y1237" s="4">
        <v>14.475961065188301</v>
      </c>
      <c r="Z1237" s="4">
        <v>15.4419326058013</v>
      </c>
      <c r="AA1237" s="4">
        <f t="shared" si="79"/>
        <v>14.6437158614025</v>
      </c>
    </row>
    <row r="1238" spans="2:27" x14ac:dyDescent="0.2">
      <c r="B1238" s="4" t="s">
        <v>4667</v>
      </c>
      <c r="C1238" s="4">
        <v>14.989699999999999</v>
      </c>
      <c r="D1238" s="4">
        <v>14.914899999999999</v>
      </c>
      <c r="E1238" s="4">
        <v>14.8498</v>
      </c>
      <c r="F1238" s="4">
        <f t="shared" si="76"/>
        <v>14.918133333333332</v>
      </c>
      <c r="I1238" s="4" t="s">
        <v>3066</v>
      </c>
      <c r="J1238" s="4">
        <v>14.908200000000001</v>
      </c>
      <c r="K1238" s="4">
        <v>15.138500000000001</v>
      </c>
      <c r="L1238" s="4">
        <v>14.7384</v>
      </c>
      <c r="M1238" s="4">
        <f t="shared" si="77"/>
        <v>14.928366666666667</v>
      </c>
      <c r="P1238" s="4" t="str">
        <f>"sek-1"</f>
        <v>sek-1</v>
      </c>
      <c r="Q1238" s="4">
        <v>14.687269204892001</v>
      </c>
      <c r="R1238" s="4">
        <v>14.509324783239</v>
      </c>
      <c r="S1238" s="4">
        <v>14.382308578044899</v>
      </c>
      <c r="T1238" s="4">
        <f t="shared" si="78"/>
        <v>14.526300855391966</v>
      </c>
      <c r="W1238" s="4" t="str">
        <f>"epi-1"</f>
        <v>epi-1</v>
      </c>
      <c r="X1238" s="4">
        <v>14.3674322794272</v>
      </c>
      <c r="Y1238" s="4">
        <v>14.5653615641674</v>
      </c>
      <c r="Z1238" s="4">
        <v>14.9983088961867</v>
      </c>
      <c r="AA1238" s="4">
        <f t="shared" si="79"/>
        <v>14.643700913260433</v>
      </c>
    </row>
    <row r="1239" spans="2:27" x14ac:dyDescent="0.2">
      <c r="B1239" s="4" t="s">
        <v>4304</v>
      </c>
      <c r="C1239" s="4">
        <v>15.160600000000001</v>
      </c>
      <c r="D1239" s="4">
        <v>15.0474</v>
      </c>
      <c r="E1239" s="4">
        <v>14.545400000000001</v>
      </c>
      <c r="F1239" s="4">
        <f t="shared" si="76"/>
        <v>14.9178</v>
      </c>
      <c r="I1239" s="4" t="s">
        <v>4151</v>
      </c>
      <c r="J1239" s="4">
        <v>15.026999999999999</v>
      </c>
      <c r="K1239" s="4">
        <v>14.946099999999999</v>
      </c>
      <c r="L1239" s="4">
        <v>14.8104</v>
      </c>
      <c r="M1239" s="4">
        <f t="shared" si="77"/>
        <v>14.927833333333332</v>
      </c>
      <c r="P1239" s="4" t="str">
        <f>"phat-7"</f>
        <v>phat-7</v>
      </c>
      <c r="Q1239" s="4">
        <v>15.1135995892643</v>
      </c>
      <c r="R1239" s="4">
        <v>14.1406183877116</v>
      </c>
      <c r="S1239" s="4">
        <v>14.324129545558501</v>
      </c>
      <c r="T1239" s="4">
        <f t="shared" si="78"/>
        <v>14.526115840844801</v>
      </c>
      <c r="W1239" s="4" t="str">
        <f>"scyl-1"</f>
        <v>scyl-1</v>
      </c>
      <c r="X1239" s="4">
        <v>14.5174187869371</v>
      </c>
      <c r="Y1239" s="4">
        <v>14.889385552932399</v>
      </c>
      <c r="Z1239" s="4">
        <v>14.5184723106464</v>
      </c>
      <c r="AA1239" s="4">
        <f t="shared" si="79"/>
        <v>14.641758883505299</v>
      </c>
    </row>
    <row r="1240" spans="2:27" x14ac:dyDescent="0.2">
      <c r="B1240" s="4" t="s">
        <v>2374</v>
      </c>
      <c r="C1240" s="4">
        <v>14.9071</v>
      </c>
      <c r="D1240" s="4">
        <v>15.060499999999999</v>
      </c>
      <c r="E1240" s="4">
        <v>14.783300000000001</v>
      </c>
      <c r="F1240" s="4">
        <f t="shared" si="76"/>
        <v>14.916966666666667</v>
      </c>
      <c r="I1240" s="4" t="s">
        <v>3088</v>
      </c>
      <c r="J1240" s="4">
        <v>14.7201</v>
      </c>
      <c r="K1240" s="4">
        <v>14.8985</v>
      </c>
      <c r="L1240" s="4">
        <v>15.164099999999999</v>
      </c>
      <c r="M1240" s="4">
        <f t="shared" si="77"/>
        <v>14.927566666666666</v>
      </c>
      <c r="P1240" s="4" t="str">
        <f>"hil-1"</f>
        <v>hil-1</v>
      </c>
      <c r="Q1240" s="4">
        <v>14.796076712251599</v>
      </c>
      <c r="R1240" s="4">
        <v>14.3510102020799</v>
      </c>
      <c r="S1240" s="4">
        <v>14.430090306113399</v>
      </c>
      <c r="T1240" s="4">
        <f t="shared" si="78"/>
        <v>14.525725740148298</v>
      </c>
      <c r="W1240" s="4" t="str">
        <f>"mup-4"</f>
        <v>mup-4</v>
      </c>
      <c r="X1240" s="4">
        <v>14.1547388619486</v>
      </c>
      <c r="Y1240" s="4">
        <v>14.4921448959856</v>
      </c>
      <c r="Z1240" s="4">
        <v>15.2758990847357</v>
      </c>
      <c r="AA1240" s="4">
        <f t="shared" si="79"/>
        <v>14.640927614223299</v>
      </c>
    </row>
    <row r="1241" spans="2:27" x14ac:dyDescent="0.2">
      <c r="B1241" s="4" t="s">
        <v>3731</v>
      </c>
      <c r="C1241" s="4">
        <v>14.507199999999999</v>
      </c>
      <c r="D1241" s="4">
        <v>15.3323</v>
      </c>
      <c r="E1241" s="4">
        <v>14.9034</v>
      </c>
      <c r="F1241" s="4">
        <f t="shared" si="76"/>
        <v>14.914299999999999</v>
      </c>
      <c r="I1241" s="4" t="s">
        <v>3611</v>
      </c>
      <c r="J1241" s="4">
        <v>15.084199999999999</v>
      </c>
      <c r="K1241" s="4">
        <v>14.6663</v>
      </c>
      <c r="L1241" s="4">
        <v>15.03</v>
      </c>
      <c r="M1241" s="4">
        <f t="shared" si="77"/>
        <v>14.926833333333333</v>
      </c>
      <c r="P1241" s="4" t="str">
        <f>"gsp-2"</f>
        <v>gsp-2</v>
      </c>
      <c r="Q1241" s="4">
        <v>14.878953389642399</v>
      </c>
      <c r="R1241" s="4">
        <v>14.2610959445357</v>
      </c>
      <c r="S1241" s="4">
        <v>14.435877783824401</v>
      </c>
      <c r="T1241" s="4">
        <f t="shared" si="78"/>
        <v>14.525309039334168</v>
      </c>
      <c r="W1241" s="4" t="str">
        <f>"Y92H12BL.7"</f>
        <v>Y92H12BL.7</v>
      </c>
      <c r="X1241" s="4">
        <v>14.567738217377199</v>
      </c>
      <c r="Y1241" s="4">
        <v>14.7648239394168</v>
      </c>
      <c r="Z1241" s="4">
        <v>14.577388540409</v>
      </c>
      <c r="AA1241" s="4">
        <f t="shared" si="79"/>
        <v>14.636650232401001</v>
      </c>
    </row>
    <row r="1242" spans="2:27" x14ac:dyDescent="0.2">
      <c r="B1242" s="4" t="s">
        <v>3544</v>
      </c>
      <c r="C1242" s="4">
        <v>15.0518</v>
      </c>
      <c r="D1242" s="4">
        <v>14.514099999999999</v>
      </c>
      <c r="E1242" s="4">
        <v>15.1751</v>
      </c>
      <c r="F1242" s="4">
        <f t="shared" si="76"/>
        <v>14.913666666666666</v>
      </c>
      <c r="I1242" s="4" t="s">
        <v>4016</v>
      </c>
      <c r="J1242" s="4">
        <v>14.8223</v>
      </c>
      <c r="K1242" s="4">
        <v>15.176500000000001</v>
      </c>
      <c r="L1242" s="4">
        <v>14.7797</v>
      </c>
      <c r="M1242" s="4">
        <f t="shared" si="77"/>
        <v>14.926166666666667</v>
      </c>
      <c r="P1242" s="4" t="str">
        <f>"cyn-4"</f>
        <v>cyn-4</v>
      </c>
      <c r="Q1242" s="4">
        <v>14.607656127808999</v>
      </c>
      <c r="R1242" s="4">
        <v>14.4292836688793</v>
      </c>
      <c r="S1242" s="4">
        <v>14.5373735982139</v>
      </c>
      <c r="T1242" s="4">
        <f t="shared" si="78"/>
        <v>14.524771131634068</v>
      </c>
      <c r="W1242" s="4" t="str">
        <f>"hsp-16.2"</f>
        <v>hsp-16.2</v>
      </c>
      <c r="X1242" s="4">
        <v>14.7948887213541</v>
      </c>
      <c r="Y1242" s="4">
        <v>14.4992683707386</v>
      </c>
      <c r="Z1242" s="4">
        <v>14.594841752999701</v>
      </c>
      <c r="AA1242" s="4">
        <f t="shared" si="79"/>
        <v>14.629666281697467</v>
      </c>
    </row>
    <row r="1243" spans="2:27" x14ac:dyDescent="0.2">
      <c r="B1243" s="4" t="s">
        <v>3463</v>
      </c>
      <c r="C1243" s="4">
        <v>14.7841</v>
      </c>
      <c r="D1243" s="4">
        <v>15.1012</v>
      </c>
      <c r="E1243" s="4">
        <v>14.855700000000001</v>
      </c>
      <c r="F1243" s="4">
        <f t="shared" si="76"/>
        <v>14.913666666666666</v>
      </c>
      <c r="I1243" s="4" t="s">
        <v>2055</v>
      </c>
      <c r="J1243" s="4">
        <v>14.9697</v>
      </c>
      <c r="K1243" s="4">
        <v>15.072699999999999</v>
      </c>
      <c r="L1243" s="4">
        <v>14.7347</v>
      </c>
      <c r="M1243" s="4">
        <f t="shared" si="77"/>
        <v>14.925700000000001</v>
      </c>
      <c r="P1243" s="4" t="str">
        <f>"F57G12.2"</f>
        <v>F57G12.2</v>
      </c>
      <c r="Q1243" s="4">
        <v>15.167197043413699</v>
      </c>
      <c r="R1243" s="4">
        <v>14.785844546048001</v>
      </c>
      <c r="S1243" s="4">
        <v>13.618799641731099</v>
      </c>
      <c r="T1243" s="4">
        <f t="shared" si="78"/>
        <v>14.523947077064266</v>
      </c>
      <c r="W1243" s="4" t="str">
        <f>"Y62E10A.6"</f>
        <v>Y62E10A.6</v>
      </c>
      <c r="X1243" s="4">
        <v>14.5100973416013</v>
      </c>
      <c r="Y1243" s="4">
        <v>14.7434518972386</v>
      </c>
      <c r="Z1243" s="4">
        <v>14.633288634005799</v>
      </c>
      <c r="AA1243" s="4">
        <f t="shared" si="79"/>
        <v>14.628945957615235</v>
      </c>
    </row>
    <row r="1244" spans="2:27" x14ac:dyDescent="0.2">
      <c r="B1244" s="4" t="s">
        <v>1932</v>
      </c>
      <c r="C1244" s="4">
        <v>14.880100000000001</v>
      </c>
      <c r="D1244" s="4">
        <v>14.8689</v>
      </c>
      <c r="E1244" s="4">
        <v>14.991099999999999</v>
      </c>
      <c r="F1244" s="4">
        <f t="shared" si="76"/>
        <v>14.913366666666667</v>
      </c>
      <c r="I1244" s="4" t="s">
        <v>2646</v>
      </c>
      <c r="J1244" s="4">
        <v>14.815799999999999</v>
      </c>
      <c r="K1244" s="4">
        <v>14.933199999999999</v>
      </c>
      <c r="L1244" s="4">
        <v>15.026400000000001</v>
      </c>
      <c r="M1244" s="4">
        <f t="shared" si="77"/>
        <v>14.925133333333333</v>
      </c>
      <c r="P1244" s="4" t="str">
        <f>"ugt-58"</f>
        <v>ugt-58</v>
      </c>
      <c r="Q1244" s="4">
        <v>14.7154841561591</v>
      </c>
      <c r="R1244" s="4">
        <v>14.377181624335501</v>
      </c>
      <c r="S1244" s="4">
        <v>14.478971441862001</v>
      </c>
      <c r="T1244" s="4">
        <f t="shared" si="78"/>
        <v>14.523879074118867</v>
      </c>
      <c r="W1244" s="4" t="str">
        <f>"puf-12"</f>
        <v>puf-12</v>
      </c>
      <c r="X1244" s="4">
        <v>14.8996221694675</v>
      </c>
      <c r="Y1244" s="4">
        <v>14.5659319116538</v>
      </c>
      <c r="Z1244" s="4">
        <v>14.421062740821</v>
      </c>
      <c r="AA1244" s="4">
        <f t="shared" si="79"/>
        <v>14.628872273980766</v>
      </c>
    </row>
    <row r="1245" spans="2:27" x14ac:dyDescent="0.2">
      <c r="B1245" s="4" t="s">
        <v>360</v>
      </c>
      <c r="C1245" s="4">
        <v>14.714399999999999</v>
      </c>
      <c r="D1245" s="4">
        <v>15.2829</v>
      </c>
      <c r="E1245" s="4">
        <v>14.741899999999999</v>
      </c>
      <c r="F1245" s="4">
        <f t="shared" si="76"/>
        <v>14.913066666666666</v>
      </c>
      <c r="I1245" s="4" t="s">
        <v>1390</v>
      </c>
      <c r="J1245" s="4">
        <v>14.2485</v>
      </c>
      <c r="K1245" s="4">
        <v>14.7807</v>
      </c>
      <c r="L1245" s="4">
        <v>15.7455</v>
      </c>
      <c r="M1245" s="4">
        <f t="shared" si="77"/>
        <v>14.924899999999999</v>
      </c>
      <c r="P1245" s="4" t="str">
        <f>"sart-3"</f>
        <v>sart-3</v>
      </c>
      <c r="Q1245" s="4">
        <v>14.382453717623999</v>
      </c>
      <c r="R1245" s="4">
        <v>14.486132097705401</v>
      </c>
      <c r="S1245" s="4">
        <v>14.6996612597504</v>
      </c>
      <c r="T1245" s="4">
        <f t="shared" si="78"/>
        <v>14.522749025026599</v>
      </c>
      <c r="W1245" s="4" t="str">
        <f>"rmd-2"</f>
        <v>rmd-2</v>
      </c>
      <c r="X1245" s="4">
        <v>14.734061543166799</v>
      </c>
      <c r="Y1245" s="4">
        <v>14.609311535373701</v>
      </c>
      <c r="Z1245" s="4">
        <v>14.5410882459917</v>
      </c>
      <c r="AA1245" s="4">
        <f t="shared" si="79"/>
        <v>14.628153774844067</v>
      </c>
    </row>
    <row r="1246" spans="2:27" x14ac:dyDescent="0.2">
      <c r="B1246" s="4" t="s">
        <v>4038</v>
      </c>
      <c r="C1246" s="4">
        <v>15.0769</v>
      </c>
      <c r="D1246" s="4">
        <v>14.7089</v>
      </c>
      <c r="E1246" s="4">
        <v>14.9529</v>
      </c>
      <c r="F1246" s="4">
        <f t="shared" si="76"/>
        <v>14.9129</v>
      </c>
      <c r="I1246" s="4" t="s">
        <v>349</v>
      </c>
      <c r="J1246" s="4">
        <v>15.048999999999999</v>
      </c>
      <c r="K1246" s="4">
        <v>14.2936</v>
      </c>
      <c r="L1246" s="4">
        <v>15.417299999999999</v>
      </c>
      <c r="M1246" s="4">
        <f t="shared" si="77"/>
        <v>14.919966666666665</v>
      </c>
      <c r="P1246" s="4" t="str">
        <f>"fnip-2"</f>
        <v>fnip-2</v>
      </c>
      <c r="Q1246" s="4">
        <v>14.5896605164661</v>
      </c>
      <c r="R1246" s="4">
        <v>14.5424798436856</v>
      </c>
      <c r="S1246" s="4">
        <v>14.436006352033701</v>
      </c>
      <c r="T1246" s="4">
        <f t="shared" si="78"/>
        <v>14.522715570728467</v>
      </c>
      <c r="W1246" s="4" t="str">
        <f>"rab-10"</f>
        <v>rab-10</v>
      </c>
      <c r="X1246" s="4">
        <v>14.6651080076673</v>
      </c>
      <c r="Y1246" s="4">
        <v>14.7994375358184</v>
      </c>
      <c r="Z1246" s="4">
        <v>14.4197959886001</v>
      </c>
      <c r="AA1246" s="4">
        <f t="shared" si="79"/>
        <v>14.628113844028599</v>
      </c>
    </row>
    <row r="1247" spans="2:27" x14ac:dyDescent="0.2">
      <c r="B1247" s="4" t="s">
        <v>3450</v>
      </c>
      <c r="C1247" s="4">
        <v>14.739699999999999</v>
      </c>
      <c r="D1247" s="4">
        <v>15.1496</v>
      </c>
      <c r="E1247" s="4">
        <v>14.8355</v>
      </c>
      <c r="F1247" s="4">
        <f t="shared" si="76"/>
        <v>14.908266666666668</v>
      </c>
      <c r="I1247" s="4" t="s">
        <v>860</v>
      </c>
      <c r="J1247" s="4">
        <v>14.2463</v>
      </c>
      <c r="K1247" s="4">
        <v>15.8856</v>
      </c>
      <c r="L1247" s="4">
        <v>14.6267</v>
      </c>
      <c r="M1247" s="4">
        <f t="shared" si="77"/>
        <v>14.919533333333334</v>
      </c>
      <c r="P1247" s="4" t="str">
        <f>"unc-73"</f>
        <v>unc-73</v>
      </c>
      <c r="Q1247" s="4">
        <v>14.700424081445201</v>
      </c>
      <c r="R1247" s="4">
        <v>14.366391879389701</v>
      </c>
      <c r="S1247" s="4">
        <v>14.5008344692114</v>
      </c>
      <c r="T1247" s="4">
        <f t="shared" si="78"/>
        <v>14.522550143348766</v>
      </c>
      <c r="W1247" s="4" t="str">
        <f>"acs-1"</f>
        <v>acs-1</v>
      </c>
      <c r="X1247" s="4">
        <v>14.737400252823999</v>
      </c>
      <c r="Y1247" s="4">
        <v>14.663979948565</v>
      </c>
      <c r="Z1247" s="4">
        <v>14.482560566170401</v>
      </c>
      <c r="AA1247" s="4">
        <f t="shared" si="79"/>
        <v>14.627980255853133</v>
      </c>
    </row>
    <row r="1248" spans="2:27" x14ac:dyDescent="0.2">
      <c r="B1248" s="4" t="s">
        <v>2679</v>
      </c>
      <c r="C1248" s="4">
        <v>14.904999999999999</v>
      </c>
      <c r="D1248" s="4">
        <v>14.728199999999999</v>
      </c>
      <c r="E1248" s="4">
        <v>15.087300000000001</v>
      </c>
      <c r="F1248" s="4">
        <f t="shared" si="76"/>
        <v>14.906833333333333</v>
      </c>
      <c r="I1248" s="4" t="s">
        <v>3487</v>
      </c>
      <c r="J1248" s="4">
        <v>15.2822</v>
      </c>
      <c r="K1248" s="4">
        <v>14.612500000000001</v>
      </c>
      <c r="L1248" s="4">
        <v>14.859299999999999</v>
      </c>
      <c r="M1248" s="4">
        <f t="shared" si="77"/>
        <v>14.917999999999999</v>
      </c>
      <c r="P1248" s="4" t="str">
        <f>"rpn-6.1"</f>
        <v>rpn-6.1</v>
      </c>
      <c r="Q1248" s="4">
        <v>14.636295446171101</v>
      </c>
      <c r="R1248" s="4">
        <v>14.5408240697399</v>
      </c>
      <c r="S1248" s="4">
        <v>14.3852160678604</v>
      </c>
      <c r="T1248" s="4">
        <f t="shared" si="78"/>
        <v>14.520778527923801</v>
      </c>
      <c r="W1248" s="4" t="str">
        <f>"ccf-1"</f>
        <v>ccf-1</v>
      </c>
      <c r="X1248" s="4">
        <v>14.777153609730901</v>
      </c>
      <c r="Y1248" s="4">
        <v>14.677236011797101</v>
      </c>
      <c r="Z1248" s="4">
        <v>14.425504926198</v>
      </c>
      <c r="AA1248" s="4">
        <f t="shared" si="79"/>
        <v>14.626631515908668</v>
      </c>
    </row>
    <row r="1249" spans="2:27" x14ac:dyDescent="0.2">
      <c r="B1249" s="4" t="s">
        <v>4668</v>
      </c>
      <c r="C1249" s="4">
        <v>14.429399999999999</v>
      </c>
      <c r="D1249" s="4">
        <v>15.334199999999999</v>
      </c>
      <c r="E1249" s="4">
        <v>14.955</v>
      </c>
      <c r="F1249" s="4">
        <f t="shared" si="76"/>
        <v>14.906199999999998</v>
      </c>
      <c r="I1249" s="4" t="s">
        <v>1326</v>
      </c>
      <c r="J1249" s="4">
        <v>15.187099999999999</v>
      </c>
      <c r="K1249" s="4">
        <v>14.4543</v>
      </c>
      <c r="L1249" s="4">
        <v>15.103</v>
      </c>
      <c r="M1249" s="4">
        <f t="shared" si="77"/>
        <v>14.9148</v>
      </c>
      <c r="P1249" s="4" t="str">
        <f>"math-33"</f>
        <v>math-33</v>
      </c>
      <c r="Q1249" s="4">
        <v>14.5542518488577</v>
      </c>
      <c r="R1249" s="4">
        <v>14.4321142871182</v>
      </c>
      <c r="S1249" s="4">
        <v>14.572962032307</v>
      </c>
      <c r="T1249" s="4">
        <f t="shared" si="78"/>
        <v>14.519776056094301</v>
      </c>
      <c r="W1249" s="4" t="str">
        <f>"akap-1"</f>
        <v>akap-1</v>
      </c>
      <c r="X1249" s="4">
        <v>14.7829176871907</v>
      </c>
      <c r="Y1249" s="4">
        <v>14.587160179708199</v>
      </c>
      <c r="Z1249" s="4">
        <v>14.5096757254059</v>
      </c>
      <c r="AA1249" s="4">
        <f t="shared" si="79"/>
        <v>14.626584530768268</v>
      </c>
    </row>
    <row r="1250" spans="2:27" x14ac:dyDescent="0.2">
      <c r="B1250" s="4" t="s">
        <v>750</v>
      </c>
      <c r="C1250" s="4">
        <v>14.925599999999999</v>
      </c>
      <c r="D1250" s="4">
        <v>15.153</v>
      </c>
      <c r="E1250" s="4">
        <v>14.6394</v>
      </c>
      <c r="F1250" s="4">
        <f t="shared" si="76"/>
        <v>14.906000000000001</v>
      </c>
      <c r="I1250" s="4" t="s">
        <v>2806</v>
      </c>
      <c r="J1250" s="4">
        <v>14.944599999999999</v>
      </c>
      <c r="K1250" s="4">
        <v>14.9503</v>
      </c>
      <c r="L1250" s="4">
        <v>14.847300000000001</v>
      </c>
      <c r="M1250" s="4">
        <f t="shared" si="77"/>
        <v>14.914066666666665</v>
      </c>
      <c r="P1250" s="4" t="str">
        <f>"akap-1"</f>
        <v>akap-1</v>
      </c>
      <c r="Q1250" s="4">
        <v>14.478864987327499</v>
      </c>
      <c r="R1250" s="4">
        <v>14.434172115896599</v>
      </c>
      <c r="S1250" s="4">
        <v>14.645630881358301</v>
      </c>
      <c r="T1250" s="4">
        <f t="shared" si="78"/>
        <v>14.5195559948608</v>
      </c>
      <c r="W1250" s="4" t="str">
        <f>"ufd-3"</f>
        <v>ufd-3</v>
      </c>
      <c r="X1250" s="4">
        <v>14.7779757986441</v>
      </c>
      <c r="Y1250" s="4">
        <v>14.596400881380101</v>
      </c>
      <c r="Z1250" s="4">
        <v>14.5010513041943</v>
      </c>
      <c r="AA1250" s="4">
        <f t="shared" si="79"/>
        <v>14.625142661406166</v>
      </c>
    </row>
    <row r="1251" spans="2:27" x14ac:dyDescent="0.2">
      <c r="B1251" s="4" t="s">
        <v>1033</v>
      </c>
      <c r="C1251" s="4">
        <v>14.792</v>
      </c>
      <c r="D1251" s="4">
        <v>14.927199999999999</v>
      </c>
      <c r="E1251" s="4">
        <v>14.991300000000001</v>
      </c>
      <c r="F1251" s="4">
        <f t="shared" si="76"/>
        <v>14.903500000000001</v>
      </c>
      <c r="I1251" s="4" t="s">
        <v>3502</v>
      </c>
      <c r="J1251" s="4">
        <v>14.912000000000001</v>
      </c>
      <c r="K1251" s="4">
        <v>14.6395</v>
      </c>
      <c r="L1251" s="4">
        <v>15.189299999999999</v>
      </c>
      <c r="M1251" s="4">
        <f t="shared" si="77"/>
        <v>14.913600000000001</v>
      </c>
      <c r="P1251" s="4" t="str">
        <f>"sod-2"</f>
        <v>sod-2</v>
      </c>
      <c r="Q1251" s="4">
        <v>14.603181174819801</v>
      </c>
      <c r="R1251" s="4">
        <v>14.4793504202023</v>
      </c>
      <c r="S1251" s="4">
        <v>14.472597578643899</v>
      </c>
      <c r="T1251" s="4">
        <f t="shared" si="78"/>
        <v>14.518376391222001</v>
      </c>
      <c r="W1251" s="4" t="str">
        <f>"ras-1"</f>
        <v>ras-1</v>
      </c>
      <c r="X1251" s="4">
        <v>14.2989268636807</v>
      </c>
      <c r="Y1251" s="4">
        <v>14.720823541631001</v>
      </c>
      <c r="Z1251" s="4">
        <v>14.8529531736427</v>
      </c>
      <c r="AA1251" s="4">
        <f t="shared" si="79"/>
        <v>14.624234526318133</v>
      </c>
    </row>
    <row r="1252" spans="2:27" x14ac:dyDescent="0.2">
      <c r="B1252" s="4" t="s">
        <v>2870</v>
      </c>
      <c r="C1252" s="4">
        <v>15.0922</v>
      </c>
      <c r="D1252" s="4">
        <v>14.6204</v>
      </c>
      <c r="E1252" s="4">
        <v>14.996</v>
      </c>
      <c r="F1252" s="4">
        <f t="shared" si="76"/>
        <v>14.902866666666668</v>
      </c>
      <c r="I1252" s="4" t="s">
        <v>1919</v>
      </c>
      <c r="J1252" s="4">
        <v>14.872199999999999</v>
      </c>
      <c r="K1252" s="4">
        <v>14.7842</v>
      </c>
      <c r="L1252" s="4">
        <v>15.081</v>
      </c>
      <c r="M1252" s="4">
        <f t="shared" si="77"/>
        <v>14.912466666666665</v>
      </c>
      <c r="P1252" s="4" t="str">
        <f>"Y54E10A.11"</f>
        <v>Y54E10A.11</v>
      </c>
      <c r="Q1252" s="4">
        <v>14.507137669351501</v>
      </c>
      <c r="R1252" s="4">
        <v>14.613057067339801</v>
      </c>
      <c r="S1252" s="4">
        <v>14.4343720731764</v>
      </c>
      <c r="T1252" s="4">
        <f t="shared" si="78"/>
        <v>14.518188936622566</v>
      </c>
      <c r="W1252" s="4" t="str">
        <f>"cid-1"</f>
        <v>cid-1</v>
      </c>
      <c r="X1252" s="4">
        <v>14.725892777677499</v>
      </c>
      <c r="Y1252" s="4">
        <v>14.806210319735699</v>
      </c>
      <c r="Z1252" s="4">
        <v>14.3403477321888</v>
      </c>
      <c r="AA1252" s="4">
        <f t="shared" si="79"/>
        <v>14.624150276534001</v>
      </c>
    </row>
    <row r="1253" spans="2:27" x14ac:dyDescent="0.2">
      <c r="B1253" s="4" t="s">
        <v>2755</v>
      </c>
      <c r="C1253" s="4">
        <v>14.783099999999999</v>
      </c>
      <c r="D1253" s="4">
        <v>15.0044</v>
      </c>
      <c r="E1253" s="4">
        <v>14.919499999999999</v>
      </c>
      <c r="F1253" s="4">
        <f t="shared" si="76"/>
        <v>14.902333333333333</v>
      </c>
      <c r="I1253" s="4" t="s">
        <v>1724</v>
      </c>
      <c r="J1253" s="4">
        <v>15.063499999999999</v>
      </c>
      <c r="K1253" s="4">
        <v>14.7348</v>
      </c>
      <c r="L1253" s="4">
        <v>14.9375</v>
      </c>
      <c r="M1253" s="4">
        <f t="shared" si="77"/>
        <v>14.911933333333332</v>
      </c>
      <c r="P1253" s="4" t="str">
        <f>"F16B12.1"</f>
        <v>F16B12.1</v>
      </c>
      <c r="Q1253" s="4">
        <v>13.8524636611555</v>
      </c>
      <c r="R1253" s="4">
        <v>14.8441684293826</v>
      </c>
      <c r="S1253" s="4">
        <v>14.8573268079105</v>
      </c>
      <c r="T1253" s="4">
        <f t="shared" si="78"/>
        <v>14.517986299482866</v>
      </c>
      <c r="W1253" s="4" t="str">
        <f>"snrp-40.1"</f>
        <v>snrp-40.1</v>
      </c>
      <c r="X1253" s="4">
        <v>15.2200369077148</v>
      </c>
      <c r="Y1253" s="4">
        <v>13.7062591991321</v>
      </c>
      <c r="Z1253" s="4">
        <v>14.943312886347099</v>
      </c>
      <c r="AA1253" s="4">
        <f t="shared" si="79"/>
        <v>14.623202997731333</v>
      </c>
    </row>
    <row r="1254" spans="2:27" x14ac:dyDescent="0.2">
      <c r="B1254" s="4" t="s">
        <v>1195</v>
      </c>
      <c r="C1254" s="4">
        <v>14.9435</v>
      </c>
      <c r="D1254" s="4">
        <v>14.816700000000001</v>
      </c>
      <c r="E1254" s="4">
        <v>14.9405</v>
      </c>
      <c r="F1254" s="4">
        <f t="shared" si="76"/>
        <v>14.900233333333333</v>
      </c>
      <c r="I1254" s="4" t="s">
        <v>4570</v>
      </c>
      <c r="J1254" s="4">
        <v>15.0078</v>
      </c>
      <c r="K1254" s="4">
        <v>15.2073</v>
      </c>
      <c r="L1254" s="4">
        <v>14.5199</v>
      </c>
      <c r="M1254" s="4">
        <f t="shared" si="77"/>
        <v>14.911666666666667</v>
      </c>
      <c r="P1254" s="4" t="str">
        <f>"mec-17"</f>
        <v>mec-17</v>
      </c>
      <c r="Q1254" s="4">
        <v>14.525840971716599</v>
      </c>
      <c r="R1254" s="4">
        <v>14.4618394174508</v>
      </c>
      <c r="S1254" s="4">
        <v>14.5656991983777</v>
      </c>
      <c r="T1254" s="4">
        <f t="shared" si="78"/>
        <v>14.517793195848368</v>
      </c>
      <c r="W1254" s="4" t="str">
        <f>"eak-7"</f>
        <v>eak-7</v>
      </c>
      <c r="X1254" s="4">
        <v>14.6724780337629</v>
      </c>
      <c r="Y1254" s="4">
        <v>14.6634633701863</v>
      </c>
      <c r="Z1254" s="4">
        <v>14.531799083305</v>
      </c>
      <c r="AA1254" s="4">
        <f t="shared" si="79"/>
        <v>14.622580162418066</v>
      </c>
    </row>
    <row r="1255" spans="2:27" x14ac:dyDescent="0.2">
      <c r="B1255" s="4" t="s">
        <v>1682</v>
      </c>
      <c r="C1255" s="4">
        <v>14.7477</v>
      </c>
      <c r="D1255" s="4">
        <v>15.2264</v>
      </c>
      <c r="E1255" s="4">
        <v>14.7254</v>
      </c>
      <c r="F1255" s="4">
        <f t="shared" si="76"/>
        <v>14.899833333333333</v>
      </c>
      <c r="I1255" s="4" t="s">
        <v>2874</v>
      </c>
      <c r="J1255" s="4">
        <v>14.918900000000001</v>
      </c>
      <c r="K1255" s="4">
        <v>15.208600000000001</v>
      </c>
      <c r="L1255" s="4">
        <v>14.598100000000001</v>
      </c>
      <c r="M1255" s="4">
        <f t="shared" si="77"/>
        <v>14.908533333333333</v>
      </c>
      <c r="P1255" s="4" t="str">
        <f>"cept-2"</f>
        <v>cept-2</v>
      </c>
      <c r="Q1255" s="4">
        <v>14.4717025749472</v>
      </c>
      <c r="R1255" s="4">
        <v>14.4482930324439</v>
      </c>
      <c r="S1255" s="4">
        <v>14.6324082318867</v>
      </c>
      <c r="T1255" s="4">
        <f t="shared" si="78"/>
        <v>14.517467946425933</v>
      </c>
      <c r="W1255" s="4" t="str">
        <f>"ndua-1"</f>
        <v>ndua-1</v>
      </c>
      <c r="X1255" s="4">
        <v>14.0200172094958</v>
      </c>
      <c r="Y1255" s="4">
        <v>15.303388500988101</v>
      </c>
      <c r="Z1255" s="4">
        <v>14.543534278173301</v>
      </c>
      <c r="AA1255" s="4">
        <f t="shared" si="79"/>
        <v>14.6223133295524</v>
      </c>
    </row>
    <row r="1256" spans="2:27" x14ac:dyDescent="0.2">
      <c r="B1256" s="4" t="s">
        <v>3511</v>
      </c>
      <c r="C1256" s="4">
        <v>14.7356</v>
      </c>
      <c r="D1256" s="4">
        <v>15.0284</v>
      </c>
      <c r="E1256" s="4">
        <v>14.9267</v>
      </c>
      <c r="F1256" s="4">
        <f t="shared" si="76"/>
        <v>14.8969</v>
      </c>
      <c r="I1256" s="4" t="s">
        <v>1317</v>
      </c>
      <c r="J1256" s="4">
        <v>14.9697</v>
      </c>
      <c r="K1256" s="4">
        <v>14.959300000000001</v>
      </c>
      <c r="L1256" s="4">
        <v>14.7836</v>
      </c>
      <c r="M1256" s="4">
        <f t="shared" si="77"/>
        <v>14.904200000000001</v>
      </c>
      <c r="P1256" s="4" t="str">
        <f>"gpdh-3"</f>
        <v>gpdh-3</v>
      </c>
      <c r="Q1256" s="4">
        <v>14.611190771886401</v>
      </c>
      <c r="R1256" s="4">
        <v>14.351612630551699</v>
      </c>
      <c r="S1256" s="4">
        <v>14.5867738712071</v>
      </c>
      <c r="T1256" s="4">
        <f t="shared" si="78"/>
        <v>14.516525757881732</v>
      </c>
      <c r="W1256" s="4" t="str">
        <f>"sqrd-1"</f>
        <v>sqrd-1</v>
      </c>
      <c r="X1256" s="4">
        <v>14.3331027590872</v>
      </c>
      <c r="Y1256" s="4">
        <v>14.629857345956299</v>
      </c>
      <c r="Z1256" s="4">
        <v>14.897820934585701</v>
      </c>
      <c r="AA1256" s="4">
        <f t="shared" si="79"/>
        <v>14.620260346543068</v>
      </c>
    </row>
    <row r="1257" spans="2:27" x14ac:dyDescent="0.2">
      <c r="B1257" s="4" t="s">
        <v>2457</v>
      </c>
      <c r="C1257" s="4">
        <v>14.7507</v>
      </c>
      <c r="D1257" s="4">
        <v>14.777200000000001</v>
      </c>
      <c r="E1257" s="4">
        <v>15.154199999999999</v>
      </c>
      <c r="F1257" s="4">
        <f t="shared" si="76"/>
        <v>14.894033333333335</v>
      </c>
      <c r="I1257" s="4" t="s">
        <v>1932</v>
      </c>
      <c r="J1257" s="4">
        <v>14.764799999999999</v>
      </c>
      <c r="K1257" s="4">
        <v>15.311999999999999</v>
      </c>
      <c r="L1257" s="4">
        <v>14.6303</v>
      </c>
      <c r="M1257" s="4">
        <f t="shared" si="77"/>
        <v>14.902366666666666</v>
      </c>
      <c r="P1257" s="4" t="str">
        <f>"F52B5.3"</f>
        <v>F52B5.3</v>
      </c>
      <c r="Q1257" s="4">
        <v>14.184882984893401</v>
      </c>
      <c r="R1257" s="4">
        <v>14.682973667203299</v>
      </c>
      <c r="S1257" s="4">
        <v>14.6815838142382</v>
      </c>
      <c r="T1257" s="4">
        <f t="shared" si="78"/>
        <v>14.516480155444967</v>
      </c>
      <c r="W1257" s="4" t="str">
        <f>"mix-1"</f>
        <v>mix-1</v>
      </c>
      <c r="X1257" s="4">
        <v>14.6519128849074</v>
      </c>
      <c r="Y1257" s="4">
        <v>14.7105398973049</v>
      </c>
      <c r="Z1257" s="4">
        <v>14.492116798640801</v>
      </c>
      <c r="AA1257" s="4">
        <f t="shared" si="79"/>
        <v>14.618189860284367</v>
      </c>
    </row>
    <row r="1258" spans="2:27" x14ac:dyDescent="0.2">
      <c r="B1258" s="4" t="s">
        <v>1072</v>
      </c>
      <c r="C1258" s="4">
        <v>14.6426</v>
      </c>
      <c r="D1258" s="4">
        <v>15.4392</v>
      </c>
      <c r="E1258" s="4">
        <v>14.5991</v>
      </c>
      <c r="F1258" s="4">
        <f t="shared" si="76"/>
        <v>14.893633333333334</v>
      </c>
      <c r="I1258" s="4" t="s">
        <v>3754</v>
      </c>
      <c r="J1258" s="4">
        <v>14.878</v>
      </c>
      <c r="K1258" s="4">
        <v>14.9084</v>
      </c>
      <c r="L1258" s="4">
        <v>14.9183</v>
      </c>
      <c r="M1258" s="4">
        <f t="shared" si="77"/>
        <v>14.901566666666668</v>
      </c>
      <c r="P1258" s="4" t="str">
        <f>"Y39E4B.10"</f>
        <v>Y39E4B.10</v>
      </c>
      <c r="Q1258" s="4">
        <v>14.6812880216042</v>
      </c>
      <c r="R1258" s="4">
        <v>14.4991381912298</v>
      </c>
      <c r="S1258" s="4">
        <v>14.366554603420299</v>
      </c>
      <c r="T1258" s="4">
        <f t="shared" si="78"/>
        <v>14.515660272084766</v>
      </c>
      <c r="W1258" s="4" t="str">
        <f>"T09F3.2"</f>
        <v>T09F3.2</v>
      </c>
      <c r="X1258" s="4">
        <v>14.6216709961744</v>
      </c>
      <c r="Y1258" s="4">
        <v>14.45169946491</v>
      </c>
      <c r="Z1258" s="4">
        <v>14.760806513460199</v>
      </c>
      <c r="AA1258" s="4">
        <f t="shared" si="79"/>
        <v>14.611392324848202</v>
      </c>
    </row>
    <row r="1259" spans="2:27" x14ac:dyDescent="0.2">
      <c r="B1259" s="4" t="s">
        <v>2472</v>
      </c>
      <c r="C1259" s="4">
        <v>14.7972</v>
      </c>
      <c r="D1259" s="4">
        <v>14.9072</v>
      </c>
      <c r="E1259" s="4">
        <v>14.9693</v>
      </c>
      <c r="F1259" s="4">
        <f t="shared" si="76"/>
        <v>14.891233333333332</v>
      </c>
      <c r="I1259" s="4" t="s">
        <v>1670</v>
      </c>
      <c r="J1259" s="4">
        <v>14.87</v>
      </c>
      <c r="K1259" s="4">
        <v>14.9252</v>
      </c>
      <c r="L1259" s="4">
        <v>14.9086</v>
      </c>
      <c r="M1259" s="4">
        <f t="shared" si="77"/>
        <v>14.901266666666666</v>
      </c>
      <c r="P1259" s="4" t="str">
        <f>"C09B9.7"</f>
        <v>C09B9.7</v>
      </c>
      <c r="Q1259" s="4">
        <v>14.661508052936901</v>
      </c>
      <c r="R1259" s="4">
        <v>13.861851684663399</v>
      </c>
      <c r="S1259" s="4">
        <v>15.021400537955801</v>
      </c>
      <c r="T1259" s="4">
        <f t="shared" si="78"/>
        <v>14.514920091852034</v>
      </c>
      <c r="W1259" s="4" t="str">
        <f>"Y55F3BR.1"</f>
        <v>Y55F3BR.1</v>
      </c>
      <c r="X1259" s="4">
        <v>14.3473388090584</v>
      </c>
      <c r="Y1259" s="4">
        <v>14.792201913993599</v>
      </c>
      <c r="Z1259" s="4">
        <v>14.691515299029501</v>
      </c>
      <c r="AA1259" s="4">
        <f t="shared" si="79"/>
        <v>14.610352007360499</v>
      </c>
    </row>
    <row r="1260" spans="2:27" x14ac:dyDescent="0.2">
      <c r="B1260" s="4" t="s">
        <v>2878</v>
      </c>
      <c r="C1260" s="4">
        <v>15.199400000000001</v>
      </c>
      <c r="D1260" s="4">
        <v>14.6953</v>
      </c>
      <c r="E1260" s="4">
        <v>14.7751</v>
      </c>
      <c r="F1260" s="4">
        <f t="shared" si="76"/>
        <v>14.889933333333333</v>
      </c>
      <c r="I1260" s="4" t="s">
        <v>2341</v>
      </c>
      <c r="J1260" s="4">
        <v>15.0106</v>
      </c>
      <c r="K1260" s="4">
        <v>14.8535</v>
      </c>
      <c r="L1260" s="4">
        <v>14.839499999999999</v>
      </c>
      <c r="M1260" s="4">
        <f t="shared" si="77"/>
        <v>14.901200000000001</v>
      </c>
      <c r="P1260" s="4" t="str">
        <f>"D2023.6"</f>
        <v>D2023.6</v>
      </c>
      <c r="Q1260" s="4">
        <v>14.5901434086026</v>
      </c>
      <c r="R1260" s="4">
        <v>14.519073831461499</v>
      </c>
      <c r="S1260" s="4">
        <v>14.433922089815701</v>
      </c>
      <c r="T1260" s="4">
        <f t="shared" si="78"/>
        <v>14.514379776626599</v>
      </c>
      <c r="W1260" s="4" t="str">
        <f>"acox-1.5"</f>
        <v>acox-1.5</v>
      </c>
      <c r="X1260" s="4">
        <v>14.8924870495529</v>
      </c>
      <c r="Y1260" s="4">
        <v>14.463801304271801</v>
      </c>
      <c r="Z1260" s="4">
        <v>14.4696731844056</v>
      </c>
      <c r="AA1260" s="4">
        <f t="shared" si="79"/>
        <v>14.608653846076768</v>
      </c>
    </row>
    <row r="1261" spans="2:27" x14ac:dyDescent="0.2">
      <c r="B1261" s="4" t="s">
        <v>3428</v>
      </c>
      <c r="C1261" s="4">
        <v>14.6808</v>
      </c>
      <c r="D1261" s="4">
        <v>15.4655</v>
      </c>
      <c r="E1261" s="4">
        <v>14.5214</v>
      </c>
      <c r="F1261" s="4">
        <f t="shared" si="76"/>
        <v>14.889233333333332</v>
      </c>
      <c r="I1261" s="4" t="s">
        <v>720</v>
      </c>
      <c r="J1261" s="4">
        <v>14.1114</v>
      </c>
      <c r="K1261" s="4">
        <v>14.8705</v>
      </c>
      <c r="L1261" s="4">
        <v>15.721299999999999</v>
      </c>
      <c r="M1261" s="4">
        <f t="shared" si="77"/>
        <v>14.901066666666665</v>
      </c>
      <c r="P1261" s="4" t="str">
        <f>"cyk-3"</f>
        <v>cyk-3</v>
      </c>
      <c r="Q1261" s="4">
        <v>14.6147218659311</v>
      </c>
      <c r="R1261" s="4">
        <v>14.391201320525401</v>
      </c>
      <c r="S1261" s="4">
        <v>14.536942301428001</v>
      </c>
      <c r="T1261" s="4">
        <f t="shared" si="78"/>
        <v>14.5142884959615</v>
      </c>
      <c r="W1261" s="4" t="str">
        <f>"F32D8.12"</f>
        <v>F32D8.12</v>
      </c>
      <c r="X1261" s="4">
        <v>14.353982805641699</v>
      </c>
      <c r="Y1261" s="4">
        <v>14.509499380607799</v>
      </c>
      <c r="Z1261" s="4">
        <v>14.9614845237084</v>
      </c>
      <c r="AA1261" s="4">
        <f t="shared" si="79"/>
        <v>14.608322236652633</v>
      </c>
    </row>
    <row r="1262" spans="2:27" x14ac:dyDescent="0.2">
      <c r="B1262" s="4" t="s">
        <v>4650</v>
      </c>
      <c r="C1262" s="4">
        <v>14.4367</v>
      </c>
      <c r="D1262" s="4">
        <v>14.732100000000001</v>
      </c>
      <c r="E1262" s="4">
        <v>15.4983</v>
      </c>
      <c r="F1262" s="4">
        <f t="shared" si="76"/>
        <v>14.889033333333336</v>
      </c>
      <c r="I1262" s="4" t="s">
        <v>1375</v>
      </c>
      <c r="J1262" s="4">
        <v>14.8154</v>
      </c>
      <c r="K1262" s="4">
        <v>15.043100000000001</v>
      </c>
      <c r="L1262" s="4">
        <v>14.8413</v>
      </c>
      <c r="M1262" s="4">
        <f t="shared" si="77"/>
        <v>14.899933333333331</v>
      </c>
      <c r="P1262" s="4" t="str">
        <f>"atp-5"</f>
        <v>atp-5</v>
      </c>
      <c r="Q1262" s="4">
        <v>14.5406430248934</v>
      </c>
      <c r="R1262" s="4">
        <v>14.218088424872301</v>
      </c>
      <c r="S1262" s="4">
        <v>14.7791786710383</v>
      </c>
      <c r="T1262" s="4">
        <f t="shared" si="78"/>
        <v>14.512636706934666</v>
      </c>
      <c r="W1262" s="4" t="str">
        <f>"C10G8.4"</f>
        <v>C10G8.4</v>
      </c>
      <c r="X1262" s="4">
        <v>15.442918584447201</v>
      </c>
      <c r="Y1262" s="4">
        <v>13.058634443924801</v>
      </c>
      <c r="Z1262" s="4">
        <v>15.3233997926523</v>
      </c>
      <c r="AA1262" s="4">
        <f t="shared" si="79"/>
        <v>14.608317607008098</v>
      </c>
    </row>
    <row r="1263" spans="2:27" x14ac:dyDescent="0.2">
      <c r="B1263" s="4" t="s">
        <v>652</v>
      </c>
      <c r="C1263" s="4">
        <v>15.2182</v>
      </c>
      <c r="D1263" s="4">
        <v>15.686299999999999</v>
      </c>
      <c r="E1263" s="4">
        <v>13.7552</v>
      </c>
      <c r="F1263" s="4">
        <f t="shared" si="76"/>
        <v>14.886566666666667</v>
      </c>
      <c r="I1263" s="4" t="s">
        <v>3041</v>
      </c>
      <c r="J1263" s="4">
        <v>14.9381</v>
      </c>
      <c r="K1263" s="4">
        <v>14.728899999999999</v>
      </c>
      <c r="L1263" s="4">
        <v>15.0175</v>
      </c>
      <c r="M1263" s="4">
        <f t="shared" si="77"/>
        <v>14.894833333333333</v>
      </c>
      <c r="P1263" s="4" t="str">
        <f>"swsn-4"</f>
        <v>swsn-4</v>
      </c>
      <c r="Q1263" s="4">
        <v>14.5459655836907</v>
      </c>
      <c r="R1263" s="4">
        <v>14.5956053041425</v>
      </c>
      <c r="S1263" s="4">
        <v>14.390309854077</v>
      </c>
      <c r="T1263" s="4">
        <f t="shared" si="78"/>
        <v>14.510626913970066</v>
      </c>
      <c r="W1263" s="4" t="str">
        <f>"cisd-3.2"</f>
        <v>cisd-3.2</v>
      </c>
      <c r="X1263" s="4">
        <v>14.269087086056</v>
      </c>
      <c r="Y1263" s="4">
        <v>14.7163329690919</v>
      </c>
      <c r="Z1263" s="4">
        <v>14.836982000119701</v>
      </c>
      <c r="AA1263" s="4">
        <f t="shared" si="79"/>
        <v>14.607467351755867</v>
      </c>
    </row>
    <row r="1264" spans="2:27" x14ac:dyDescent="0.2">
      <c r="B1264" s="4" t="s">
        <v>2910</v>
      </c>
      <c r="C1264" s="4">
        <v>15.4572</v>
      </c>
      <c r="D1264" s="4">
        <v>14.311400000000001</v>
      </c>
      <c r="E1264" s="4">
        <v>14.878500000000001</v>
      </c>
      <c r="F1264" s="4">
        <f t="shared" si="76"/>
        <v>14.882366666666668</v>
      </c>
      <c r="I1264" s="4" t="s">
        <v>3685</v>
      </c>
      <c r="J1264" s="4">
        <v>14.824</v>
      </c>
      <c r="K1264" s="4">
        <v>14.830299999999999</v>
      </c>
      <c r="L1264" s="4">
        <v>15.019500000000001</v>
      </c>
      <c r="M1264" s="4">
        <f t="shared" si="77"/>
        <v>14.891266666666667</v>
      </c>
      <c r="P1264" s="4" t="str">
        <f>"gop-3"</f>
        <v>gop-3</v>
      </c>
      <c r="Q1264" s="4">
        <v>14.5389425475572</v>
      </c>
      <c r="R1264" s="4">
        <v>14.3549434828776</v>
      </c>
      <c r="S1264" s="4">
        <v>14.636828114071299</v>
      </c>
      <c r="T1264" s="4">
        <f t="shared" si="78"/>
        <v>14.5102380481687</v>
      </c>
      <c r="W1264" s="4" t="str">
        <f>"src-1"</f>
        <v>src-1</v>
      </c>
      <c r="X1264" s="4">
        <v>14.784090375692401</v>
      </c>
      <c r="Y1264" s="4">
        <v>14.4331758028774</v>
      </c>
      <c r="Z1264" s="4">
        <v>14.604147906817699</v>
      </c>
      <c r="AA1264" s="4">
        <f t="shared" si="79"/>
        <v>14.607138028462501</v>
      </c>
    </row>
    <row r="1265" spans="2:27" x14ac:dyDescent="0.2">
      <c r="B1265" s="4" t="s">
        <v>2248</v>
      </c>
      <c r="C1265" s="4">
        <v>14.8315</v>
      </c>
      <c r="D1265" s="4">
        <v>14.8338</v>
      </c>
      <c r="E1265" s="4">
        <v>14.9754</v>
      </c>
      <c r="F1265" s="4">
        <f t="shared" si="76"/>
        <v>14.880233333333335</v>
      </c>
      <c r="I1265" s="4" t="s">
        <v>3609</v>
      </c>
      <c r="J1265" s="4">
        <v>14.8477</v>
      </c>
      <c r="K1265" s="4">
        <v>14.8</v>
      </c>
      <c r="L1265" s="4">
        <v>15.010400000000001</v>
      </c>
      <c r="M1265" s="4">
        <f t="shared" si="77"/>
        <v>14.886033333333335</v>
      </c>
      <c r="P1265" s="4" t="str">
        <f>"F41D9.2"</f>
        <v>F41D9.2</v>
      </c>
      <c r="Q1265" s="4">
        <v>14.812542644723999</v>
      </c>
      <c r="R1265" s="4">
        <v>14.308541618896101</v>
      </c>
      <c r="S1265" s="4">
        <v>14.405878295556199</v>
      </c>
      <c r="T1265" s="4">
        <f t="shared" si="78"/>
        <v>14.508987519725432</v>
      </c>
      <c r="W1265" s="4" t="str">
        <f>"eif-2bbeta"</f>
        <v>eif-2bbeta</v>
      </c>
      <c r="X1265" s="4">
        <v>14.4589240731431</v>
      </c>
      <c r="Y1265" s="4">
        <v>14.781031333966</v>
      </c>
      <c r="Z1265" s="4">
        <v>14.5648813020054</v>
      </c>
      <c r="AA1265" s="4">
        <f t="shared" si="79"/>
        <v>14.6016122363715</v>
      </c>
    </row>
    <row r="1266" spans="2:27" x14ac:dyDescent="0.2">
      <c r="B1266" s="4" t="s">
        <v>970</v>
      </c>
      <c r="C1266" s="4">
        <v>14.900600000000001</v>
      </c>
      <c r="D1266" s="4">
        <v>14.642899999999999</v>
      </c>
      <c r="E1266" s="4">
        <v>15.0877</v>
      </c>
      <c r="F1266" s="4">
        <f t="shared" si="76"/>
        <v>14.877066666666666</v>
      </c>
      <c r="I1266" s="4" t="s">
        <v>974</v>
      </c>
      <c r="J1266" s="4">
        <v>15.0722</v>
      </c>
      <c r="K1266" s="4">
        <v>14.873699999999999</v>
      </c>
      <c r="L1266" s="4">
        <v>14.704700000000001</v>
      </c>
      <c r="M1266" s="4">
        <f t="shared" si="77"/>
        <v>14.883533333333334</v>
      </c>
      <c r="P1266" s="4" t="str">
        <f>"sax-2"</f>
        <v>sax-2</v>
      </c>
      <c r="Q1266" s="4">
        <v>14.5608017569417</v>
      </c>
      <c r="R1266" s="4">
        <v>14.4688156260647</v>
      </c>
      <c r="S1266" s="4">
        <v>14.4921657684817</v>
      </c>
      <c r="T1266" s="4">
        <f t="shared" si="78"/>
        <v>14.507261050496034</v>
      </c>
      <c r="W1266" s="4" t="str">
        <f>"kdin-1"</f>
        <v>kdin-1</v>
      </c>
      <c r="X1266" s="4">
        <v>14.6415201531664</v>
      </c>
      <c r="Y1266" s="4">
        <v>14.6429217218309</v>
      </c>
      <c r="Z1266" s="4">
        <v>14.519010825850501</v>
      </c>
      <c r="AA1266" s="4">
        <f t="shared" si="79"/>
        <v>14.601150900282599</v>
      </c>
    </row>
    <row r="1267" spans="2:27" x14ac:dyDescent="0.2">
      <c r="B1267" s="4" t="s">
        <v>3791</v>
      </c>
      <c r="C1267" s="4">
        <v>15.316000000000001</v>
      </c>
      <c r="D1267" s="4">
        <v>14.328200000000001</v>
      </c>
      <c r="E1267" s="4">
        <v>14.9816</v>
      </c>
      <c r="F1267" s="4">
        <f t="shared" si="76"/>
        <v>14.875266666666667</v>
      </c>
      <c r="I1267" s="4" t="s">
        <v>3207</v>
      </c>
      <c r="J1267" s="4">
        <v>14.8985</v>
      </c>
      <c r="K1267" s="4">
        <v>14.8376</v>
      </c>
      <c r="L1267" s="4">
        <v>14.9133</v>
      </c>
      <c r="M1267" s="4">
        <f t="shared" si="77"/>
        <v>14.883133333333333</v>
      </c>
      <c r="P1267" s="4" t="str">
        <f>"ubh-4"</f>
        <v>ubh-4</v>
      </c>
      <c r="Q1267" s="4">
        <v>14.478788105339</v>
      </c>
      <c r="R1267" s="4">
        <v>14.495244412669701</v>
      </c>
      <c r="S1267" s="4">
        <v>14.5439567785733</v>
      </c>
      <c r="T1267" s="4">
        <f t="shared" si="78"/>
        <v>14.505996432194001</v>
      </c>
      <c r="W1267" s="4" t="str">
        <f>"sago-1"</f>
        <v>sago-1</v>
      </c>
      <c r="X1267" s="4">
        <v>14.411288646850901</v>
      </c>
      <c r="Y1267" s="4">
        <v>14.6118864292831</v>
      </c>
      <c r="Z1267" s="4">
        <v>14.7768912845043</v>
      </c>
      <c r="AA1267" s="4">
        <f t="shared" si="79"/>
        <v>14.600022120212769</v>
      </c>
    </row>
    <row r="1268" spans="2:27" x14ac:dyDescent="0.2">
      <c r="B1268" s="4" t="s">
        <v>293</v>
      </c>
      <c r="C1268" s="4">
        <v>14.9795</v>
      </c>
      <c r="D1268" s="4">
        <v>14.872299999999999</v>
      </c>
      <c r="E1268" s="4">
        <v>14.7713</v>
      </c>
      <c r="F1268" s="4">
        <f t="shared" si="76"/>
        <v>14.874366666666665</v>
      </c>
      <c r="I1268" s="4" t="s">
        <v>2298</v>
      </c>
      <c r="J1268" s="4">
        <v>14.895200000000001</v>
      </c>
      <c r="K1268" s="4">
        <v>14.9107</v>
      </c>
      <c r="L1268" s="4">
        <v>14.8407</v>
      </c>
      <c r="M1268" s="4">
        <f t="shared" si="77"/>
        <v>14.882199999999999</v>
      </c>
      <c r="P1268" s="4" t="str">
        <f>"hacl-1"</f>
        <v>hacl-1</v>
      </c>
      <c r="Q1268" s="4">
        <v>14.7176942157797</v>
      </c>
      <c r="R1268" s="4">
        <v>14.411340513713199</v>
      </c>
      <c r="S1268" s="4">
        <v>14.386964228422499</v>
      </c>
      <c r="T1268" s="4">
        <f t="shared" si="78"/>
        <v>14.505332985971799</v>
      </c>
      <c r="W1268" s="4" t="str">
        <f>"tbc-2"</f>
        <v>tbc-2</v>
      </c>
      <c r="X1268" s="4">
        <v>14.7153266200943</v>
      </c>
      <c r="Y1268" s="4">
        <v>14.566695842782501</v>
      </c>
      <c r="Z1268" s="4">
        <v>14.516875786740499</v>
      </c>
      <c r="AA1268" s="4">
        <f t="shared" si="79"/>
        <v>14.599632749872434</v>
      </c>
    </row>
    <row r="1269" spans="2:27" x14ac:dyDescent="0.2">
      <c r="B1269" s="4" t="s">
        <v>2256</v>
      </c>
      <c r="C1269" s="4">
        <v>14.8453</v>
      </c>
      <c r="D1269" s="4">
        <v>15.084</v>
      </c>
      <c r="E1269" s="4">
        <v>14.6881</v>
      </c>
      <c r="F1269" s="4">
        <f t="shared" si="76"/>
        <v>14.872466666666666</v>
      </c>
      <c r="I1269" s="4" t="s">
        <v>1795</v>
      </c>
      <c r="J1269" s="4">
        <v>14.628399999999999</v>
      </c>
      <c r="K1269" s="4">
        <v>14.5366</v>
      </c>
      <c r="L1269" s="4">
        <v>15.479200000000001</v>
      </c>
      <c r="M1269" s="4">
        <f t="shared" si="77"/>
        <v>14.881399999999999</v>
      </c>
      <c r="P1269" s="4" t="str">
        <f>"iscu-1"</f>
        <v>iscu-1</v>
      </c>
      <c r="Q1269" s="4">
        <v>14.344228225791699</v>
      </c>
      <c r="R1269" s="4">
        <v>14.269157896608499</v>
      </c>
      <c r="S1269" s="4">
        <v>14.9017498889504</v>
      </c>
      <c r="T1269" s="4">
        <f t="shared" si="78"/>
        <v>14.505045337116867</v>
      </c>
      <c r="W1269" s="4" t="str">
        <f>"ddx-27"</f>
        <v>ddx-27</v>
      </c>
      <c r="X1269" s="4">
        <v>14.685513881629801</v>
      </c>
      <c r="Y1269" s="4">
        <v>14.741669805657599</v>
      </c>
      <c r="Z1269" s="4">
        <v>14.360958935624801</v>
      </c>
      <c r="AA1269" s="4">
        <f t="shared" si="79"/>
        <v>14.596047540970735</v>
      </c>
    </row>
    <row r="1270" spans="2:27" x14ac:dyDescent="0.2">
      <c r="B1270" s="4" t="s">
        <v>2147</v>
      </c>
      <c r="C1270" s="4">
        <v>15.0023</v>
      </c>
      <c r="D1270" s="4">
        <v>14.416499999999999</v>
      </c>
      <c r="E1270" s="4">
        <v>15.1896</v>
      </c>
      <c r="F1270" s="4">
        <f t="shared" si="76"/>
        <v>14.869466666666666</v>
      </c>
      <c r="I1270" s="4" t="s">
        <v>306</v>
      </c>
      <c r="J1270" s="4">
        <v>15.0663</v>
      </c>
      <c r="K1270" s="4">
        <v>15.0962</v>
      </c>
      <c r="L1270" s="4">
        <v>14.4757</v>
      </c>
      <c r="M1270" s="4">
        <f t="shared" si="77"/>
        <v>14.879399999999999</v>
      </c>
      <c r="P1270" s="4" t="str">
        <f>"exoc-7"</f>
        <v>exoc-7</v>
      </c>
      <c r="Q1270" s="4">
        <v>14.6159558751062</v>
      </c>
      <c r="R1270" s="4">
        <v>14.4718041607396</v>
      </c>
      <c r="S1270" s="4">
        <v>14.423586760236599</v>
      </c>
      <c r="T1270" s="4">
        <f t="shared" si="78"/>
        <v>14.503782265360799</v>
      </c>
      <c r="W1270" s="4" t="str">
        <f>"capg-1"</f>
        <v>capg-1</v>
      </c>
      <c r="X1270" s="4">
        <v>14.4833906657366</v>
      </c>
      <c r="Y1270" s="4">
        <v>14.642533186431301</v>
      </c>
      <c r="Z1270" s="4">
        <v>14.661778101135299</v>
      </c>
      <c r="AA1270" s="4">
        <f t="shared" si="79"/>
        <v>14.595900651101067</v>
      </c>
    </row>
    <row r="1271" spans="2:27" x14ac:dyDescent="0.2">
      <c r="B1271" s="4" t="s">
        <v>1723</v>
      </c>
      <c r="C1271" s="4">
        <v>15.0124</v>
      </c>
      <c r="D1271" s="4">
        <v>14.8643</v>
      </c>
      <c r="E1271" s="4">
        <v>14.729799999999999</v>
      </c>
      <c r="F1271" s="4">
        <f t="shared" si="76"/>
        <v>14.868833333333333</v>
      </c>
      <c r="I1271" s="4" t="s">
        <v>1691</v>
      </c>
      <c r="J1271" s="4">
        <v>15.011200000000001</v>
      </c>
      <c r="K1271" s="4">
        <v>14.575799999999999</v>
      </c>
      <c r="L1271" s="4">
        <v>15.050800000000001</v>
      </c>
      <c r="M1271" s="4">
        <f t="shared" si="77"/>
        <v>14.879266666666666</v>
      </c>
      <c r="P1271" s="4" t="str">
        <f>"grk-1"</f>
        <v>grk-1</v>
      </c>
      <c r="Q1271" s="4">
        <v>14.625243253432799</v>
      </c>
      <c r="R1271" s="4">
        <v>14.514532297753099</v>
      </c>
      <c r="S1271" s="4">
        <v>14.368178096028</v>
      </c>
      <c r="T1271" s="4">
        <f t="shared" si="78"/>
        <v>14.502651215737965</v>
      </c>
      <c r="W1271" s="4" t="str">
        <f>"T09A5.5"</f>
        <v>T09A5.5</v>
      </c>
      <c r="X1271" s="4">
        <v>14.4343514249761</v>
      </c>
      <c r="Y1271" s="4">
        <v>14.538101922024399</v>
      </c>
      <c r="Z1271" s="4">
        <v>14.808768125757901</v>
      </c>
      <c r="AA1271" s="4">
        <f t="shared" si="79"/>
        <v>14.593740490919467</v>
      </c>
    </row>
    <row r="1272" spans="2:27" x14ac:dyDescent="0.2">
      <c r="B1272" s="4" t="s">
        <v>3018</v>
      </c>
      <c r="C1272" s="4">
        <v>14.5746</v>
      </c>
      <c r="D1272" s="4">
        <v>15.142799999999999</v>
      </c>
      <c r="E1272" s="4">
        <v>14.886100000000001</v>
      </c>
      <c r="F1272" s="4">
        <f t="shared" si="76"/>
        <v>14.867833333333332</v>
      </c>
      <c r="I1272" s="4" t="s">
        <v>129</v>
      </c>
      <c r="J1272" s="4">
        <v>14.7875</v>
      </c>
      <c r="K1272" s="4">
        <v>14.8399</v>
      </c>
      <c r="L1272" s="4">
        <v>14.996700000000001</v>
      </c>
      <c r="M1272" s="4">
        <f t="shared" si="77"/>
        <v>14.874699999999999</v>
      </c>
      <c r="P1272" s="4" t="str">
        <f>"gld-2"</f>
        <v>gld-2</v>
      </c>
      <c r="Q1272" s="4">
        <v>14.4999914491826</v>
      </c>
      <c r="R1272" s="4">
        <v>14.4414916830514</v>
      </c>
      <c r="S1272" s="4">
        <v>14.564424411555001</v>
      </c>
      <c r="T1272" s="4">
        <f t="shared" si="78"/>
        <v>14.501969181263</v>
      </c>
      <c r="W1272" s="4" t="str">
        <f>"ampd-1"</f>
        <v>ampd-1</v>
      </c>
      <c r="X1272" s="4">
        <v>14.682776902325401</v>
      </c>
      <c r="Y1272" s="4">
        <v>14.4761166323892</v>
      </c>
      <c r="Z1272" s="4">
        <v>14.615336901374</v>
      </c>
      <c r="AA1272" s="4">
        <f t="shared" si="79"/>
        <v>14.591410145362866</v>
      </c>
    </row>
    <row r="1273" spans="2:27" x14ac:dyDescent="0.2">
      <c r="B1273" s="4" t="s">
        <v>2926</v>
      </c>
      <c r="C1273" s="4">
        <v>14.9368</v>
      </c>
      <c r="D1273" s="4">
        <v>14.8371</v>
      </c>
      <c r="E1273" s="4">
        <v>14.828799999999999</v>
      </c>
      <c r="F1273" s="4">
        <f t="shared" si="76"/>
        <v>14.867566666666667</v>
      </c>
      <c r="I1273" s="4" t="s">
        <v>918</v>
      </c>
      <c r="J1273" s="4">
        <v>15.3215</v>
      </c>
      <c r="K1273" s="4">
        <v>14.202400000000001</v>
      </c>
      <c r="L1273" s="4">
        <v>15.0977</v>
      </c>
      <c r="M1273" s="4">
        <f t="shared" si="77"/>
        <v>14.873866666666666</v>
      </c>
      <c r="P1273" s="4" t="str">
        <f>"M142.5"</f>
        <v>M142.5</v>
      </c>
      <c r="Q1273" s="4">
        <v>14.5989622899911</v>
      </c>
      <c r="R1273" s="4">
        <v>14.355104053481099</v>
      </c>
      <c r="S1273" s="4">
        <v>14.5494100738231</v>
      </c>
      <c r="T1273" s="4">
        <f t="shared" si="78"/>
        <v>14.501158805765101</v>
      </c>
      <c r="W1273" s="4" t="str">
        <f>"cdk-9"</f>
        <v>cdk-9</v>
      </c>
      <c r="X1273" s="4">
        <v>14.3573464222256</v>
      </c>
      <c r="Y1273" s="4">
        <v>14.7484149667144</v>
      </c>
      <c r="Z1273" s="4">
        <v>14.665778954446299</v>
      </c>
      <c r="AA1273" s="4">
        <f t="shared" si="79"/>
        <v>14.590513447795432</v>
      </c>
    </row>
    <row r="1274" spans="2:27" x14ac:dyDescent="0.2">
      <c r="B1274" s="4" t="s">
        <v>1273</v>
      </c>
      <c r="C1274" s="4">
        <v>14.5739</v>
      </c>
      <c r="D1274" s="4">
        <v>14.985900000000001</v>
      </c>
      <c r="E1274" s="4">
        <v>15.037100000000001</v>
      </c>
      <c r="F1274" s="4">
        <f t="shared" si="76"/>
        <v>14.865633333333335</v>
      </c>
      <c r="I1274" s="4" t="s">
        <v>504</v>
      </c>
      <c r="J1274" s="4">
        <v>14.7121</v>
      </c>
      <c r="K1274" s="4">
        <v>14.7065</v>
      </c>
      <c r="L1274" s="4">
        <v>15.196300000000001</v>
      </c>
      <c r="M1274" s="4">
        <f t="shared" si="77"/>
        <v>14.871633333333333</v>
      </c>
      <c r="P1274" s="4" t="str">
        <f>"ZC247.1"</f>
        <v>ZC247.1</v>
      </c>
      <c r="Q1274" s="4">
        <v>14.860105233012201</v>
      </c>
      <c r="R1274" s="4">
        <v>14.155508892372501</v>
      </c>
      <c r="S1274" s="4">
        <v>14.484552942456499</v>
      </c>
      <c r="T1274" s="4">
        <f t="shared" si="78"/>
        <v>14.500055689280401</v>
      </c>
      <c r="W1274" s="4" t="str">
        <f>"C09D4.1"</f>
        <v>C09D4.1</v>
      </c>
      <c r="X1274" s="4">
        <v>14.666040925772901</v>
      </c>
      <c r="Y1274" s="4">
        <v>14.3721099749021</v>
      </c>
      <c r="Z1274" s="4">
        <v>14.733249647247799</v>
      </c>
      <c r="AA1274" s="4">
        <f t="shared" si="79"/>
        <v>14.590466849307598</v>
      </c>
    </row>
    <row r="1275" spans="2:27" x14ac:dyDescent="0.2">
      <c r="B1275" s="4" t="s">
        <v>3226</v>
      </c>
      <c r="C1275" s="4">
        <v>14.842599999999999</v>
      </c>
      <c r="D1275" s="4">
        <v>14.7018</v>
      </c>
      <c r="E1275" s="4">
        <v>15.0487</v>
      </c>
      <c r="F1275" s="4">
        <f t="shared" si="76"/>
        <v>14.864366666666667</v>
      </c>
      <c r="I1275" s="4" t="s">
        <v>1535</v>
      </c>
      <c r="J1275" s="4">
        <v>14.8978</v>
      </c>
      <c r="K1275" s="4">
        <v>14.4842</v>
      </c>
      <c r="L1275" s="4">
        <v>15.2318</v>
      </c>
      <c r="M1275" s="4">
        <f t="shared" si="77"/>
        <v>14.871266666666665</v>
      </c>
      <c r="P1275" s="4" t="str">
        <f>"tbb-4"</f>
        <v>tbb-4</v>
      </c>
      <c r="Q1275" s="4">
        <v>14.9180803750333</v>
      </c>
      <c r="R1275" s="4">
        <v>14.2794409010581</v>
      </c>
      <c r="S1275" s="4">
        <v>14.296702190414299</v>
      </c>
      <c r="T1275" s="4">
        <f t="shared" si="78"/>
        <v>14.498074488835234</v>
      </c>
      <c r="W1275" s="4" t="str">
        <f>"cdr-4"</f>
        <v>cdr-4</v>
      </c>
      <c r="X1275" s="4">
        <v>14.696557762104</v>
      </c>
      <c r="Y1275" s="4">
        <v>14.6122562421931</v>
      </c>
      <c r="Z1275" s="4">
        <v>14.4603000337094</v>
      </c>
      <c r="AA1275" s="4">
        <f t="shared" si="79"/>
        <v>14.589704679335499</v>
      </c>
    </row>
    <row r="1276" spans="2:27" x14ac:dyDescent="0.2">
      <c r="B1276" s="4" t="s">
        <v>4527</v>
      </c>
      <c r="C1276" s="4">
        <v>14.7195</v>
      </c>
      <c r="D1276" s="4">
        <v>15.097</v>
      </c>
      <c r="E1276" s="4">
        <v>14.772500000000001</v>
      </c>
      <c r="F1276" s="4">
        <f t="shared" si="76"/>
        <v>14.863</v>
      </c>
      <c r="I1276" s="4" t="s">
        <v>1939</v>
      </c>
      <c r="J1276" s="4">
        <v>14.736800000000001</v>
      </c>
      <c r="K1276" s="4">
        <v>14.9719</v>
      </c>
      <c r="L1276" s="4">
        <v>14.902900000000001</v>
      </c>
      <c r="M1276" s="4">
        <f t="shared" si="77"/>
        <v>14.870533333333334</v>
      </c>
      <c r="P1276" s="4" t="str">
        <f>"cyc-1"</f>
        <v>cyc-1</v>
      </c>
      <c r="Q1276" s="4">
        <v>14.248083555389799</v>
      </c>
      <c r="R1276" s="4">
        <v>14.4864889475528</v>
      </c>
      <c r="S1276" s="4">
        <v>14.758404632717999</v>
      </c>
      <c r="T1276" s="4">
        <f t="shared" si="78"/>
        <v>14.497659045220198</v>
      </c>
      <c r="W1276" s="4" t="str">
        <f>"rsp-7"</f>
        <v>rsp-7</v>
      </c>
      <c r="X1276" s="4">
        <v>14.5491257419108</v>
      </c>
      <c r="Y1276" s="4">
        <v>14.258076391332599</v>
      </c>
      <c r="Z1276" s="4">
        <v>14.9566292737355</v>
      </c>
      <c r="AA1276" s="4">
        <f t="shared" si="79"/>
        <v>14.587943802326301</v>
      </c>
    </row>
    <row r="1277" spans="2:27" x14ac:dyDescent="0.2">
      <c r="B1277" s="4" t="s">
        <v>1670</v>
      </c>
      <c r="C1277" s="4">
        <v>14.9139</v>
      </c>
      <c r="D1277" s="4">
        <v>15.0372</v>
      </c>
      <c r="E1277" s="4">
        <v>14.6372</v>
      </c>
      <c r="F1277" s="4">
        <f t="shared" si="76"/>
        <v>14.862766666666667</v>
      </c>
      <c r="I1277" s="4" t="s">
        <v>4078</v>
      </c>
      <c r="J1277" s="4">
        <v>14.804399999999999</v>
      </c>
      <c r="K1277" s="4">
        <v>15.221399999999999</v>
      </c>
      <c r="L1277" s="4">
        <v>14.584300000000001</v>
      </c>
      <c r="M1277" s="4">
        <f t="shared" si="77"/>
        <v>14.870033333333332</v>
      </c>
      <c r="P1277" s="4" t="str">
        <f>"Y105E8A.20"</f>
        <v>Y105E8A.20</v>
      </c>
      <c r="Q1277" s="4">
        <v>14.6248654556769</v>
      </c>
      <c r="R1277" s="4">
        <v>14.3279801737153</v>
      </c>
      <c r="S1277" s="4">
        <v>14.5385754932002</v>
      </c>
      <c r="T1277" s="4">
        <f t="shared" si="78"/>
        <v>14.497140374197466</v>
      </c>
      <c r="W1277" s="4" t="str">
        <f>"hid-1"</f>
        <v>hid-1</v>
      </c>
      <c r="X1277" s="4">
        <v>14.591997489349099</v>
      </c>
      <c r="Y1277" s="4">
        <v>14.6231358188203</v>
      </c>
      <c r="Z1277" s="4">
        <v>14.5482195082842</v>
      </c>
      <c r="AA1277" s="4">
        <f t="shared" si="79"/>
        <v>14.587784272151199</v>
      </c>
    </row>
    <row r="1278" spans="2:27" x14ac:dyDescent="0.2">
      <c r="B1278" s="4" t="s">
        <v>2034</v>
      </c>
      <c r="C1278" s="4">
        <v>15.098599999999999</v>
      </c>
      <c r="D1278" s="4">
        <v>14.454499999999999</v>
      </c>
      <c r="E1278" s="4">
        <v>15.030200000000001</v>
      </c>
      <c r="F1278" s="4">
        <f t="shared" si="76"/>
        <v>14.8611</v>
      </c>
      <c r="I1278" s="4" t="s">
        <v>1744</v>
      </c>
      <c r="J1278" s="4">
        <v>15.078099999999999</v>
      </c>
      <c r="K1278" s="4">
        <v>14.699400000000001</v>
      </c>
      <c r="L1278" s="4">
        <v>14.8323</v>
      </c>
      <c r="M1278" s="4">
        <f t="shared" si="77"/>
        <v>14.869933333333334</v>
      </c>
      <c r="P1278" s="4" t="str">
        <f>"ger-1"</f>
        <v>ger-1</v>
      </c>
      <c r="Q1278" s="4">
        <v>14.3966979287891</v>
      </c>
      <c r="R1278" s="4">
        <v>14.755620967643001</v>
      </c>
      <c r="S1278" s="4">
        <v>14.335448747384</v>
      </c>
      <c r="T1278" s="4">
        <f t="shared" si="78"/>
        <v>14.495922547938699</v>
      </c>
      <c r="W1278" s="4" t="str">
        <f>"pch-2"</f>
        <v>pch-2</v>
      </c>
      <c r="X1278" s="4">
        <v>14.456287291200301</v>
      </c>
      <c r="Y1278" s="4">
        <v>14.8594454855786</v>
      </c>
      <c r="Z1278" s="4">
        <v>14.440560802533399</v>
      </c>
      <c r="AA1278" s="4">
        <f t="shared" si="79"/>
        <v>14.5854311931041</v>
      </c>
    </row>
    <row r="1279" spans="2:27" x14ac:dyDescent="0.2">
      <c r="B1279" s="4" t="s">
        <v>3589</v>
      </c>
      <c r="C1279" s="4">
        <v>14.682</v>
      </c>
      <c r="D1279" s="4">
        <v>14.981299999999999</v>
      </c>
      <c r="E1279" s="4">
        <v>14.9199</v>
      </c>
      <c r="F1279" s="4">
        <f t="shared" si="76"/>
        <v>14.861066666666666</v>
      </c>
      <c r="I1279" s="4" t="s">
        <v>4014</v>
      </c>
      <c r="J1279" s="4">
        <v>14.7889</v>
      </c>
      <c r="K1279" s="4">
        <v>15.104900000000001</v>
      </c>
      <c r="L1279" s="4">
        <v>14.7102</v>
      </c>
      <c r="M1279" s="4">
        <f t="shared" si="77"/>
        <v>14.868</v>
      </c>
      <c r="P1279" s="4" t="str">
        <f>"cmk-1"</f>
        <v>cmk-1</v>
      </c>
      <c r="Q1279" s="4">
        <v>14.796632065655301</v>
      </c>
      <c r="R1279" s="4">
        <v>14.4781597471351</v>
      </c>
      <c r="S1279" s="4">
        <v>14.211930600972501</v>
      </c>
      <c r="T1279" s="4">
        <f t="shared" si="78"/>
        <v>14.495574137920968</v>
      </c>
      <c r="W1279" s="4" t="str">
        <f>"F25H2.4"</f>
        <v>F25H2.4</v>
      </c>
      <c r="X1279" s="4">
        <v>14.666412318225101</v>
      </c>
      <c r="Y1279" s="4">
        <v>14.636379501752501</v>
      </c>
      <c r="Z1279" s="4">
        <v>14.4516554727558</v>
      </c>
      <c r="AA1279" s="4">
        <f t="shared" si="79"/>
        <v>14.584815764244468</v>
      </c>
    </row>
    <row r="1280" spans="2:27" x14ac:dyDescent="0.2">
      <c r="B1280" s="4" t="s">
        <v>4656</v>
      </c>
      <c r="C1280" s="4">
        <v>14.840999999999999</v>
      </c>
      <c r="D1280" s="4">
        <v>14.594900000000001</v>
      </c>
      <c r="E1280" s="4">
        <v>15.1463</v>
      </c>
      <c r="F1280" s="4">
        <f t="shared" si="76"/>
        <v>14.860733333333334</v>
      </c>
      <c r="I1280" s="4" t="s">
        <v>230</v>
      </c>
      <c r="J1280" s="4">
        <v>14.597799999999999</v>
      </c>
      <c r="K1280" s="4">
        <v>14.9442</v>
      </c>
      <c r="L1280" s="4">
        <v>15.0603</v>
      </c>
      <c r="M1280" s="4">
        <f t="shared" si="77"/>
        <v>14.867433333333333</v>
      </c>
      <c r="P1280" s="4" t="str">
        <f>"K04G7.1"</f>
        <v>K04G7.1</v>
      </c>
      <c r="Q1280" s="4">
        <v>14.7830611766282</v>
      </c>
      <c r="R1280" s="4">
        <v>14.232313330366001</v>
      </c>
      <c r="S1280" s="4">
        <v>14.4689162020021</v>
      </c>
      <c r="T1280" s="4">
        <f t="shared" si="78"/>
        <v>14.494763569665432</v>
      </c>
      <c r="W1280" s="4" t="str">
        <f>"cogc-3"</f>
        <v>cogc-3</v>
      </c>
      <c r="X1280" s="4">
        <v>14.5603284549591</v>
      </c>
      <c r="Y1280" s="4">
        <v>14.688736886591601</v>
      </c>
      <c r="Z1280" s="4">
        <v>14.503720313204999</v>
      </c>
      <c r="AA1280" s="4">
        <f t="shared" si="79"/>
        <v>14.584261884918567</v>
      </c>
    </row>
    <row r="1281" spans="2:27" x14ac:dyDescent="0.2">
      <c r="B1281" s="4" t="s">
        <v>2013</v>
      </c>
      <c r="C1281" s="4">
        <v>14.806800000000001</v>
      </c>
      <c r="D1281" s="4">
        <v>14.9594</v>
      </c>
      <c r="E1281" s="4">
        <v>14.811500000000001</v>
      </c>
      <c r="F1281" s="4">
        <f t="shared" si="76"/>
        <v>14.859233333333334</v>
      </c>
      <c r="I1281" s="4" t="s">
        <v>69</v>
      </c>
      <c r="J1281" s="4">
        <v>14.824299999999999</v>
      </c>
      <c r="K1281" s="4">
        <v>14.7394</v>
      </c>
      <c r="L1281" s="4">
        <v>15.0267</v>
      </c>
      <c r="M1281" s="4">
        <f t="shared" si="77"/>
        <v>14.863466666666666</v>
      </c>
      <c r="P1281" s="4" t="str">
        <f>"T20B3.1"</f>
        <v>T20B3.1</v>
      </c>
      <c r="Q1281" s="4">
        <v>14.437554441365</v>
      </c>
      <c r="R1281" s="4">
        <v>14.4853922751642</v>
      </c>
      <c r="S1281" s="4">
        <v>14.555257475782501</v>
      </c>
      <c r="T1281" s="4">
        <f t="shared" si="78"/>
        <v>14.492734730770566</v>
      </c>
      <c r="W1281" s="4" t="str">
        <f>"gex-2"</f>
        <v>gex-2</v>
      </c>
      <c r="X1281" s="4">
        <v>14.505938685736201</v>
      </c>
      <c r="Y1281" s="4">
        <v>14.6303261881671</v>
      </c>
      <c r="Z1281" s="4">
        <v>14.6157403015143</v>
      </c>
      <c r="AA1281" s="4">
        <f t="shared" si="79"/>
        <v>14.584001725139201</v>
      </c>
    </row>
    <row r="1282" spans="2:27" x14ac:dyDescent="0.2">
      <c r="B1282" s="4" t="s">
        <v>3073</v>
      </c>
      <c r="C1282" s="4">
        <v>14.623200000000001</v>
      </c>
      <c r="D1282" s="4">
        <v>15.334199999999999</v>
      </c>
      <c r="E1282" s="4">
        <v>14.615</v>
      </c>
      <c r="F1282" s="4">
        <f t="shared" ref="F1282:F1345" si="80">(C1282+D1282+E1282)/3</f>
        <v>14.857466666666667</v>
      </c>
      <c r="I1282" s="4" t="s">
        <v>393</v>
      </c>
      <c r="J1282" s="4">
        <v>14.978</v>
      </c>
      <c r="K1282" s="4">
        <v>14.736800000000001</v>
      </c>
      <c r="L1282" s="4">
        <v>14.8751</v>
      </c>
      <c r="M1282" s="4">
        <f t="shared" ref="M1282:M1345" si="81">(J1282+K1282+L1282)/3</f>
        <v>14.863300000000001</v>
      </c>
      <c r="P1282" s="4" t="str">
        <f>"T05F1.11"</f>
        <v>T05F1.11</v>
      </c>
      <c r="Q1282" s="4">
        <v>14.5603978482537</v>
      </c>
      <c r="R1282" s="4">
        <v>14.4960307879802</v>
      </c>
      <c r="S1282" s="4">
        <v>14.417738567331099</v>
      </c>
      <c r="T1282" s="4">
        <f t="shared" ref="T1282:T1345" si="82">(Q1282+R1282+S1282)/3</f>
        <v>14.491389067855001</v>
      </c>
      <c r="W1282" s="4" t="str">
        <f>"rpl-25.1"</f>
        <v>rpl-25.1</v>
      </c>
      <c r="X1282" s="4">
        <v>14.3943598246221</v>
      </c>
      <c r="Y1282" s="4">
        <v>14.582425418993401</v>
      </c>
      <c r="Z1282" s="4">
        <v>14.7714100561212</v>
      </c>
      <c r="AA1282" s="4">
        <f t="shared" ref="AA1282:AA1345" si="83">(X1282+Y1282+Z1282)/3</f>
        <v>14.582731766578901</v>
      </c>
    </row>
    <row r="1283" spans="2:27" x14ac:dyDescent="0.2">
      <c r="B1283" s="4" t="s">
        <v>3880</v>
      </c>
      <c r="C1283" s="4">
        <v>14.8612</v>
      </c>
      <c r="D1283" s="4">
        <v>14.7912</v>
      </c>
      <c r="E1283" s="4">
        <v>14.9199</v>
      </c>
      <c r="F1283" s="4">
        <f t="shared" si="80"/>
        <v>14.857433333333333</v>
      </c>
      <c r="I1283" s="4" t="s">
        <v>2145</v>
      </c>
      <c r="J1283" s="4">
        <v>14.7773</v>
      </c>
      <c r="K1283" s="4">
        <v>15.097200000000001</v>
      </c>
      <c r="L1283" s="4">
        <v>14.713900000000001</v>
      </c>
      <c r="M1283" s="4">
        <f t="shared" si="81"/>
        <v>14.8628</v>
      </c>
      <c r="P1283" s="4" t="str">
        <f>"ule-5"</f>
        <v>ule-5</v>
      </c>
      <c r="Q1283" s="4">
        <v>13.896025742028201</v>
      </c>
      <c r="R1283" s="4">
        <v>14.5711925415119</v>
      </c>
      <c r="S1283" s="4">
        <v>15.002544818367699</v>
      </c>
      <c r="T1283" s="4">
        <f t="shared" si="82"/>
        <v>14.489921033969267</v>
      </c>
      <c r="W1283" s="4" t="str">
        <f>"pdi-6"</f>
        <v>pdi-6</v>
      </c>
      <c r="X1283" s="4">
        <v>14.5195395675292</v>
      </c>
      <c r="Y1283" s="4">
        <v>14.568334410500301</v>
      </c>
      <c r="Z1283" s="4">
        <v>14.6567398836624</v>
      </c>
      <c r="AA1283" s="4">
        <f t="shared" si="83"/>
        <v>14.581537953897302</v>
      </c>
    </row>
    <row r="1284" spans="2:27" x14ac:dyDescent="0.2">
      <c r="B1284" s="4" t="s">
        <v>3088</v>
      </c>
      <c r="C1284" s="4">
        <v>14.879200000000001</v>
      </c>
      <c r="D1284" s="4">
        <v>14.683199999999999</v>
      </c>
      <c r="E1284" s="4">
        <v>15.006500000000001</v>
      </c>
      <c r="F1284" s="4">
        <f t="shared" si="80"/>
        <v>14.856299999999999</v>
      </c>
      <c r="I1284" s="4" t="s">
        <v>1480</v>
      </c>
      <c r="J1284" s="4">
        <v>14.823499999999999</v>
      </c>
      <c r="K1284" s="4">
        <v>14.7296</v>
      </c>
      <c r="L1284" s="4">
        <v>15.0296</v>
      </c>
      <c r="M1284" s="4">
        <f t="shared" si="81"/>
        <v>14.860900000000001</v>
      </c>
      <c r="P1284" s="4" t="str">
        <f>"gdi-1"</f>
        <v>gdi-1</v>
      </c>
      <c r="Q1284" s="4">
        <v>14.5545135733288</v>
      </c>
      <c r="R1284" s="4">
        <v>14.456856637730599</v>
      </c>
      <c r="S1284" s="4">
        <v>14.457424734420499</v>
      </c>
      <c r="T1284" s="4">
        <f t="shared" si="82"/>
        <v>14.489598315159967</v>
      </c>
      <c r="W1284" s="4" t="str">
        <f>"shc-1"</f>
        <v>shc-1</v>
      </c>
      <c r="X1284" s="4">
        <v>14.437116560522499</v>
      </c>
      <c r="Y1284" s="4">
        <v>14.7613370709826</v>
      </c>
      <c r="Z1284" s="4">
        <v>14.522599860348601</v>
      </c>
      <c r="AA1284" s="4">
        <f t="shared" si="83"/>
        <v>14.573684497284567</v>
      </c>
    </row>
    <row r="1285" spans="2:27" x14ac:dyDescent="0.2">
      <c r="B1285" s="4" t="s">
        <v>4664</v>
      </c>
      <c r="C1285" s="4">
        <v>14.3721</v>
      </c>
      <c r="D1285" s="4">
        <v>14.393000000000001</v>
      </c>
      <c r="E1285" s="4">
        <v>15.801399999999999</v>
      </c>
      <c r="F1285" s="4">
        <f t="shared" si="80"/>
        <v>14.855499999999999</v>
      </c>
      <c r="I1285" s="4" t="s">
        <v>1008</v>
      </c>
      <c r="J1285" s="4">
        <v>14.8527</v>
      </c>
      <c r="K1285" s="4">
        <v>14.674899999999999</v>
      </c>
      <c r="L1285" s="4">
        <v>15.053599999999999</v>
      </c>
      <c r="M1285" s="4">
        <f t="shared" si="81"/>
        <v>14.860399999999998</v>
      </c>
      <c r="P1285" s="4" t="str">
        <f>"dpy-28"</f>
        <v>dpy-28</v>
      </c>
      <c r="Q1285" s="4">
        <v>14.417136376598799</v>
      </c>
      <c r="R1285" s="4">
        <v>14.5820836382438</v>
      </c>
      <c r="S1285" s="4">
        <v>14.466729798927799</v>
      </c>
      <c r="T1285" s="4">
        <f t="shared" si="82"/>
        <v>14.488649937923467</v>
      </c>
      <c r="W1285" s="4" t="str">
        <f>"tmem-120"</f>
        <v>tmem-120</v>
      </c>
      <c r="X1285" s="4">
        <v>14.675528356747799</v>
      </c>
      <c r="Y1285" s="4">
        <v>14.637004960316199</v>
      </c>
      <c r="Z1285" s="4">
        <v>14.4055713443767</v>
      </c>
      <c r="AA1285" s="4">
        <f t="shared" si="83"/>
        <v>14.572701553813566</v>
      </c>
    </row>
    <row r="1286" spans="2:27" x14ac:dyDescent="0.2">
      <c r="B1286" s="4" t="s">
        <v>3068</v>
      </c>
      <c r="C1286" s="4">
        <v>14.935700000000001</v>
      </c>
      <c r="D1286" s="4">
        <v>14.846</v>
      </c>
      <c r="E1286" s="4">
        <v>14.7821</v>
      </c>
      <c r="F1286" s="4">
        <f t="shared" si="80"/>
        <v>14.8546</v>
      </c>
      <c r="I1286" s="4" t="s">
        <v>4669</v>
      </c>
      <c r="J1286" s="4">
        <v>14.603400000000001</v>
      </c>
      <c r="K1286" s="4">
        <v>14.9411</v>
      </c>
      <c r="L1286" s="4">
        <v>15.0365</v>
      </c>
      <c r="M1286" s="4">
        <f t="shared" si="81"/>
        <v>14.860333333333335</v>
      </c>
      <c r="P1286" s="4" t="str">
        <f>"K10C3.5"</f>
        <v>K10C3.5</v>
      </c>
      <c r="Q1286" s="4">
        <v>14.654374018321599</v>
      </c>
      <c r="R1286" s="4">
        <v>14.498555026168299</v>
      </c>
      <c r="S1286" s="4">
        <v>14.2978074051293</v>
      </c>
      <c r="T1286" s="4">
        <f t="shared" si="82"/>
        <v>14.483578816539733</v>
      </c>
      <c r="W1286" s="4" t="str">
        <f>"sir-2.4"</f>
        <v>sir-2.4</v>
      </c>
      <c r="X1286" s="4">
        <v>14.6590451984965</v>
      </c>
      <c r="Y1286" s="4">
        <v>14.381779043657801</v>
      </c>
      <c r="Z1286" s="4">
        <v>14.6631388254473</v>
      </c>
      <c r="AA1286" s="4">
        <f t="shared" si="83"/>
        <v>14.567987689200534</v>
      </c>
    </row>
    <row r="1287" spans="2:27" x14ac:dyDescent="0.2">
      <c r="B1287" s="4" t="s">
        <v>123</v>
      </c>
      <c r="C1287" s="4">
        <v>14.5405</v>
      </c>
      <c r="D1287" s="4">
        <v>15.078099999999999</v>
      </c>
      <c r="E1287" s="4">
        <v>14.926399999999999</v>
      </c>
      <c r="F1287" s="4">
        <f t="shared" si="80"/>
        <v>14.848333333333334</v>
      </c>
      <c r="I1287" s="4" t="s">
        <v>2760</v>
      </c>
      <c r="J1287" s="4">
        <v>14.8048</v>
      </c>
      <c r="K1287" s="4">
        <v>14.4618</v>
      </c>
      <c r="L1287" s="4">
        <v>15.3104</v>
      </c>
      <c r="M1287" s="4">
        <f t="shared" si="81"/>
        <v>14.859</v>
      </c>
      <c r="P1287" s="4" t="str">
        <f>"mix-1"</f>
        <v>mix-1</v>
      </c>
      <c r="Q1287" s="4">
        <v>14.448512327392001</v>
      </c>
      <c r="R1287" s="4">
        <v>14.4552004817733</v>
      </c>
      <c r="S1287" s="4">
        <v>14.5462814485299</v>
      </c>
      <c r="T1287" s="4">
        <f t="shared" si="82"/>
        <v>14.483331419231732</v>
      </c>
      <c r="W1287" s="4" t="str">
        <f>"H24K24.3"</f>
        <v>H24K24.3</v>
      </c>
      <c r="X1287" s="4">
        <v>14.4212378924612</v>
      </c>
      <c r="Y1287" s="4">
        <v>14.6301545573367</v>
      </c>
      <c r="Z1287" s="4">
        <v>14.6455830329542</v>
      </c>
      <c r="AA1287" s="4">
        <f t="shared" si="83"/>
        <v>14.5656584942507</v>
      </c>
    </row>
    <row r="1288" spans="2:27" x14ac:dyDescent="0.2">
      <c r="B1288" s="4" t="s">
        <v>1430</v>
      </c>
      <c r="C1288" s="4">
        <v>15.1729</v>
      </c>
      <c r="D1288" s="4">
        <v>14.568300000000001</v>
      </c>
      <c r="E1288" s="4">
        <v>14.803699999999999</v>
      </c>
      <c r="F1288" s="4">
        <f t="shared" si="80"/>
        <v>14.8483</v>
      </c>
      <c r="I1288" s="4" t="s">
        <v>2847</v>
      </c>
      <c r="J1288" s="4">
        <v>14.491099999999999</v>
      </c>
      <c r="K1288" s="4">
        <v>14.9262</v>
      </c>
      <c r="L1288" s="4">
        <v>15.1586</v>
      </c>
      <c r="M1288" s="4">
        <f t="shared" si="81"/>
        <v>14.858633333333332</v>
      </c>
      <c r="P1288" s="4" t="str">
        <f>"ttr-7"</f>
        <v>ttr-7</v>
      </c>
      <c r="Q1288" s="4">
        <v>14.6071927467443</v>
      </c>
      <c r="R1288" s="4">
        <v>14.303145384403599</v>
      </c>
      <c r="S1288" s="4">
        <v>14.5392673549108</v>
      </c>
      <c r="T1288" s="4">
        <f t="shared" si="82"/>
        <v>14.483201828686234</v>
      </c>
      <c r="W1288" s="4" t="str">
        <f>"nuo-4"</f>
        <v>nuo-4</v>
      </c>
      <c r="X1288" s="4">
        <v>14.5800800220439</v>
      </c>
      <c r="Y1288" s="4">
        <v>14.254613317630501</v>
      </c>
      <c r="Z1288" s="4">
        <v>14.859079144131501</v>
      </c>
      <c r="AA1288" s="4">
        <f t="shared" si="83"/>
        <v>14.5645908279353</v>
      </c>
    </row>
    <row r="1289" spans="2:27" x14ac:dyDescent="0.2">
      <c r="B1289" s="4" t="s">
        <v>2113</v>
      </c>
      <c r="C1289" s="4">
        <v>14.6577</v>
      </c>
      <c r="D1289" s="4">
        <v>14.4983</v>
      </c>
      <c r="E1289" s="4">
        <v>15.382400000000001</v>
      </c>
      <c r="F1289" s="4">
        <f t="shared" si="80"/>
        <v>14.846133333333333</v>
      </c>
      <c r="I1289" s="4" t="s">
        <v>1068</v>
      </c>
      <c r="J1289" s="4">
        <v>14.437900000000001</v>
      </c>
      <c r="K1289" s="4">
        <v>15.3268</v>
      </c>
      <c r="L1289" s="4">
        <v>14.8026</v>
      </c>
      <c r="M1289" s="4">
        <f t="shared" si="81"/>
        <v>14.855766666666668</v>
      </c>
      <c r="P1289" s="4" t="str">
        <f>"Y53F4B.13"</f>
        <v>Y53F4B.13</v>
      </c>
      <c r="Q1289" s="4">
        <v>14.394020373629701</v>
      </c>
      <c r="R1289" s="4">
        <v>14.5576868914091</v>
      </c>
      <c r="S1289" s="4">
        <v>14.497319708387799</v>
      </c>
      <c r="T1289" s="4">
        <f t="shared" si="82"/>
        <v>14.483008991142199</v>
      </c>
      <c r="W1289" s="4" t="str">
        <f>"mfn-1"</f>
        <v>mfn-1</v>
      </c>
      <c r="X1289" s="4">
        <v>14.4320606130537</v>
      </c>
      <c r="Y1289" s="4">
        <v>14.5664653091057</v>
      </c>
      <c r="Z1289" s="4">
        <v>14.687477365542</v>
      </c>
      <c r="AA1289" s="4">
        <f t="shared" si="83"/>
        <v>14.562001095900468</v>
      </c>
    </row>
    <row r="1290" spans="2:27" x14ac:dyDescent="0.2">
      <c r="B1290" s="4" t="s">
        <v>931</v>
      </c>
      <c r="C1290" s="4">
        <v>15.433</v>
      </c>
      <c r="D1290" s="4">
        <v>14.311299999999999</v>
      </c>
      <c r="E1290" s="4">
        <v>14.7875</v>
      </c>
      <c r="F1290" s="4">
        <f t="shared" si="80"/>
        <v>14.843933333333332</v>
      </c>
      <c r="I1290" s="4" t="s">
        <v>84</v>
      </c>
      <c r="J1290" s="4">
        <v>14.902100000000001</v>
      </c>
      <c r="K1290" s="4">
        <v>14.2165</v>
      </c>
      <c r="L1290" s="4">
        <v>15.4443</v>
      </c>
      <c r="M1290" s="4">
        <f t="shared" si="81"/>
        <v>14.8543</v>
      </c>
      <c r="P1290" s="4" t="str">
        <f>"cpsf-2"</f>
        <v>cpsf-2</v>
      </c>
      <c r="Q1290" s="4">
        <v>14.6564582911282</v>
      </c>
      <c r="R1290" s="4">
        <v>14.4379726236618</v>
      </c>
      <c r="S1290" s="4">
        <v>14.349959282859</v>
      </c>
      <c r="T1290" s="4">
        <f t="shared" si="82"/>
        <v>14.481463399216333</v>
      </c>
      <c r="W1290" s="4" t="str">
        <f>"rpl-11.1"</f>
        <v>rpl-11.1</v>
      </c>
      <c r="X1290" s="4">
        <v>14.4529725474922</v>
      </c>
      <c r="Y1290" s="4">
        <v>14.644624683533999</v>
      </c>
      <c r="Z1290" s="4">
        <v>14.586970718057101</v>
      </c>
      <c r="AA1290" s="4">
        <f t="shared" si="83"/>
        <v>14.561522649694433</v>
      </c>
    </row>
    <row r="1291" spans="2:27" x14ac:dyDescent="0.2">
      <c r="B1291" s="4" t="s">
        <v>1814</v>
      </c>
      <c r="C1291" s="4">
        <v>14.669700000000001</v>
      </c>
      <c r="D1291" s="4">
        <v>15.2033</v>
      </c>
      <c r="E1291" s="4">
        <v>14.656499999999999</v>
      </c>
      <c r="F1291" s="4">
        <f t="shared" si="80"/>
        <v>14.843166666666667</v>
      </c>
      <c r="I1291" s="4" t="s">
        <v>3226</v>
      </c>
      <c r="J1291" s="4">
        <v>15.0253</v>
      </c>
      <c r="K1291" s="4">
        <v>14.9109</v>
      </c>
      <c r="L1291" s="4">
        <v>14.6265</v>
      </c>
      <c r="M1291" s="4">
        <f t="shared" si="81"/>
        <v>14.854233333333333</v>
      </c>
      <c r="P1291" s="4" t="str">
        <f>"pabp-2"</f>
        <v>pabp-2</v>
      </c>
      <c r="Q1291" s="4">
        <v>14.5802376632929</v>
      </c>
      <c r="R1291" s="4">
        <v>14.359614703661901</v>
      </c>
      <c r="S1291" s="4">
        <v>14.502903717975</v>
      </c>
      <c r="T1291" s="4">
        <f t="shared" si="82"/>
        <v>14.480918694976602</v>
      </c>
      <c r="W1291" s="4" t="str">
        <f>"mei-1"</f>
        <v>mei-1</v>
      </c>
      <c r="X1291" s="4">
        <v>14.593425267056199</v>
      </c>
      <c r="Y1291" s="4">
        <v>14.634889657161001</v>
      </c>
      <c r="Z1291" s="4">
        <v>14.445432903009699</v>
      </c>
      <c r="AA1291" s="4">
        <f t="shared" si="83"/>
        <v>14.557915942408968</v>
      </c>
    </row>
    <row r="1292" spans="2:27" x14ac:dyDescent="0.2">
      <c r="B1292" s="4" t="s">
        <v>795</v>
      </c>
      <c r="C1292" s="4">
        <v>14.787100000000001</v>
      </c>
      <c r="D1292" s="4">
        <v>15.115</v>
      </c>
      <c r="E1292" s="4">
        <v>14.621600000000001</v>
      </c>
      <c r="F1292" s="4">
        <f t="shared" si="80"/>
        <v>14.841233333333335</v>
      </c>
      <c r="I1292" s="4" t="s">
        <v>4005</v>
      </c>
      <c r="J1292" s="4">
        <v>14.9397</v>
      </c>
      <c r="K1292" s="4">
        <v>14.9937</v>
      </c>
      <c r="L1292" s="4">
        <v>14.6275</v>
      </c>
      <c r="M1292" s="4">
        <f t="shared" si="81"/>
        <v>14.853633333333333</v>
      </c>
      <c r="P1292" s="4" t="str">
        <f>"coq-3"</f>
        <v>coq-3</v>
      </c>
      <c r="Q1292" s="4">
        <v>14.342886715556199</v>
      </c>
      <c r="R1292" s="4">
        <v>14.537112062322</v>
      </c>
      <c r="S1292" s="4">
        <v>14.5615511875893</v>
      </c>
      <c r="T1292" s="4">
        <f t="shared" si="82"/>
        <v>14.480516655155833</v>
      </c>
      <c r="W1292" s="4" t="str">
        <f>"acl-11"</f>
        <v>acl-11</v>
      </c>
      <c r="X1292" s="4">
        <v>14.3700939318722</v>
      </c>
      <c r="Y1292" s="4">
        <v>14.576200796106299</v>
      </c>
      <c r="Z1292" s="4">
        <v>14.72170152716</v>
      </c>
      <c r="AA1292" s="4">
        <f t="shared" si="83"/>
        <v>14.555998751712833</v>
      </c>
    </row>
    <row r="1293" spans="2:27" x14ac:dyDescent="0.2">
      <c r="B1293" s="4" t="s">
        <v>2018</v>
      </c>
      <c r="C1293" s="4">
        <v>14.6374</v>
      </c>
      <c r="D1293" s="4">
        <v>15.3653</v>
      </c>
      <c r="E1293" s="4">
        <v>14.52</v>
      </c>
      <c r="F1293" s="4">
        <f t="shared" si="80"/>
        <v>14.8409</v>
      </c>
      <c r="I1293" s="4" t="s">
        <v>2805</v>
      </c>
      <c r="J1293" s="4">
        <v>14.7286</v>
      </c>
      <c r="K1293" s="4">
        <v>14.9598</v>
      </c>
      <c r="L1293" s="4">
        <v>14.8605</v>
      </c>
      <c r="M1293" s="4">
        <f t="shared" si="81"/>
        <v>14.849633333333335</v>
      </c>
      <c r="P1293" s="4" t="str">
        <f>"vps-22"</f>
        <v>vps-22</v>
      </c>
      <c r="Q1293" s="4">
        <v>14.548141773824799</v>
      </c>
      <c r="R1293" s="4">
        <v>14.585615662541899</v>
      </c>
      <c r="S1293" s="4">
        <v>14.3014457905659</v>
      </c>
      <c r="T1293" s="4">
        <f t="shared" si="82"/>
        <v>14.4784010756442</v>
      </c>
      <c r="W1293" s="4" t="str">
        <f>"tsfm-1"</f>
        <v>tsfm-1</v>
      </c>
      <c r="X1293" s="4">
        <v>14.329777304324899</v>
      </c>
      <c r="Y1293" s="4">
        <v>14.4198091734555</v>
      </c>
      <c r="Z1293" s="4">
        <v>14.914475897864801</v>
      </c>
      <c r="AA1293" s="4">
        <f t="shared" si="83"/>
        <v>14.554687458548401</v>
      </c>
    </row>
    <row r="1294" spans="2:27" x14ac:dyDescent="0.2">
      <c r="B1294" s="4" t="s">
        <v>3043</v>
      </c>
      <c r="C1294" s="4">
        <v>14.9413</v>
      </c>
      <c r="D1294" s="4">
        <v>14.5213</v>
      </c>
      <c r="E1294" s="4">
        <v>15.0488</v>
      </c>
      <c r="F1294" s="4">
        <f t="shared" si="80"/>
        <v>14.837133333333334</v>
      </c>
      <c r="I1294" s="4" t="s">
        <v>52</v>
      </c>
      <c r="J1294" s="4">
        <v>15.1274</v>
      </c>
      <c r="K1294" s="4">
        <v>14.562099999999999</v>
      </c>
      <c r="L1294" s="4">
        <v>14.859400000000001</v>
      </c>
      <c r="M1294" s="4">
        <f t="shared" si="81"/>
        <v>14.849633333333335</v>
      </c>
      <c r="P1294" s="4" t="str">
        <f>"C47E12.2"</f>
        <v>C47E12.2</v>
      </c>
      <c r="Q1294" s="4">
        <v>14.4477118280456</v>
      </c>
      <c r="R1294" s="4">
        <v>14.4789332962486</v>
      </c>
      <c r="S1294" s="4">
        <v>14.502443541957801</v>
      </c>
      <c r="T1294" s="4">
        <f t="shared" si="82"/>
        <v>14.476362888750666</v>
      </c>
      <c r="W1294" s="4" t="str">
        <f>"apc-17"</f>
        <v>apc-17</v>
      </c>
      <c r="X1294" s="4">
        <v>15.668287200908001</v>
      </c>
      <c r="Y1294" s="4">
        <v>14.244329638970999</v>
      </c>
      <c r="Z1294" s="4">
        <v>13.7370179729122</v>
      </c>
      <c r="AA1294" s="4">
        <f t="shared" si="83"/>
        <v>14.5498782709304</v>
      </c>
    </row>
    <row r="1295" spans="2:27" x14ac:dyDescent="0.2">
      <c r="B1295" s="4" t="s">
        <v>4670</v>
      </c>
      <c r="C1295" s="4">
        <v>14.976100000000001</v>
      </c>
      <c r="D1295" s="4">
        <v>14.448</v>
      </c>
      <c r="E1295" s="4">
        <v>15.0823</v>
      </c>
      <c r="F1295" s="4">
        <f t="shared" si="80"/>
        <v>14.835466666666667</v>
      </c>
      <c r="I1295" s="4" t="s">
        <v>2196</v>
      </c>
      <c r="J1295" s="4">
        <v>14.460800000000001</v>
      </c>
      <c r="K1295" s="4">
        <v>14.848100000000001</v>
      </c>
      <c r="L1295" s="4">
        <v>15.2385</v>
      </c>
      <c r="M1295" s="4">
        <f t="shared" si="81"/>
        <v>14.849133333333334</v>
      </c>
      <c r="P1295" s="4" t="str">
        <f>"B0024.11"</f>
        <v>B0024.11</v>
      </c>
      <c r="Q1295" s="4">
        <v>14.3535108472056</v>
      </c>
      <c r="R1295" s="4">
        <v>14.429561352813099</v>
      </c>
      <c r="S1295" s="4">
        <v>14.639647421986901</v>
      </c>
      <c r="T1295" s="4">
        <f t="shared" si="82"/>
        <v>14.474239874001867</v>
      </c>
      <c r="W1295" s="4" t="str">
        <f>"col-45"</f>
        <v>col-45</v>
      </c>
      <c r="X1295" s="4">
        <v>14.919263751549099</v>
      </c>
      <c r="Y1295" s="4">
        <v>14.507401193718</v>
      </c>
      <c r="Z1295" s="4">
        <v>14.222823493796399</v>
      </c>
      <c r="AA1295" s="4">
        <f t="shared" si="83"/>
        <v>14.549829479687832</v>
      </c>
    </row>
    <row r="1296" spans="2:27" x14ac:dyDescent="0.2">
      <c r="B1296" s="4" t="s">
        <v>3113</v>
      </c>
      <c r="C1296" s="4">
        <v>15.0594</v>
      </c>
      <c r="D1296" s="4">
        <v>14.94</v>
      </c>
      <c r="E1296" s="4">
        <v>14.4999</v>
      </c>
      <c r="F1296" s="4">
        <f t="shared" si="80"/>
        <v>14.833100000000002</v>
      </c>
      <c r="I1296" s="4" t="s">
        <v>1177</v>
      </c>
      <c r="J1296" s="4">
        <v>14.573399999999999</v>
      </c>
      <c r="K1296" s="4">
        <v>14.9945</v>
      </c>
      <c r="L1296" s="4">
        <v>14.977600000000001</v>
      </c>
      <c r="M1296" s="4">
        <f t="shared" si="81"/>
        <v>14.848500000000001</v>
      </c>
      <c r="P1296" s="4" t="str">
        <f>"rrf-1"</f>
        <v>rrf-1</v>
      </c>
      <c r="Q1296" s="4">
        <v>14.5326763892402</v>
      </c>
      <c r="R1296" s="4">
        <v>14.531553233045599</v>
      </c>
      <c r="S1296" s="4">
        <v>14.356344652913499</v>
      </c>
      <c r="T1296" s="4">
        <f t="shared" si="82"/>
        <v>14.473524758399767</v>
      </c>
      <c r="W1296" s="4" t="str">
        <f>"Y32F6A.5"</f>
        <v>Y32F6A.5</v>
      </c>
      <c r="X1296" s="4">
        <v>14.9045954056147</v>
      </c>
      <c r="Y1296" s="4">
        <v>14.499925603852301</v>
      </c>
      <c r="Z1296" s="4">
        <v>14.244444985146799</v>
      </c>
      <c r="AA1296" s="4">
        <f t="shared" si="83"/>
        <v>14.549655331537934</v>
      </c>
    </row>
    <row r="1297" spans="2:27" x14ac:dyDescent="0.2">
      <c r="B1297" s="4" t="s">
        <v>3150</v>
      </c>
      <c r="C1297" s="4">
        <v>14.667999999999999</v>
      </c>
      <c r="D1297" s="4">
        <v>15.0787</v>
      </c>
      <c r="E1297" s="4">
        <v>14.749499999999999</v>
      </c>
      <c r="F1297" s="4">
        <f t="shared" si="80"/>
        <v>14.832066666666664</v>
      </c>
      <c r="I1297" s="4" t="s">
        <v>62</v>
      </c>
      <c r="J1297" s="4">
        <v>15.0299</v>
      </c>
      <c r="K1297" s="4">
        <v>14.573399999999999</v>
      </c>
      <c r="L1297" s="4">
        <v>14.938700000000001</v>
      </c>
      <c r="M1297" s="4">
        <f t="shared" si="81"/>
        <v>14.847333333333333</v>
      </c>
      <c r="P1297" s="4" t="str">
        <f>"tbx-7"</f>
        <v>tbx-7</v>
      </c>
      <c r="Q1297" s="4">
        <v>15.3382091379803</v>
      </c>
      <c r="R1297" s="4">
        <v>14.0860697506718</v>
      </c>
      <c r="S1297" s="4">
        <v>13.995616437942999</v>
      </c>
      <c r="T1297" s="4">
        <f t="shared" si="82"/>
        <v>14.473298442198365</v>
      </c>
      <c r="W1297" s="4" t="str">
        <f>"ZK686.2"</f>
        <v>ZK686.2</v>
      </c>
      <c r="X1297" s="4">
        <v>14.5577977738259</v>
      </c>
      <c r="Y1297" s="4">
        <v>14.6428913573162</v>
      </c>
      <c r="Z1297" s="4">
        <v>14.447048217717301</v>
      </c>
      <c r="AA1297" s="4">
        <f t="shared" si="83"/>
        <v>14.549245782953134</v>
      </c>
    </row>
    <row r="1298" spans="2:27" x14ac:dyDescent="0.2">
      <c r="B1298" s="4" t="s">
        <v>2059</v>
      </c>
      <c r="C1298" s="4">
        <v>15.309799999999999</v>
      </c>
      <c r="D1298" s="4">
        <v>14.47</v>
      </c>
      <c r="E1298" s="4">
        <v>14.7112</v>
      </c>
      <c r="F1298" s="4">
        <f t="shared" si="80"/>
        <v>14.830333333333334</v>
      </c>
      <c r="I1298" s="4" t="s">
        <v>1429</v>
      </c>
      <c r="J1298" s="4">
        <v>15.1153</v>
      </c>
      <c r="K1298" s="4">
        <v>14.591200000000001</v>
      </c>
      <c r="L1298" s="4">
        <v>14.8315</v>
      </c>
      <c r="M1298" s="4">
        <f t="shared" si="81"/>
        <v>14.845999999999998</v>
      </c>
      <c r="P1298" s="4" t="str">
        <f>"mrp-3"</f>
        <v>mrp-3</v>
      </c>
      <c r="Q1298" s="4">
        <v>14.352614957634399</v>
      </c>
      <c r="R1298" s="4">
        <v>14.402895321848501</v>
      </c>
      <c r="S1298" s="4">
        <v>14.662129828384</v>
      </c>
      <c r="T1298" s="4">
        <f t="shared" si="82"/>
        <v>14.472546702622301</v>
      </c>
      <c r="W1298" s="4" t="str">
        <f>"lys-4"</f>
        <v>lys-4</v>
      </c>
      <c r="X1298" s="4">
        <v>14.701718251847099</v>
      </c>
      <c r="Y1298" s="4">
        <v>14.810350418402599</v>
      </c>
      <c r="Z1298" s="4">
        <v>14.127760726071401</v>
      </c>
      <c r="AA1298" s="4">
        <f t="shared" si="83"/>
        <v>14.5466097987737</v>
      </c>
    </row>
    <row r="1299" spans="2:27" x14ac:dyDescent="0.2">
      <c r="B1299" s="4" t="s">
        <v>1760</v>
      </c>
      <c r="C1299" s="4">
        <v>14.8345</v>
      </c>
      <c r="D1299" s="4">
        <v>15.071199999999999</v>
      </c>
      <c r="E1299" s="4">
        <v>14.577999999999999</v>
      </c>
      <c r="F1299" s="4">
        <f t="shared" si="80"/>
        <v>14.8279</v>
      </c>
      <c r="I1299" s="4" t="s">
        <v>1346</v>
      </c>
      <c r="J1299" s="4">
        <v>15.0306</v>
      </c>
      <c r="K1299" s="4">
        <v>14.7059</v>
      </c>
      <c r="L1299" s="4">
        <v>14.799300000000001</v>
      </c>
      <c r="M1299" s="4">
        <f t="shared" si="81"/>
        <v>14.845266666666667</v>
      </c>
      <c r="P1299" s="4" t="str">
        <f>"elc-1"</f>
        <v>elc-1</v>
      </c>
      <c r="Q1299" s="4">
        <v>14.3651250651686</v>
      </c>
      <c r="R1299" s="4">
        <v>14.461703568974</v>
      </c>
      <c r="S1299" s="4">
        <v>14.5824376854584</v>
      </c>
      <c r="T1299" s="4">
        <f t="shared" si="82"/>
        <v>14.469755439867001</v>
      </c>
      <c r="W1299" s="4" t="str">
        <f>"spl-3"</f>
        <v>spl-3</v>
      </c>
      <c r="X1299" s="4">
        <v>14.428388170284499</v>
      </c>
      <c r="Y1299" s="4">
        <v>14.579426280941901</v>
      </c>
      <c r="Z1299" s="4">
        <v>14.6307925615318</v>
      </c>
      <c r="AA1299" s="4">
        <f t="shared" si="83"/>
        <v>14.546202337586067</v>
      </c>
    </row>
    <row r="1300" spans="2:27" x14ac:dyDescent="0.2">
      <c r="B1300" s="4" t="s">
        <v>2601</v>
      </c>
      <c r="C1300" s="4">
        <v>14.6188</v>
      </c>
      <c r="D1300" s="4">
        <v>14.981400000000001</v>
      </c>
      <c r="E1300" s="4">
        <v>14.883100000000001</v>
      </c>
      <c r="F1300" s="4">
        <f t="shared" si="80"/>
        <v>14.827766666666667</v>
      </c>
      <c r="I1300" s="4" t="s">
        <v>960</v>
      </c>
      <c r="J1300" s="4">
        <v>14.8592</v>
      </c>
      <c r="K1300" s="4">
        <v>14.472799999999999</v>
      </c>
      <c r="L1300" s="4">
        <v>15.190300000000001</v>
      </c>
      <c r="M1300" s="4">
        <f t="shared" si="81"/>
        <v>14.840766666666667</v>
      </c>
      <c r="P1300" s="4" t="str">
        <f>"ccdc-47"</f>
        <v>ccdc-47</v>
      </c>
      <c r="Q1300" s="4">
        <v>14.281506795706299</v>
      </c>
      <c r="R1300" s="4">
        <v>14.485326498515899</v>
      </c>
      <c r="S1300" s="4">
        <v>14.6368551441452</v>
      </c>
      <c r="T1300" s="4">
        <f t="shared" si="82"/>
        <v>14.467896146122465</v>
      </c>
      <c r="W1300" s="4" t="str">
        <f>"rfl-1"</f>
        <v>rfl-1</v>
      </c>
      <c r="X1300" s="4">
        <v>15.013709709538</v>
      </c>
      <c r="Y1300" s="4">
        <v>14.508353941606501</v>
      </c>
      <c r="Z1300" s="4">
        <v>14.116085540675799</v>
      </c>
      <c r="AA1300" s="4">
        <f t="shared" si="83"/>
        <v>14.546049730606766</v>
      </c>
    </row>
    <row r="1301" spans="2:27" x14ac:dyDescent="0.2">
      <c r="B1301" s="4" t="s">
        <v>2514</v>
      </c>
      <c r="C1301" s="4">
        <v>14.8666</v>
      </c>
      <c r="D1301" s="4">
        <v>14.9964</v>
      </c>
      <c r="E1301" s="4">
        <v>14.6142</v>
      </c>
      <c r="F1301" s="4">
        <f t="shared" si="80"/>
        <v>14.825733333333332</v>
      </c>
      <c r="I1301" s="4" t="s">
        <v>1966</v>
      </c>
      <c r="J1301" s="4">
        <v>14.5966</v>
      </c>
      <c r="K1301" s="4">
        <v>14.846399999999999</v>
      </c>
      <c r="L1301" s="4">
        <v>15.0783</v>
      </c>
      <c r="M1301" s="4">
        <f t="shared" si="81"/>
        <v>14.840433333333332</v>
      </c>
      <c r="P1301" s="4" t="str">
        <f>"fbxa-135"</f>
        <v>fbxa-135</v>
      </c>
      <c r="Q1301" s="4">
        <v>14.6743045920089</v>
      </c>
      <c r="R1301" s="4">
        <v>14.3450793099869</v>
      </c>
      <c r="S1301" s="4">
        <v>14.382039918578601</v>
      </c>
      <c r="T1301" s="4">
        <f t="shared" si="82"/>
        <v>14.467141273524801</v>
      </c>
      <c r="W1301" s="4" t="str">
        <f>"T13H5.1"</f>
        <v>T13H5.1</v>
      </c>
      <c r="X1301" s="4">
        <v>14.6317991016479</v>
      </c>
      <c r="Y1301" s="4">
        <v>14.472975639472599</v>
      </c>
      <c r="Z1301" s="4">
        <v>14.5318869846708</v>
      </c>
      <c r="AA1301" s="4">
        <f t="shared" si="83"/>
        <v>14.5455539085971</v>
      </c>
    </row>
    <row r="1302" spans="2:27" x14ac:dyDescent="0.2">
      <c r="B1302" s="4" t="s">
        <v>829</v>
      </c>
      <c r="C1302" s="4">
        <v>14.8843</v>
      </c>
      <c r="D1302" s="4">
        <v>14.970599999999999</v>
      </c>
      <c r="E1302" s="4">
        <v>14.609299999999999</v>
      </c>
      <c r="F1302" s="4">
        <f t="shared" si="80"/>
        <v>14.821399999999999</v>
      </c>
      <c r="I1302" s="4" t="s">
        <v>4671</v>
      </c>
      <c r="J1302" s="4">
        <v>14.8386</v>
      </c>
      <c r="K1302" s="4">
        <v>14.814500000000001</v>
      </c>
      <c r="L1302" s="4">
        <v>14.860799999999999</v>
      </c>
      <c r="M1302" s="4">
        <f t="shared" si="81"/>
        <v>14.837966666666667</v>
      </c>
      <c r="P1302" s="4" t="str">
        <f>"ZK673.2"</f>
        <v>ZK673.2</v>
      </c>
      <c r="Q1302" s="4">
        <v>14.554237122958099</v>
      </c>
      <c r="R1302" s="4">
        <v>14.398471966302401</v>
      </c>
      <c r="S1302" s="4">
        <v>14.4458662445301</v>
      </c>
      <c r="T1302" s="4">
        <f t="shared" si="82"/>
        <v>14.466191777930201</v>
      </c>
      <c r="W1302" s="4" t="str">
        <f>"gst-26"</f>
        <v>gst-26</v>
      </c>
      <c r="X1302" s="4">
        <v>14.772359194072999</v>
      </c>
      <c r="Y1302" s="4">
        <v>14.457464272483801</v>
      </c>
      <c r="Z1302" s="4">
        <v>14.402528494820499</v>
      </c>
      <c r="AA1302" s="4">
        <f t="shared" si="83"/>
        <v>14.544117320459101</v>
      </c>
    </row>
    <row r="1303" spans="2:27" x14ac:dyDescent="0.2">
      <c r="B1303" s="4" t="s">
        <v>2346</v>
      </c>
      <c r="C1303" s="4">
        <v>14.745799999999999</v>
      </c>
      <c r="D1303" s="4">
        <v>14.7615</v>
      </c>
      <c r="E1303" s="4">
        <v>14.9565</v>
      </c>
      <c r="F1303" s="4">
        <f t="shared" si="80"/>
        <v>14.821266666666666</v>
      </c>
      <c r="I1303" s="4" t="s">
        <v>1423</v>
      </c>
      <c r="J1303" s="4">
        <v>14.9838</v>
      </c>
      <c r="K1303" s="4">
        <v>14.654500000000001</v>
      </c>
      <c r="L1303" s="4">
        <v>14.8727</v>
      </c>
      <c r="M1303" s="4">
        <f t="shared" si="81"/>
        <v>14.837000000000002</v>
      </c>
      <c r="P1303" s="4" t="str">
        <f>"H05C05.1"</f>
        <v>H05C05.1</v>
      </c>
      <c r="Q1303" s="4">
        <v>14.5638506674062</v>
      </c>
      <c r="R1303" s="4">
        <v>14.271762067683801</v>
      </c>
      <c r="S1303" s="4">
        <v>14.559325067855699</v>
      </c>
      <c r="T1303" s="4">
        <f t="shared" si="82"/>
        <v>14.464979267648568</v>
      </c>
      <c r="W1303" s="4" t="str">
        <f>"ark-1"</f>
        <v>ark-1</v>
      </c>
      <c r="X1303" s="4">
        <v>14.4793260392688</v>
      </c>
      <c r="Y1303" s="4">
        <v>14.6350490523158</v>
      </c>
      <c r="Z1303" s="4">
        <v>14.5141651382277</v>
      </c>
      <c r="AA1303" s="4">
        <f t="shared" si="83"/>
        <v>14.542846743270767</v>
      </c>
    </row>
    <row r="1304" spans="2:27" x14ac:dyDescent="0.2">
      <c r="B1304" s="4" t="s">
        <v>250</v>
      </c>
      <c r="C1304" s="4">
        <v>15.120900000000001</v>
      </c>
      <c r="D1304" s="4">
        <v>14.9847</v>
      </c>
      <c r="E1304" s="4">
        <v>14.353400000000001</v>
      </c>
      <c r="F1304" s="4">
        <f t="shared" si="80"/>
        <v>14.819666666666668</v>
      </c>
      <c r="I1304" s="4" t="s">
        <v>3219</v>
      </c>
      <c r="J1304" s="4">
        <v>14.877599999999999</v>
      </c>
      <c r="K1304" s="4">
        <v>14.829800000000001</v>
      </c>
      <c r="L1304" s="4">
        <v>14.802899999999999</v>
      </c>
      <c r="M1304" s="4">
        <f t="shared" si="81"/>
        <v>14.836766666666668</v>
      </c>
      <c r="P1304" s="4" t="str">
        <f>"msh-2"</f>
        <v>msh-2</v>
      </c>
      <c r="Q1304" s="4">
        <v>14.4315321658262</v>
      </c>
      <c r="R1304" s="4">
        <v>14.5028600311548</v>
      </c>
      <c r="S1304" s="4">
        <v>14.4557033392297</v>
      </c>
      <c r="T1304" s="4">
        <f t="shared" si="82"/>
        <v>14.4633651787369</v>
      </c>
      <c r="W1304" s="4" t="str">
        <f>"ife-2"</f>
        <v>ife-2</v>
      </c>
      <c r="X1304" s="4">
        <v>14.568201444408899</v>
      </c>
      <c r="Y1304" s="4">
        <v>14.5953136579018</v>
      </c>
      <c r="Z1304" s="4">
        <v>14.458796080494</v>
      </c>
      <c r="AA1304" s="4">
        <f t="shared" si="83"/>
        <v>14.540770394268231</v>
      </c>
    </row>
    <row r="1305" spans="2:27" x14ac:dyDescent="0.2">
      <c r="B1305" s="4" t="s">
        <v>2850</v>
      </c>
      <c r="C1305" s="4">
        <v>14.5992</v>
      </c>
      <c r="D1305" s="4">
        <v>14.8795</v>
      </c>
      <c r="E1305" s="4">
        <v>14.9686</v>
      </c>
      <c r="F1305" s="4">
        <f t="shared" si="80"/>
        <v>14.815766666666667</v>
      </c>
      <c r="I1305" s="4" t="s">
        <v>2015</v>
      </c>
      <c r="J1305" s="4">
        <v>14.889799999999999</v>
      </c>
      <c r="K1305" s="4">
        <v>14.8392</v>
      </c>
      <c r="L1305" s="4">
        <v>14.776400000000001</v>
      </c>
      <c r="M1305" s="4">
        <f t="shared" si="81"/>
        <v>14.835133333333333</v>
      </c>
      <c r="P1305" s="4" t="str">
        <f>"clk-1"</f>
        <v>clk-1</v>
      </c>
      <c r="Q1305" s="4">
        <v>14.713339738155</v>
      </c>
      <c r="R1305" s="4">
        <v>14.435432902992501</v>
      </c>
      <c r="S1305" s="4">
        <v>14.2402652065143</v>
      </c>
      <c r="T1305" s="4">
        <f t="shared" si="82"/>
        <v>14.463012615887267</v>
      </c>
      <c r="W1305" s="4" t="str">
        <f>"smg-2"</f>
        <v>smg-2</v>
      </c>
      <c r="X1305" s="4">
        <v>14.53392452994</v>
      </c>
      <c r="Y1305" s="4">
        <v>14.573975942615499</v>
      </c>
      <c r="Z1305" s="4">
        <v>14.5099228779222</v>
      </c>
      <c r="AA1305" s="4">
        <f t="shared" si="83"/>
        <v>14.539274450159233</v>
      </c>
    </row>
    <row r="1306" spans="2:27" x14ac:dyDescent="0.2">
      <c r="B1306" s="4" t="s">
        <v>3908</v>
      </c>
      <c r="C1306" s="4">
        <v>14.981999999999999</v>
      </c>
      <c r="D1306" s="4">
        <v>14.432399999999999</v>
      </c>
      <c r="E1306" s="4">
        <v>15.024900000000001</v>
      </c>
      <c r="F1306" s="4">
        <f t="shared" si="80"/>
        <v>14.8131</v>
      </c>
      <c r="I1306" s="4" t="s">
        <v>3073</v>
      </c>
      <c r="J1306" s="4">
        <v>15.0558</v>
      </c>
      <c r="K1306" s="4">
        <v>14.276999999999999</v>
      </c>
      <c r="L1306" s="4">
        <v>15.170299999999999</v>
      </c>
      <c r="M1306" s="4">
        <f t="shared" si="81"/>
        <v>14.834366666666666</v>
      </c>
      <c r="P1306" s="4" t="str">
        <f>"cogc-4"</f>
        <v>cogc-4</v>
      </c>
      <c r="Q1306" s="4">
        <v>14.3213392380142</v>
      </c>
      <c r="R1306" s="4">
        <v>14.6436823073486</v>
      </c>
      <c r="S1306" s="4">
        <v>14.4199361180093</v>
      </c>
      <c r="T1306" s="4">
        <f t="shared" si="82"/>
        <v>14.461652554457368</v>
      </c>
      <c r="W1306" s="4" t="str">
        <f>"hcf-1"</f>
        <v>hcf-1</v>
      </c>
      <c r="X1306" s="4">
        <v>14.485212673379801</v>
      </c>
      <c r="Y1306" s="4">
        <v>14.577343013184301</v>
      </c>
      <c r="Z1306" s="4">
        <v>14.547636896395201</v>
      </c>
      <c r="AA1306" s="4">
        <f t="shared" si="83"/>
        <v>14.536730860986433</v>
      </c>
    </row>
    <row r="1307" spans="2:27" x14ac:dyDescent="0.2">
      <c r="B1307" s="4" t="s">
        <v>2134</v>
      </c>
      <c r="C1307" s="4">
        <v>14.4367</v>
      </c>
      <c r="D1307" s="4">
        <v>15.2516</v>
      </c>
      <c r="E1307" s="4">
        <v>14.749700000000001</v>
      </c>
      <c r="F1307" s="4">
        <f t="shared" si="80"/>
        <v>14.812666666666667</v>
      </c>
      <c r="I1307" s="4" t="s">
        <v>3721</v>
      </c>
      <c r="J1307" s="4">
        <v>14.8865</v>
      </c>
      <c r="K1307" s="4">
        <v>14.5662</v>
      </c>
      <c r="L1307" s="4">
        <v>15.0502</v>
      </c>
      <c r="M1307" s="4">
        <f t="shared" si="81"/>
        <v>14.834299999999999</v>
      </c>
      <c r="P1307" s="4" t="str">
        <f>"wah-1"</f>
        <v>wah-1</v>
      </c>
      <c r="Q1307" s="4">
        <v>14.515439449282299</v>
      </c>
      <c r="R1307" s="4">
        <v>14.385742010475701</v>
      </c>
      <c r="S1307" s="4">
        <v>14.4835016187753</v>
      </c>
      <c r="T1307" s="4">
        <f t="shared" si="82"/>
        <v>14.461561026177767</v>
      </c>
      <c r="W1307" s="4" t="str">
        <f>"Y7A5A.1"</f>
        <v>Y7A5A.1</v>
      </c>
      <c r="X1307" s="4">
        <v>14.6795795280613</v>
      </c>
      <c r="Y1307" s="4">
        <v>14.373342254097301</v>
      </c>
      <c r="Z1307" s="4">
        <v>14.556356226854099</v>
      </c>
      <c r="AA1307" s="4">
        <f t="shared" si="83"/>
        <v>14.536426003004232</v>
      </c>
    </row>
    <row r="1308" spans="2:27" x14ac:dyDescent="0.2">
      <c r="B1308" s="4" t="s">
        <v>1554</v>
      </c>
      <c r="C1308" s="4">
        <v>14.8392</v>
      </c>
      <c r="D1308" s="4">
        <v>15.0465</v>
      </c>
      <c r="E1308" s="4">
        <v>14.5511</v>
      </c>
      <c r="F1308" s="4">
        <f t="shared" si="80"/>
        <v>14.812266666666666</v>
      </c>
      <c r="I1308" s="4" t="s">
        <v>1682</v>
      </c>
      <c r="J1308" s="4">
        <v>14.6373</v>
      </c>
      <c r="K1308" s="4">
        <v>14.914199999999999</v>
      </c>
      <c r="L1308" s="4">
        <v>14.947699999999999</v>
      </c>
      <c r="M1308" s="4">
        <f t="shared" si="81"/>
        <v>14.833066666666666</v>
      </c>
      <c r="P1308" s="4" t="str">
        <f>"gop-1"</f>
        <v>gop-1</v>
      </c>
      <c r="Q1308" s="4">
        <v>14.502531382661401</v>
      </c>
      <c r="R1308" s="4">
        <v>14.396293380022399</v>
      </c>
      <c r="S1308" s="4">
        <v>14.4826727831041</v>
      </c>
      <c r="T1308" s="4">
        <f t="shared" si="82"/>
        <v>14.460499181929301</v>
      </c>
      <c r="W1308" s="4" t="str">
        <f>"dhs-20"</f>
        <v>dhs-20</v>
      </c>
      <c r="X1308" s="4">
        <v>14.885889890916401</v>
      </c>
      <c r="Y1308" s="4">
        <v>14.5223711487975</v>
      </c>
      <c r="Z1308" s="4">
        <v>14.1986695997256</v>
      </c>
      <c r="AA1308" s="4">
        <f t="shared" si="83"/>
        <v>14.535643546479832</v>
      </c>
    </row>
    <row r="1309" spans="2:27" x14ac:dyDescent="0.2">
      <c r="B1309" s="4" t="s">
        <v>2810</v>
      </c>
      <c r="C1309" s="4">
        <v>15.0814</v>
      </c>
      <c r="D1309" s="4">
        <v>14.5867</v>
      </c>
      <c r="E1309" s="4">
        <v>14.7684</v>
      </c>
      <c r="F1309" s="4">
        <f t="shared" si="80"/>
        <v>14.812166666666668</v>
      </c>
      <c r="I1309" s="4" t="s">
        <v>1228</v>
      </c>
      <c r="J1309" s="4">
        <v>14.6839</v>
      </c>
      <c r="K1309" s="4">
        <v>15.0244</v>
      </c>
      <c r="L1309" s="4">
        <v>14.789</v>
      </c>
      <c r="M1309" s="4">
        <f t="shared" si="81"/>
        <v>14.832433333333334</v>
      </c>
      <c r="P1309" s="4" t="str">
        <f>"hda-3"</f>
        <v>hda-3</v>
      </c>
      <c r="Q1309" s="4">
        <v>14.4427772331856</v>
      </c>
      <c r="R1309" s="4">
        <v>14.369798077451399</v>
      </c>
      <c r="S1309" s="4">
        <v>14.5624331195646</v>
      </c>
      <c r="T1309" s="4">
        <f t="shared" si="82"/>
        <v>14.458336143400535</v>
      </c>
      <c r="W1309" s="4" t="str">
        <f>"mop-25.2"</f>
        <v>mop-25.2</v>
      </c>
      <c r="X1309" s="4">
        <v>14.4450132215373</v>
      </c>
      <c r="Y1309" s="4">
        <v>14.7353139478994</v>
      </c>
      <c r="Z1309" s="4">
        <v>14.4243984703311</v>
      </c>
      <c r="AA1309" s="4">
        <f t="shared" si="83"/>
        <v>14.534908546589266</v>
      </c>
    </row>
    <row r="1310" spans="2:27" x14ac:dyDescent="0.2">
      <c r="B1310" s="4" t="s">
        <v>2148</v>
      </c>
      <c r="C1310" s="4">
        <v>14.734299999999999</v>
      </c>
      <c r="D1310" s="4">
        <v>15.1745</v>
      </c>
      <c r="E1310" s="4">
        <v>14.5276</v>
      </c>
      <c r="F1310" s="4">
        <f t="shared" si="80"/>
        <v>14.812133333333334</v>
      </c>
      <c r="I1310" s="4" t="s">
        <v>4249</v>
      </c>
      <c r="J1310" s="4">
        <v>14.886200000000001</v>
      </c>
      <c r="K1310" s="4">
        <v>14.694100000000001</v>
      </c>
      <c r="L1310" s="4">
        <v>14.9156</v>
      </c>
      <c r="M1310" s="4">
        <f t="shared" si="81"/>
        <v>14.831966666666666</v>
      </c>
      <c r="P1310" s="4" t="str">
        <f>"mua-6"</f>
        <v>mua-6</v>
      </c>
      <c r="Q1310" s="4">
        <v>14.648261309196601</v>
      </c>
      <c r="R1310" s="4">
        <v>14.1478502364044</v>
      </c>
      <c r="S1310" s="4">
        <v>14.5754054057504</v>
      </c>
      <c r="T1310" s="4">
        <f t="shared" si="82"/>
        <v>14.457172317117134</v>
      </c>
      <c r="W1310" s="4" t="str">
        <f>"F25G6.9"</f>
        <v>F25G6.9</v>
      </c>
      <c r="X1310" s="4">
        <v>14.7558568946442</v>
      </c>
      <c r="Y1310" s="4">
        <v>14.529398817349</v>
      </c>
      <c r="Z1310" s="4">
        <v>14.313623349050999</v>
      </c>
      <c r="AA1310" s="4">
        <f t="shared" si="83"/>
        <v>14.532959687014733</v>
      </c>
    </row>
    <row r="1311" spans="2:27" x14ac:dyDescent="0.2">
      <c r="B1311" s="4" t="s">
        <v>387</v>
      </c>
      <c r="C1311" s="4">
        <v>14.8385</v>
      </c>
      <c r="D1311" s="4">
        <v>14.9382</v>
      </c>
      <c r="E1311" s="4">
        <v>14.6539</v>
      </c>
      <c r="F1311" s="4">
        <f t="shared" si="80"/>
        <v>14.8102</v>
      </c>
      <c r="I1311" s="4" t="s">
        <v>3472</v>
      </c>
      <c r="J1311" s="4">
        <v>14.8574</v>
      </c>
      <c r="K1311" s="4">
        <v>14.9628</v>
      </c>
      <c r="L1311" s="4">
        <v>14.669600000000001</v>
      </c>
      <c r="M1311" s="4">
        <f t="shared" si="81"/>
        <v>14.829933333333335</v>
      </c>
      <c r="P1311" s="4" t="str">
        <f>"sec-15"</f>
        <v>sec-15</v>
      </c>
      <c r="Q1311" s="4">
        <v>14.725425788059701</v>
      </c>
      <c r="R1311" s="4">
        <v>14.3815313438443</v>
      </c>
      <c r="S1311" s="4">
        <v>14.256514355421301</v>
      </c>
      <c r="T1311" s="4">
        <f t="shared" si="82"/>
        <v>14.454490495775099</v>
      </c>
      <c r="W1311" s="4" t="str">
        <f>"ech-7"</f>
        <v>ech-7</v>
      </c>
      <c r="X1311" s="4">
        <v>14.4645395774932</v>
      </c>
      <c r="Y1311" s="4">
        <v>14.4108518918462</v>
      </c>
      <c r="Z1311" s="4">
        <v>14.7195364418381</v>
      </c>
      <c r="AA1311" s="4">
        <f t="shared" si="83"/>
        <v>14.531642637059166</v>
      </c>
    </row>
    <row r="1312" spans="2:27" x14ac:dyDescent="0.2">
      <c r="B1312" s="4" t="s">
        <v>4672</v>
      </c>
      <c r="C1312" s="4">
        <v>14.829800000000001</v>
      </c>
      <c r="D1312" s="4">
        <v>14.6988</v>
      </c>
      <c r="E1312" s="4">
        <v>14.8819</v>
      </c>
      <c r="F1312" s="4">
        <f t="shared" si="80"/>
        <v>14.8035</v>
      </c>
      <c r="I1312" s="4" t="s">
        <v>3358</v>
      </c>
      <c r="J1312" s="4">
        <v>14.733700000000001</v>
      </c>
      <c r="K1312" s="4">
        <v>14.9504</v>
      </c>
      <c r="L1312" s="4">
        <v>14.8009</v>
      </c>
      <c r="M1312" s="4">
        <f t="shared" si="81"/>
        <v>14.828333333333333</v>
      </c>
      <c r="P1312" s="4" t="str">
        <f>"Y73C8B.3"</f>
        <v>Y73C8B.3</v>
      </c>
      <c r="Q1312" s="4">
        <v>14.479632045175499</v>
      </c>
      <c r="R1312" s="4">
        <v>14.277701159599101</v>
      </c>
      <c r="S1312" s="4">
        <v>14.598605146640301</v>
      </c>
      <c r="T1312" s="4">
        <f t="shared" si="82"/>
        <v>14.451979450471633</v>
      </c>
      <c r="W1312" s="4" t="str">
        <f>"mog-1"</f>
        <v>mog-1</v>
      </c>
      <c r="X1312" s="4">
        <v>14.6325989387415</v>
      </c>
      <c r="Y1312" s="4">
        <v>14.523206362002099</v>
      </c>
      <c r="Z1312" s="4">
        <v>14.4266253579916</v>
      </c>
      <c r="AA1312" s="4">
        <f t="shared" si="83"/>
        <v>14.527476886245068</v>
      </c>
    </row>
    <row r="1313" spans="2:27" x14ac:dyDescent="0.2">
      <c r="B1313" s="4" t="s">
        <v>586</v>
      </c>
      <c r="C1313" s="4">
        <v>14.6303</v>
      </c>
      <c r="D1313" s="4">
        <v>14.7363</v>
      </c>
      <c r="E1313" s="4">
        <v>15.0421</v>
      </c>
      <c r="F1313" s="4">
        <f t="shared" si="80"/>
        <v>14.802899999999999</v>
      </c>
      <c r="I1313" s="4" t="s">
        <v>2995</v>
      </c>
      <c r="J1313" s="4">
        <v>14.9445</v>
      </c>
      <c r="K1313" s="4">
        <v>15.02</v>
      </c>
      <c r="L1313" s="4">
        <v>14.5123</v>
      </c>
      <c r="M1313" s="4">
        <f t="shared" si="81"/>
        <v>14.8256</v>
      </c>
      <c r="P1313" s="4" t="str">
        <f>"T04F3.1"</f>
        <v>T04F3.1</v>
      </c>
      <c r="Q1313" s="4">
        <v>14.6464407168479</v>
      </c>
      <c r="R1313" s="4">
        <v>14.273033597526201</v>
      </c>
      <c r="S1313" s="4">
        <v>14.434317105359201</v>
      </c>
      <c r="T1313" s="4">
        <f t="shared" si="82"/>
        <v>14.451263806577765</v>
      </c>
      <c r="W1313" s="4" t="str">
        <f>"fubl-3"</f>
        <v>fubl-3</v>
      </c>
      <c r="X1313" s="4">
        <v>14.377761019146</v>
      </c>
      <c r="Y1313" s="4">
        <v>14.5374355943136</v>
      </c>
      <c r="Z1313" s="4">
        <v>14.6664469902784</v>
      </c>
      <c r="AA1313" s="4">
        <f t="shared" si="83"/>
        <v>14.527214534579334</v>
      </c>
    </row>
    <row r="1314" spans="2:27" x14ac:dyDescent="0.2">
      <c r="B1314" s="4" t="s">
        <v>3754</v>
      </c>
      <c r="C1314" s="4">
        <v>14.851000000000001</v>
      </c>
      <c r="D1314" s="4">
        <v>14.6805</v>
      </c>
      <c r="E1314" s="4">
        <v>14.872</v>
      </c>
      <c r="F1314" s="4">
        <f t="shared" si="80"/>
        <v>14.801166666666667</v>
      </c>
      <c r="I1314" s="4" t="s">
        <v>3803</v>
      </c>
      <c r="J1314" s="4">
        <v>14.7707</v>
      </c>
      <c r="K1314" s="4">
        <v>14.8972</v>
      </c>
      <c r="L1314" s="4">
        <v>14.7995</v>
      </c>
      <c r="M1314" s="4">
        <f t="shared" si="81"/>
        <v>14.822466666666665</v>
      </c>
      <c r="P1314" s="4" t="str">
        <f>"cox-18"</f>
        <v>cox-18</v>
      </c>
      <c r="Q1314" s="4">
        <v>14.194795294526701</v>
      </c>
      <c r="R1314" s="4">
        <v>14.5312709955512</v>
      </c>
      <c r="S1314" s="4">
        <v>14.6267345586355</v>
      </c>
      <c r="T1314" s="4">
        <f t="shared" si="82"/>
        <v>14.450933616237799</v>
      </c>
      <c r="W1314" s="4" t="str">
        <f>"cyk-7"</f>
        <v>cyk-7</v>
      </c>
      <c r="X1314" s="4">
        <v>14.650521621802101</v>
      </c>
      <c r="Y1314" s="4">
        <v>14.58570904684</v>
      </c>
      <c r="Z1314" s="4">
        <v>14.3452643861062</v>
      </c>
      <c r="AA1314" s="4">
        <f t="shared" si="83"/>
        <v>14.527165018249434</v>
      </c>
    </row>
    <row r="1315" spans="2:27" x14ac:dyDescent="0.2">
      <c r="B1315" s="4" t="s">
        <v>602</v>
      </c>
      <c r="C1315" s="4">
        <v>14.680899999999999</v>
      </c>
      <c r="D1315" s="4">
        <v>14.944900000000001</v>
      </c>
      <c r="E1315" s="4">
        <v>14.776899999999999</v>
      </c>
      <c r="F1315" s="4">
        <f t="shared" si="80"/>
        <v>14.800899999999999</v>
      </c>
      <c r="I1315" s="4" t="s">
        <v>2672</v>
      </c>
      <c r="J1315" s="4">
        <v>14.9785</v>
      </c>
      <c r="K1315" s="4">
        <v>14.815300000000001</v>
      </c>
      <c r="L1315" s="4">
        <v>14.664300000000001</v>
      </c>
      <c r="M1315" s="4">
        <f t="shared" si="81"/>
        <v>14.819366666666667</v>
      </c>
      <c r="P1315" s="4" t="str">
        <f>"M01G12.9"</f>
        <v>M01G12.9</v>
      </c>
      <c r="Q1315" s="4">
        <v>14.4253139113289</v>
      </c>
      <c r="R1315" s="4">
        <v>14.4099987939928</v>
      </c>
      <c r="S1315" s="4">
        <v>14.517167873180799</v>
      </c>
      <c r="T1315" s="4">
        <f t="shared" si="82"/>
        <v>14.450826859500831</v>
      </c>
      <c r="W1315" s="4" t="str">
        <f>"R07E3.1"</f>
        <v>R07E3.1</v>
      </c>
      <c r="X1315" s="4">
        <v>14.6521047104414</v>
      </c>
      <c r="Y1315" s="4">
        <v>14.294867293304</v>
      </c>
      <c r="Z1315" s="4">
        <v>14.628833265267801</v>
      </c>
      <c r="AA1315" s="4">
        <f t="shared" si="83"/>
        <v>14.5252684230044</v>
      </c>
    </row>
    <row r="1316" spans="2:27" x14ac:dyDescent="0.2">
      <c r="B1316" s="4" t="s">
        <v>3419</v>
      </c>
      <c r="C1316" s="4">
        <v>14.5311</v>
      </c>
      <c r="D1316" s="4">
        <v>15.0723</v>
      </c>
      <c r="E1316" s="4">
        <v>14.797499999999999</v>
      </c>
      <c r="F1316" s="4">
        <f t="shared" si="80"/>
        <v>14.8003</v>
      </c>
      <c r="I1316" s="4" t="s">
        <v>2346</v>
      </c>
      <c r="J1316" s="4">
        <v>14.879799999999999</v>
      </c>
      <c r="K1316" s="4">
        <v>14.8423</v>
      </c>
      <c r="L1316" s="4">
        <v>14.735200000000001</v>
      </c>
      <c r="M1316" s="4">
        <f t="shared" si="81"/>
        <v>14.819099999999999</v>
      </c>
      <c r="P1316" s="4" t="str">
        <f>"ddo-2"</f>
        <v>ddo-2</v>
      </c>
      <c r="Q1316" s="4">
        <v>14.945317527781301</v>
      </c>
      <c r="R1316" s="4">
        <v>14.260776039806901</v>
      </c>
      <c r="S1316" s="4">
        <v>14.1338293167681</v>
      </c>
      <c r="T1316" s="4">
        <f t="shared" si="82"/>
        <v>14.446640961452099</v>
      </c>
      <c r="W1316" s="4" t="str">
        <f>"let-502"</f>
        <v>let-502</v>
      </c>
      <c r="X1316" s="4">
        <v>14.628160997170401</v>
      </c>
      <c r="Y1316" s="4">
        <v>14.4588717621721</v>
      </c>
      <c r="Z1316" s="4">
        <v>14.4880996774175</v>
      </c>
      <c r="AA1316" s="4">
        <f t="shared" si="83"/>
        <v>14.525044145586667</v>
      </c>
    </row>
    <row r="1317" spans="2:27" x14ac:dyDescent="0.2">
      <c r="B1317" s="4" t="s">
        <v>3097</v>
      </c>
      <c r="C1317" s="4">
        <v>14.7315</v>
      </c>
      <c r="D1317" s="4">
        <v>15.106400000000001</v>
      </c>
      <c r="E1317" s="4">
        <v>14.5611</v>
      </c>
      <c r="F1317" s="4">
        <f t="shared" si="80"/>
        <v>14.799666666666667</v>
      </c>
      <c r="I1317" s="4" t="s">
        <v>2810</v>
      </c>
      <c r="J1317" s="4">
        <v>14.5009</v>
      </c>
      <c r="K1317" s="4">
        <v>15.1919</v>
      </c>
      <c r="L1317" s="4">
        <v>14.763999999999999</v>
      </c>
      <c r="M1317" s="4">
        <f t="shared" si="81"/>
        <v>14.818933333333334</v>
      </c>
      <c r="P1317" s="4" t="str">
        <f>"kat-1"</f>
        <v>kat-1</v>
      </c>
      <c r="Q1317" s="4">
        <v>14.665585651369099</v>
      </c>
      <c r="R1317" s="4">
        <v>14.277199699952901</v>
      </c>
      <c r="S1317" s="4">
        <v>14.3940259058005</v>
      </c>
      <c r="T1317" s="4">
        <f t="shared" si="82"/>
        <v>14.445603752374168</v>
      </c>
      <c r="W1317" s="4" t="str">
        <f>"xpb-1"</f>
        <v>xpb-1</v>
      </c>
      <c r="X1317" s="4">
        <v>14.474730350599099</v>
      </c>
      <c r="Y1317" s="4">
        <v>14.6241350309009</v>
      </c>
      <c r="Z1317" s="4">
        <v>14.468323192194401</v>
      </c>
      <c r="AA1317" s="4">
        <f t="shared" si="83"/>
        <v>14.522396191231465</v>
      </c>
    </row>
    <row r="1318" spans="2:27" x14ac:dyDescent="0.2">
      <c r="B1318" s="4" t="s">
        <v>211</v>
      </c>
      <c r="C1318" s="4">
        <v>14.542</v>
      </c>
      <c r="D1318" s="4">
        <v>15.2712</v>
      </c>
      <c r="E1318" s="4">
        <v>14.582000000000001</v>
      </c>
      <c r="F1318" s="4">
        <f t="shared" si="80"/>
        <v>14.798400000000001</v>
      </c>
      <c r="I1318" s="4" t="s">
        <v>2256</v>
      </c>
      <c r="J1318" s="4">
        <v>14.8081</v>
      </c>
      <c r="K1318" s="4">
        <v>14.981299999999999</v>
      </c>
      <c r="L1318" s="4">
        <v>14.653499999999999</v>
      </c>
      <c r="M1318" s="4">
        <f t="shared" si="81"/>
        <v>14.814300000000001</v>
      </c>
      <c r="P1318" s="4" t="str">
        <f>"kdp-1"</f>
        <v>kdp-1</v>
      </c>
      <c r="Q1318" s="4">
        <v>14.468016519431499</v>
      </c>
      <c r="R1318" s="4">
        <v>14.243925943967399</v>
      </c>
      <c r="S1318" s="4">
        <v>14.623669191247</v>
      </c>
      <c r="T1318" s="4">
        <f t="shared" si="82"/>
        <v>14.445203884881968</v>
      </c>
      <c r="W1318" s="4" t="str">
        <f>"abhd-3.1"</f>
        <v>abhd-3.1</v>
      </c>
      <c r="X1318" s="4">
        <v>14.8991370735022</v>
      </c>
      <c r="Y1318" s="4">
        <v>14.3040465917079</v>
      </c>
      <c r="Z1318" s="4">
        <v>14.3612763108103</v>
      </c>
      <c r="AA1318" s="4">
        <f t="shared" si="83"/>
        <v>14.521486658673467</v>
      </c>
    </row>
    <row r="1319" spans="2:27" x14ac:dyDescent="0.2">
      <c r="B1319" s="4" t="s">
        <v>2222</v>
      </c>
      <c r="C1319" s="4">
        <v>14.858499999999999</v>
      </c>
      <c r="D1319" s="4">
        <v>14.9345</v>
      </c>
      <c r="E1319" s="4">
        <v>14.600099999999999</v>
      </c>
      <c r="F1319" s="4">
        <f t="shared" si="80"/>
        <v>14.797699999999999</v>
      </c>
      <c r="I1319" s="4" t="s">
        <v>2862</v>
      </c>
      <c r="J1319" s="4">
        <v>14.6538</v>
      </c>
      <c r="K1319" s="4">
        <v>14.738099999999999</v>
      </c>
      <c r="L1319" s="4">
        <v>15.048500000000001</v>
      </c>
      <c r="M1319" s="4">
        <f t="shared" si="81"/>
        <v>14.813466666666665</v>
      </c>
      <c r="P1319" s="4" t="str">
        <f>"ifp-1"</f>
        <v>ifp-1</v>
      </c>
      <c r="Q1319" s="4">
        <v>14.878059502180999</v>
      </c>
      <c r="R1319" s="4">
        <v>13.675353461187299</v>
      </c>
      <c r="S1319" s="4">
        <v>14.773910083587801</v>
      </c>
      <c r="T1319" s="4">
        <f t="shared" si="82"/>
        <v>14.442441015652031</v>
      </c>
      <c r="W1319" s="4" t="str">
        <f>"rbmx-2"</f>
        <v>rbmx-2</v>
      </c>
      <c r="X1319" s="4">
        <v>14.5388667437565</v>
      </c>
      <c r="Y1319" s="4">
        <v>14.4729796583162</v>
      </c>
      <c r="Z1319" s="4">
        <v>14.542113754804699</v>
      </c>
      <c r="AA1319" s="4">
        <f t="shared" si="83"/>
        <v>14.517986718959131</v>
      </c>
    </row>
    <row r="1320" spans="2:27" x14ac:dyDescent="0.2">
      <c r="B1320" s="4" t="s">
        <v>1691</v>
      </c>
      <c r="C1320" s="4">
        <v>14.637499999999999</v>
      </c>
      <c r="D1320" s="4">
        <v>15.1157</v>
      </c>
      <c r="E1320" s="4">
        <v>14.633800000000001</v>
      </c>
      <c r="F1320" s="4">
        <f t="shared" si="80"/>
        <v>14.795666666666667</v>
      </c>
      <c r="I1320" s="4" t="s">
        <v>438</v>
      </c>
      <c r="J1320" s="4">
        <v>14.7719</v>
      </c>
      <c r="K1320" s="4">
        <v>14.905099999999999</v>
      </c>
      <c r="L1320" s="4">
        <v>14.7629</v>
      </c>
      <c r="M1320" s="4">
        <f t="shared" si="81"/>
        <v>14.8133</v>
      </c>
      <c r="P1320" s="4" t="str">
        <f>"C02F5.3"</f>
        <v>C02F5.3</v>
      </c>
      <c r="Q1320" s="4">
        <v>14.286426160786499</v>
      </c>
      <c r="R1320" s="4">
        <v>14.636334040662501</v>
      </c>
      <c r="S1320" s="4">
        <v>14.404541504048</v>
      </c>
      <c r="T1320" s="4">
        <f t="shared" si="82"/>
        <v>14.442433901832333</v>
      </c>
      <c r="W1320" s="4" t="str">
        <f>"CTEL55X.1"</f>
        <v>CTEL55X.1</v>
      </c>
      <c r="X1320" s="4">
        <v>14.782317185878499</v>
      </c>
      <c r="Y1320" s="4">
        <v>14.2992677758933</v>
      </c>
      <c r="Z1320" s="4">
        <v>14.470132652185701</v>
      </c>
      <c r="AA1320" s="4">
        <f t="shared" si="83"/>
        <v>14.517239204652499</v>
      </c>
    </row>
    <row r="1321" spans="2:27" x14ac:dyDescent="0.2">
      <c r="B1321" s="4" t="s">
        <v>3338</v>
      </c>
      <c r="C1321" s="4">
        <v>14.709199999999999</v>
      </c>
      <c r="D1321" s="4">
        <v>14.717000000000001</v>
      </c>
      <c r="E1321" s="4">
        <v>14.9564</v>
      </c>
      <c r="F1321" s="4">
        <f t="shared" si="80"/>
        <v>14.794200000000002</v>
      </c>
      <c r="I1321" s="4" t="s">
        <v>2736</v>
      </c>
      <c r="J1321" s="4">
        <v>15.1501</v>
      </c>
      <c r="K1321" s="4">
        <v>14.722</v>
      </c>
      <c r="L1321" s="4">
        <v>14.5649</v>
      </c>
      <c r="M1321" s="4">
        <f t="shared" si="81"/>
        <v>14.812333333333333</v>
      </c>
      <c r="P1321" s="4" t="str">
        <f>"F53B6.4"</f>
        <v>F53B6.4</v>
      </c>
      <c r="Q1321" s="4">
        <v>13.976642869762401</v>
      </c>
      <c r="R1321" s="4">
        <v>14.9769755680262</v>
      </c>
      <c r="S1321" s="4">
        <v>14.3678382177782</v>
      </c>
      <c r="T1321" s="4">
        <f t="shared" si="82"/>
        <v>14.4404855518556</v>
      </c>
      <c r="W1321" s="4" t="str">
        <f>"T19B10.2"</f>
        <v>T19B10.2</v>
      </c>
      <c r="X1321" s="4">
        <v>14.5374470289809</v>
      </c>
      <c r="Y1321" s="4">
        <v>14.5321465825986</v>
      </c>
      <c r="Z1321" s="4">
        <v>14.4804325166631</v>
      </c>
      <c r="AA1321" s="4">
        <f t="shared" si="83"/>
        <v>14.516675376080867</v>
      </c>
    </row>
    <row r="1322" spans="2:27" x14ac:dyDescent="0.2">
      <c r="B1322" s="4" t="s">
        <v>4078</v>
      </c>
      <c r="C1322" s="4">
        <v>15.2491</v>
      </c>
      <c r="D1322" s="4">
        <v>14.491199999999999</v>
      </c>
      <c r="E1322" s="4">
        <v>14.641999999999999</v>
      </c>
      <c r="F1322" s="4">
        <f t="shared" si="80"/>
        <v>14.7941</v>
      </c>
      <c r="I1322" s="4" t="s">
        <v>3514</v>
      </c>
      <c r="J1322" s="4">
        <v>14.9079</v>
      </c>
      <c r="K1322" s="4">
        <v>14.8969</v>
      </c>
      <c r="L1322" s="4">
        <v>14.631600000000001</v>
      </c>
      <c r="M1322" s="4">
        <f t="shared" si="81"/>
        <v>14.812133333333334</v>
      </c>
      <c r="P1322" s="4" t="str">
        <f>"F26E4.3"</f>
        <v>F26E4.3</v>
      </c>
      <c r="Q1322" s="4">
        <v>14.531021901700299</v>
      </c>
      <c r="R1322" s="4">
        <v>14.094072777606399</v>
      </c>
      <c r="S1322" s="4">
        <v>14.6921336391168</v>
      </c>
      <c r="T1322" s="4">
        <f t="shared" si="82"/>
        <v>14.439076106141167</v>
      </c>
      <c r="W1322" s="4" t="str">
        <f>"got-1.2"</f>
        <v>got-1.2</v>
      </c>
      <c r="X1322" s="4">
        <v>14.1992120183758</v>
      </c>
      <c r="Y1322" s="4">
        <v>14.573098381309199</v>
      </c>
      <c r="Z1322" s="4">
        <v>14.772313770402601</v>
      </c>
      <c r="AA1322" s="4">
        <f t="shared" si="83"/>
        <v>14.514874723362533</v>
      </c>
    </row>
    <row r="1323" spans="2:27" x14ac:dyDescent="0.2">
      <c r="B1323" s="4" t="s">
        <v>4661</v>
      </c>
      <c r="C1323" s="4">
        <v>14.654500000000001</v>
      </c>
      <c r="D1323" s="4">
        <v>14.4054</v>
      </c>
      <c r="E1323" s="4">
        <v>15.3209</v>
      </c>
      <c r="F1323" s="4">
        <f t="shared" si="80"/>
        <v>14.7936</v>
      </c>
      <c r="I1323" s="4" t="s">
        <v>2750</v>
      </c>
      <c r="J1323" s="4">
        <v>14.8969</v>
      </c>
      <c r="K1323" s="4">
        <v>14.817399999999999</v>
      </c>
      <c r="L1323" s="4">
        <v>14.7011</v>
      </c>
      <c r="M1323" s="4">
        <f t="shared" si="81"/>
        <v>14.805133333333336</v>
      </c>
      <c r="P1323" s="4" t="str">
        <f>"rsp-1"</f>
        <v>rsp-1</v>
      </c>
      <c r="Q1323" s="4">
        <v>14.5923635891115</v>
      </c>
      <c r="R1323" s="4">
        <v>14.3837278296966</v>
      </c>
      <c r="S1323" s="4">
        <v>14.3387782108501</v>
      </c>
      <c r="T1323" s="4">
        <f t="shared" si="82"/>
        <v>14.438289876552732</v>
      </c>
      <c r="W1323" s="4" t="str">
        <f>"cyk-3"</f>
        <v>cyk-3</v>
      </c>
      <c r="X1323" s="4">
        <v>14.300139574006201</v>
      </c>
      <c r="Y1323" s="4">
        <v>14.6155816647052</v>
      </c>
      <c r="Z1323" s="4">
        <v>14.6209310205639</v>
      </c>
      <c r="AA1323" s="4">
        <f t="shared" si="83"/>
        <v>14.512217419758434</v>
      </c>
    </row>
    <row r="1324" spans="2:27" x14ac:dyDescent="0.2">
      <c r="B1324" s="4" t="s">
        <v>1314</v>
      </c>
      <c r="C1324" s="4">
        <v>14.7645</v>
      </c>
      <c r="D1324" s="4">
        <v>14.664400000000001</v>
      </c>
      <c r="E1324" s="4">
        <v>14.9481</v>
      </c>
      <c r="F1324" s="4">
        <f t="shared" si="80"/>
        <v>14.792333333333332</v>
      </c>
      <c r="I1324" s="4" t="s">
        <v>4502</v>
      </c>
      <c r="J1324" s="4">
        <v>14.757400000000001</v>
      </c>
      <c r="K1324" s="4">
        <v>15.3589</v>
      </c>
      <c r="L1324" s="4">
        <v>14.2927</v>
      </c>
      <c r="M1324" s="4">
        <f t="shared" si="81"/>
        <v>14.803000000000003</v>
      </c>
      <c r="P1324" s="4" t="str">
        <f>"let-70"</f>
        <v>let-70</v>
      </c>
      <c r="Q1324" s="4">
        <v>14.138046133082399</v>
      </c>
      <c r="R1324" s="4">
        <v>14.6751241150303</v>
      </c>
      <c r="S1324" s="4">
        <v>14.4930218572122</v>
      </c>
      <c r="T1324" s="4">
        <f t="shared" si="82"/>
        <v>14.435397368441633</v>
      </c>
      <c r="W1324" s="4" t="str">
        <f>"rps-29"</f>
        <v>rps-29</v>
      </c>
      <c r="X1324" s="4">
        <v>14.4659265391104</v>
      </c>
      <c r="Y1324" s="4">
        <v>14.611880041878701</v>
      </c>
      <c r="Z1324" s="4">
        <v>14.4503672311511</v>
      </c>
      <c r="AA1324" s="4">
        <f t="shared" si="83"/>
        <v>14.509391270713401</v>
      </c>
    </row>
    <row r="1325" spans="2:27" x14ac:dyDescent="0.2">
      <c r="B1325" s="4" t="s">
        <v>3679</v>
      </c>
      <c r="C1325" s="4">
        <v>14.675599999999999</v>
      </c>
      <c r="D1325" s="4">
        <v>15.2079</v>
      </c>
      <c r="E1325" s="4">
        <v>14.491899999999999</v>
      </c>
      <c r="F1325" s="4">
        <f t="shared" si="80"/>
        <v>14.7918</v>
      </c>
      <c r="I1325" s="4" t="s">
        <v>1637</v>
      </c>
      <c r="J1325" s="4">
        <v>14.820600000000001</v>
      </c>
      <c r="K1325" s="4">
        <v>14.7408</v>
      </c>
      <c r="L1325" s="4">
        <v>14.8416</v>
      </c>
      <c r="M1325" s="4">
        <f t="shared" si="81"/>
        <v>14.801</v>
      </c>
      <c r="P1325" s="4" t="str">
        <f>"smg-9"</f>
        <v>smg-9</v>
      </c>
      <c r="Q1325" s="4">
        <v>14.422193032584</v>
      </c>
      <c r="R1325" s="4">
        <v>14.3620756899808</v>
      </c>
      <c r="S1325" s="4">
        <v>14.517247004103</v>
      </c>
      <c r="T1325" s="4">
        <f t="shared" si="82"/>
        <v>14.433838575555933</v>
      </c>
      <c r="W1325" s="4" t="str">
        <f>"C33A12.1"</f>
        <v>C33A12.1</v>
      </c>
      <c r="X1325" s="4">
        <v>14.5327099781664</v>
      </c>
      <c r="Y1325" s="4">
        <v>14.5092051452867</v>
      </c>
      <c r="Z1325" s="4">
        <v>14.477931931463401</v>
      </c>
      <c r="AA1325" s="4">
        <f t="shared" si="83"/>
        <v>14.506615684972168</v>
      </c>
    </row>
    <row r="1326" spans="2:27" x14ac:dyDescent="0.2">
      <c r="B1326" s="4" t="s">
        <v>597</v>
      </c>
      <c r="C1326" s="4">
        <v>14.955399999999999</v>
      </c>
      <c r="D1326" s="4">
        <v>15.462</v>
      </c>
      <c r="E1326" s="4">
        <v>13.957599999999999</v>
      </c>
      <c r="F1326" s="4">
        <f t="shared" si="80"/>
        <v>14.791666666666666</v>
      </c>
      <c r="I1326" s="4" t="s">
        <v>1270</v>
      </c>
      <c r="J1326" s="4">
        <v>14.823700000000001</v>
      </c>
      <c r="K1326" s="4">
        <v>14.9047</v>
      </c>
      <c r="L1326" s="4">
        <v>14.673</v>
      </c>
      <c r="M1326" s="4">
        <f t="shared" si="81"/>
        <v>14.800466666666667</v>
      </c>
      <c r="P1326" s="4" t="str">
        <f>"alg-2"</f>
        <v>alg-2</v>
      </c>
      <c r="Q1326" s="4">
        <v>14.5202638178292</v>
      </c>
      <c r="R1326" s="4">
        <v>14.285102416711901</v>
      </c>
      <c r="S1326" s="4">
        <v>14.489386199271699</v>
      </c>
      <c r="T1326" s="4">
        <f t="shared" si="82"/>
        <v>14.431584144604267</v>
      </c>
      <c r="W1326" s="4" t="str">
        <f>"cmd-1"</f>
        <v>cmd-1</v>
      </c>
      <c r="X1326" s="4">
        <v>17.680983637097501</v>
      </c>
      <c r="Y1326" s="4">
        <v>13.0374153796452</v>
      </c>
      <c r="Z1326" s="4">
        <v>12.789005592448801</v>
      </c>
      <c r="AA1326" s="4">
        <f t="shared" si="83"/>
        <v>14.502468203063835</v>
      </c>
    </row>
    <row r="1327" spans="2:27" x14ac:dyDescent="0.2">
      <c r="B1327" s="4" t="s">
        <v>3219</v>
      </c>
      <c r="C1327" s="4">
        <v>14.8018</v>
      </c>
      <c r="D1327" s="4">
        <v>14.7036</v>
      </c>
      <c r="E1327" s="4">
        <v>14.8683</v>
      </c>
      <c r="F1327" s="4">
        <f t="shared" si="80"/>
        <v>14.791233333333333</v>
      </c>
      <c r="I1327" s="4" t="s">
        <v>3273</v>
      </c>
      <c r="J1327" s="4">
        <v>14.723000000000001</v>
      </c>
      <c r="K1327" s="4">
        <v>14.6783</v>
      </c>
      <c r="L1327" s="4">
        <v>14.9979</v>
      </c>
      <c r="M1327" s="4">
        <f t="shared" si="81"/>
        <v>14.799733333333334</v>
      </c>
      <c r="P1327" s="4" t="str">
        <f>"hid-1"</f>
        <v>hid-1</v>
      </c>
      <c r="Q1327" s="4">
        <v>14.372474809093699</v>
      </c>
      <c r="R1327" s="4">
        <v>14.4932363977265</v>
      </c>
      <c r="S1327" s="4">
        <v>14.428597162865501</v>
      </c>
      <c r="T1327" s="4">
        <f t="shared" si="82"/>
        <v>14.431436123228567</v>
      </c>
      <c r="W1327" s="4" t="str">
        <f>"tomm-22"</f>
        <v>tomm-22</v>
      </c>
      <c r="X1327" s="4">
        <v>15.134663014584101</v>
      </c>
      <c r="Y1327" s="4">
        <v>14.1073621287099</v>
      </c>
      <c r="Z1327" s="4">
        <v>14.2640501125931</v>
      </c>
      <c r="AA1327" s="4">
        <f t="shared" si="83"/>
        <v>14.502025085295699</v>
      </c>
    </row>
    <row r="1328" spans="2:27" x14ac:dyDescent="0.2">
      <c r="B1328" s="4" t="s">
        <v>1359</v>
      </c>
      <c r="C1328" s="4">
        <v>15.0913</v>
      </c>
      <c r="D1328" s="4">
        <v>14.812900000000001</v>
      </c>
      <c r="E1328" s="4">
        <v>14.463100000000001</v>
      </c>
      <c r="F1328" s="4">
        <f t="shared" si="80"/>
        <v>14.789099999999999</v>
      </c>
      <c r="I1328" s="4" t="s">
        <v>3768</v>
      </c>
      <c r="J1328" s="4">
        <v>14.893700000000001</v>
      </c>
      <c r="K1328" s="4">
        <v>14.649900000000001</v>
      </c>
      <c r="L1328" s="4">
        <v>14.854200000000001</v>
      </c>
      <c r="M1328" s="4">
        <f t="shared" si="81"/>
        <v>14.799266666666668</v>
      </c>
      <c r="P1328" s="4" t="str">
        <f>"mrps-9"</f>
        <v>mrps-9</v>
      </c>
      <c r="Q1328" s="4">
        <v>14.718335273478599</v>
      </c>
      <c r="R1328" s="4">
        <v>14.350456407217001</v>
      </c>
      <c r="S1328" s="4">
        <v>14.2185435162258</v>
      </c>
      <c r="T1328" s="4">
        <f t="shared" si="82"/>
        <v>14.429111732307135</v>
      </c>
      <c r="W1328" s="4" t="str">
        <f>"itr-1"</f>
        <v>itr-1</v>
      </c>
      <c r="X1328" s="4">
        <v>14.827156845193899</v>
      </c>
      <c r="Y1328" s="4">
        <v>14.4038745809895</v>
      </c>
      <c r="Z1328" s="4">
        <v>14.2743996128389</v>
      </c>
      <c r="AA1328" s="4">
        <f t="shared" si="83"/>
        <v>14.501810346340767</v>
      </c>
    </row>
    <row r="1329" spans="2:27" x14ac:dyDescent="0.2">
      <c r="B1329" s="4" t="s">
        <v>3514</v>
      </c>
      <c r="C1329" s="4">
        <v>14.966200000000001</v>
      </c>
      <c r="D1329" s="4">
        <v>14.4718</v>
      </c>
      <c r="E1329" s="4">
        <v>14.927099999999999</v>
      </c>
      <c r="F1329" s="4">
        <f t="shared" si="80"/>
        <v>14.788366666666667</v>
      </c>
      <c r="I1329" s="4" t="s">
        <v>3203</v>
      </c>
      <c r="J1329" s="4">
        <v>14.8241</v>
      </c>
      <c r="K1329" s="4">
        <v>14.671900000000001</v>
      </c>
      <c r="L1329" s="4">
        <v>14.8995</v>
      </c>
      <c r="M1329" s="4">
        <f t="shared" si="81"/>
        <v>14.798499999999999</v>
      </c>
      <c r="P1329" s="4" t="str">
        <f>"mak-1"</f>
        <v>mak-1</v>
      </c>
      <c r="Q1329" s="4">
        <v>14.627480223134199</v>
      </c>
      <c r="R1329" s="4">
        <v>14.3359008432067</v>
      </c>
      <c r="S1329" s="4">
        <v>14.322301192007799</v>
      </c>
      <c r="T1329" s="4">
        <f t="shared" si="82"/>
        <v>14.4285607527829</v>
      </c>
      <c r="W1329" s="4" t="str">
        <f>"T05E7.1"</f>
        <v>T05E7.1</v>
      </c>
      <c r="X1329" s="4">
        <v>14.4714808050312</v>
      </c>
      <c r="Y1329" s="4">
        <v>14.566892293058199</v>
      </c>
      <c r="Z1329" s="4">
        <v>14.4661643743264</v>
      </c>
      <c r="AA1329" s="4">
        <f t="shared" si="83"/>
        <v>14.501512490805268</v>
      </c>
    </row>
    <row r="1330" spans="2:27" x14ac:dyDescent="0.2">
      <c r="B1330" s="4" t="s">
        <v>852</v>
      </c>
      <c r="C1330" s="4">
        <v>14.7356</v>
      </c>
      <c r="D1330" s="4">
        <v>14.552099999999999</v>
      </c>
      <c r="E1330" s="4">
        <v>15.0771</v>
      </c>
      <c r="F1330" s="4">
        <f t="shared" si="80"/>
        <v>14.788266666666667</v>
      </c>
      <c r="I1330" s="4" t="s">
        <v>1016</v>
      </c>
      <c r="J1330" s="4">
        <v>14.7027</v>
      </c>
      <c r="K1330" s="4">
        <v>14.543100000000001</v>
      </c>
      <c r="L1330" s="4">
        <v>15.1472</v>
      </c>
      <c r="M1330" s="4">
        <f t="shared" si="81"/>
        <v>14.797666666666666</v>
      </c>
      <c r="P1330" s="4" t="str">
        <f>"acl-2"</f>
        <v>acl-2</v>
      </c>
      <c r="Q1330" s="4">
        <v>14.5146778375313</v>
      </c>
      <c r="R1330" s="4">
        <v>14.3810942178732</v>
      </c>
      <c r="S1330" s="4">
        <v>14.389114477769899</v>
      </c>
      <c r="T1330" s="4">
        <f t="shared" si="82"/>
        <v>14.428295511058133</v>
      </c>
      <c r="W1330" s="4" t="str">
        <f>"lex-1"</f>
        <v>lex-1</v>
      </c>
      <c r="X1330" s="4">
        <v>14.3912006510719</v>
      </c>
      <c r="Y1330" s="4">
        <v>14.588582188937099</v>
      </c>
      <c r="Z1330" s="4">
        <v>14.5235343582762</v>
      </c>
      <c r="AA1330" s="4">
        <f t="shared" si="83"/>
        <v>14.501105732761735</v>
      </c>
    </row>
    <row r="1331" spans="2:27" x14ac:dyDescent="0.2">
      <c r="B1331" s="4" t="s">
        <v>381</v>
      </c>
      <c r="C1331" s="4">
        <v>14.842499999999999</v>
      </c>
      <c r="D1331" s="4">
        <v>14.5609</v>
      </c>
      <c r="E1331" s="4">
        <v>14.959300000000001</v>
      </c>
      <c r="F1331" s="4">
        <f t="shared" si="80"/>
        <v>14.787566666666665</v>
      </c>
      <c r="I1331" s="4" t="s">
        <v>915</v>
      </c>
      <c r="J1331" s="4">
        <v>15.143800000000001</v>
      </c>
      <c r="K1331" s="4">
        <v>14.712899999999999</v>
      </c>
      <c r="L1331" s="4">
        <v>14.530900000000001</v>
      </c>
      <c r="M1331" s="4">
        <f t="shared" si="81"/>
        <v>14.795866666666667</v>
      </c>
      <c r="P1331" s="4" t="str">
        <f>"smg-2"</f>
        <v>smg-2</v>
      </c>
      <c r="Q1331" s="4">
        <v>14.4584116606949</v>
      </c>
      <c r="R1331" s="4">
        <v>14.3741326596462</v>
      </c>
      <c r="S1331" s="4">
        <v>14.449189676697699</v>
      </c>
      <c r="T1331" s="4">
        <f t="shared" si="82"/>
        <v>14.4272446656796</v>
      </c>
      <c r="W1331" s="4" t="str">
        <f>"T24H10.1"</f>
        <v>T24H10.1</v>
      </c>
      <c r="X1331" s="4">
        <v>14.487318975649</v>
      </c>
      <c r="Y1331" s="4">
        <v>14.6361007684422</v>
      </c>
      <c r="Z1331" s="4">
        <v>14.3770647907722</v>
      </c>
      <c r="AA1331" s="4">
        <f t="shared" si="83"/>
        <v>14.500161511621135</v>
      </c>
    </row>
    <row r="1332" spans="2:27" x14ac:dyDescent="0.2">
      <c r="B1332" s="4" t="s">
        <v>2523</v>
      </c>
      <c r="C1332" s="4">
        <v>14.6275</v>
      </c>
      <c r="D1332" s="4">
        <v>14.1721</v>
      </c>
      <c r="E1332" s="4">
        <v>15.5617</v>
      </c>
      <c r="F1332" s="4">
        <f t="shared" si="80"/>
        <v>14.787100000000001</v>
      </c>
      <c r="I1332" s="4" t="s">
        <v>2209</v>
      </c>
      <c r="J1332" s="4">
        <v>14.7309</v>
      </c>
      <c r="K1332" s="4">
        <v>14.6318</v>
      </c>
      <c r="L1332" s="4">
        <v>15.016</v>
      </c>
      <c r="M1332" s="4">
        <f t="shared" si="81"/>
        <v>14.792900000000001</v>
      </c>
      <c r="P1332" s="4" t="str">
        <f>"F53E10.1"</f>
        <v>F53E10.1</v>
      </c>
      <c r="Q1332" s="4">
        <v>14.290858337806601</v>
      </c>
      <c r="R1332" s="4">
        <v>14.416236657559599</v>
      </c>
      <c r="S1332" s="4">
        <v>14.573379306308199</v>
      </c>
      <c r="T1332" s="4">
        <f t="shared" si="82"/>
        <v>14.426824767224799</v>
      </c>
      <c r="W1332" s="4" t="str">
        <f>"asns-2"</f>
        <v>asns-2</v>
      </c>
      <c r="X1332" s="4">
        <v>14.3137148253414</v>
      </c>
      <c r="Y1332" s="4">
        <v>14.565327323581499</v>
      </c>
      <c r="Z1332" s="4">
        <v>14.617234122471499</v>
      </c>
      <c r="AA1332" s="4">
        <f t="shared" si="83"/>
        <v>14.498758757131467</v>
      </c>
    </row>
    <row r="1333" spans="2:27" x14ac:dyDescent="0.2">
      <c r="B1333" s="4" t="s">
        <v>3716</v>
      </c>
      <c r="C1333" s="4">
        <v>14.5481</v>
      </c>
      <c r="D1333" s="4">
        <v>14.961399999999999</v>
      </c>
      <c r="E1333" s="4">
        <v>14.848000000000001</v>
      </c>
      <c r="F1333" s="4">
        <f t="shared" si="80"/>
        <v>14.785833333333334</v>
      </c>
      <c r="I1333" s="4" t="s">
        <v>564</v>
      </c>
      <c r="J1333" s="4">
        <v>14.962</v>
      </c>
      <c r="K1333" s="4">
        <v>14.580500000000001</v>
      </c>
      <c r="L1333" s="4">
        <v>14.833399999999999</v>
      </c>
      <c r="M1333" s="4">
        <f t="shared" si="81"/>
        <v>14.791966666666667</v>
      </c>
      <c r="P1333" s="4" t="str">
        <f>"nol-9"</f>
        <v>nol-9</v>
      </c>
      <c r="Q1333" s="4">
        <v>14.4388510267434</v>
      </c>
      <c r="R1333" s="4">
        <v>14.5075269094311</v>
      </c>
      <c r="S1333" s="4">
        <v>14.3340719608599</v>
      </c>
      <c r="T1333" s="4">
        <f t="shared" si="82"/>
        <v>14.426816632344801</v>
      </c>
      <c r="W1333" s="4" t="str">
        <f>"dhs-6"</f>
        <v>dhs-6</v>
      </c>
      <c r="X1333" s="4">
        <v>14.1695346413554</v>
      </c>
      <c r="Y1333" s="4">
        <v>14.5084199519472</v>
      </c>
      <c r="Z1333" s="4">
        <v>14.8164597847934</v>
      </c>
      <c r="AA1333" s="4">
        <f t="shared" si="83"/>
        <v>14.498138126032002</v>
      </c>
    </row>
    <row r="1334" spans="2:27" x14ac:dyDescent="0.2">
      <c r="B1334" s="4" t="s">
        <v>4019</v>
      </c>
      <c r="C1334" s="4">
        <v>14.839499999999999</v>
      </c>
      <c r="D1334" s="4">
        <v>14.8916</v>
      </c>
      <c r="E1334" s="4">
        <v>14.6196</v>
      </c>
      <c r="F1334" s="4">
        <f t="shared" si="80"/>
        <v>14.783566666666665</v>
      </c>
      <c r="I1334" s="4" t="s">
        <v>3639</v>
      </c>
      <c r="J1334" s="4">
        <v>14.5671</v>
      </c>
      <c r="K1334" s="4">
        <v>14.612500000000001</v>
      </c>
      <c r="L1334" s="4">
        <v>15.1937</v>
      </c>
      <c r="M1334" s="4">
        <f t="shared" si="81"/>
        <v>14.7911</v>
      </c>
      <c r="P1334" s="4" t="str">
        <f>"csn-3"</f>
        <v>csn-3</v>
      </c>
      <c r="Q1334" s="4">
        <v>14.3339396280661</v>
      </c>
      <c r="R1334" s="4">
        <v>14.487508915803501</v>
      </c>
      <c r="S1334" s="4">
        <v>14.458242278894801</v>
      </c>
      <c r="T1334" s="4">
        <f t="shared" si="82"/>
        <v>14.426563607588134</v>
      </c>
      <c r="W1334" s="4" t="str">
        <f>"dlg-1"</f>
        <v>dlg-1</v>
      </c>
      <c r="X1334" s="4">
        <v>14.0883003814711</v>
      </c>
      <c r="Y1334" s="4">
        <v>14.573475146802201</v>
      </c>
      <c r="Z1334" s="4">
        <v>14.829367445461701</v>
      </c>
      <c r="AA1334" s="4">
        <f t="shared" si="83"/>
        <v>14.497047657911667</v>
      </c>
    </row>
    <row r="1335" spans="2:27" x14ac:dyDescent="0.2">
      <c r="B1335" s="4" t="s">
        <v>3041</v>
      </c>
      <c r="C1335" s="4">
        <v>14.8276</v>
      </c>
      <c r="D1335" s="4">
        <v>14.8024</v>
      </c>
      <c r="E1335" s="4">
        <v>14.719200000000001</v>
      </c>
      <c r="F1335" s="4">
        <f t="shared" si="80"/>
        <v>14.783066666666668</v>
      </c>
      <c r="I1335" s="4" t="s">
        <v>94</v>
      </c>
      <c r="J1335" s="4">
        <v>14.901199999999999</v>
      </c>
      <c r="K1335" s="4">
        <v>14.4245</v>
      </c>
      <c r="L1335" s="4">
        <v>15.0343</v>
      </c>
      <c r="M1335" s="4">
        <f t="shared" si="81"/>
        <v>14.786666666666667</v>
      </c>
      <c r="P1335" s="4" t="str">
        <f>"ddx-10"</f>
        <v>ddx-10</v>
      </c>
      <c r="Q1335" s="4">
        <v>14.487259152609001</v>
      </c>
      <c r="R1335" s="4">
        <v>14.5065446685963</v>
      </c>
      <c r="S1335" s="4">
        <v>14.2847759437976</v>
      </c>
      <c r="T1335" s="4">
        <f t="shared" si="82"/>
        <v>14.426193255000967</v>
      </c>
      <c r="W1335" s="4" t="str">
        <f>"pgk-1"</f>
        <v>pgk-1</v>
      </c>
      <c r="X1335" s="4">
        <v>14.5297609134926</v>
      </c>
      <c r="Y1335" s="4">
        <v>14.5455265807482</v>
      </c>
      <c r="Z1335" s="4">
        <v>14.4097652307636</v>
      </c>
      <c r="AA1335" s="4">
        <f t="shared" si="83"/>
        <v>14.495017575001468</v>
      </c>
    </row>
    <row r="1336" spans="2:27" x14ac:dyDescent="0.2">
      <c r="B1336" s="4" t="s">
        <v>2469</v>
      </c>
      <c r="C1336" s="4">
        <v>14.6678</v>
      </c>
      <c r="D1336" s="4">
        <v>15.0343</v>
      </c>
      <c r="E1336" s="4">
        <v>14.6463</v>
      </c>
      <c r="F1336" s="4">
        <f t="shared" si="80"/>
        <v>14.7828</v>
      </c>
      <c r="I1336" s="4" t="s">
        <v>3731</v>
      </c>
      <c r="J1336" s="4">
        <v>14.345499999999999</v>
      </c>
      <c r="K1336" s="4">
        <v>15.29</v>
      </c>
      <c r="L1336" s="4">
        <v>14.7195</v>
      </c>
      <c r="M1336" s="4">
        <f t="shared" si="81"/>
        <v>14.785000000000002</v>
      </c>
      <c r="P1336" s="4" t="str">
        <f>"F25H2.4"</f>
        <v>F25H2.4</v>
      </c>
      <c r="Q1336" s="4">
        <v>14.356846091998699</v>
      </c>
      <c r="R1336" s="4">
        <v>14.4531808369606</v>
      </c>
      <c r="S1336" s="4">
        <v>14.467191335667099</v>
      </c>
      <c r="T1336" s="4">
        <f t="shared" si="82"/>
        <v>14.425739421542133</v>
      </c>
      <c r="W1336" s="4" t="str">
        <f>"Y39E4B.10"</f>
        <v>Y39E4B.10</v>
      </c>
      <c r="X1336" s="4">
        <v>14.438484332222799</v>
      </c>
      <c r="Y1336" s="4">
        <v>14.553514960333599</v>
      </c>
      <c r="Z1336" s="4">
        <v>14.491471627432301</v>
      </c>
      <c r="AA1336" s="4">
        <f t="shared" si="83"/>
        <v>14.494490306662902</v>
      </c>
    </row>
    <row r="1337" spans="2:27" x14ac:dyDescent="0.2">
      <c r="B1337" s="4" t="s">
        <v>2313</v>
      </c>
      <c r="C1337" s="4">
        <v>14.681900000000001</v>
      </c>
      <c r="D1337" s="4">
        <v>14.3766</v>
      </c>
      <c r="E1337" s="4">
        <v>15.289199999999999</v>
      </c>
      <c r="F1337" s="4">
        <f t="shared" si="80"/>
        <v>14.782566666666668</v>
      </c>
      <c r="I1337" s="4" t="s">
        <v>3942</v>
      </c>
      <c r="J1337" s="4">
        <v>14.727499999999999</v>
      </c>
      <c r="K1337" s="4">
        <v>14.9962</v>
      </c>
      <c r="L1337" s="4">
        <v>14.628299999999999</v>
      </c>
      <c r="M1337" s="4">
        <f t="shared" si="81"/>
        <v>14.784000000000001</v>
      </c>
      <c r="P1337" s="4" t="str">
        <f>"kin-20"</f>
        <v>kin-20</v>
      </c>
      <c r="Q1337" s="4">
        <v>14.640625275082099</v>
      </c>
      <c r="R1337" s="4">
        <v>14.2988089980692</v>
      </c>
      <c r="S1337" s="4">
        <v>14.329690618574</v>
      </c>
      <c r="T1337" s="4">
        <f t="shared" si="82"/>
        <v>14.423041630575099</v>
      </c>
      <c r="W1337" s="4" t="str">
        <f>"utx-1"</f>
        <v>utx-1</v>
      </c>
      <c r="X1337" s="4">
        <v>14.606184291413101</v>
      </c>
      <c r="Y1337" s="4">
        <v>14.603353239273501</v>
      </c>
      <c r="Z1337" s="4">
        <v>14.2736364026704</v>
      </c>
      <c r="AA1337" s="4">
        <f t="shared" si="83"/>
        <v>14.494391311119001</v>
      </c>
    </row>
    <row r="1338" spans="2:27" x14ac:dyDescent="0.2">
      <c r="B1338" s="4" t="s">
        <v>3580</v>
      </c>
      <c r="C1338" s="4">
        <v>14.563499999999999</v>
      </c>
      <c r="D1338" s="4">
        <v>14.3009</v>
      </c>
      <c r="E1338" s="4">
        <v>15.481199999999999</v>
      </c>
      <c r="F1338" s="4">
        <f t="shared" si="80"/>
        <v>14.781866666666666</v>
      </c>
      <c r="I1338" s="4" t="s">
        <v>4673</v>
      </c>
      <c r="J1338" s="4">
        <v>15.0497</v>
      </c>
      <c r="K1338" s="4">
        <v>14.732100000000001</v>
      </c>
      <c r="L1338" s="4">
        <v>14.569900000000001</v>
      </c>
      <c r="M1338" s="4">
        <f t="shared" si="81"/>
        <v>14.783900000000001</v>
      </c>
      <c r="P1338" s="4" t="str">
        <f>"cdk-9"</f>
        <v>cdk-9</v>
      </c>
      <c r="Q1338" s="4">
        <v>14.434324738011499</v>
      </c>
      <c r="R1338" s="4">
        <v>14.4969165254922</v>
      </c>
      <c r="S1338" s="4">
        <v>14.337076872400599</v>
      </c>
      <c r="T1338" s="4">
        <f t="shared" si="82"/>
        <v>14.422772711968101</v>
      </c>
      <c r="W1338" s="4" t="str">
        <f>"F17H10.1"</f>
        <v>F17H10.1</v>
      </c>
      <c r="X1338" s="4">
        <v>14.102452773869899</v>
      </c>
      <c r="Y1338" s="4">
        <v>14.6819626038334</v>
      </c>
      <c r="Z1338" s="4">
        <v>14.6976271242583</v>
      </c>
      <c r="AA1338" s="4">
        <f t="shared" si="83"/>
        <v>14.494014167320534</v>
      </c>
    </row>
    <row r="1339" spans="2:27" x14ac:dyDescent="0.2">
      <c r="B1339" s="4" t="s">
        <v>2862</v>
      </c>
      <c r="C1339" s="4">
        <v>14.8195</v>
      </c>
      <c r="D1339" s="4">
        <v>14.790100000000001</v>
      </c>
      <c r="E1339" s="4">
        <v>14.7357</v>
      </c>
      <c r="F1339" s="4">
        <f t="shared" si="80"/>
        <v>14.781766666666668</v>
      </c>
      <c r="I1339" s="4" t="s">
        <v>2850</v>
      </c>
      <c r="J1339" s="4">
        <v>14.641400000000001</v>
      </c>
      <c r="K1339" s="4">
        <v>14.618</v>
      </c>
      <c r="L1339" s="4">
        <v>15.0831</v>
      </c>
      <c r="M1339" s="4">
        <f t="shared" si="81"/>
        <v>14.780833333333334</v>
      </c>
      <c r="P1339" s="4" t="str">
        <f>"atg-7"</f>
        <v>atg-7</v>
      </c>
      <c r="Q1339" s="4">
        <v>14.4366780328986</v>
      </c>
      <c r="R1339" s="4">
        <v>14.4014037200015</v>
      </c>
      <c r="S1339" s="4">
        <v>14.4252246451628</v>
      </c>
      <c r="T1339" s="4">
        <f t="shared" si="82"/>
        <v>14.421102132687635</v>
      </c>
      <c r="W1339" s="4" t="str">
        <f>"aakg-1"</f>
        <v>aakg-1</v>
      </c>
      <c r="X1339" s="4">
        <v>14.620653435161801</v>
      </c>
      <c r="Y1339" s="4">
        <v>14.6055548184098</v>
      </c>
      <c r="Z1339" s="4">
        <v>14.2514091803924</v>
      </c>
      <c r="AA1339" s="4">
        <f t="shared" si="83"/>
        <v>14.492539144654666</v>
      </c>
    </row>
    <row r="1340" spans="2:27" x14ac:dyDescent="0.2">
      <c r="B1340" s="4" t="s">
        <v>1436</v>
      </c>
      <c r="C1340" s="4">
        <v>14.757400000000001</v>
      </c>
      <c r="D1340" s="4">
        <v>14.726699999999999</v>
      </c>
      <c r="E1340" s="4">
        <v>14.857699999999999</v>
      </c>
      <c r="F1340" s="4">
        <f t="shared" si="80"/>
        <v>14.7806</v>
      </c>
      <c r="I1340" s="4" t="s">
        <v>3065</v>
      </c>
      <c r="J1340" s="4">
        <v>14.4947</v>
      </c>
      <c r="K1340" s="4">
        <v>14.667899999999999</v>
      </c>
      <c r="L1340" s="4">
        <v>15.1799</v>
      </c>
      <c r="M1340" s="4">
        <f t="shared" si="81"/>
        <v>14.780833333333334</v>
      </c>
      <c r="P1340" s="4" t="str">
        <f>"nuo-4"</f>
        <v>nuo-4</v>
      </c>
      <c r="Q1340" s="4">
        <v>14.836954920543601</v>
      </c>
      <c r="R1340" s="4">
        <v>14.2503185642147</v>
      </c>
      <c r="S1340" s="4">
        <v>14.1694372552722</v>
      </c>
      <c r="T1340" s="4">
        <f t="shared" si="82"/>
        <v>14.418903580010166</v>
      </c>
      <c r="W1340" s="4" t="str">
        <f>"ckb-2"</f>
        <v>ckb-2</v>
      </c>
      <c r="X1340" s="4">
        <v>14.615893777739799</v>
      </c>
      <c r="Y1340" s="4">
        <v>14.4152165742173</v>
      </c>
      <c r="Z1340" s="4">
        <v>14.442915523480099</v>
      </c>
      <c r="AA1340" s="4">
        <f t="shared" si="83"/>
        <v>14.491341958479067</v>
      </c>
    </row>
    <row r="1341" spans="2:27" x14ac:dyDescent="0.2">
      <c r="B1341" s="4" t="s">
        <v>769</v>
      </c>
      <c r="C1341" s="4">
        <v>14.6875</v>
      </c>
      <c r="D1341" s="4">
        <v>14.906499999999999</v>
      </c>
      <c r="E1341" s="4">
        <v>14.7401</v>
      </c>
      <c r="F1341" s="4">
        <f t="shared" si="80"/>
        <v>14.778033333333333</v>
      </c>
      <c r="I1341" s="4" t="s">
        <v>1723</v>
      </c>
      <c r="J1341" s="4">
        <v>14.924200000000001</v>
      </c>
      <c r="K1341" s="4">
        <v>14.532500000000001</v>
      </c>
      <c r="L1341" s="4">
        <v>14.8833</v>
      </c>
      <c r="M1341" s="4">
        <f t="shared" si="81"/>
        <v>14.780000000000001</v>
      </c>
      <c r="P1341" s="4" t="str">
        <f>"pno-1"</f>
        <v>pno-1</v>
      </c>
      <c r="Q1341" s="4">
        <v>14.313179801064599</v>
      </c>
      <c r="R1341" s="4">
        <v>14.4753422902061</v>
      </c>
      <c r="S1341" s="4">
        <v>14.4573699700939</v>
      </c>
      <c r="T1341" s="4">
        <f t="shared" si="82"/>
        <v>14.415297353788199</v>
      </c>
      <c r="W1341" s="4" t="str">
        <f>"fmo-1"</f>
        <v>fmo-1</v>
      </c>
      <c r="X1341" s="4">
        <v>14.714123004968499</v>
      </c>
      <c r="Y1341" s="4">
        <v>14.419346521474701</v>
      </c>
      <c r="Z1341" s="4">
        <v>14.335484257089799</v>
      </c>
      <c r="AA1341" s="4">
        <f t="shared" si="83"/>
        <v>14.489651261177665</v>
      </c>
    </row>
    <row r="1342" spans="2:27" x14ac:dyDescent="0.2">
      <c r="B1342" s="4" t="s">
        <v>3102</v>
      </c>
      <c r="C1342" s="4">
        <v>14.8337</v>
      </c>
      <c r="D1342" s="4">
        <v>14.803000000000001</v>
      </c>
      <c r="E1342" s="4">
        <v>14.694000000000001</v>
      </c>
      <c r="F1342" s="4">
        <f t="shared" si="80"/>
        <v>14.776899999999999</v>
      </c>
      <c r="I1342" s="4" t="s">
        <v>2679</v>
      </c>
      <c r="J1342" s="4">
        <v>14.808</v>
      </c>
      <c r="K1342" s="4">
        <v>14.803100000000001</v>
      </c>
      <c r="L1342" s="4">
        <v>14.713200000000001</v>
      </c>
      <c r="M1342" s="4">
        <f t="shared" si="81"/>
        <v>14.774766666666666</v>
      </c>
      <c r="P1342" s="4" t="str">
        <f>"mnp-1"</f>
        <v>mnp-1</v>
      </c>
      <c r="Q1342" s="4">
        <v>14.695773439251401</v>
      </c>
      <c r="R1342" s="4">
        <v>14.2843130320133</v>
      </c>
      <c r="S1342" s="4">
        <v>14.264658467345599</v>
      </c>
      <c r="T1342" s="4">
        <f t="shared" si="82"/>
        <v>14.414914979536766</v>
      </c>
      <c r="W1342" s="4" t="str">
        <f>"tct-1"</f>
        <v>tct-1</v>
      </c>
      <c r="X1342" s="4">
        <v>14.5193703857207</v>
      </c>
      <c r="Y1342" s="4">
        <v>14.456603486953799</v>
      </c>
      <c r="Z1342" s="4">
        <v>14.487338912179601</v>
      </c>
      <c r="AA1342" s="4">
        <f t="shared" si="83"/>
        <v>14.487770928284702</v>
      </c>
    </row>
    <row r="1343" spans="2:27" x14ac:dyDescent="0.2">
      <c r="B1343" s="4" t="s">
        <v>905</v>
      </c>
      <c r="C1343" s="4">
        <v>14.864699999999999</v>
      </c>
      <c r="D1343" s="4">
        <v>14.7911</v>
      </c>
      <c r="E1343" s="4">
        <v>14.670999999999999</v>
      </c>
      <c r="F1343" s="4">
        <f t="shared" si="80"/>
        <v>14.775599999999999</v>
      </c>
      <c r="I1343" s="4" t="s">
        <v>2560</v>
      </c>
      <c r="J1343" s="4">
        <v>15.1762</v>
      </c>
      <c r="K1343" s="4">
        <v>15.0662</v>
      </c>
      <c r="L1343" s="4">
        <v>14.0794</v>
      </c>
      <c r="M1343" s="4">
        <f t="shared" si="81"/>
        <v>14.773933333333332</v>
      </c>
      <c r="P1343" s="4" t="str">
        <f>"gpa-16"</f>
        <v>gpa-16</v>
      </c>
      <c r="Q1343" s="4">
        <v>14.2560982149996</v>
      </c>
      <c r="R1343" s="4">
        <v>14.4405930843176</v>
      </c>
      <c r="S1343" s="4">
        <v>14.544188009739599</v>
      </c>
      <c r="T1343" s="4">
        <f t="shared" si="82"/>
        <v>14.413626436352267</v>
      </c>
      <c r="W1343" s="4" t="str">
        <f>"sco-1"</f>
        <v>sco-1</v>
      </c>
      <c r="X1343" s="4">
        <v>14.5606647174851</v>
      </c>
      <c r="Y1343" s="4">
        <v>14.3940493940067</v>
      </c>
      <c r="Z1343" s="4">
        <v>14.505634160203501</v>
      </c>
      <c r="AA1343" s="4">
        <f t="shared" si="83"/>
        <v>14.486782757231767</v>
      </c>
    </row>
    <row r="1344" spans="2:27" x14ac:dyDescent="0.2">
      <c r="B1344" s="4" t="s">
        <v>1438</v>
      </c>
      <c r="C1344" s="4">
        <v>14.709099999999999</v>
      </c>
      <c r="D1344" s="4">
        <v>14.8546</v>
      </c>
      <c r="E1344" s="4">
        <v>14.755000000000001</v>
      </c>
      <c r="F1344" s="4">
        <f t="shared" si="80"/>
        <v>14.7729</v>
      </c>
      <c r="I1344" s="4" t="s">
        <v>4647</v>
      </c>
      <c r="J1344" s="4">
        <v>14.583299999999999</v>
      </c>
      <c r="K1344" s="4">
        <v>14.662000000000001</v>
      </c>
      <c r="L1344" s="4">
        <v>15.073600000000001</v>
      </c>
      <c r="M1344" s="4">
        <f t="shared" si="81"/>
        <v>14.772966666666667</v>
      </c>
      <c r="P1344" s="4" t="str">
        <f>"lpd-6"</f>
        <v>lpd-6</v>
      </c>
      <c r="Q1344" s="4">
        <v>14.416810124425901</v>
      </c>
      <c r="R1344" s="4">
        <v>14.336198578448</v>
      </c>
      <c r="S1344" s="4">
        <v>14.4859625742783</v>
      </c>
      <c r="T1344" s="4">
        <f t="shared" si="82"/>
        <v>14.412990425717402</v>
      </c>
      <c r="W1344" s="4" t="str">
        <f>"ttr-5"</f>
        <v>ttr-5</v>
      </c>
      <c r="X1344" s="4">
        <v>14.4048559710993</v>
      </c>
      <c r="Y1344" s="4">
        <v>14.637552462410699</v>
      </c>
      <c r="Z1344" s="4">
        <v>14.417587050099799</v>
      </c>
      <c r="AA1344" s="4">
        <f t="shared" si="83"/>
        <v>14.486665161203264</v>
      </c>
    </row>
    <row r="1345" spans="2:27" x14ac:dyDescent="0.2">
      <c r="B1345" s="4" t="s">
        <v>1896</v>
      </c>
      <c r="C1345" s="4">
        <v>14.491099999999999</v>
      </c>
      <c r="D1345" s="4">
        <v>14.5829</v>
      </c>
      <c r="E1345" s="4">
        <v>15.2354</v>
      </c>
      <c r="F1345" s="4">
        <f t="shared" si="80"/>
        <v>14.769799999999998</v>
      </c>
      <c r="I1345" s="4" t="s">
        <v>369</v>
      </c>
      <c r="J1345" s="4">
        <v>14.9224</v>
      </c>
      <c r="K1345" s="4">
        <v>14.4815</v>
      </c>
      <c r="L1345" s="4">
        <v>14.893000000000001</v>
      </c>
      <c r="M1345" s="4">
        <f t="shared" si="81"/>
        <v>14.765633333333334</v>
      </c>
      <c r="P1345" s="4" t="str">
        <f>"jnk-1"</f>
        <v>jnk-1</v>
      </c>
      <c r="Q1345" s="4">
        <v>14.635525832944399</v>
      </c>
      <c r="R1345" s="4">
        <v>14.357173475193999</v>
      </c>
      <c r="S1345" s="4">
        <v>14.2303771641122</v>
      </c>
      <c r="T1345" s="4">
        <f t="shared" si="82"/>
        <v>14.407692157416866</v>
      </c>
      <c r="W1345" s="4" t="str">
        <f>"ard-1"</f>
        <v>ard-1</v>
      </c>
      <c r="X1345" s="4">
        <v>14.368726243014599</v>
      </c>
      <c r="Y1345" s="4">
        <v>14.4913513518357</v>
      </c>
      <c r="Z1345" s="4">
        <v>14.598358739743899</v>
      </c>
      <c r="AA1345" s="4">
        <f t="shared" si="83"/>
        <v>14.486145444864732</v>
      </c>
    </row>
    <row r="1346" spans="2:27" x14ac:dyDescent="0.2">
      <c r="B1346" s="4" t="s">
        <v>2756</v>
      </c>
      <c r="C1346" s="4">
        <v>14.6386</v>
      </c>
      <c r="D1346" s="4">
        <v>14.5898</v>
      </c>
      <c r="E1346" s="4">
        <v>15.0809</v>
      </c>
      <c r="F1346" s="4">
        <f t="shared" ref="F1346:F1409" si="84">(C1346+D1346+E1346)/3</f>
        <v>14.769766666666667</v>
      </c>
      <c r="I1346" s="4" t="s">
        <v>3872</v>
      </c>
      <c r="J1346" s="4">
        <v>14.718999999999999</v>
      </c>
      <c r="K1346" s="4">
        <v>14.466699999999999</v>
      </c>
      <c r="L1346" s="4">
        <v>15.109500000000001</v>
      </c>
      <c r="M1346" s="4">
        <f t="shared" ref="M1346:M1409" si="85">(J1346+K1346+L1346)/3</f>
        <v>14.765066666666664</v>
      </c>
      <c r="P1346" s="4" t="str">
        <f>"aakg-1"</f>
        <v>aakg-1</v>
      </c>
      <c r="Q1346" s="4">
        <v>14.462267248053299</v>
      </c>
      <c r="R1346" s="4">
        <v>14.4521918751512</v>
      </c>
      <c r="S1346" s="4">
        <v>14.298367400599099</v>
      </c>
      <c r="T1346" s="4">
        <f t="shared" ref="T1346:T1409" si="86">(Q1346+R1346+S1346)/3</f>
        <v>14.404275507934534</v>
      </c>
      <c r="W1346" s="4" t="str">
        <f>"rpac-40"</f>
        <v>rpac-40</v>
      </c>
      <c r="X1346" s="4">
        <v>14.4229757148308</v>
      </c>
      <c r="Y1346" s="4">
        <v>14.573825893884599</v>
      </c>
      <c r="Z1346" s="4">
        <v>14.461288565668299</v>
      </c>
      <c r="AA1346" s="4">
        <f t="shared" ref="AA1346:AA1409" si="87">(X1346+Y1346+Z1346)/3</f>
        <v>14.4860300581279</v>
      </c>
    </row>
    <row r="1347" spans="2:27" x14ac:dyDescent="0.2">
      <c r="B1347" s="4" t="s">
        <v>4439</v>
      </c>
      <c r="C1347" s="4">
        <v>14.4763</v>
      </c>
      <c r="D1347" s="4">
        <v>15.289400000000001</v>
      </c>
      <c r="E1347" s="4">
        <v>14.5311</v>
      </c>
      <c r="F1347" s="4">
        <f t="shared" si="84"/>
        <v>14.765600000000001</v>
      </c>
      <c r="I1347" s="4" t="s">
        <v>1544</v>
      </c>
      <c r="J1347" s="4">
        <v>14.9413</v>
      </c>
      <c r="K1347" s="4">
        <v>14.808400000000001</v>
      </c>
      <c r="L1347" s="4">
        <v>14.5428</v>
      </c>
      <c r="M1347" s="4">
        <f t="shared" si="85"/>
        <v>14.764166666666668</v>
      </c>
      <c r="P1347" s="4" t="str">
        <f>"guk-1"</f>
        <v>guk-1</v>
      </c>
      <c r="Q1347" s="4">
        <v>14.3291749388322</v>
      </c>
      <c r="R1347" s="4">
        <v>14.391983811005399</v>
      </c>
      <c r="S1347" s="4">
        <v>14.488251668019201</v>
      </c>
      <c r="T1347" s="4">
        <f t="shared" si="86"/>
        <v>14.403136805952267</v>
      </c>
      <c r="W1347" s="4" t="str">
        <f>"air-1"</f>
        <v>air-1</v>
      </c>
      <c r="X1347" s="4">
        <v>14.6497107070195</v>
      </c>
      <c r="Y1347" s="4">
        <v>14.4642407382842</v>
      </c>
      <c r="Z1347" s="4">
        <v>14.3440598343283</v>
      </c>
      <c r="AA1347" s="4">
        <f t="shared" si="87"/>
        <v>14.486003759877333</v>
      </c>
    </row>
    <row r="1348" spans="2:27" x14ac:dyDescent="0.2">
      <c r="B1348" s="4" t="s">
        <v>1949</v>
      </c>
      <c r="C1348" s="4">
        <v>14.942500000000001</v>
      </c>
      <c r="D1348" s="4">
        <v>14.567</v>
      </c>
      <c r="E1348" s="4">
        <v>14.781599999999999</v>
      </c>
      <c r="F1348" s="4">
        <f t="shared" si="84"/>
        <v>14.7637</v>
      </c>
      <c r="I1348" s="4" t="s">
        <v>4674</v>
      </c>
      <c r="J1348" s="4">
        <v>14.789899999999999</v>
      </c>
      <c r="K1348" s="4">
        <v>14.818199999999999</v>
      </c>
      <c r="L1348" s="4">
        <v>14.6838</v>
      </c>
      <c r="M1348" s="4">
        <f t="shared" si="85"/>
        <v>14.763966666666667</v>
      </c>
      <c r="P1348" s="4" t="str">
        <f>"F35E12.2"</f>
        <v>F35E12.2</v>
      </c>
      <c r="Q1348" s="4">
        <v>13.698319991036501</v>
      </c>
      <c r="R1348" s="4">
        <v>14.5211768481437</v>
      </c>
      <c r="S1348" s="4">
        <v>14.985287681191201</v>
      </c>
      <c r="T1348" s="4">
        <f t="shared" si="86"/>
        <v>14.401594840123801</v>
      </c>
      <c r="W1348" s="4" t="str">
        <f>"F33G12.3"</f>
        <v>F33G12.3</v>
      </c>
      <c r="X1348" s="4">
        <v>14.487649639552201</v>
      </c>
      <c r="Y1348" s="4">
        <v>14.583147623976</v>
      </c>
      <c r="Z1348" s="4">
        <v>14.386214917908701</v>
      </c>
      <c r="AA1348" s="4">
        <f t="shared" si="87"/>
        <v>14.485670727145633</v>
      </c>
    </row>
    <row r="1349" spans="2:27" x14ac:dyDescent="0.2">
      <c r="B1349" s="4" t="s">
        <v>1939</v>
      </c>
      <c r="C1349" s="4">
        <v>14.6919</v>
      </c>
      <c r="D1349" s="4">
        <v>14.8284</v>
      </c>
      <c r="E1349" s="4">
        <v>14.767799999999999</v>
      </c>
      <c r="F1349" s="4">
        <f t="shared" si="84"/>
        <v>14.762700000000001</v>
      </c>
      <c r="I1349" s="4" t="s">
        <v>1318</v>
      </c>
      <c r="J1349" s="4">
        <v>14.9268</v>
      </c>
      <c r="K1349" s="4">
        <v>14.742699999999999</v>
      </c>
      <c r="L1349" s="4">
        <v>14.618</v>
      </c>
      <c r="M1349" s="4">
        <f t="shared" si="85"/>
        <v>14.762500000000001</v>
      </c>
      <c r="P1349" s="4" t="str">
        <f>"vha-14"</f>
        <v>vha-14</v>
      </c>
      <c r="Q1349" s="4">
        <v>14.375989634717399</v>
      </c>
      <c r="R1349" s="4">
        <v>14.3847220362829</v>
      </c>
      <c r="S1349" s="4">
        <v>14.440009952809801</v>
      </c>
      <c r="T1349" s="4">
        <f t="shared" si="86"/>
        <v>14.400240541270035</v>
      </c>
      <c r="W1349" s="4" t="str">
        <f>"sec-3"</f>
        <v>sec-3</v>
      </c>
      <c r="X1349" s="4">
        <v>14.479540385181</v>
      </c>
      <c r="Y1349" s="4">
        <v>14.437191475402701</v>
      </c>
      <c r="Z1349" s="4">
        <v>14.539745047977201</v>
      </c>
      <c r="AA1349" s="4">
        <f t="shared" si="87"/>
        <v>14.485492302853634</v>
      </c>
    </row>
    <row r="1350" spans="2:27" x14ac:dyDescent="0.2">
      <c r="B1350" s="4" t="s">
        <v>2143</v>
      </c>
      <c r="C1350" s="4">
        <v>14.717599999999999</v>
      </c>
      <c r="D1350" s="4">
        <v>14.4154</v>
      </c>
      <c r="E1350" s="4">
        <v>15.154299999999999</v>
      </c>
      <c r="F1350" s="4">
        <f t="shared" si="84"/>
        <v>14.762433333333334</v>
      </c>
      <c r="I1350" s="4" t="s">
        <v>4675</v>
      </c>
      <c r="J1350" s="4">
        <v>14.747400000000001</v>
      </c>
      <c r="K1350" s="4">
        <v>14.917400000000001</v>
      </c>
      <c r="L1350" s="4">
        <v>14.6225</v>
      </c>
      <c r="M1350" s="4">
        <f t="shared" si="85"/>
        <v>14.762433333333334</v>
      </c>
      <c r="P1350" s="4" t="str">
        <f>"cls-2"</f>
        <v>cls-2</v>
      </c>
      <c r="Q1350" s="4">
        <v>14.4694316572118</v>
      </c>
      <c r="R1350" s="4">
        <v>14.4576470652708</v>
      </c>
      <c r="S1350" s="4">
        <v>14.2731030716009</v>
      </c>
      <c r="T1350" s="4">
        <f t="shared" si="86"/>
        <v>14.400060598027833</v>
      </c>
      <c r="W1350" s="4" t="str">
        <f>"dars-2"</f>
        <v>dars-2</v>
      </c>
      <c r="X1350" s="4">
        <v>14.5988024345701</v>
      </c>
      <c r="Y1350" s="4">
        <v>14.1940017559062</v>
      </c>
      <c r="Z1350" s="4">
        <v>14.6604611498129</v>
      </c>
      <c r="AA1350" s="4">
        <f t="shared" si="87"/>
        <v>14.484421780096399</v>
      </c>
    </row>
    <row r="1351" spans="2:27" x14ac:dyDescent="0.2">
      <c r="B1351" s="4" t="s">
        <v>3469</v>
      </c>
      <c r="C1351" s="4">
        <v>15.114699999999999</v>
      </c>
      <c r="D1351" s="4">
        <v>14.3918</v>
      </c>
      <c r="E1351" s="4">
        <v>14.7791</v>
      </c>
      <c r="F1351" s="4">
        <f t="shared" si="84"/>
        <v>14.761866666666668</v>
      </c>
      <c r="I1351" s="4" t="s">
        <v>1257</v>
      </c>
      <c r="J1351" s="4">
        <v>14.5808</v>
      </c>
      <c r="K1351" s="4">
        <v>15.0182</v>
      </c>
      <c r="L1351" s="4">
        <v>14.6816</v>
      </c>
      <c r="M1351" s="4">
        <f t="shared" si="85"/>
        <v>14.760199999999999</v>
      </c>
      <c r="P1351" s="4" t="str">
        <f>"stl-1"</f>
        <v>stl-1</v>
      </c>
      <c r="Q1351" s="4">
        <v>14.539431857918601</v>
      </c>
      <c r="R1351" s="4">
        <v>14.299208177032</v>
      </c>
      <c r="S1351" s="4">
        <v>14.359649402632799</v>
      </c>
      <c r="T1351" s="4">
        <f t="shared" si="86"/>
        <v>14.399429812527799</v>
      </c>
      <c r="W1351" s="4" t="str">
        <f>"lin-45"</f>
        <v>lin-45</v>
      </c>
      <c r="X1351" s="4">
        <v>14.2900799637123</v>
      </c>
      <c r="Y1351" s="4">
        <v>14.5267438983009</v>
      </c>
      <c r="Z1351" s="4">
        <v>14.6354921907147</v>
      </c>
      <c r="AA1351" s="4">
        <f t="shared" si="87"/>
        <v>14.484105350909301</v>
      </c>
    </row>
    <row r="1352" spans="2:27" x14ac:dyDescent="0.2">
      <c r="B1352" s="4" t="s">
        <v>1392</v>
      </c>
      <c r="C1352" s="4">
        <v>14.8277</v>
      </c>
      <c r="D1352" s="4">
        <v>14.969799999999999</v>
      </c>
      <c r="E1352" s="4">
        <v>14.487500000000001</v>
      </c>
      <c r="F1352" s="4">
        <f t="shared" si="84"/>
        <v>14.761666666666665</v>
      </c>
      <c r="I1352" s="4" t="s">
        <v>1321</v>
      </c>
      <c r="J1352" s="4">
        <v>15.0162</v>
      </c>
      <c r="K1352" s="4">
        <v>14.6944</v>
      </c>
      <c r="L1352" s="4">
        <v>14.561</v>
      </c>
      <c r="M1352" s="4">
        <f t="shared" si="85"/>
        <v>14.757199999999999</v>
      </c>
      <c r="P1352" s="4" t="str">
        <f>"sur-5"</f>
        <v>sur-5</v>
      </c>
      <c r="Q1352" s="4">
        <v>14.661726398904801</v>
      </c>
      <c r="R1352" s="4">
        <v>14.282050488082501</v>
      </c>
      <c r="S1352" s="4">
        <v>14.254474070436499</v>
      </c>
      <c r="T1352" s="4">
        <f t="shared" si="86"/>
        <v>14.399416985807934</v>
      </c>
      <c r="W1352" s="4" t="str">
        <f>"eif-3.F"</f>
        <v>eif-3.F</v>
      </c>
      <c r="X1352" s="4">
        <v>14.736117346473399</v>
      </c>
      <c r="Y1352" s="4">
        <v>14.466583922563601</v>
      </c>
      <c r="Z1352" s="4">
        <v>14.2491885523141</v>
      </c>
      <c r="AA1352" s="4">
        <f t="shared" si="87"/>
        <v>14.483963273783701</v>
      </c>
    </row>
    <row r="1353" spans="2:27" x14ac:dyDescent="0.2">
      <c r="B1353" s="4" t="s">
        <v>2740</v>
      </c>
      <c r="C1353" s="4">
        <v>14.574299999999999</v>
      </c>
      <c r="D1353" s="4">
        <v>15.083299999999999</v>
      </c>
      <c r="E1353" s="4">
        <v>14.6213</v>
      </c>
      <c r="F1353" s="4">
        <f t="shared" si="84"/>
        <v>14.759633333333333</v>
      </c>
      <c r="I1353" s="4" t="s">
        <v>2695</v>
      </c>
      <c r="J1353" s="4">
        <v>14.805400000000001</v>
      </c>
      <c r="K1353" s="4">
        <v>14.8703</v>
      </c>
      <c r="L1353" s="4">
        <v>14.5905</v>
      </c>
      <c r="M1353" s="4">
        <f t="shared" si="85"/>
        <v>14.7554</v>
      </c>
      <c r="P1353" s="4" t="str">
        <f>"atat-2"</f>
        <v>atat-2</v>
      </c>
      <c r="Q1353" s="4">
        <v>14.2333197385512</v>
      </c>
      <c r="R1353" s="4">
        <v>14.495282145873199</v>
      </c>
      <c r="S1353" s="4">
        <v>14.4612594082641</v>
      </c>
      <c r="T1353" s="4">
        <f t="shared" si="86"/>
        <v>14.396620430896165</v>
      </c>
      <c r="W1353" s="4" t="str">
        <f>"wdfy-3"</f>
        <v>wdfy-3</v>
      </c>
      <c r="X1353" s="4">
        <v>14.2761671590227</v>
      </c>
      <c r="Y1353" s="4">
        <v>14.555326728470799</v>
      </c>
      <c r="Z1353" s="4">
        <v>14.6196742774342</v>
      </c>
      <c r="AA1353" s="4">
        <f t="shared" si="87"/>
        <v>14.483722721642566</v>
      </c>
    </row>
    <row r="1354" spans="2:27" x14ac:dyDescent="0.2">
      <c r="B1354" s="4" t="s">
        <v>3182</v>
      </c>
      <c r="C1354" s="4">
        <v>15.000500000000001</v>
      </c>
      <c r="D1354" s="4">
        <v>14.305999999999999</v>
      </c>
      <c r="E1354" s="4">
        <v>14.962400000000001</v>
      </c>
      <c r="F1354" s="4">
        <f t="shared" si="84"/>
        <v>14.756300000000001</v>
      </c>
      <c r="I1354" s="4" t="s">
        <v>601</v>
      </c>
      <c r="J1354" s="4">
        <v>14.6829</v>
      </c>
      <c r="K1354" s="4">
        <v>14.780900000000001</v>
      </c>
      <c r="L1354" s="4">
        <v>14.8002</v>
      </c>
      <c r="M1354" s="4">
        <f t="shared" si="85"/>
        <v>14.754666666666665</v>
      </c>
      <c r="P1354" s="4" t="str">
        <f>"pro-2"</f>
        <v>pro-2</v>
      </c>
      <c r="Q1354" s="4">
        <v>14.3072595550206</v>
      </c>
      <c r="R1354" s="4">
        <v>14.5322090882078</v>
      </c>
      <c r="S1354" s="4">
        <v>14.3447784027141</v>
      </c>
      <c r="T1354" s="4">
        <f t="shared" si="86"/>
        <v>14.394749015314167</v>
      </c>
      <c r="W1354" s="4" t="str">
        <f>"Y66H1A.4"</f>
        <v>Y66H1A.4</v>
      </c>
      <c r="X1354" s="4">
        <v>14.363670739702201</v>
      </c>
      <c r="Y1354" s="4">
        <v>14.625165045412601</v>
      </c>
      <c r="Z1354" s="4">
        <v>14.435496404045701</v>
      </c>
      <c r="AA1354" s="4">
        <f t="shared" si="87"/>
        <v>14.474777396386834</v>
      </c>
    </row>
    <row r="1355" spans="2:27" x14ac:dyDescent="0.2">
      <c r="B1355" s="4" t="s">
        <v>3804</v>
      </c>
      <c r="C1355" s="4">
        <v>14.7584</v>
      </c>
      <c r="D1355" s="4">
        <v>14.579700000000001</v>
      </c>
      <c r="E1355" s="4">
        <v>14.930400000000001</v>
      </c>
      <c r="F1355" s="4">
        <f t="shared" si="84"/>
        <v>14.756166666666667</v>
      </c>
      <c r="I1355" s="4" t="s">
        <v>4311</v>
      </c>
      <c r="J1355" s="4">
        <v>14.551600000000001</v>
      </c>
      <c r="K1355" s="4">
        <v>14.976699999999999</v>
      </c>
      <c r="L1355" s="4">
        <v>14.732699999999999</v>
      </c>
      <c r="M1355" s="4">
        <f t="shared" si="85"/>
        <v>14.753666666666668</v>
      </c>
      <c r="P1355" s="4" t="str">
        <f>"ddi-1"</f>
        <v>ddi-1</v>
      </c>
      <c r="Q1355" s="4">
        <v>14.4800240109137</v>
      </c>
      <c r="R1355" s="4">
        <v>14.377359761375599</v>
      </c>
      <c r="S1355" s="4">
        <v>14.3260459301545</v>
      </c>
      <c r="T1355" s="4">
        <f t="shared" si="86"/>
        <v>14.394476567481268</v>
      </c>
      <c r="W1355" s="4" t="str">
        <f>"eor-2"</f>
        <v>eor-2</v>
      </c>
      <c r="X1355" s="4">
        <v>14.435244767703701</v>
      </c>
      <c r="Y1355" s="4">
        <v>14.5560114045664</v>
      </c>
      <c r="Z1355" s="4">
        <v>14.4329214226102</v>
      </c>
      <c r="AA1355" s="4">
        <f t="shared" si="87"/>
        <v>14.474725864960099</v>
      </c>
    </row>
    <row r="1356" spans="2:27" x14ac:dyDescent="0.2">
      <c r="B1356" s="4" t="s">
        <v>2496</v>
      </c>
      <c r="C1356" s="4">
        <v>14.9605</v>
      </c>
      <c r="D1356" s="4">
        <v>14.436400000000001</v>
      </c>
      <c r="E1356" s="4">
        <v>14.8689</v>
      </c>
      <c r="F1356" s="4">
        <f t="shared" si="84"/>
        <v>14.755266666666666</v>
      </c>
      <c r="I1356" s="4" t="s">
        <v>1306</v>
      </c>
      <c r="J1356" s="4">
        <v>14.478</v>
      </c>
      <c r="K1356" s="4">
        <v>14.8802</v>
      </c>
      <c r="L1356" s="4">
        <v>14.9024</v>
      </c>
      <c r="M1356" s="4">
        <f t="shared" si="85"/>
        <v>14.753533333333332</v>
      </c>
      <c r="P1356" s="4" t="str">
        <f>"cgr-1"</f>
        <v>cgr-1</v>
      </c>
      <c r="Q1356" s="4">
        <v>14.5068045530912</v>
      </c>
      <c r="R1356" s="4">
        <v>14.3000688164782</v>
      </c>
      <c r="S1356" s="4">
        <v>14.3690122938025</v>
      </c>
      <c r="T1356" s="4">
        <f t="shared" si="86"/>
        <v>14.391961887790634</v>
      </c>
      <c r="W1356" s="4" t="str">
        <f>"pdi-3"</f>
        <v>pdi-3</v>
      </c>
      <c r="X1356" s="4">
        <v>14.521868599472899</v>
      </c>
      <c r="Y1356" s="4">
        <v>14.120805795418301</v>
      </c>
      <c r="Z1356" s="4">
        <v>14.7803456399774</v>
      </c>
      <c r="AA1356" s="4">
        <f t="shared" si="87"/>
        <v>14.474340011622866</v>
      </c>
    </row>
    <row r="1357" spans="2:27" x14ac:dyDescent="0.2">
      <c r="B1357" s="4" t="s">
        <v>4029</v>
      </c>
      <c r="C1357" s="4">
        <v>15.282299999999999</v>
      </c>
      <c r="D1357" s="4">
        <v>14.8369</v>
      </c>
      <c r="E1357" s="4">
        <v>14.1303</v>
      </c>
      <c r="F1357" s="4">
        <f t="shared" si="84"/>
        <v>14.749833333333333</v>
      </c>
      <c r="I1357" s="4" t="s">
        <v>2231</v>
      </c>
      <c r="J1357" s="4">
        <v>14.7896</v>
      </c>
      <c r="K1357" s="4">
        <v>14.247999999999999</v>
      </c>
      <c r="L1357" s="4">
        <v>15.218500000000001</v>
      </c>
      <c r="M1357" s="4">
        <f t="shared" si="85"/>
        <v>14.752033333333332</v>
      </c>
      <c r="P1357" s="4" t="str">
        <f>"pak-2"</f>
        <v>pak-2</v>
      </c>
      <c r="Q1357" s="4">
        <v>14.5708075517941</v>
      </c>
      <c r="R1357" s="4">
        <v>14.316930154298801</v>
      </c>
      <c r="S1357" s="4">
        <v>14.281577247014599</v>
      </c>
      <c r="T1357" s="4">
        <f t="shared" si="86"/>
        <v>14.389771651035835</v>
      </c>
      <c r="W1357" s="4" t="str">
        <f>"let-858"</f>
        <v>let-858</v>
      </c>
      <c r="X1357" s="4">
        <v>14.475792694840001</v>
      </c>
      <c r="Y1357" s="4">
        <v>14.3375286346973</v>
      </c>
      <c r="Z1357" s="4">
        <v>14.609106316448299</v>
      </c>
      <c r="AA1357" s="4">
        <f t="shared" si="87"/>
        <v>14.474142548661867</v>
      </c>
    </row>
    <row r="1358" spans="2:27" x14ac:dyDescent="0.2">
      <c r="B1358" s="4" t="s">
        <v>1333</v>
      </c>
      <c r="C1358" s="4">
        <v>15.005599999999999</v>
      </c>
      <c r="D1358" s="4">
        <v>14.866</v>
      </c>
      <c r="E1358" s="4">
        <v>14.374599999999999</v>
      </c>
      <c r="F1358" s="4">
        <f t="shared" si="84"/>
        <v>14.748733333333334</v>
      </c>
      <c r="I1358" s="4" t="s">
        <v>3662</v>
      </c>
      <c r="J1358" s="4">
        <v>14.9381</v>
      </c>
      <c r="K1358" s="4">
        <v>14.642899999999999</v>
      </c>
      <c r="L1358" s="4">
        <v>14.668799999999999</v>
      </c>
      <c r="M1358" s="4">
        <f t="shared" si="85"/>
        <v>14.749933333333333</v>
      </c>
      <c r="P1358" s="4" t="str">
        <f>"R07G3.8"</f>
        <v>R07G3.8</v>
      </c>
      <c r="Q1358" s="4">
        <v>14.2429975538346</v>
      </c>
      <c r="R1358" s="4">
        <v>14.631358102351401</v>
      </c>
      <c r="S1358" s="4">
        <v>14.294226005258301</v>
      </c>
      <c r="T1358" s="4">
        <f t="shared" si="86"/>
        <v>14.389527220481433</v>
      </c>
      <c r="W1358" s="4" t="str">
        <f>"mrpl-15"</f>
        <v>mrpl-15</v>
      </c>
      <c r="X1358" s="4">
        <v>14.426568775632401</v>
      </c>
      <c r="Y1358" s="4">
        <v>14.5001740842409</v>
      </c>
      <c r="Z1358" s="4">
        <v>14.495474513450301</v>
      </c>
      <c r="AA1358" s="4">
        <f t="shared" si="87"/>
        <v>14.474072457774534</v>
      </c>
    </row>
    <row r="1359" spans="2:27" x14ac:dyDescent="0.2">
      <c r="B1359" s="4" t="s">
        <v>4374</v>
      </c>
      <c r="C1359" s="4">
        <v>15.0059</v>
      </c>
      <c r="D1359" s="4">
        <v>14.7957</v>
      </c>
      <c r="E1359" s="4">
        <v>14.4382</v>
      </c>
      <c r="F1359" s="4">
        <f t="shared" si="84"/>
        <v>14.746600000000001</v>
      </c>
      <c r="I1359" s="4" t="s">
        <v>3543</v>
      </c>
      <c r="J1359" s="4">
        <v>14.8818</v>
      </c>
      <c r="K1359" s="4">
        <v>14.690799999999999</v>
      </c>
      <c r="L1359" s="4">
        <v>14.675700000000001</v>
      </c>
      <c r="M1359" s="4">
        <f t="shared" si="85"/>
        <v>14.749433333333334</v>
      </c>
      <c r="P1359" s="4" t="str">
        <f>"C05C8.5"</f>
        <v>C05C8.5</v>
      </c>
      <c r="Q1359" s="4">
        <v>14.193704825854701</v>
      </c>
      <c r="R1359" s="4">
        <v>14.1858300366517</v>
      </c>
      <c r="S1359" s="4">
        <v>14.786367912851199</v>
      </c>
      <c r="T1359" s="4">
        <f t="shared" si="86"/>
        <v>14.388634258452534</v>
      </c>
      <c r="W1359" s="4" t="str">
        <f>"otub-1"</f>
        <v>otub-1</v>
      </c>
      <c r="X1359" s="4">
        <v>14.5160714371581</v>
      </c>
      <c r="Y1359" s="4">
        <v>14.579047177063099</v>
      </c>
      <c r="Z1359" s="4">
        <v>14.3186332793611</v>
      </c>
      <c r="AA1359" s="4">
        <f t="shared" si="87"/>
        <v>14.471250631194101</v>
      </c>
    </row>
    <row r="1360" spans="2:27" x14ac:dyDescent="0.2">
      <c r="B1360" s="4" t="s">
        <v>504</v>
      </c>
      <c r="C1360" s="4">
        <v>14.8523</v>
      </c>
      <c r="D1360" s="4">
        <v>14.784599999999999</v>
      </c>
      <c r="E1360" s="4">
        <v>14.597300000000001</v>
      </c>
      <c r="F1360" s="4">
        <f t="shared" si="84"/>
        <v>14.744733333333334</v>
      </c>
      <c r="I1360" s="4" t="s">
        <v>4487</v>
      </c>
      <c r="J1360" s="4">
        <v>14.970700000000001</v>
      </c>
      <c r="K1360" s="4">
        <v>14.9879</v>
      </c>
      <c r="L1360" s="4">
        <v>14.288399999999999</v>
      </c>
      <c r="M1360" s="4">
        <f t="shared" si="85"/>
        <v>14.749000000000001</v>
      </c>
      <c r="P1360" s="4" t="str">
        <f>"gck-3"</f>
        <v>gck-3</v>
      </c>
      <c r="Q1360" s="4">
        <v>14.761943577444701</v>
      </c>
      <c r="R1360" s="4">
        <v>14.1595883080966</v>
      </c>
      <c r="S1360" s="4">
        <v>14.2430673689855</v>
      </c>
      <c r="T1360" s="4">
        <f t="shared" si="86"/>
        <v>14.388199751508933</v>
      </c>
      <c r="W1360" s="4" t="str">
        <f>"T24B8.7"</f>
        <v>T24B8.7</v>
      </c>
      <c r="X1360" s="4">
        <v>14.432577310653899</v>
      </c>
      <c r="Y1360" s="4">
        <v>14.513513074424299</v>
      </c>
      <c r="Z1360" s="4">
        <v>14.462252089284799</v>
      </c>
      <c r="AA1360" s="4">
        <f t="shared" si="87"/>
        <v>14.469447491454332</v>
      </c>
    </row>
    <row r="1361" spans="2:27" x14ac:dyDescent="0.2">
      <c r="B1361" s="4" t="s">
        <v>4048</v>
      </c>
      <c r="C1361" s="4">
        <v>15.001300000000001</v>
      </c>
      <c r="D1361" s="4">
        <v>14.8407</v>
      </c>
      <c r="E1361" s="4">
        <v>14.3919</v>
      </c>
      <c r="F1361" s="4">
        <f t="shared" si="84"/>
        <v>14.744633333333333</v>
      </c>
      <c r="I1361" s="4" t="s">
        <v>3716</v>
      </c>
      <c r="J1361" s="4">
        <v>14.616899999999999</v>
      </c>
      <c r="K1361" s="4">
        <v>14.673400000000001</v>
      </c>
      <c r="L1361" s="4">
        <v>14.953099999999999</v>
      </c>
      <c r="M1361" s="4">
        <f t="shared" si="85"/>
        <v>14.7478</v>
      </c>
      <c r="P1361" s="4" t="str">
        <f>"F22B5.4"</f>
        <v>F22B5.4</v>
      </c>
      <c r="Q1361" s="4">
        <v>14.541255589921199</v>
      </c>
      <c r="R1361" s="4">
        <v>14.473424247214</v>
      </c>
      <c r="S1361" s="4">
        <v>14.144676311974001</v>
      </c>
      <c r="T1361" s="4">
        <f t="shared" si="86"/>
        <v>14.386452049703067</v>
      </c>
      <c r="W1361" s="4" t="str">
        <f>"haf-2"</f>
        <v>haf-2</v>
      </c>
      <c r="X1361" s="4">
        <v>14.3171219440583</v>
      </c>
      <c r="Y1361" s="4">
        <v>14.538750183445501</v>
      </c>
      <c r="Z1361" s="4">
        <v>14.5522920432009</v>
      </c>
      <c r="AA1361" s="4">
        <f t="shared" si="87"/>
        <v>14.469388056901566</v>
      </c>
    </row>
    <row r="1362" spans="2:27" x14ac:dyDescent="0.2">
      <c r="B1362" s="4" t="s">
        <v>4151</v>
      </c>
      <c r="C1362" s="4">
        <v>14.654400000000001</v>
      </c>
      <c r="D1362" s="4">
        <v>14.516500000000001</v>
      </c>
      <c r="E1362" s="4">
        <v>15.0624</v>
      </c>
      <c r="F1362" s="4">
        <f t="shared" si="84"/>
        <v>14.744433333333333</v>
      </c>
      <c r="I1362" s="4" t="s">
        <v>4374</v>
      </c>
      <c r="J1362" s="4">
        <v>13.9512</v>
      </c>
      <c r="K1362" s="4">
        <v>14.56</v>
      </c>
      <c r="L1362" s="4">
        <v>15.7178</v>
      </c>
      <c r="M1362" s="4">
        <f t="shared" si="85"/>
        <v>14.743</v>
      </c>
      <c r="P1362" s="4" t="str">
        <f>"sec-24.1"</f>
        <v>sec-24.1</v>
      </c>
      <c r="Q1362" s="4">
        <v>14.1615898752445</v>
      </c>
      <c r="R1362" s="4">
        <v>14.4671386571891</v>
      </c>
      <c r="S1362" s="4">
        <v>14.5254591707173</v>
      </c>
      <c r="T1362" s="4">
        <f t="shared" si="86"/>
        <v>14.384729234383633</v>
      </c>
      <c r="W1362" s="4" t="str">
        <f>"dab-1"</f>
        <v>dab-1</v>
      </c>
      <c r="X1362" s="4">
        <v>14.401972613003601</v>
      </c>
      <c r="Y1362" s="4">
        <v>14.4299876829024</v>
      </c>
      <c r="Z1362" s="4">
        <v>14.569207321962001</v>
      </c>
      <c r="AA1362" s="4">
        <f t="shared" si="87"/>
        <v>14.467055872622666</v>
      </c>
    </row>
    <row r="1363" spans="2:27" x14ac:dyDescent="0.2">
      <c r="B1363" s="4" t="s">
        <v>2140</v>
      </c>
      <c r="C1363" s="4">
        <v>14.684900000000001</v>
      </c>
      <c r="D1363" s="4">
        <v>14.9299</v>
      </c>
      <c r="E1363" s="4">
        <v>14.6182</v>
      </c>
      <c r="F1363" s="4">
        <f t="shared" si="84"/>
        <v>14.744333333333335</v>
      </c>
      <c r="I1363" s="4" t="s">
        <v>2170</v>
      </c>
      <c r="J1363" s="4">
        <v>14.700100000000001</v>
      </c>
      <c r="K1363" s="4">
        <v>14.9069</v>
      </c>
      <c r="L1363" s="4">
        <v>14.616300000000001</v>
      </c>
      <c r="M1363" s="4">
        <f t="shared" si="85"/>
        <v>14.741100000000001</v>
      </c>
      <c r="P1363" s="4" t="str">
        <f>"uncp-18"</f>
        <v>uncp-18</v>
      </c>
      <c r="Q1363" s="4">
        <v>14.4436904805687</v>
      </c>
      <c r="R1363" s="4">
        <v>14.3827831656369</v>
      </c>
      <c r="S1363" s="4">
        <v>14.321863274672401</v>
      </c>
      <c r="T1363" s="4">
        <f t="shared" si="86"/>
        <v>14.382778973626001</v>
      </c>
      <c r="W1363" s="4" t="str">
        <f>"atg-7"</f>
        <v>atg-7</v>
      </c>
      <c r="X1363" s="4">
        <v>14.4714802721988</v>
      </c>
      <c r="Y1363" s="4">
        <v>14.4684298649442</v>
      </c>
      <c r="Z1363" s="4">
        <v>14.4466562146079</v>
      </c>
      <c r="AA1363" s="4">
        <f t="shared" si="87"/>
        <v>14.462188783916966</v>
      </c>
    </row>
    <row r="1364" spans="2:27" x14ac:dyDescent="0.2">
      <c r="B1364" s="4" t="s">
        <v>4158</v>
      </c>
      <c r="C1364" s="4">
        <v>14.9137</v>
      </c>
      <c r="D1364" s="4">
        <v>15.9613</v>
      </c>
      <c r="E1364" s="4">
        <v>13.345599999999999</v>
      </c>
      <c r="F1364" s="4">
        <f t="shared" si="84"/>
        <v>14.7402</v>
      </c>
      <c r="I1364" s="4" t="s">
        <v>2780</v>
      </c>
      <c r="J1364" s="4">
        <v>14.7318</v>
      </c>
      <c r="K1364" s="4">
        <v>14.8003</v>
      </c>
      <c r="L1364" s="4">
        <v>14.688800000000001</v>
      </c>
      <c r="M1364" s="4">
        <f t="shared" si="85"/>
        <v>14.7403</v>
      </c>
      <c r="P1364" s="4" t="str">
        <f>"snf-3"</f>
        <v>snf-3</v>
      </c>
      <c r="Q1364" s="4">
        <v>14.069681740144899</v>
      </c>
      <c r="R1364" s="4">
        <v>14.4653906691559</v>
      </c>
      <c r="S1364" s="4">
        <v>14.6078880262966</v>
      </c>
      <c r="T1364" s="4">
        <f t="shared" si="86"/>
        <v>14.380986811865801</v>
      </c>
      <c r="W1364" s="4" t="str">
        <f>"fbxa-65"</f>
        <v>fbxa-65</v>
      </c>
      <c r="X1364" s="4">
        <v>14.5237728265706</v>
      </c>
      <c r="Y1364" s="4">
        <v>14.566028936222301</v>
      </c>
      <c r="Z1364" s="4">
        <v>14.2965574001815</v>
      </c>
      <c r="AA1364" s="4">
        <f t="shared" si="87"/>
        <v>14.462119720991467</v>
      </c>
    </row>
    <row r="1365" spans="2:27" x14ac:dyDescent="0.2">
      <c r="B1365" s="4" t="s">
        <v>29</v>
      </c>
      <c r="C1365" s="4">
        <v>14.589600000000001</v>
      </c>
      <c r="D1365" s="4">
        <v>14.9352</v>
      </c>
      <c r="E1365" s="4">
        <v>14.686199999999999</v>
      </c>
      <c r="F1365" s="4">
        <f t="shared" si="84"/>
        <v>14.737</v>
      </c>
      <c r="I1365" s="4" t="s">
        <v>2715</v>
      </c>
      <c r="J1365" s="4">
        <v>14.801500000000001</v>
      </c>
      <c r="K1365" s="4">
        <v>15.100899999999999</v>
      </c>
      <c r="L1365" s="4">
        <v>14.3162</v>
      </c>
      <c r="M1365" s="4">
        <f t="shared" si="85"/>
        <v>14.739533333333334</v>
      </c>
      <c r="P1365" s="4" t="str">
        <f>"lex-1"</f>
        <v>lex-1</v>
      </c>
      <c r="Q1365" s="4">
        <v>14.4626349803421</v>
      </c>
      <c r="R1365" s="4">
        <v>14.3675996965079</v>
      </c>
      <c r="S1365" s="4">
        <v>14.308290975054501</v>
      </c>
      <c r="T1365" s="4">
        <f t="shared" si="86"/>
        <v>14.379508550634833</v>
      </c>
      <c r="W1365" s="4" t="str">
        <f>"mrpl-20"</f>
        <v>mrpl-20</v>
      </c>
      <c r="X1365" s="4">
        <v>14.251697059295299</v>
      </c>
      <c r="Y1365" s="4">
        <v>14.724842368735001</v>
      </c>
      <c r="Z1365" s="4">
        <v>14.409275786118799</v>
      </c>
      <c r="AA1365" s="4">
        <f t="shared" si="87"/>
        <v>14.461938404716365</v>
      </c>
    </row>
    <row r="1366" spans="2:27" x14ac:dyDescent="0.2">
      <c r="B1366" s="4" t="s">
        <v>2739</v>
      </c>
      <c r="C1366" s="4">
        <v>14.3582</v>
      </c>
      <c r="D1366" s="4">
        <v>15.006500000000001</v>
      </c>
      <c r="E1366" s="4">
        <v>14.8377</v>
      </c>
      <c r="F1366" s="4">
        <f t="shared" si="84"/>
        <v>14.734133333333332</v>
      </c>
      <c r="I1366" s="4" t="s">
        <v>89</v>
      </c>
      <c r="J1366" s="4">
        <v>14.6013</v>
      </c>
      <c r="K1366" s="4">
        <v>15.195</v>
      </c>
      <c r="L1366" s="4">
        <v>14.4171</v>
      </c>
      <c r="M1366" s="4">
        <f t="shared" si="85"/>
        <v>14.7378</v>
      </c>
      <c r="P1366" s="4" t="str">
        <f>"pkn-1"</f>
        <v>pkn-1</v>
      </c>
      <c r="Q1366" s="4">
        <v>14.5098337641305</v>
      </c>
      <c r="R1366" s="4">
        <v>14.298110550139899</v>
      </c>
      <c r="S1366" s="4">
        <v>14.325782072111901</v>
      </c>
      <c r="T1366" s="4">
        <f t="shared" si="86"/>
        <v>14.377908795460767</v>
      </c>
      <c r="W1366" s="4" t="str">
        <f>"pmk-3"</f>
        <v>pmk-3</v>
      </c>
      <c r="X1366" s="4">
        <v>14.2074712015741</v>
      </c>
      <c r="Y1366" s="4">
        <v>14.5611025907662</v>
      </c>
      <c r="Z1366" s="4">
        <v>14.6169530735132</v>
      </c>
      <c r="AA1366" s="4">
        <f t="shared" si="87"/>
        <v>14.461842288617833</v>
      </c>
    </row>
    <row r="1367" spans="2:27" x14ac:dyDescent="0.2">
      <c r="B1367" s="4" t="s">
        <v>3123</v>
      </c>
      <c r="C1367" s="4">
        <v>14.5524</v>
      </c>
      <c r="D1367" s="4">
        <v>14.735900000000001</v>
      </c>
      <c r="E1367" s="4">
        <v>14.908899999999999</v>
      </c>
      <c r="F1367" s="4">
        <f t="shared" si="84"/>
        <v>14.732399999999998</v>
      </c>
      <c r="I1367" s="4" t="s">
        <v>3746</v>
      </c>
      <c r="J1367" s="4">
        <v>14.8711</v>
      </c>
      <c r="K1367" s="4">
        <v>14.6441</v>
      </c>
      <c r="L1367" s="4">
        <v>14.692500000000001</v>
      </c>
      <c r="M1367" s="4">
        <f t="shared" si="85"/>
        <v>14.735900000000001</v>
      </c>
      <c r="P1367" s="4" t="str">
        <f>"twk-1"</f>
        <v>twk-1</v>
      </c>
      <c r="Q1367" s="4">
        <v>13.9711854736252</v>
      </c>
      <c r="R1367" s="4">
        <v>14.563309692043401</v>
      </c>
      <c r="S1367" s="4">
        <v>14.590828479556601</v>
      </c>
      <c r="T1367" s="4">
        <f t="shared" si="86"/>
        <v>14.375107881741734</v>
      </c>
      <c r="W1367" s="4" t="str">
        <f>"dap-3"</f>
        <v>dap-3</v>
      </c>
      <c r="X1367" s="4">
        <v>14.5002311191815</v>
      </c>
      <c r="Y1367" s="4">
        <v>14.535844577411099</v>
      </c>
      <c r="Z1367" s="4">
        <v>14.348283216922599</v>
      </c>
      <c r="AA1367" s="4">
        <f t="shared" si="87"/>
        <v>14.461452971171733</v>
      </c>
    </row>
    <row r="1368" spans="2:27" x14ac:dyDescent="0.2">
      <c r="B1368" s="4" t="s">
        <v>3997</v>
      </c>
      <c r="C1368" s="4">
        <v>14.838900000000001</v>
      </c>
      <c r="D1368" s="4">
        <v>14.790900000000001</v>
      </c>
      <c r="E1368" s="4">
        <v>14.562900000000001</v>
      </c>
      <c r="F1368" s="4">
        <f t="shared" si="84"/>
        <v>14.7309</v>
      </c>
      <c r="I1368" s="4" t="s">
        <v>495</v>
      </c>
      <c r="J1368" s="4">
        <v>14.9937</v>
      </c>
      <c r="K1368" s="4">
        <v>14.549099999999999</v>
      </c>
      <c r="L1368" s="4">
        <v>14.6648</v>
      </c>
      <c r="M1368" s="4">
        <f t="shared" si="85"/>
        <v>14.735866666666666</v>
      </c>
      <c r="P1368" s="4" t="str">
        <f>"sec-3"</f>
        <v>sec-3</v>
      </c>
      <c r="Q1368" s="4">
        <v>14.373708212584599</v>
      </c>
      <c r="R1368" s="4">
        <v>14.381894615267001</v>
      </c>
      <c r="S1368" s="4">
        <v>14.3568530273006</v>
      </c>
      <c r="T1368" s="4">
        <f t="shared" si="86"/>
        <v>14.370818618384066</v>
      </c>
      <c r="W1368" s="4" t="str">
        <f>"lin-40"</f>
        <v>lin-40</v>
      </c>
      <c r="X1368" s="4">
        <v>14.311662964835101</v>
      </c>
      <c r="Y1368" s="4">
        <v>14.742021703178199</v>
      </c>
      <c r="Z1368" s="4">
        <v>14.330604652399501</v>
      </c>
      <c r="AA1368" s="4">
        <f t="shared" si="87"/>
        <v>14.461429773470934</v>
      </c>
    </row>
    <row r="1369" spans="2:27" x14ac:dyDescent="0.2">
      <c r="B1369" s="4" t="s">
        <v>4675</v>
      </c>
      <c r="C1369" s="4">
        <v>15.023400000000001</v>
      </c>
      <c r="D1369" s="4">
        <v>14.467599999999999</v>
      </c>
      <c r="E1369" s="4">
        <v>14.6996</v>
      </c>
      <c r="F1369" s="4">
        <f t="shared" si="84"/>
        <v>14.730200000000002</v>
      </c>
      <c r="I1369" s="4" t="s">
        <v>3294</v>
      </c>
      <c r="J1369" s="4">
        <v>14.9991</v>
      </c>
      <c r="K1369" s="4">
        <v>14.8529</v>
      </c>
      <c r="L1369" s="4">
        <v>14.3546</v>
      </c>
      <c r="M1369" s="4">
        <f t="shared" si="85"/>
        <v>14.735533333333334</v>
      </c>
      <c r="P1369" s="4" t="str">
        <f>"hil-5"</f>
        <v>hil-5</v>
      </c>
      <c r="Q1369" s="4">
        <v>14.222216261801</v>
      </c>
      <c r="R1369" s="4">
        <v>14.5206254734859</v>
      </c>
      <c r="S1369" s="4">
        <v>14.3634518216658</v>
      </c>
      <c r="T1369" s="4">
        <f t="shared" si="86"/>
        <v>14.368764518984234</v>
      </c>
      <c r="W1369" s="4" t="str">
        <f>"rpl-36"</f>
        <v>rpl-36</v>
      </c>
      <c r="X1369" s="4">
        <v>14.2669351036481</v>
      </c>
      <c r="Y1369" s="4">
        <v>14.3775618068744</v>
      </c>
      <c r="Z1369" s="4">
        <v>14.736516042825301</v>
      </c>
      <c r="AA1369" s="4">
        <f t="shared" si="87"/>
        <v>14.460337651115934</v>
      </c>
    </row>
    <row r="1370" spans="2:27" x14ac:dyDescent="0.2">
      <c r="B1370" s="4" t="s">
        <v>2832</v>
      </c>
      <c r="C1370" s="4">
        <v>14.6098</v>
      </c>
      <c r="D1370" s="4">
        <v>14.7606</v>
      </c>
      <c r="E1370" s="4">
        <v>14.82</v>
      </c>
      <c r="F1370" s="4">
        <f t="shared" si="84"/>
        <v>14.730133333333333</v>
      </c>
      <c r="I1370" s="4" t="s">
        <v>2659</v>
      </c>
      <c r="J1370" s="4">
        <v>14.926600000000001</v>
      </c>
      <c r="K1370" s="4">
        <v>14.519299999999999</v>
      </c>
      <c r="L1370" s="4">
        <v>14.755100000000001</v>
      </c>
      <c r="M1370" s="4">
        <f t="shared" si="85"/>
        <v>14.733666666666666</v>
      </c>
      <c r="P1370" s="4" t="str">
        <f>"C50D2.7"</f>
        <v>C50D2.7</v>
      </c>
      <c r="Q1370" s="4">
        <v>14.3058294696151</v>
      </c>
      <c r="R1370" s="4">
        <v>14.3359475308181</v>
      </c>
      <c r="S1370" s="4">
        <v>14.4639809638924</v>
      </c>
      <c r="T1370" s="4">
        <f t="shared" si="86"/>
        <v>14.368585988108535</v>
      </c>
      <c r="W1370" s="4" t="str">
        <f>"ipgm-1"</f>
        <v>ipgm-1</v>
      </c>
      <c r="X1370" s="4">
        <v>14.177793218553999</v>
      </c>
      <c r="Y1370" s="4">
        <v>14.539926103845501</v>
      </c>
      <c r="Z1370" s="4">
        <v>14.660932339163599</v>
      </c>
      <c r="AA1370" s="4">
        <f t="shared" si="87"/>
        <v>14.459550553854365</v>
      </c>
    </row>
    <row r="1371" spans="2:27" x14ac:dyDescent="0.2">
      <c r="B1371" s="4" t="s">
        <v>2758</v>
      </c>
      <c r="C1371" s="4">
        <v>14.7491</v>
      </c>
      <c r="D1371" s="4">
        <v>14.696</v>
      </c>
      <c r="E1371" s="4">
        <v>14.7453</v>
      </c>
      <c r="F1371" s="4">
        <f t="shared" si="84"/>
        <v>14.730133333333333</v>
      </c>
      <c r="I1371" s="4" t="s">
        <v>1539</v>
      </c>
      <c r="J1371" s="4">
        <v>14.5793</v>
      </c>
      <c r="K1371" s="4">
        <v>14.985900000000001</v>
      </c>
      <c r="L1371" s="4">
        <v>14.6312</v>
      </c>
      <c r="M1371" s="4">
        <f t="shared" si="85"/>
        <v>14.732133333333332</v>
      </c>
      <c r="P1371" s="4" t="str">
        <f>"ZK795.3"</f>
        <v>ZK795.3</v>
      </c>
      <c r="Q1371" s="4">
        <v>14.4663481886412</v>
      </c>
      <c r="R1371" s="4">
        <v>14.385339076326099</v>
      </c>
      <c r="S1371" s="4">
        <v>14.2519267089931</v>
      </c>
      <c r="T1371" s="4">
        <f t="shared" si="86"/>
        <v>14.367871324653466</v>
      </c>
      <c r="W1371" s="4" t="str">
        <f>"F09E5.3"</f>
        <v>F09E5.3</v>
      </c>
      <c r="X1371" s="4">
        <v>14.5882281245312</v>
      </c>
      <c r="Y1371" s="4">
        <v>14.240965830951801</v>
      </c>
      <c r="Z1371" s="4">
        <v>14.5458613665553</v>
      </c>
      <c r="AA1371" s="4">
        <f t="shared" si="87"/>
        <v>14.458351774012767</v>
      </c>
    </row>
    <row r="1372" spans="2:27" x14ac:dyDescent="0.2">
      <c r="B1372" s="4" t="s">
        <v>3768</v>
      </c>
      <c r="C1372" s="4">
        <v>14.770200000000001</v>
      </c>
      <c r="D1372" s="4">
        <v>14.790100000000001</v>
      </c>
      <c r="E1372" s="4">
        <v>14.629200000000001</v>
      </c>
      <c r="F1372" s="4">
        <f t="shared" si="84"/>
        <v>14.729833333333334</v>
      </c>
      <c r="I1372" s="4" t="s">
        <v>3419</v>
      </c>
      <c r="J1372" s="4">
        <v>14.785</v>
      </c>
      <c r="K1372" s="4">
        <v>14.3247</v>
      </c>
      <c r="L1372" s="4">
        <v>15.0862</v>
      </c>
      <c r="M1372" s="4">
        <f t="shared" si="85"/>
        <v>14.731966666666667</v>
      </c>
      <c r="P1372" s="4" t="str">
        <f>"gale-1"</f>
        <v>gale-1</v>
      </c>
      <c r="Q1372" s="4">
        <v>14.3232522160583</v>
      </c>
      <c r="R1372" s="4">
        <v>14.303144529841401</v>
      </c>
      <c r="S1372" s="4">
        <v>14.4765315848058</v>
      </c>
      <c r="T1372" s="4">
        <f t="shared" si="86"/>
        <v>14.367642776901834</v>
      </c>
      <c r="W1372" s="4" t="str">
        <f>"sod-2"</f>
        <v>sod-2</v>
      </c>
      <c r="X1372" s="4">
        <v>14.3281813604536</v>
      </c>
      <c r="Y1372" s="4">
        <v>14.0443066996512</v>
      </c>
      <c r="Z1372" s="4">
        <v>14.999665921584899</v>
      </c>
      <c r="AA1372" s="4">
        <f t="shared" si="87"/>
        <v>14.457384660563234</v>
      </c>
    </row>
    <row r="1373" spans="2:27" x14ac:dyDescent="0.2">
      <c r="B1373" s="4" t="s">
        <v>2978</v>
      </c>
      <c r="C1373" s="4">
        <v>14.5298</v>
      </c>
      <c r="D1373" s="4">
        <v>14.745200000000001</v>
      </c>
      <c r="E1373" s="4">
        <v>14.9129</v>
      </c>
      <c r="F1373" s="4">
        <f t="shared" si="84"/>
        <v>14.7293</v>
      </c>
      <c r="I1373" s="4" t="s">
        <v>341</v>
      </c>
      <c r="J1373" s="4">
        <v>14.9589</v>
      </c>
      <c r="K1373" s="4">
        <v>14.7997</v>
      </c>
      <c r="L1373" s="4">
        <v>14.4292</v>
      </c>
      <c r="M1373" s="4">
        <f t="shared" si="85"/>
        <v>14.729266666666668</v>
      </c>
      <c r="P1373" s="4" t="str">
        <f>"ZK813.1"</f>
        <v>ZK813.1</v>
      </c>
      <c r="Q1373" s="4">
        <v>14.386092821908401</v>
      </c>
      <c r="R1373" s="4">
        <v>14.204418517184401</v>
      </c>
      <c r="S1373" s="4">
        <v>14.5098340989426</v>
      </c>
      <c r="T1373" s="4">
        <f t="shared" si="86"/>
        <v>14.366781812678466</v>
      </c>
      <c r="W1373" s="4" t="str">
        <f>"exoc-7"</f>
        <v>exoc-7</v>
      </c>
      <c r="X1373" s="4">
        <v>14.4250542978643</v>
      </c>
      <c r="Y1373" s="4">
        <v>14.5647399238783</v>
      </c>
      <c r="Z1373" s="4">
        <v>14.3821567579235</v>
      </c>
      <c r="AA1373" s="4">
        <f t="shared" si="87"/>
        <v>14.457316993222031</v>
      </c>
    </row>
    <row r="1374" spans="2:27" x14ac:dyDescent="0.2">
      <c r="B1374" s="4" t="s">
        <v>878</v>
      </c>
      <c r="C1374" s="4">
        <v>14.3643</v>
      </c>
      <c r="D1374" s="4">
        <v>15.094799999999999</v>
      </c>
      <c r="E1374" s="4">
        <v>14.727600000000001</v>
      </c>
      <c r="F1374" s="4">
        <f t="shared" si="84"/>
        <v>14.728900000000001</v>
      </c>
      <c r="I1374" s="4" t="s">
        <v>4638</v>
      </c>
      <c r="J1374" s="4">
        <v>15.401899999999999</v>
      </c>
      <c r="K1374" s="4">
        <v>14.964700000000001</v>
      </c>
      <c r="L1374" s="4">
        <v>13.8178</v>
      </c>
      <c r="M1374" s="4">
        <f t="shared" si="85"/>
        <v>14.728133333333332</v>
      </c>
      <c r="P1374" s="4" t="str">
        <f>"nuc-1"</f>
        <v>nuc-1</v>
      </c>
      <c r="Q1374" s="4">
        <v>14.190670096258399</v>
      </c>
      <c r="R1374" s="4">
        <v>14.3826739014764</v>
      </c>
      <c r="S1374" s="4">
        <v>14.525852515149699</v>
      </c>
      <c r="T1374" s="4">
        <f t="shared" si="86"/>
        <v>14.366398837628166</v>
      </c>
      <c r="W1374" s="4" t="str">
        <f>"pmt-1"</f>
        <v>pmt-1</v>
      </c>
      <c r="X1374" s="4">
        <v>14.6705507508096</v>
      </c>
      <c r="Y1374" s="4">
        <v>14.356904961303201</v>
      </c>
      <c r="Z1374" s="4">
        <v>14.3423177004029</v>
      </c>
      <c r="AA1374" s="4">
        <f t="shared" si="87"/>
        <v>14.456591137505233</v>
      </c>
    </row>
    <row r="1375" spans="2:27" x14ac:dyDescent="0.2">
      <c r="B1375" s="4" t="s">
        <v>2099</v>
      </c>
      <c r="C1375" s="4">
        <v>14.9298</v>
      </c>
      <c r="D1375" s="4">
        <v>14.4672</v>
      </c>
      <c r="E1375" s="4">
        <v>14.784599999999999</v>
      </c>
      <c r="F1375" s="4">
        <f t="shared" si="84"/>
        <v>14.727199999999998</v>
      </c>
      <c r="I1375" s="4" t="s">
        <v>3626</v>
      </c>
      <c r="J1375" s="4">
        <v>14.919</v>
      </c>
      <c r="K1375" s="4">
        <v>14.926600000000001</v>
      </c>
      <c r="L1375" s="4">
        <v>14.338100000000001</v>
      </c>
      <c r="M1375" s="4">
        <f t="shared" si="85"/>
        <v>14.7279</v>
      </c>
      <c r="P1375" s="4" t="str">
        <f>"ifo-1"</f>
        <v>ifo-1</v>
      </c>
      <c r="Q1375" s="4">
        <v>14.5655740488553</v>
      </c>
      <c r="R1375" s="4">
        <v>13.880302161294701</v>
      </c>
      <c r="S1375" s="4">
        <v>14.653257406927899</v>
      </c>
      <c r="T1375" s="4">
        <f t="shared" si="86"/>
        <v>14.366377872359299</v>
      </c>
      <c r="W1375" s="4" t="str">
        <f>"C30G12.2"</f>
        <v>C30G12.2</v>
      </c>
      <c r="X1375" s="4">
        <v>14.7857440816612</v>
      </c>
      <c r="Y1375" s="4">
        <v>14.7759363172009</v>
      </c>
      <c r="Z1375" s="4">
        <v>13.806519582316101</v>
      </c>
      <c r="AA1375" s="4">
        <f t="shared" si="87"/>
        <v>14.456066660392734</v>
      </c>
    </row>
    <row r="1376" spans="2:27" x14ac:dyDescent="0.2">
      <c r="B1376" s="4" t="s">
        <v>2024</v>
      </c>
      <c r="C1376" s="4">
        <v>15.282400000000001</v>
      </c>
      <c r="D1376" s="4">
        <v>14.561999999999999</v>
      </c>
      <c r="E1376" s="4">
        <v>14.3285</v>
      </c>
      <c r="F1376" s="4">
        <f t="shared" si="84"/>
        <v>14.724299999999999</v>
      </c>
      <c r="I1376" s="4" t="s">
        <v>2602</v>
      </c>
      <c r="J1376" s="4">
        <v>14.886100000000001</v>
      </c>
      <c r="K1376" s="4">
        <v>14.7134</v>
      </c>
      <c r="L1376" s="4">
        <v>14.583399999999999</v>
      </c>
      <c r="M1376" s="4">
        <f t="shared" si="85"/>
        <v>14.727633333333332</v>
      </c>
      <c r="P1376" s="4" t="str">
        <f>"ethe-1"</f>
        <v>ethe-1</v>
      </c>
      <c r="Q1376" s="4">
        <v>14.567427627902299</v>
      </c>
      <c r="R1376" s="4">
        <v>14.3477798918411</v>
      </c>
      <c r="S1376" s="4">
        <v>14.1830536441206</v>
      </c>
      <c r="T1376" s="4">
        <f t="shared" si="86"/>
        <v>14.366087054621332</v>
      </c>
      <c r="W1376" s="4" t="str">
        <f>"acdh-1"</f>
        <v>acdh-1</v>
      </c>
      <c r="X1376" s="4">
        <v>14.4493643817432</v>
      </c>
      <c r="Y1376" s="4">
        <v>14.493867834609899</v>
      </c>
      <c r="Z1376" s="4">
        <v>14.421823484644101</v>
      </c>
      <c r="AA1376" s="4">
        <f t="shared" si="87"/>
        <v>14.455018566999067</v>
      </c>
    </row>
    <row r="1377" spans="2:27" x14ac:dyDescent="0.2">
      <c r="B1377" s="4" t="s">
        <v>1360</v>
      </c>
      <c r="C1377" s="4">
        <v>14.7744</v>
      </c>
      <c r="D1377" s="4">
        <v>14.994899999999999</v>
      </c>
      <c r="E1377" s="4">
        <v>14.401999999999999</v>
      </c>
      <c r="F1377" s="4">
        <f t="shared" si="84"/>
        <v>14.723766666666668</v>
      </c>
      <c r="I1377" s="4" t="s">
        <v>1052</v>
      </c>
      <c r="J1377" s="4">
        <v>14.4618</v>
      </c>
      <c r="K1377" s="4">
        <v>14.740600000000001</v>
      </c>
      <c r="L1377" s="4">
        <v>14.9796</v>
      </c>
      <c r="M1377" s="4">
        <f t="shared" si="85"/>
        <v>14.727333333333334</v>
      </c>
      <c r="P1377" s="4" t="str">
        <f>"mrps-18a"</f>
        <v>mrps-18a</v>
      </c>
      <c r="Q1377" s="4">
        <v>14.840487645465799</v>
      </c>
      <c r="R1377" s="4">
        <v>14.1124569169778</v>
      </c>
      <c r="S1377" s="4">
        <v>14.143722750167701</v>
      </c>
      <c r="T1377" s="4">
        <f t="shared" si="86"/>
        <v>14.365555770870435</v>
      </c>
      <c r="W1377" s="4" t="str">
        <f>"drh-1"</f>
        <v>drh-1</v>
      </c>
      <c r="X1377" s="4">
        <v>14.279222094263201</v>
      </c>
      <c r="Y1377" s="4">
        <v>14.5008791936443</v>
      </c>
      <c r="Z1377" s="4">
        <v>14.582155392035901</v>
      </c>
      <c r="AA1377" s="4">
        <f t="shared" si="87"/>
        <v>14.454085559981133</v>
      </c>
    </row>
    <row r="1378" spans="2:27" x14ac:dyDescent="0.2">
      <c r="B1378" s="4" t="s">
        <v>2398</v>
      </c>
      <c r="C1378" s="4">
        <v>14.6897</v>
      </c>
      <c r="D1378" s="4">
        <v>14.589</v>
      </c>
      <c r="E1378" s="4">
        <v>14.892200000000001</v>
      </c>
      <c r="F1378" s="4">
        <f t="shared" si="84"/>
        <v>14.723633333333334</v>
      </c>
      <c r="I1378" s="4" t="s">
        <v>2382</v>
      </c>
      <c r="J1378" s="4">
        <v>14.669700000000001</v>
      </c>
      <c r="K1378" s="4">
        <v>14.4054</v>
      </c>
      <c r="L1378" s="4">
        <v>15.1007</v>
      </c>
      <c r="M1378" s="4">
        <f t="shared" si="85"/>
        <v>14.725266666666665</v>
      </c>
      <c r="P1378" s="4" t="str">
        <f>"eas-1"</f>
        <v>eas-1</v>
      </c>
      <c r="Q1378" s="4">
        <v>14.4560900297054</v>
      </c>
      <c r="R1378" s="4">
        <v>14.400409851909</v>
      </c>
      <c r="S1378" s="4">
        <v>14.219076179293999</v>
      </c>
      <c r="T1378" s="4">
        <f t="shared" si="86"/>
        <v>14.358525353636134</v>
      </c>
      <c r="W1378" s="4" t="str">
        <f>"cpg-2"</f>
        <v>cpg-2</v>
      </c>
      <c r="X1378" s="4">
        <v>14.653853002077801</v>
      </c>
      <c r="Y1378" s="4">
        <v>14.337483845859699</v>
      </c>
      <c r="Z1378" s="4">
        <v>14.370042506814199</v>
      </c>
      <c r="AA1378" s="4">
        <f t="shared" si="87"/>
        <v>14.453793118250566</v>
      </c>
    </row>
    <row r="1379" spans="2:27" x14ac:dyDescent="0.2">
      <c r="B1379" s="4" t="s">
        <v>2258</v>
      </c>
      <c r="C1379" s="4">
        <v>14.629899999999999</v>
      </c>
      <c r="D1379" s="4">
        <v>14.6815</v>
      </c>
      <c r="E1379" s="4">
        <v>14.851100000000001</v>
      </c>
      <c r="F1379" s="4">
        <f t="shared" si="84"/>
        <v>14.720833333333333</v>
      </c>
      <c r="I1379" s="4" t="s">
        <v>2025</v>
      </c>
      <c r="J1379" s="4">
        <v>14.7179</v>
      </c>
      <c r="K1379" s="4">
        <v>14.887600000000001</v>
      </c>
      <c r="L1379" s="4">
        <v>14.563599999999999</v>
      </c>
      <c r="M1379" s="4">
        <f t="shared" si="85"/>
        <v>14.723033333333333</v>
      </c>
      <c r="P1379" s="4" t="str">
        <f>"mat-3"</f>
        <v>mat-3</v>
      </c>
      <c r="Q1379" s="4">
        <v>14.4603620512248</v>
      </c>
      <c r="R1379" s="4">
        <v>14.3071340882532</v>
      </c>
      <c r="S1379" s="4">
        <v>14.3070168694638</v>
      </c>
      <c r="T1379" s="4">
        <f t="shared" si="86"/>
        <v>14.358171002980599</v>
      </c>
      <c r="W1379" s="4" t="str">
        <f>"ceeh-1"</f>
        <v>ceeh-1</v>
      </c>
      <c r="X1379" s="4">
        <v>14.5140785083317</v>
      </c>
      <c r="Y1379" s="4">
        <v>14.3883110947502</v>
      </c>
      <c r="Z1379" s="4">
        <v>14.452227677414401</v>
      </c>
      <c r="AA1379" s="4">
        <f t="shared" si="87"/>
        <v>14.451539093498766</v>
      </c>
    </row>
    <row r="1380" spans="2:27" x14ac:dyDescent="0.2">
      <c r="B1380" s="4" t="s">
        <v>1009</v>
      </c>
      <c r="C1380" s="4">
        <v>14.7399</v>
      </c>
      <c r="D1380" s="4">
        <v>15.041399999999999</v>
      </c>
      <c r="E1380" s="4">
        <v>14.377800000000001</v>
      </c>
      <c r="F1380" s="4">
        <f t="shared" si="84"/>
        <v>14.719700000000001</v>
      </c>
      <c r="I1380" s="4" t="s">
        <v>2746</v>
      </c>
      <c r="J1380" s="4">
        <v>14.776999999999999</v>
      </c>
      <c r="K1380" s="4">
        <v>14.8672</v>
      </c>
      <c r="L1380" s="4">
        <v>14.519299999999999</v>
      </c>
      <c r="M1380" s="4">
        <f t="shared" si="85"/>
        <v>14.721166666666667</v>
      </c>
      <c r="P1380" s="4" t="str">
        <f>"odr-3"</f>
        <v>odr-3</v>
      </c>
      <c r="Q1380" s="4">
        <v>14.306774565405201</v>
      </c>
      <c r="R1380" s="4">
        <v>14.4245653206256</v>
      </c>
      <c r="S1380" s="4">
        <v>14.3428058956325</v>
      </c>
      <c r="T1380" s="4">
        <f t="shared" si="86"/>
        <v>14.358048593887768</v>
      </c>
      <c r="W1380" s="4" t="str">
        <f>"Y71H2B.5"</f>
        <v>Y71H2B.5</v>
      </c>
      <c r="X1380" s="4">
        <v>14.4898812847687</v>
      </c>
      <c r="Y1380" s="4">
        <v>14.430882680639799</v>
      </c>
      <c r="Z1380" s="4">
        <v>14.4320203295767</v>
      </c>
      <c r="AA1380" s="4">
        <f t="shared" si="87"/>
        <v>14.450928098328399</v>
      </c>
    </row>
    <row r="1381" spans="2:27" x14ac:dyDescent="0.2">
      <c r="B1381" s="4" t="s">
        <v>3287</v>
      </c>
      <c r="C1381" s="4">
        <v>14.730700000000001</v>
      </c>
      <c r="D1381" s="4">
        <v>14.574</v>
      </c>
      <c r="E1381" s="4">
        <v>14.8485</v>
      </c>
      <c r="F1381" s="4">
        <f t="shared" si="84"/>
        <v>14.717733333333333</v>
      </c>
      <c r="I1381" s="4" t="s">
        <v>4676</v>
      </c>
      <c r="J1381" s="4">
        <v>14.4315</v>
      </c>
      <c r="K1381" s="4">
        <v>14.5603</v>
      </c>
      <c r="L1381" s="4">
        <v>15.168900000000001</v>
      </c>
      <c r="M1381" s="4">
        <f t="shared" si="85"/>
        <v>14.720233333333333</v>
      </c>
      <c r="P1381" s="4" t="str">
        <f>"prmt-9"</f>
        <v>prmt-9</v>
      </c>
      <c r="Q1381" s="4">
        <v>14.3959552046522</v>
      </c>
      <c r="R1381" s="4">
        <v>14.350957477618101</v>
      </c>
      <c r="S1381" s="4">
        <v>14.3262053921184</v>
      </c>
      <c r="T1381" s="4">
        <f t="shared" si="86"/>
        <v>14.357706024796235</v>
      </c>
      <c r="W1381" s="4" t="str">
        <f>"ifd-2"</f>
        <v>ifd-2</v>
      </c>
      <c r="X1381" s="4">
        <v>13.621241212551499</v>
      </c>
      <c r="Y1381" s="4">
        <v>14.604600122911499</v>
      </c>
      <c r="Z1381" s="4">
        <v>15.119495658816501</v>
      </c>
      <c r="AA1381" s="4">
        <f t="shared" si="87"/>
        <v>14.448445664759832</v>
      </c>
    </row>
    <row r="1382" spans="2:27" x14ac:dyDescent="0.2">
      <c r="B1382" s="4" t="s">
        <v>2446</v>
      </c>
      <c r="C1382" s="4">
        <v>14.839499999999999</v>
      </c>
      <c r="D1382" s="4">
        <v>14.8666</v>
      </c>
      <c r="E1382" s="4">
        <v>14.441700000000001</v>
      </c>
      <c r="F1382" s="4">
        <f t="shared" si="84"/>
        <v>14.715933333333334</v>
      </c>
      <c r="I1382" s="4" t="s">
        <v>4038</v>
      </c>
      <c r="J1382" s="4">
        <v>14.7875</v>
      </c>
      <c r="K1382" s="4">
        <v>14.6083</v>
      </c>
      <c r="L1382" s="4">
        <v>14.764099999999999</v>
      </c>
      <c r="M1382" s="4">
        <f t="shared" si="85"/>
        <v>14.719966666666666</v>
      </c>
      <c r="P1382" s="4" t="str">
        <f>"nduo-1"</f>
        <v>nduo-1</v>
      </c>
      <c r="Q1382" s="4">
        <v>14.3380766365123</v>
      </c>
      <c r="R1382" s="4">
        <v>14.555471861711499</v>
      </c>
      <c r="S1382" s="4">
        <v>14.176808190729201</v>
      </c>
      <c r="T1382" s="4">
        <f t="shared" si="86"/>
        <v>14.356785562984333</v>
      </c>
      <c r="W1382" s="4" t="str">
        <f>"grld-1"</f>
        <v>grld-1</v>
      </c>
      <c r="X1382" s="4">
        <v>14.3714319136822</v>
      </c>
      <c r="Y1382" s="4">
        <v>14.6078148111026</v>
      </c>
      <c r="Z1382" s="4">
        <v>14.3651080169958</v>
      </c>
      <c r="AA1382" s="4">
        <f t="shared" si="87"/>
        <v>14.448118247260199</v>
      </c>
    </row>
    <row r="1383" spans="2:27" x14ac:dyDescent="0.2">
      <c r="B1383" s="4" t="s">
        <v>4669</v>
      </c>
      <c r="C1383" s="4">
        <v>13.820600000000001</v>
      </c>
      <c r="D1383" s="4">
        <v>15.1568</v>
      </c>
      <c r="E1383" s="4">
        <v>15.168200000000001</v>
      </c>
      <c r="F1383" s="4">
        <f t="shared" si="84"/>
        <v>14.715200000000001</v>
      </c>
      <c r="I1383" s="4" t="s">
        <v>1195</v>
      </c>
      <c r="J1383" s="4">
        <v>14.7645</v>
      </c>
      <c r="K1383" s="4">
        <v>14.7331</v>
      </c>
      <c r="L1383" s="4">
        <v>14.6478</v>
      </c>
      <c r="M1383" s="4">
        <f t="shared" si="85"/>
        <v>14.715133333333332</v>
      </c>
      <c r="P1383" s="4" t="str">
        <f>"acl-11"</f>
        <v>acl-11</v>
      </c>
      <c r="Q1383" s="4">
        <v>14.113847989267301</v>
      </c>
      <c r="R1383" s="4">
        <v>14.371352586799301</v>
      </c>
      <c r="S1383" s="4">
        <v>14.5712431775694</v>
      </c>
      <c r="T1383" s="4">
        <f t="shared" si="86"/>
        <v>14.352147917878668</v>
      </c>
      <c r="W1383" s="4" t="str">
        <f>"npp-19"</f>
        <v>npp-19</v>
      </c>
      <c r="X1383" s="4">
        <v>14.5085877407806</v>
      </c>
      <c r="Y1383" s="4">
        <v>14.463521196341899</v>
      </c>
      <c r="Z1383" s="4">
        <v>14.371469306541499</v>
      </c>
      <c r="AA1383" s="4">
        <f t="shared" si="87"/>
        <v>14.447859414554665</v>
      </c>
    </row>
    <row r="1384" spans="2:27" x14ac:dyDescent="0.2">
      <c r="B1384" s="4" t="s">
        <v>3306</v>
      </c>
      <c r="C1384" s="4">
        <v>14.702</v>
      </c>
      <c r="D1384" s="4">
        <v>14.5426</v>
      </c>
      <c r="E1384" s="4">
        <v>14.894299999999999</v>
      </c>
      <c r="F1384" s="4">
        <f t="shared" si="84"/>
        <v>14.712966666666667</v>
      </c>
      <c r="I1384" s="4" t="s">
        <v>275</v>
      </c>
      <c r="J1384" s="4">
        <v>14.807499999999999</v>
      </c>
      <c r="K1384" s="4">
        <v>14.622</v>
      </c>
      <c r="L1384" s="4">
        <v>14.7135</v>
      </c>
      <c r="M1384" s="4">
        <f t="shared" si="85"/>
        <v>14.714333333333334</v>
      </c>
      <c r="P1384" s="4" t="str">
        <f>"F43H9.4"</f>
        <v>F43H9.4</v>
      </c>
      <c r="Q1384" s="4">
        <v>14.661256538510999</v>
      </c>
      <c r="R1384" s="4">
        <v>14.207318770693499</v>
      </c>
      <c r="S1384" s="4">
        <v>14.1811811738263</v>
      </c>
      <c r="T1384" s="4">
        <f t="shared" si="86"/>
        <v>14.349918827676932</v>
      </c>
      <c r="W1384" s="4" t="str">
        <f>"Y71F9B.2"</f>
        <v>Y71F9B.2</v>
      </c>
      <c r="X1384" s="4">
        <v>14.269666330387301</v>
      </c>
      <c r="Y1384" s="4">
        <v>14.3753299903896</v>
      </c>
      <c r="Z1384" s="4">
        <v>14.6945753631712</v>
      </c>
      <c r="AA1384" s="4">
        <f t="shared" si="87"/>
        <v>14.446523894649367</v>
      </c>
    </row>
    <row r="1385" spans="2:27" x14ac:dyDescent="0.2">
      <c r="B1385" s="4" t="s">
        <v>2008</v>
      </c>
      <c r="C1385" s="4">
        <v>14.8932</v>
      </c>
      <c r="D1385" s="4">
        <v>14.4716</v>
      </c>
      <c r="E1385" s="4">
        <v>14.773099999999999</v>
      </c>
      <c r="F1385" s="4">
        <f t="shared" si="84"/>
        <v>14.712633333333335</v>
      </c>
      <c r="I1385" s="4" t="s">
        <v>1697</v>
      </c>
      <c r="J1385" s="4">
        <v>14.6267</v>
      </c>
      <c r="K1385" s="4">
        <v>14.7943</v>
      </c>
      <c r="L1385" s="4">
        <v>14.721500000000001</v>
      </c>
      <c r="M1385" s="4">
        <f t="shared" si="85"/>
        <v>14.714166666666666</v>
      </c>
      <c r="P1385" s="4" t="str">
        <f>"zfr-1"</f>
        <v>zfr-1</v>
      </c>
      <c r="Q1385" s="4">
        <v>14.498647212599399</v>
      </c>
      <c r="R1385" s="4">
        <v>14.243420125272801</v>
      </c>
      <c r="S1385" s="4">
        <v>14.306941014942399</v>
      </c>
      <c r="T1385" s="4">
        <f t="shared" si="86"/>
        <v>14.349669450938199</v>
      </c>
      <c r="W1385" s="4" t="str">
        <f>"arf-6"</f>
        <v>arf-6</v>
      </c>
      <c r="X1385" s="4">
        <v>14.4099408487858</v>
      </c>
      <c r="Y1385" s="4">
        <v>14.434367351690501</v>
      </c>
      <c r="Z1385" s="4">
        <v>14.4947588067262</v>
      </c>
      <c r="AA1385" s="4">
        <f t="shared" si="87"/>
        <v>14.446355669067501</v>
      </c>
    </row>
    <row r="1386" spans="2:27" x14ac:dyDescent="0.2">
      <c r="B1386" s="4" t="s">
        <v>2953</v>
      </c>
      <c r="C1386" s="4">
        <v>14.5784</v>
      </c>
      <c r="D1386" s="4">
        <v>15.0753</v>
      </c>
      <c r="E1386" s="4">
        <v>14.4795</v>
      </c>
      <c r="F1386" s="4">
        <f t="shared" si="84"/>
        <v>14.711066666666667</v>
      </c>
      <c r="I1386" s="4" t="s">
        <v>2953</v>
      </c>
      <c r="J1386" s="4">
        <v>14.6591</v>
      </c>
      <c r="K1386" s="4">
        <v>14.8725</v>
      </c>
      <c r="L1386" s="4">
        <v>14.5976</v>
      </c>
      <c r="M1386" s="4">
        <f t="shared" si="85"/>
        <v>14.709733333333332</v>
      </c>
      <c r="P1386" s="4" t="str">
        <f>"F33G12.3"</f>
        <v>F33G12.3</v>
      </c>
      <c r="Q1386" s="4">
        <v>14.678763344110999</v>
      </c>
      <c r="R1386" s="4">
        <v>14.2532631447343</v>
      </c>
      <c r="S1386" s="4">
        <v>14.1166453263207</v>
      </c>
      <c r="T1386" s="4">
        <f t="shared" si="86"/>
        <v>14.349557271722</v>
      </c>
      <c r="W1386" s="4" t="str">
        <f>"F23C8.5"</f>
        <v>F23C8.5</v>
      </c>
      <c r="X1386" s="4">
        <v>14.3456969272268</v>
      </c>
      <c r="Y1386" s="4">
        <v>14.2447417179279</v>
      </c>
      <c r="Z1386" s="4">
        <v>14.7478129354805</v>
      </c>
      <c r="AA1386" s="4">
        <f t="shared" si="87"/>
        <v>14.446083860211735</v>
      </c>
    </row>
    <row r="1387" spans="2:27" x14ac:dyDescent="0.2">
      <c r="B1387" s="4" t="s">
        <v>4565</v>
      </c>
      <c r="C1387" s="4">
        <v>14.497400000000001</v>
      </c>
      <c r="D1387" s="4">
        <v>14.900700000000001</v>
      </c>
      <c r="E1387" s="4">
        <v>14.7134</v>
      </c>
      <c r="F1387" s="4">
        <f t="shared" si="84"/>
        <v>14.703833333333334</v>
      </c>
      <c r="I1387" s="4" t="s">
        <v>2755</v>
      </c>
      <c r="J1387" s="4">
        <v>14.6304</v>
      </c>
      <c r="K1387" s="4">
        <v>14.9694</v>
      </c>
      <c r="L1387" s="4">
        <v>14.5266</v>
      </c>
      <c r="M1387" s="4">
        <f t="shared" si="85"/>
        <v>14.708800000000002</v>
      </c>
      <c r="P1387" s="4" t="str">
        <f>"dap-3"</f>
        <v>dap-3</v>
      </c>
      <c r="Q1387" s="4">
        <v>14.3814881479032</v>
      </c>
      <c r="R1387" s="4">
        <v>14.267437530565701</v>
      </c>
      <c r="S1387" s="4">
        <v>14.394418740526</v>
      </c>
      <c r="T1387" s="4">
        <f t="shared" si="86"/>
        <v>14.3477814729983</v>
      </c>
      <c r="W1387" s="4" t="str">
        <f>"xrn-1"</f>
        <v>xrn-1</v>
      </c>
      <c r="X1387" s="4">
        <v>14.6104279932001</v>
      </c>
      <c r="Y1387" s="4">
        <v>14.230080430561699</v>
      </c>
      <c r="Z1387" s="4">
        <v>14.4880581164314</v>
      </c>
      <c r="AA1387" s="4">
        <f t="shared" si="87"/>
        <v>14.442855513397731</v>
      </c>
    </row>
    <row r="1388" spans="2:27" x14ac:dyDescent="0.2">
      <c r="B1388" s="4" t="s">
        <v>26</v>
      </c>
      <c r="C1388" s="4">
        <v>15.019399999999999</v>
      </c>
      <c r="D1388" s="4">
        <v>14.422000000000001</v>
      </c>
      <c r="E1388" s="4">
        <v>14.6698</v>
      </c>
      <c r="F1388" s="4">
        <f t="shared" si="84"/>
        <v>14.703733333333334</v>
      </c>
      <c r="I1388" s="4" t="s">
        <v>1483</v>
      </c>
      <c r="J1388" s="4">
        <v>15.0457</v>
      </c>
      <c r="K1388" s="4">
        <v>14.485200000000001</v>
      </c>
      <c r="L1388" s="4">
        <v>14.5951</v>
      </c>
      <c r="M1388" s="4">
        <f t="shared" si="85"/>
        <v>14.708666666666668</v>
      </c>
      <c r="P1388" s="4" t="str">
        <f>"M01E5.2"</f>
        <v>M01E5.2</v>
      </c>
      <c r="Q1388" s="4">
        <v>14.7037900382165</v>
      </c>
      <c r="R1388" s="4">
        <v>14.145205414270899</v>
      </c>
      <c r="S1388" s="4">
        <v>14.194254813897199</v>
      </c>
      <c r="T1388" s="4">
        <f t="shared" si="86"/>
        <v>14.347750088794868</v>
      </c>
      <c r="W1388" s="4" t="str">
        <f>"yif-1"</f>
        <v>yif-1</v>
      </c>
      <c r="X1388" s="4">
        <v>14.5969290731031</v>
      </c>
      <c r="Y1388" s="4">
        <v>14.701503334737399</v>
      </c>
      <c r="Z1388" s="4">
        <v>14.0216300963574</v>
      </c>
      <c r="AA1388" s="4">
        <f t="shared" si="87"/>
        <v>14.440020834732634</v>
      </c>
    </row>
    <row r="1389" spans="2:27" x14ac:dyDescent="0.2">
      <c r="B1389" s="4" t="s">
        <v>3207</v>
      </c>
      <c r="C1389" s="4">
        <v>14.912800000000001</v>
      </c>
      <c r="D1389" s="4">
        <v>14.5503</v>
      </c>
      <c r="E1389" s="4">
        <v>14.648</v>
      </c>
      <c r="F1389" s="4">
        <f t="shared" si="84"/>
        <v>14.7037</v>
      </c>
      <c r="I1389" s="4" t="s">
        <v>2446</v>
      </c>
      <c r="J1389" s="4">
        <v>14.908200000000001</v>
      </c>
      <c r="K1389" s="4">
        <v>14.447900000000001</v>
      </c>
      <c r="L1389" s="4">
        <v>14.7689</v>
      </c>
      <c r="M1389" s="4">
        <f t="shared" si="85"/>
        <v>14.708333333333334</v>
      </c>
      <c r="P1389" s="4" t="str">
        <f>"T08B1.1"</f>
        <v>T08B1.1</v>
      </c>
      <c r="Q1389" s="4">
        <v>14.4377286236505</v>
      </c>
      <c r="R1389" s="4">
        <v>14.1867980716194</v>
      </c>
      <c r="S1389" s="4">
        <v>14.407312384583101</v>
      </c>
      <c r="T1389" s="4">
        <f t="shared" si="86"/>
        <v>14.343946359951</v>
      </c>
      <c r="W1389" s="4" t="str">
        <f>"nprt-1"</f>
        <v>nprt-1</v>
      </c>
      <c r="X1389" s="4">
        <v>14.286633891530499</v>
      </c>
      <c r="Y1389" s="4">
        <v>14.5328588921369</v>
      </c>
      <c r="Z1389" s="4">
        <v>14.486419486984</v>
      </c>
      <c r="AA1389" s="4">
        <f t="shared" si="87"/>
        <v>14.435304090217132</v>
      </c>
    </row>
    <row r="1390" spans="2:27" x14ac:dyDescent="0.2">
      <c r="B1390" s="4" t="s">
        <v>1516</v>
      </c>
      <c r="C1390" s="4">
        <v>14.5883</v>
      </c>
      <c r="D1390" s="4">
        <v>14.8072</v>
      </c>
      <c r="E1390" s="4">
        <v>14.7125</v>
      </c>
      <c r="F1390" s="4">
        <f t="shared" si="84"/>
        <v>14.702666666666666</v>
      </c>
      <c r="I1390" s="4" t="s">
        <v>2957</v>
      </c>
      <c r="J1390" s="4">
        <v>14.819100000000001</v>
      </c>
      <c r="K1390" s="4">
        <v>14.755000000000001</v>
      </c>
      <c r="L1390" s="4">
        <v>14.5504</v>
      </c>
      <c r="M1390" s="4">
        <f t="shared" si="85"/>
        <v>14.708166666666665</v>
      </c>
      <c r="P1390" s="4" t="str">
        <f>"ttb-1"</f>
        <v>ttb-1</v>
      </c>
      <c r="Q1390" s="4">
        <v>14.474867147862801</v>
      </c>
      <c r="R1390" s="4">
        <v>14.4720981048235</v>
      </c>
      <c r="S1390" s="4">
        <v>14.0774432339303</v>
      </c>
      <c r="T1390" s="4">
        <f t="shared" si="86"/>
        <v>14.341469495538867</v>
      </c>
      <c r="W1390" s="4" t="str">
        <f>"wago-1"</f>
        <v>wago-1</v>
      </c>
      <c r="X1390" s="4">
        <v>14.542597734713199</v>
      </c>
      <c r="Y1390" s="4">
        <v>14.511751019837901</v>
      </c>
      <c r="Z1390" s="4">
        <v>14.249921782794701</v>
      </c>
      <c r="AA1390" s="4">
        <f t="shared" si="87"/>
        <v>14.434756845781934</v>
      </c>
    </row>
    <row r="1391" spans="2:27" x14ac:dyDescent="0.2">
      <c r="B1391" s="4" t="s">
        <v>3786</v>
      </c>
      <c r="C1391" s="4">
        <v>14.658200000000001</v>
      </c>
      <c r="D1391" s="4">
        <v>14.9034</v>
      </c>
      <c r="E1391" s="4">
        <v>14.541700000000001</v>
      </c>
      <c r="F1391" s="4">
        <f t="shared" si="84"/>
        <v>14.701099999999999</v>
      </c>
      <c r="I1391" s="4" t="s">
        <v>3596</v>
      </c>
      <c r="J1391" s="4">
        <v>14.4918</v>
      </c>
      <c r="K1391" s="4">
        <v>14.626300000000001</v>
      </c>
      <c r="L1391" s="4">
        <v>14.992900000000001</v>
      </c>
      <c r="M1391" s="4">
        <f t="shared" si="85"/>
        <v>14.703666666666665</v>
      </c>
      <c r="P1391" s="4" t="str">
        <f>"pmk-1"</f>
        <v>pmk-1</v>
      </c>
      <c r="Q1391" s="4">
        <v>14.4231754795554</v>
      </c>
      <c r="R1391" s="4">
        <v>14.304756947532001</v>
      </c>
      <c r="S1391" s="4">
        <v>14.289590240218001</v>
      </c>
      <c r="T1391" s="4">
        <f t="shared" si="86"/>
        <v>14.339174222435133</v>
      </c>
      <c r="W1391" s="4" t="str">
        <f>"hsp-110"</f>
        <v>hsp-110</v>
      </c>
      <c r="X1391" s="4">
        <v>14.348896889691099</v>
      </c>
      <c r="Y1391" s="4">
        <v>14.273215349879401</v>
      </c>
      <c r="Z1391" s="4">
        <v>14.6782319443587</v>
      </c>
      <c r="AA1391" s="4">
        <f t="shared" si="87"/>
        <v>14.433448061309733</v>
      </c>
    </row>
    <row r="1392" spans="2:27" x14ac:dyDescent="0.2">
      <c r="B1392" s="4" t="s">
        <v>757</v>
      </c>
      <c r="C1392" s="4">
        <v>14.466200000000001</v>
      </c>
      <c r="D1392" s="4">
        <v>15.1488</v>
      </c>
      <c r="E1392" s="4">
        <v>14.4855</v>
      </c>
      <c r="F1392" s="4">
        <f t="shared" si="84"/>
        <v>14.700166666666668</v>
      </c>
      <c r="I1392" s="4" t="s">
        <v>192</v>
      </c>
      <c r="J1392" s="4">
        <v>14.614000000000001</v>
      </c>
      <c r="K1392" s="4">
        <v>14.5222</v>
      </c>
      <c r="L1392" s="4">
        <v>14.963800000000001</v>
      </c>
      <c r="M1392" s="4">
        <f t="shared" si="85"/>
        <v>14.700000000000001</v>
      </c>
      <c r="P1392" s="4" t="str">
        <f>"cogc-3"</f>
        <v>cogc-3</v>
      </c>
      <c r="Q1392" s="4">
        <v>14.201052785272401</v>
      </c>
      <c r="R1392" s="4">
        <v>14.5201398966199</v>
      </c>
      <c r="S1392" s="4">
        <v>14.292201703326199</v>
      </c>
      <c r="T1392" s="4">
        <f t="shared" si="86"/>
        <v>14.337798128406169</v>
      </c>
      <c r="W1392" s="4" t="str">
        <f>"pbs-5"</f>
        <v>pbs-5</v>
      </c>
      <c r="X1392" s="4">
        <v>14.290652955997199</v>
      </c>
      <c r="Y1392" s="4">
        <v>14.280875371230101</v>
      </c>
      <c r="Z1392" s="4">
        <v>14.724203394739099</v>
      </c>
      <c r="AA1392" s="4">
        <f t="shared" si="87"/>
        <v>14.4319105739888</v>
      </c>
    </row>
    <row r="1393" spans="2:27" x14ac:dyDescent="0.2">
      <c r="B1393" s="4" t="s">
        <v>1306</v>
      </c>
      <c r="C1393" s="4">
        <v>14.638500000000001</v>
      </c>
      <c r="D1393" s="4">
        <v>14.7598</v>
      </c>
      <c r="E1393" s="4">
        <v>14.702199999999999</v>
      </c>
      <c r="F1393" s="4">
        <f t="shared" si="84"/>
        <v>14.700166666666666</v>
      </c>
      <c r="I1393" s="4" t="s">
        <v>1609</v>
      </c>
      <c r="J1393" s="4">
        <v>14.578799999999999</v>
      </c>
      <c r="K1393" s="4">
        <v>15.0016</v>
      </c>
      <c r="L1393" s="4">
        <v>14.513400000000001</v>
      </c>
      <c r="M1393" s="4">
        <f t="shared" si="85"/>
        <v>14.697933333333333</v>
      </c>
      <c r="P1393" s="4" t="str">
        <f>"obr-4"</f>
        <v>obr-4</v>
      </c>
      <c r="Q1393" s="4">
        <v>14.332884263892</v>
      </c>
      <c r="R1393" s="4">
        <v>14.3230916324062</v>
      </c>
      <c r="S1393" s="4">
        <v>14.356673045771499</v>
      </c>
      <c r="T1393" s="4">
        <f t="shared" si="86"/>
        <v>14.337549647356568</v>
      </c>
      <c r="W1393" s="4" t="str">
        <f>"ran-2"</f>
        <v>ran-2</v>
      </c>
      <c r="X1393" s="4">
        <v>14.5455805562042</v>
      </c>
      <c r="Y1393" s="4">
        <v>14.456898656768301</v>
      </c>
      <c r="Z1393" s="4">
        <v>14.2892939004083</v>
      </c>
      <c r="AA1393" s="4">
        <f t="shared" si="87"/>
        <v>14.430591037793599</v>
      </c>
    </row>
    <row r="1394" spans="2:27" x14ac:dyDescent="0.2">
      <c r="B1394" s="4" t="s">
        <v>3623</v>
      </c>
      <c r="C1394" s="4">
        <v>14.781499999999999</v>
      </c>
      <c r="D1394" s="4">
        <v>14.871499999999999</v>
      </c>
      <c r="E1394" s="4">
        <v>14.440799999999999</v>
      </c>
      <c r="F1394" s="4">
        <f t="shared" si="84"/>
        <v>14.697933333333333</v>
      </c>
      <c r="I1394" s="4" t="s">
        <v>1350</v>
      </c>
      <c r="J1394" s="4">
        <v>14.906499999999999</v>
      </c>
      <c r="K1394" s="4">
        <v>14.6426</v>
      </c>
      <c r="L1394" s="4">
        <v>14.5412</v>
      </c>
      <c r="M1394" s="4">
        <f t="shared" si="85"/>
        <v>14.696766666666667</v>
      </c>
      <c r="P1394" s="4" t="str">
        <f>"ego-2"</f>
        <v>ego-2</v>
      </c>
      <c r="Q1394" s="4">
        <v>14.3549390931214</v>
      </c>
      <c r="R1394" s="4">
        <v>14.2787016248193</v>
      </c>
      <c r="S1394" s="4">
        <v>14.3708090274067</v>
      </c>
      <c r="T1394" s="4">
        <f t="shared" si="86"/>
        <v>14.334816581782468</v>
      </c>
      <c r="W1394" s="4" t="str">
        <f>"num-1"</f>
        <v>num-1</v>
      </c>
      <c r="X1394" s="4">
        <v>14.317977098077</v>
      </c>
      <c r="Y1394" s="4">
        <v>14.3333927302257</v>
      </c>
      <c r="Z1394" s="4">
        <v>14.6367175722367</v>
      </c>
      <c r="AA1394" s="4">
        <f t="shared" si="87"/>
        <v>14.429362466846465</v>
      </c>
    </row>
    <row r="1395" spans="2:27" x14ac:dyDescent="0.2">
      <c r="B1395" s="4" t="s">
        <v>4265</v>
      </c>
      <c r="C1395" s="4">
        <v>13.6578</v>
      </c>
      <c r="D1395" s="4">
        <v>16.0505</v>
      </c>
      <c r="E1395" s="4">
        <v>14.3786</v>
      </c>
      <c r="F1395" s="4">
        <f t="shared" si="84"/>
        <v>14.695633333333333</v>
      </c>
      <c r="I1395" s="4" t="s">
        <v>3511</v>
      </c>
      <c r="J1395" s="4">
        <v>14.601599999999999</v>
      </c>
      <c r="K1395" s="4">
        <v>14.696899999999999</v>
      </c>
      <c r="L1395" s="4">
        <v>14.786</v>
      </c>
      <c r="M1395" s="4">
        <f t="shared" si="85"/>
        <v>14.694833333333333</v>
      </c>
      <c r="P1395" s="4" t="str">
        <f>"ZK792.5"</f>
        <v>ZK792.5</v>
      </c>
      <c r="Q1395" s="4">
        <v>14.275799892147701</v>
      </c>
      <c r="R1395" s="4">
        <v>14.550742404581101</v>
      </c>
      <c r="S1395" s="4">
        <v>14.175036300158499</v>
      </c>
      <c r="T1395" s="4">
        <f t="shared" si="86"/>
        <v>14.333859532295767</v>
      </c>
      <c r="W1395" s="4" t="str">
        <f>"acl-1"</f>
        <v>acl-1</v>
      </c>
      <c r="X1395" s="4">
        <v>14.437765769479601</v>
      </c>
      <c r="Y1395" s="4">
        <v>14.6144177200574</v>
      </c>
      <c r="Z1395" s="4">
        <v>14.231707032230901</v>
      </c>
      <c r="AA1395" s="4">
        <f t="shared" si="87"/>
        <v>14.427963507255967</v>
      </c>
    </row>
    <row r="1396" spans="2:27" x14ac:dyDescent="0.2">
      <c r="B1396" s="4" t="s">
        <v>4114</v>
      </c>
      <c r="C1396" s="4">
        <v>14.5571</v>
      </c>
      <c r="D1396" s="4">
        <v>14.982200000000001</v>
      </c>
      <c r="E1396" s="4">
        <v>14.541399999999999</v>
      </c>
      <c r="F1396" s="4">
        <f t="shared" si="84"/>
        <v>14.693566666666667</v>
      </c>
      <c r="I1396" s="4" t="s">
        <v>559</v>
      </c>
      <c r="J1396" s="4">
        <v>14.6502</v>
      </c>
      <c r="K1396" s="4">
        <v>14.714</v>
      </c>
      <c r="L1396" s="4">
        <v>14.710100000000001</v>
      </c>
      <c r="M1396" s="4">
        <f t="shared" si="85"/>
        <v>14.691433333333334</v>
      </c>
      <c r="P1396" s="4" t="str">
        <f>"pqn-22"</f>
        <v>pqn-22</v>
      </c>
      <c r="Q1396" s="4">
        <v>14.9701635664824</v>
      </c>
      <c r="R1396" s="4">
        <v>13.282201292178099</v>
      </c>
      <c r="S1396" s="4">
        <v>14.7490124065966</v>
      </c>
      <c r="T1396" s="4">
        <f t="shared" si="86"/>
        <v>14.333792421752365</v>
      </c>
      <c r="W1396" s="4" t="str">
        <f>"let-70"</f>
        <v>let-70</v>
      </c>
      <c r="X1396" s="4">
        <v>14.8488602475935</v>
      </c>
      <c r="Y1396" s="4">
        <v>14.4185308501105</v>
      </c>
      <c r="Z1396" s="4">
        <v>14.015460513537301</v>
      </c>
      <c r="AA1396" s="4">
        <f t="shared" si="87"/>
        <v>14.427617203747099</v>
      </c>
    </row>
    <row r="1397" spans="2:27" x14ac:dyDescent="0.2">
      <c r="B1397" s="4" t="s">
        <v>740</v>
      </c>
      <c r="C1397" s="4">
        <v>14.292299999999999</v>
      </c>
      <c r="D1397" s="4">
        <v>15.2645</v>
      </c>
      <c r="E1397" s="4">
        <v>14.513999999999999</v>
      </c>
      <c r="F1397" s="4">
        <f t="shared" si="84"/>
        <v>14.690266666666666</v>
      </c>
      <c r="I1397" s="4" t="s">
        <v>3715</v>
      </c>
      <c r="J1397" s="4">
        <v>14.552099999999999</v>
      </c>
      <c r="K1397" s="4">
        <v>14.844099999999999</v>
      </c>
      <c r="L1397" s="4">
        <v>14.6767</v>
      </c>
      <c r="M1397" s="4">
        <f t="shared" si="85"/>
        <v>14.690966666666668</v>
      </c>
      <c r="P1397" s="4" t="str">
        <f>"pmk-3"</f>
        <v>pmk-3</v>
      </c>
      <c r="Q1397" s="4">
        <v>14.4439657454952</v>
      </c>
      <c r="R1397" s="4">
        <v>14.363874981414</v>
      </c>
      <c r="S1397" s="4">
        <v>14.1865693369799</v>
      </c>
      <c r="T1397" s="4">
        <f t="shared" si="86"/>
        <v>14.331470021296367</v>
      </c>
      <c r="W1397" s="4" t="str">
        <f>"cisd-1"</f>
        <v>cisd-1</v>
      </c>
      <c r="X1397" s="4">
        <v>14.6359259172026</v>
      </c>
      <c r="Y1397" s="4">
        <v>14.3799945978812</v>
      </c>
      <c r="Z1397" s="4">
        <v>14.2656254932543</v>
      </c>
      <c r="AA1397" s="4">
        <f t="shared" si="87"/>
        <v>14.427182002779366</v>
      </c>
    </row>
    <row r="1398" spans="2:27" x14ac:dyDescent="0.2">
      <c r="B1398" s="4" t="s">
        <v>1336</v>
      </c>
      <c r="C1398" s="4">
        <v>14.7072</v>
      </c>
      <c r="D1398" s="4">
        <v>14.6007</v>
      </c>
      <c r="E1398" s="4">
        <v>14.7628</v>
      </c>
      <c r="F1398" s="4">
        <f t="shared" si="84"/>
        <v>14.690233333333333</v>
      </c>
      <c r="I1398" s="4" t="s">
        <v>1554</v>
      </c>
      <c r="J1398" s="4">
        <v>14.8391</v>
      </c>
      <c r="K1398" s="4">
        <v>14.8597</v>
      </c>
      <c r="L1398" s="4">
        <v>14.373900000000001</v>
      </c>
      <c r="M1398" s="4">
        <f t="shared" si="85"/>
        <v>14.690899999999999</v>
      </c>
      <c r="P1398" s="4" t="str">
        <f>"ahsa-1"</f>
        <v>ahsa-1</v>
      </c>
      <c r="Q1398" s="4">
        <v>14.2864462863347</v>
      </c>
      <c r="R1398" s="4">
        <v>14.408313708399699</v>
      </c>
      <c r="S1398" s="4">
        <v>14.2994279992469</v>
      </c>
      <c r="T1398" s="4">
        <f t="shared" si="86"/>
        <v>14.331395997993766</v>
      </c>
      <c r="W1398" s="4" t="str">
        <f>"lin-61"</f>
        <v>lin-61</v>
      </c>
      <c r="X1398" s="4">
        <v>14.441375956354401</v>
      </c>
      <c r="Y1398" s="4">
        <v>14.3555226842577</v>
      </c>
      <c r="Z1398" s="4">
        <v>14.477200793720799</v>
      </c>
      <c r="AA1398" s="4">
        <f t="shared" si="87"/>
        <v>14.424699811444299</v>
      </c>
    </row>
    <row r="1399" spans="2:27" x14ac:dyDescent="0.2">
      <c r="B1399" s="4" t="s">
        <v>2162</v>
      </c>
      <c r="C1399" s="4">
        <v>14.645099999999999</v>
      </c>
      <c r="D1399" s="4">
        <v>15.1341</v>
      </c>
      <c r="E1399" s="4">
        <v>14.291499999999999</v>
      </c>
      <c r="F1399" s="4">
        <f t="shared" si="84"/>
        <v>14.690233333333333</v>
      </c>
      <c r="I1399" s="4" t="s">
        <v>2092</v>
      </c>
      <c r="J1399" s="4">
        <v>14.636200000000001</v>
      </c>
      <c r="K1399" s="4">
        <v>14.795500000000001</v>
      </c>
      <c r="L1399" s="4">
        <v>14.637499999999999</v>
      </c>
      <c r="M1399" s="4">
        <f t="shared" si="85"/>
        <v>14.689733333333331</v>
      </c>
      <c r="P1399" s="4" t="str">
        <f>"T04A11.2"</f>
        <v>T04A11.2</v>
      </c>
      <c r="Q1399" s="4">
        <v>14.4702291983109</v>
      </c>
      <c r="R1399" s="4">
        <v>14.3441107421396</v>
      </c>
      <c r="S1399" s="4">
        <v>14.1724448316193</v>
      </c>
      <c r="T1399" s="4">
        <f t="shared" si="86"/>
        <v>14.328928257356601</v>
      </c>
      <c r="W1399" s="4" t="str">
        <f>"C14H10.3"</f>
        <v>C14H10.3</v>
      </c>
      <c r="X1399" s="4">
        <v>14.286398267205801</v>
      </c>
      <c r="Y1399" s="4">
        <v>14.5856108588489</v>
      </c>
      <c r="Z1399" s="4">
        <v>14.3998900617631</v>
      </c>
      <c r="AA1399" s="4">
        <f t="shared" si="87"/>
        <v>14.423966395939267</v>
      </c>
    </row>
    <row r="1400" spans="2:27" x14ac:dyDescent="0.2">
      <c r="B1400" s="4" t="s">
        <v>2636</v>
      </c>
      <c r="C1400" s="4">
        <v>14.661300000000001</v>
      </c>
      <c r="D1400" s="4">
        <v>14.8307</v>
      </c>
      <c r="E1400" s="4">
        <v>14.5722</v>
      </c>
      <c r="F1400" s="4">
        <f t="shared" si="84"/>
        <v>14.688066666666666</v>
      </c>
      <c r="I1400" s="4" t="s">
        <v>258</v>
      </c>
      <c r="J1400" s="4">
        <v>14.8847</v>
      </c>
      <c r="K1400" s="4">
        <v>14.670299999999999</v>
      </c>
      <c r="L1400" s="4">
        <v>14.5047</v>
      </c>
      <c r="M1400" s="4">
        <f t="shared" si="85"/>
        <v>14.686566666666666</v>
      </c>
      <c r="P1400" s="4" t="str">
        <f>"tric-1B.1"</f>
        <v>tric-1B.1</v>
      </c>
      <c r="Q1400" s="4">
        <v>14.138583938696399</v>
      </c>
      <c r="R1400" s="4">
        <v>14.3794009489256</v>
      </c>
      <c r="S1400" s="4">
        <v>14.4565256463063</v>
      </c>
      <c r="T1400" s="4">
        <f t="shared" si="86"/>
        <v>14.324836844642766</v>
      </c>
      <c r="W1400" s="4" t="str">
        <f>"dylt-1"</f>
        <v>dylt-1</v>
      </c>
      <c r="X1400" s="4">
        <v>14.868416155983001</v>
      </c>
      <c r="Y1400" s="4">
        <v>14.1608981560139</v>
      </c>
      <c r="Z1400" s="4">
        <v>14.240847596731401</v>
      </c>
      <c r="AA1400" s="4">
        <f t="shared" si="87"/>
        <v>14.423387302909433</v>
      </c>
    </row>
    <row r="1401" spans="2:27" x14ac:dyDescent="0.2">
      <c r="B1401" s="4" t="s">
        <v>2847</v>
      </c>
      <c r="C1401" s="4">
        <v>14.505000000000001</v>
      </c>
      <c r="D1401" s="4">
        <v>14.9312</v>
      </c>
      <c r="E1401" s="4">
        <v>14.6258</v>
      </c>
      <c r="F1401" s="4">
        <f t="shared" si="84"/>
        <v>14.687333333333333</v>
      </c>
      <c r="I1401" s="4" t="s">
        <v>2908</v>
      </c>
      <c r="J1401" s="4">
        <v>14.6275</v>
      </c>
      <c r="K1401" s="4">
        <v>14.4048</v>
      </c>
      <c r="L1401" s="4">
        <v>15.014900000000001</v>
      </c>
      <c r="M1401" s="4">
        <f t="shared" si="85"/>
        <v>14.682400000000001</v>
      </c>
      <c r="P1401" s="4" t="str">
        <f>"F59B2.3"</f>
        <v>F59B2.3</v>
      </c>
      <c r="Q1401" s="4">
        <v>14.6766437973388</v>
      </c>
      <c r="R1401" s="4">
        <v>14.1707898142174</v>
      </c>
      <c r="S1401" s="4">
        <v>14.1227745267849</v>
      </c>
      <c r="T1401" s="4">
        <f t="shared" si="86"/>
        <v>14.323402712780366</v>
      </c>
      <c r="W1401" s="4" t="str">
        <f>"rrf-1"</f>
        <v>rrf-1</v>
      </c>
      <c r="X1401" s="4">
        <v>14.3502409017009</v>
      </c>
      <c r="Y1401" s="4">
        <v>14.460403306889299</v>
      </c>
      <c r="Z1401" s="4">
        <v>14.458914793336699</v>
      </c>
      <c r="AA1401" s="4">
        <f t="shared" si="87"/>
        <v>14.423186333975631</v>
      </c>
    </row>
    <row r="1402" spans="2:27" x14ac:dyDescent="0.2">
      <c r="B1402" s="4" t="s">
        <v>3502</v>
      </c>
      <c r="C1402" s="4">
        <v>14.439299999999999</v>
      </c>
      <c r="D1402" s="4">
        <v>14.8985</v>
      </c>
      <c r="E1402" s="4">
        <v>14.722200000000001</v>
      </c>
      <c r="F1402" s="4">
        <f t="shared" si="84"/>
        <v>14.686666666666667</v>
      </c>
      <c r="I1402" s="4" t="s">
        <v>280</v>
      </c>
      <c r="J1402" s="4">
        <v>14.4504</v>
      </c>
      <c r="K1402" s="4">
        <v>14.9131</v>
      </c>
      <c r="L1402" s="4">
        <v>14.6759</v>
      </c>
      <c r="M1402" s="4">
        <f t="shared" si="85"/>
        <v>14.6798</v>
      </c>
      <c r="P1402" s="4" t="str">
        <f>"rfl-1"</f>
        <v>rfl-1</v>
      </c>
      <c r="Q1402" s="4">
        <v>14.258837676129801</v>
      </c>
      <c r="R1402" s="4">
        <v>14.3810771258958</v>
      </c>
      <c r="S1402" s="4">
        <v>14.3278910994188</v>
      </c>
      <c r="T1402" s="4">
        <f t="shared" si="86"/>
        <v>14.322601967148133</v>
      </c>
      <c r="W1402" s="4" t="str">
        <f>"obr-4"</f>
        <v>obr-4</v>
      </c>
      <c r="X1402" s="4">
        <v>14.4849089012415</v>
      </c>
      <c r="Y1402" s="4">
        <v>14.4252493297545</v>
      </c>
      <c r="Z1402" s="4">
        <v>14.3581332329539</v>
      </c>
      <c r="AA1402" s="4">
        <f t="shared" si="87"/>
        <v>14.422763821316634</v>
      </c>
    </row>
    <row r="1403" spans="2:27" x14ac:dyDescent="0.2">
      <c r="B1403" s="4" t="s">
        <v>1753</v>
      </c>
      <c r="C1403" s="4">
        <v>14.6555</v>
      </c>
      <c r="D1403" s="4">
        <v>14.573399999999999</v>
      </c>
      <c r="E1403" s="4">
        <v>14.8164</v>
      </c>
      <c r="F1403" s="4">
        <f t="shared" si="84"/>
        <v>14.681766666666666</v>
      </c>
      <c r="I1403" s="4" t="s">
        <v>977</v>
      </c>
      <c r="J1403" s="4">
        <v>14.780200000000001</v>
      </c>
      <c r="K1403" s="4">
        <v>14.9495</v>
      </c>
      <c r="L1403" s="4">
        <v>14.3072</v>
      </c>
      <c r="M1403" s="4">
        <f t="shared" si="85"/>
        <v>14.678966666666668</v>
      </c>
      <c r="P1403" s="4" t="str">
        <f>"tbc-11"</f>
        <v>tbc-11</v>
      </c>
      <c r="Q1403" s="4">
        <v>14.3374713181215</v>
      </c>
      <c r="R1403" s="4">
        <v>14.295780995055001</v>
      </c>
      <c r="S1403" s="4">
        <v>14.329762732650201</v>
      </c>
      <c r="T1403" s="4">
        <f t="shared" si="86"/>
        <v>14.321005015275567</v>
      </c>
      <c r="W1403" s="4" t="str">
        <f>"mpst-1"</f>
        <v>mpst-1</v>
      </c>
      <c r="X1403" s="4">
        <v>14.111612929815401</v>
      </c>
      <c r="Y1403" s="4">
        <v>14.316217750985301</v>
      </c>
      <c r="Z1403" s="4">
        <v>14.837627881244901</v>
      </c>
      <c r="AA1403" s="4">
        <f t="shared" si="87"/>
        <v>14.421819520681867</v>
      </c>
    </row>
    <row r="1404" spans="2:27" x14ac:dyDescent="0.2">
      <c r="B1404" s="4" t="s">
        <v>3304</v>
      </c>
      <c r="C1404" s="4">
        <v>14.7851</v>
      </c>
      <c r="D1404" s="4">
        <v>14.910399999999999</v>
      </c>
      <c r="E1404" s="4">
        <v>14.346399999999999</v>
      </c>
      <c r="F1404" s="4">
        <f t="shared" si="84"/>
        <v>14.680633333333333</v>
      </c>
      <c r="I1404" s="4" t="s">
        <v>568</v>
      </c>
      <c r="J1404" s="4">
        <v>14.5298</v>
      </c>
      <c r="K1404" s="4">
        <v>14.5694</v>
      </c>
      <c r="L1404" s="4">
        <v>14.932700000000001</v>
      </c>
      <c r="M1404" s="4">
        <f t="shared" si="85"/>
        <v>14.677300000000001</v>
      </c>
      <c r="P1404" s="4" t="str">
        <f>"usp-4"</f>
        <v>usp-4</v>
      </c>
      <c r="Q1404" s="4">
        <v>14.175414008448399</v>
      </c>
      <c r="R1404" s="4">
        <v>14.4005789314586</v>
      </c>
      <c r="S1404" s="4">
        <v>14.380787781821301</v>
      </c>
      <c r="T1404" s="4">
        <f t="shared" si="86"/>
        <v>14.318926907242767</v>
      </c>
      <c r="W1404" s="4" t="str">
        <f>"ergo-1"</f>
        <v>ergo-1</v>
      </c>
      <c r="X1404" s="4">
        <v>14.3339552359962</v>
      </c>
      <c r="Y1404" s="4">
        <v>14.449107935087801</v>
      </c>
      <c r="Z1404" s="4">
        <v>14.479184504231799</v>
      </c>
      <c r="AA1404" s="4">
        <f t="shared" si="87"/>
        <v>14.420749225105268</v>
      </c>
    </row>
    <row r="1405" spans="2:27" x14ac:dyDescent="0.2">
      <c r="B1405" s="4" t="s">
        <v>1375</v>
      </c>
      <c r="C1405" s="4">
        <v>14.766500000000001</v>
      </c>
      <c r="D1405" s="4">
        <v>14.8804</v>
      </c>
      <c r="E1405" s="4">
        <v>14.394600000000001</v>
      </c>
      <c r="F1405" s="4">
        <f t="shared" si="84"/>
        <v>14.6805</v>
      </c>
      <c r="I1405" s="4" t="s">
        <v>2895</v>
      </c>
      <c r="J1405" s="4">
        <v>14.5007</v>
      </c>
      <c r="K1405" s="4">
        <v>14.8376</v>
      </c>
      <c r="L1405" s="4">
        <v>14.693300000000001</v>
      </c>
      <c r="M1405" s="4">
        <f t="shared" si="85"/>
        <v>14.677199999999999</v>
      </c>
      <c r="P1405" s="4" t="str">
        <f>"T09F3.5"</f>
        <v>T09F3.5</v>
      </c>
      <c r="Q1405" s="4">
        <v>14.5443185271736</v>
      </c>
      <c r="R1405" s="4">
        <v>14.252234941462</v>
      </c>
      <c r="S1405" s="4">
        <v>14.134585352588401</v>
      </c>
      <c r="T1405" s="4">
        <f t="shared" si="86"/>
        <v>14.310379607074667</v>
      </c>
      <c r="W1405" s="4" t="str">
        <f>"eas-1"</f>
        <v>eas-1</v>
      </c>
      <c r="X1405" s="4">
        <v>14.817463112115201</v>
      </c>
      <c r="Y1405" s="4">
        <v>14.006993203858199</v>
      </c>
      <c r="Z1405" s="4">
        <v>14.4375832841212</v>
      </c>
      <c r="AA1405" s="4">
        <f t="shared" si="87"/>
        <v>14.420679866698199</v>
      </c>
    </row>
    <row r="1406" spans="2:27" x14ac:dyDescent="0.2">
      <c r="B1406" s="4" t="s">
        <v>3865</v>
      </c>
      <c r="C1406" s="4">
        <v>14.8851</v>
      </c>
      <c r="D1406" s="4">
        <v>14.756500000000001</v>
      </c>
      <c r="E1406" s="4">
        <v>14.395300000000001</v>
      </c>
      <c r="F1406" s="4">
        <f t="shared" si="84"/>
        <v>14.678966666666668</v>
      </c>
      <c r="I1406" s="4" t="s">
        <v>787</v>
      </c>
      <c r="J1406" s="4">
        <v>14.6373</v>
      </c>
      <c r="K1406" s="4">
        <v>15.155799999999999</v>
      </c>
      <c r="L1406" s="4">
        <v>14.238200000000001</v>
      </c>
      <c r="M1406" s="4">
        <f t="shared" si="85"/>
        <v>14.677100000000001</v>
      </c>
      <c r="P1406" s="4" t="str">
        <f>"coh-1"</f>
        <v>coh-1</v>
      </c>
      <c r="Q1406" s="4">
        <v>14.4505397179382</v>
      </c>
      <c r="R1406" s="4">
        <v>14.2718468776831</v>
      </c>
      <c r="S1406" s="4">
        <v>14.208461032870501</v>
      </c>
      <c r="T1406" s="4">
        <f t="shared" si="86"/>
        <v>14.310282542830601</v>
      </c>
      <c r="W1406" s="4" t="str">
        <f>"usp-5"</f>
        <v>usp-5</v>
      </c>
      <c r="X1406" s="4">
        <v>14.387996577279599</v>
      </c>
      <c r="Y1406" s="4">
        <v>14.411512735604299</v>
      </c>
      <c r="Z1406" s="4">
        <v>14.457434984423699</v>
      </c>
      <c r="AA1406" s="4">
        <f t="shared" si="87"/>
        <v>14.418981432435865</v>
      </c>
    </row>
    <row r="1407" spans="2:27" x14ac:dyDescent="0.2">
      <c r="B1407" s="4" t="s">
        <v>1074</v>
      </c>
      <c r="C1407" s="4">
        <v>14.861499999999999</v>
      </c>
      <c r="D1407" s="4">
        <v>14.4323</v>
      </c>
      <c r="E1407" s="4">
        <v>14.740399999999999</v>
      </c>
      <c r="F1407" s="4">
        <f t="shared" si="84"/>
        <v>14.678066666666666</v>
      </c>
      <c r="I1407" s="4" t="s">
        <v>3405</v>
      </c>
      <c r="J1407" s="4">
        <v>14.6768</v>
      </c>
      <c r="K1407" s="4">
        <v>14.751899999999999</v>
      </c>
      <c r="L1407" s="4">
        <v>14.6007</v>
      </c>
      <c r="M1407" s="4">
        <f t="shared" si="85"/>
        <v>14.676466666666665</v>
      </c>
      <c r="P1407" s="4" t="str">
        <f>"zoo-1"</f>
        <v>zoo-1</v>
      </c>
      <c r="Q1407" s="4">
        <v>14.639710560243699</v>
      </c>
      <c r="R1407" s="4">
        <v>14.0232214027374</v>
      </c>
      <c r="S1407" s="4">
        <v>14.2591564429265</v>
      </c>
      <c r="T1407" s="4">
        <f t="shared" si="86"/>
        <v>14.3073628019692</v>
      </c>
      <c r="W1407" s="4" t="str">
        <f>"ima-2"</f>
        <v>ima-2</v>
      </c>
      <c r="X1407" s="4">
        <v>14.573969838060799</v>
      </c>
      <c r="Y1407" s="4">
        <v>14.4353175622942</v>
      </c>
      <c r="Z1407" s="4">
        <v>14.2472805206259</v>
      </c>
      <c r="AA1407" s="4">
        <f t="shared" si="87"/>
        <v>14.4188559736603</v>
      </c>
    </row>
    <row r="1408" spans="2:27" x14ac:dyDescent="0.2">
      <c r="B1408" s="4" t="s">
        <v>3543</v>
      </c>
      <c r="C1408" s="4">
        <v>14.559799999999999</v>
      </c>
      <c r="D1408" s="4">
        <v>14.507899999999999</v>
      </c>
      <c r="E1408" s="4">
        <v>14.9559</v>
      </c>
      <c r="F1408" s="4">
        <f t="shared" si="84"/>
        <v>14.674533333333335</v>
      </c>
      <c r="I1408" s="4" t="s">
        <v>2720</v>
      </c>
      <c r="J1408" s="4">
        <v>15.1549</v>
      </c>
      <c r="K1408" s="4">
        <v>14.422499999999999</v>
      </c>
      <c r="L1408" s="4">
        <v>14.449</v>
      </c>
      <c r="M1408" s="4">
        <f t="shared" si="85"/>
        <v>14.675466666666665</v>
      </c>
      <c r="P1408" s="4" t="str">
        <f>"aakb-2"</f>
        <v>aakb-2</v>
      </c>
      <c r="Q1408" s="4">
        <v>14.266193116471801</v>
      </c>
      <c r="R1408" s="4">
        <v>14.3534366561965</v>
      </c>
      <c r="S1408" s="4">
        <v>14.2895913655741</v>
      </c>
      <c r="T1408" s="4">
        <f t="shared" si="86"/>
        <v>14.303073712747468</v>
      </c>
      <c r="W1408" s="4" t="str">
        <f>"atn-1"</f>
        <v>atn-1</v>
      </c>
      <c r="X1408" s="4">
        <v>13.6635190901325</v>
      </c>
      <c r="Y1408" s="4">
        <v>14.3216982864027</v>
      </c>
      <c r="Z1408" s="4">
        <v>15.2538496819786</v>
      </c>
      <c r="AA1408" s="4">
        <f t="shared" si="87"/>
        <v>14.413022352837933</v>
      </c>
    </row>
    <row r="1409" spans="2:27" x14ac:dyDescent="0.2">
      <c r="B1409" s="4" t="s">
        <v>601</v>
      </c>
      <c r="C1409" s="4">
        <v>14.5153</v>
      </c>
      <c r="D1409" s="4">
        <v>14.819900000000001</v>
      </c>
      <c r="E1409" s="4">
        <v>14.685499999999999</v>
      </c>
      <c r="F1409" s="4">
        <f t="shared" si="84"/>
        <v>14.673566666666666</v>
      </c>
      <c r="I1409" s="4" t="s">
        <v>3755</v>
      </c>
      <c r="J1409" s="4">
        <v>14.5654</v>
      </c>
      <c r="K1409" s="4">
        <v>15.0091</v>
      </c>
      <c r="L1409" s="4">
        <v>14.4498</v>
      </c>
      <c r="M1409" s="4">
        <f t="shared" si="85"/>
        <v>14.674766666666665</v>
      </c>
      <c r="P1409" s="4" t="str">
        <f>"C16C10.3"</f>
        <v>C16C10.3</v>
      </c>
      <c r="Q1409" s="4">
        <v>14.2867302502529</v>
      </c>
      <c r="R1409" s="4">
        <v>14.2938202407943</v>
      </c>
      <c r="S1409" s="4">
        <v>14.3144237116956</v>
      </c>
      <c r="T1409" s="4">
        <f t="shared" si="86"/>
        <v>14.298324734247601</v>
      </c>
      <c r="W1409" s="4" t="str">
        <f>"acox-3"</f>
        <v>acox-3</v>
      </c>
      <c r="X1409" s="4">
        <v>14.3890345988218</v>
      </c>
      <c r="Y1409" s="4">
        <v>14.2382013837199</v>
      </c>
      <c r="Z1409" s="4">
        <v>14.610180220199201</v>
      </c>
      <c r="AA1409" s="4">
        <f t="shared" si="87"/>
        <v>14.412472067580302</v>
      </c>
    </row>
    <row r="1410" spans="2:27" x14ac:dyDescent="0.2">
      <c r="B1410" s="4" t="s">
        <v>1146</v>
      </c>
      <c r="C1410" s="4">
        <v>14.9023</v>
      </c>
      <c r="D1410" s="4">
        <v>14.592499999999999</v>
      </c>
      <c r="E1410" s="4">
        <v>14.5236</v>
      </c>
      <c r="F1410" s="4">
        <f t="shared" ref="F1410:F1473" si="88">(C1410+D1410+E1410)/3</f>
        <v>14.672800000000001</v>
      </c>
      <c r="I1410" s="4" t="s">
        <v>3152</v>
      </c>
      <c r="J1410" s="4">
        <v>14.6135</v>
      </c>
      <c r="K1410" s="4">
        <v>14.8339</v>
      </c>
      <c r="L1410" s="4">
        <v>14.559900000000001</v>
      </c>
      <c r="M1410" s="4">
        <f t="shared" ref="M1410:M1473" si="89">(J1410+K1410+L1410)/3</f>
        <v>14.6691</v>
      </c>
      <c r="P1410" s="4" t="str">
        <f>"sec-31"</f>
        <v>sec-31</v>
      </c>
      <c r="Q1410" s="4">
        <v>14.4034476290601</v>
      </c>
      <c r="R1410" s="4">
        <v>14.2580616230749</v>
      </c>
      <c r="S1410" s="4">
        <v>14.2297777588084</v>
      </c>
      <c r="T1410" s="4">
        <f t="shared" ref="T1410:T1473" si="90">(Q1410+R1410+S1410)/3</f>
        <v>14.297095670314468</v>
      </c>
      <c r="W1410" s="4" t="str">
        <f>"ulp-2"</f>
        <v>ulp-2</v>
      </c>
      <c r="X1410" s="4">
        <v>14.3571445637954</v>
      </c>
      <c r="Y1410" s="4">
        <v>14.4549636278904</v>
      </c>
      <c r="Z1410" s="4">
        <v>14.4242293286303</v>
      </c>
      <c r="AA1410" s="4">
        <f t="shared" ref="AA1410:AA1473" si="91">(X1410+Y1410+Z1410)/3</f>
        <v>14.412112506772033</v>
      </c>
    </row>
    <row r="1411" spans="2:27" x14ac:dyDescent="0.2">
      <c r="B1411" s="4" t="s">
        <v>1856</v>
      </c>
      <c r="C1411" s="4">
        <v>14.856400000000001</v>
      </c>
      <c r="D1411" s="4">
        <v>14.4838</v>
      </c>
      <c r="E1411" s="4">
        <v>14.665699999999999</v>
      </c>
      <c r="F1411" s="4">
        <f t="shared" si="88"/>
        <v>14.668633333333334</v>
      </c>
      <c r="I1411" s="4" t="s">
        <v>1360</v>
      </c>
      <c r="J1411" s="4">
        <v>14.427199999999999</v>
      </c>
      <c r="K1411" s="4">
        <v>14.7064</v>
      </c>
      <c r="L1411" s="4">
        <v>14.8729</v>
      </c>
      <c r="M1411" s="4">
        <f t="shared" si="89"/>
        <v>14.668833333333334</v>
      </c>
      <c r="P1411" s="4" t="str">
        <f>"F44G4.1"</f>
        <v>F44G4.1</v>
      </c>
      <c r="Q1411" s="4">
        <v>14.180026704505099</v>
      </c>
      <c r="R1411" s="4">
        <v>14.338699058508499</v>
      </c>
      <c r="S1411" s="4">
        <v>14.3646392048883</v>
      </c>
      <c r="T1411" s="4">
        <f t="shared" si="90"/>
        <v>14.294454989300633</v>
      </c>
      <c r="W1411" s="4" t="str">
        <f>"djr-1.1"</f>
        <v>djr-1.1</v>
      </c>
      <c r="X1411" s="4">
        <v>14.2971418863757</v>
      </c>
      <c r="Y1411" s="4">
        <v>14.5315487296062</v>
      </c>
      <c r="Z1411" s="4">
        <v>14.402666491840501</v>
      </c>
      <c r="AA1411" s="4">
        <f t="shared" si="91"/>
        <v>14.410452369274132</v>
      </c>
    </row>
    <row r="1412" spans="2:27" x14ac:dyDescent="0.2">
      <c r="B1412" s="4" t="s">
        <v>3953</v>
      </c>
      <c r="C1412" s="4">
        <v>14.8919</v>
      </c>
      <c r="D1412" s="4">
        <v>14.3436</v>
      </c>
      <c r="E1412" s="4">
        <v>14.7697</v>
      </c>
      <c r="F1412" s="4">
        <f t="shared" si="88"/>
        <v>14.6684</v>
      </c>
      <c r="I1412" s="4" t="s">
        <v>4677</v>
      </c>
      <c r="J1412" s="4">
        <v>14.734999999999999</v>
      </c>
      <c r="K1412" s="4">
        <v>14.782999999999999</v>
      </c>
      <c r="L1412" s="4">
        <v>14.4747</v>
      </c>
      <c r="M1412" s="4">
        <f t="shared" si="89"/>
        <v>14.664233333333334</v>
      </c>
      <c r="P1412" s="4" t="str">
        <f>"lev-11"</f>
        <v>lev-11</v>
      </c>
      <c r="Q1412" s="4">
        <v>14.5792226842725</v>
      </c>
      <c r="R1412" s="4">
        <v>14.5427989007759</v>
      </c>
      <c r="S1412" s="4">
        <v>13.7608979825721</v>
      </c>
      <c r="T1412" s="4">
        <f t="shared" si="90"/>
        <v>14.294306522540168</v>
      </c>
      <c r="W1412" s="4" t="str">
        <f>"epg-3"</f>
        <v>epg-3</v>
      </c>
      <c r="X1412" s="4">
        <v>14.654340205691501</v>
      </c>
      <c r="Y1412" s="4">
        <v>14.547523174977201</v>
      </c>
      <c r="Z1412" s="4">
        <v>14.023421094765199</v>
      </c>
      <c r="AA1412" s="4">
        <f t="shared" si="91"/>
        <v>14.408428158477967</v>
      </c>
    </row>
    <row r="1413" spans="2:27" x14ac:dyDescent="0.2">
      <c r="B1413" s="4" t="s">
        <v>741</v>
      </c>
      <c r="C1413" s="4">
        <v>14.6594</v>
      </c>
      <c r="D1413" s="4">
        <v>14.840199999999999</v>
      </c>
      <c r="E1413" s="4">
        <v>14.5031</v>
      </c>
      <c r="F1413" s="4">
        <f t="shared" si="88"/>
        <v>14.667566666666668</v>
      </c>
      <c r="I1413" s="4" t="s">
        <v>1634</v>
      </c>
      <c r="J1413" s="4">
        <v>14.660399999999999</v>
      </c>
      <c r="K1413" s="4">
        <v>14.896100000000001</v>
      </c>
      <c r="L1413" s="4">
        <v>14.433299999999999</v>
      </c>
      <c r="M1413" s="4">
        <f t="shared" si="89"/>
        <v>14.663266666666667</v>
      </c>
      <c r="P1413" s="4" t="str">
        <f>"T04A8.7"</f>
        <v>T04A8.7</v>
      </c>
      <c r="Q1413" s="4">
        <v>14.252338438255499</v>
      </c>
      <c r="R1413" s="4">
        <v>14.1972793547028</v>
      </c>
      <c r="S1413" s="4">
        <v>14.431423023200299</v>
      </c>
      <c r="T1413" s="4">
        <f t="shared" si="90"/>
        <v>14.293680272052868</v>
      </c>
      <c r="W1413" s="4" t="str">
        <f>"F38B2.4"</f>
        <v>F38B2.4</v>
      </c>
      <c r="X1413" s="4">
        <v>14.4117330051957</v>
      </c>
      <c r="Y1413" s="4">
        <v>14.3778430119239</v>
      </c>
      <c r="Z1413" s="4">
        <v>14.433886931538799</v>
      </c>
      <c r="AA1413" s="4">
        <f t="shared" si="91"/>
        <v>14.407820982886134</v>
      </c>
    </row>
    <row r="1414" spans="2:27" x14ac:dyDescent="0.2">
      <c r="B1414" s="4" t="s">
        <v>3023</v>
      </c>
      <c r="C1414" s="4">
        <v>14.3363</v>
      </c>
      <c r="D1414" s="4">
        <v>14.947699999999999</v>
      </c>
      <c r="E1414" s="4">
        <v>14.7151</v>
      </c>
      <c r="F1414" s="4">
        <f t="shared" si="88"/>
        <v>14.666366666666667</v>
      </c>
      <c r="I1414" s="4" t="s">
        <v>165</v>
      </c>
      <c r="J1414" s="4">
        <v>14.8828</v>
      </c>
      <c r="K1414" s="4">
        <v>15.026300000000001</v>
      </c>
      <c r="L1414" s="4">
        <v>14.0794</v>
      </c>
      <c r="M1414" s="4">
        <f t="shared" si="89"/>
        <v>14.662833333333333</v>
      </c>
      <c r="P1414" s="4" t="str">
        <f>"C18B2.4"</f>
        <v>C18B2.4</v>
      </c>
      <c r="Q1414" s="4">
        <v>14.885738531350199</v>
      </c>
      <c r="R1414" s="4">
        <v>13.8112588245927</v>
      </c>
      <c r="S1414" s="4">
        <v>14.1803014864629</v>
      </c>
      <c r="T1414" s="4">
        <f t="shared" si="90"/>
        <v>14.292432947468599</v>
      </c>
      <c r="W1414" s="4" t="str">
        <f>"dhs-18"</f>
        <v>dhs-18</v>
      </c>
      <c r="X1414" s="4">
        <v>14.238652910688799</v>
      </c>
      <c r="Y1414" s="4">
        <v>14.4521665539481</v>
      </c>
      <c r="Z1414" s="4">
        <v>14.527039393656301</v>
      </c>
      <c r="AA1414" s="4">
        <f t="shared" si="91"/>
        <v>14.4059529527644</v>
      </c>
    </row>
    <row r="1415" spans="2:27" x14ac:dyDescent="0.2">
      <c r="B1415" s="4" t="s">
        <v>1332</v>
      </c>
      <c r="C1415" s="4">
        <v>14.2722</v>
      </c>
      <c r="D1415" s="4">
        <v>14.872400000000001</v>
      </c>
      <c r="E1415" s="4">
        <v>14.852</v>
      </c>
      <c r="F1415" s="4">
        <f t="shared" si="88"/>
        <v>14.665533333333334</v>
      </c>
      <c r="I1415" s="4" t="s">
        <v>4678</v>
      </c>
      <c r="J1415" s="4">
        <v>14.370799999999999</v>
      </c>
      <c r="K1415" s="4">
        <v>15.019299999999999</v>
      </c>
      <c r="L1415" s="4">
        <v>14.5976</v>
      </c>
      <c r="M1415" s="4">
        <f t="shared" si="89"/>
        <v>14.662566666666665</v>
      </c>
      <c r="P1415" s="4" t="str">
        <f>"ZK546.2"</f>
        <v>ZK546.2</v>
      </c>
      <c r="Q1415" s="4">
        <v>14.3167787241995</v>
      </c>
      <c r="R1415" s="4">
        <v>14.3416826834316</v>
      </c>
      <c r="S1415" s="4">
        <v>14.2072483771029</v>
      </c>
      <c r="T1415" s="4">
        <f t="shared" si="90"/>
        <v>14.288569928244668</v>
      </c>
      <c r="W1415" s="4" t="str">
        <f>"gln-6"</f>
        <v>gln-6</v>
      </c>
      <c r="X1415" s="4">
        <v>14.320805718601999</v>
      </c>
      <c r="Y1415" s="4">
        <v>14.4697393504545</v>
      </c>
      <c r="Z1415" s="4">
        <v>14.426825865757801</v>
      </c>
      <c r="AA1415" s="4">
        <f t="shared" si="91"/>
        <v>14.405790311604767</v>
      </c>
    </row>
    <row r="1416" spans="2:27" x14ac:dyDescent="0.2">
      <c r="B1416" s="4" t="s">
        <v>1318</v>
      </c>
      <c r="C1416" s="4">
        <v>14.6252</v>
      </c>
      <c r="D1416" s="4">
        <v>14.826700000000001</v>
      </c>
      <c r="E1416" s="4">
        <v>14.5343</v>
      </c>
      <c r="F1416" s="4">
        <f t="shared" si="88"/>
        <v>14.662066666666668</v>
      </c>
      <c r="I1416" s="4" t="s">
        <v>917</v>
      </c>
      <c r="J1416" s="4">
        <v>14.2803</v>
      </c>
      <c r="K1416" s="4">
        <v>14.6363</v>
      </c>
      <c r="L1416" s="4">
        <v>15.0702</v>
      </c>
      <c r="M1416" s="4">
        <f t="shared" si="89"/>
        <v>14.662266666666667</v>
      </c>
      <c r="P1416" s="4" t="str">
        <f>"sma-9"</f>
        <v>sma-9</v>
      </c>
      <c r="Q1416" s="4">
        <v>14.364741903255201</v>
      </c>
      <c r="R1416" s="4">
        <v>14.2236550147502</v>
      </c>
      <c r="S1416" s="4">
        <v>14.2688057003797</v>
      </c>
      <c r="T1416" s="4">
        <f t="shared" si="90"/>
        <v>14.285734206128367</v>
      </c>
      <c r="W1416" s="4" t="str">
        <f>"coel-1"</f>
        <v>coel-1</v>
      </c>
      <c r="X1416" s="4">
        <v>14.383048349830601</v>
      </c>
      <c r="Y1416" s="4">
        <v>14.6134258811779</v>
      </c>
      <c r="Z1416" s="4">
        <v>14.2166014119374</v>
      </c>
      <c r="AA1416" s="4">
        <f t="shared" si="91"/>
        <v>14.404358547648632</v>
      </c>
    </row>
    <row r="1417" spans="2:27" x14ac:dyDescent="0.2">
      <c r="B1417" s="4" t="s">
        <v>2320</v>
      </c>
      <c r="C1417" s="4">
        <v>14.300700000000001</v>
      </c>
      <c r="D1417" s="4">
        <v>14.935600000000001</v>
      </c>
      <c r="E1417" s="4">
        <v>14.743</v>
      </c>
      <c r="F1417" s="4">
        <f t="shared" si="88"/>
        <v>14.659766666666668</v>
      </c>
      <c r="I1417" s="4" t="s">
        <v>2104</v>
      </c>
      <c r="J1417" s="4">
        <v>14.4376</v>
      </c>
      <c r="K1417" s="4">
        <v>14.6549</v>
      </c>
      <c r="L1417" s="4">
        <v>14.8939</v>
      </c>
      <c r="M1417" s="4">
        <f t="shared" si="89"/>
        <v>14.662133333333335</v>
      </c>
      <c r="P1417" s="4" t="str">
        <f>"pfn-3"</f>
        <v>pfn-3</v>
      </c>
      <c r="Q1417" s="4">
        <v>14.226433868702999</v>
      </c>
      <c r="R1417" s="4">
        <v>14.341621758538601</v>
      </c>
      <c r="S1417" s="4">
        <v>14.285266023272699</v>
      </c>
      <c r="T1417" s="4">
        <f t="shared" si="90"/>
        <v>14.284440550171432</v>
      </c>
      <c r="W1417" s="4" t="str">
        <f>"B0464.6"</f>
        <v>B0464.6</v>
      </c>
      <c r="X1417" s="4">
        <v>14.376870324436499</v>
      </c>
      <c r="Y1417" s="4">
        <v>14.502262946179799</v>
      </c>
      <c r="Z1417" s="4">
        <v>14.333192498680701</v>
      </c>
      <c r="AA1417" s="4">
        <f t="shared" si="91"/>
        <v>14.404108589765668</v>
      </c>
    </row>
    <row r="1418" spans="2:27" x14ac:dyDescent="0.2">
      <c r="B1418" s="4" t="s">
        <v>4016</v>
      </c>
      <c r="C1418" s="4">
        <v>14.574</v>
      </c>
      <c r="D1418" s="4">
        <v>15.02</v>
      </c>
      <c r="E1418" s="4">
        <v>14.3827</v>
      </c>
      <c r="F1418" s="4">
        <f t="shared" si="88"/>
        <v>14.658900000000001</v>
      </c>
      <c r="I1418" s="4" t="s">
        <v>4666</v>
      </c>
      <c r="J1418" s="4">
        <v>14.7477</v>
      </c>
      <c r="K1418" s="4">
        <v>14.4564</v>
      </c>
      <c r="L1418" s="4">
        <v>14.7813</v>
      </c>
      <c r="M1418" s="4">
        <f t="shared" si="89"/>
        <v>14.661799999999999</v>
      </c>
      <c r="P1418" s="4" t="str">
        <f>"mrps-30"</f>
        <v>mrps-30</v>
      </c>
      <c r="Q1418" s="4">
        <v>14.497601579858999</v>
      </c>
      <c r="R1418" s="4">
        <v>14.076378434683701</v>
      </c>
      <c r="S1418" s="4">
        <v>14.272124315405</v>
      </c>
      <c r="T1418" s="4">
        <f t="shared" si="90"/>
        <v>14.282034776649233</v>
      </c>
      <c r="W1418" s="4" t="str">
        <f>"nhr-1"</f>
        <v>nhr-1</v>
      </c>
      <c r="X1418" s="4">
        <v>14.2391291761034</v>
      </c>
      <c r="Y1418" s="4">
        <v>14.470976552099</v>
      </c>
      <c r="Z1418" s="4">
        <v>14.5002429942836</v>
      </c>
      <c r="AA1418" s="4">
        <f t="shared" si="91"/>
        <v>14.403449574162002</v>
      </c>
    </row>
    <row r="1419" spans="2:27" x14ac:dyDescent="0.2">
      <c r="B1419" s="4" t="s">
        <v>1772</v>
      </c>
      <c r="C1419" s="4">
        <v>14.3245</v>
      </c>
      <c r="D1419" s="4">
        <v>14.8665</v>
      </c>
      <c r="E1419" s="4">
        <v>14.7791</v>
      </c>
      <c r="F1419" s="4">
        <f t="shared" si="88"/>
        <v>14.656700000000001</v>
      </c>
      <c r="I1419" s="4" t="s">
        <v>1518</v>
      </c>
      <c r="J1419" s="4">
        <v>13.5326</v>
      </c>
      <c r="K1419" s="4">
        <v>14.6729</v>
      </c>
      <c r="L1419" s="4">
        <v>15.773300000000001</v>
      </c>
      <c r="M1419" s="4">
        <f t="shared" si="89"/>
        <v>14.659599999999999</v>
      </c>
      <c r="P1419" s="4" t="str">
        <f>"T26G10.1"</f>
        <v>T26G10.1</v>
      </c>
      <c r="Q1419" s="4">
        <v>14.352613584547299</v>
      </c>
      <c r="R1419" s="4">
        <v>14.189620832927501</v>
      </c>
      <c r="S1419" s="4">
        <v>14.2981374620585</v>
      </c>
      <c r="T1419" s="4">
        <f t="shared" si="90"/>
        <v>14.280123959844433</v>
      </c>
      <c r="W1419" s="4" t="str">
        <f>"alg-2"</f>
        <v>alg-2</v>
      </c>
      <c r="X1419" s="4">
        <v>14.4093326769722</v>
      </c>
      <c r="Y1419" s="4">
        <v>14.2623692823163</v>
      </c>
      <c r="Z1419" s="4">
        <v>14.5370598117635</v>
      </c>
      <c r="AA1419" s="4">
        <f t="shared" si="91"/>
        <v>14.402920590350666</v>
      </c>
    </row>
    <row r="1420" spans="2:27" x14ac:dyDescent="0.2">
      <c r="B1420" s="4" t="s">
        <v>199</v>
      </c>
      <c r="C1420" s="4">
        <v>14.5753</v>
      </c>
      <c r="D1420" s="4">
        <v>15.037000000000001</v>
      </c>
      <c r="E1420" s="4">
        <v>14.3568</v>
      </c>
      <c r="F1420" s="4">
        <f t="shared" si="88"/>
        <v>14.656366666666665</v>
      </c>
      <c r="I1420" s="4" t="s">
        <v>2822</v>
      </c>
      <c r="J1420" s="4">
        <v>14.858499999999999</v>
      </c>
      <c r="K1420" s="4">
        <v>14.4992</v>
      </c>
      <c r="L1420" s="4">
        <v>14.618499999999999</v>
      </c>
      <c r="M1420" s="4">
        <f t="shared" si="89"/>
        <v>14.658733333333332</v>
      </c>
      <c r="P1420" s="4" t="str">
        <f>"F10E7.5"</f>
        <v>F10E7.5</v>
      </c>
      <c r="Q1420" s="4">
        <v>13.999359066994799</v>
      </c>
      <c r="R1420" s="4">
        <v>14.523397521656401</v>
      </c>
      <c r="S1420" s="4">
        <v>14.3131290569178</v>
      </c>
      <c r="T1420" s="4">
        <f t="shared" si="90"/>
        <v>14.278628548523001</v>
      </c>
      <c r="W1420" s="4" t="str">
        <f>"sax-2"</f>
        <v>sax-2</v>
      </c>
      <c r="X1420" s="4">
        <v>14.3125936380531</v>
      </c>
      <c r="Y1420" s="4">
        <v>14.4151043257427</v>
      </c>
      <c r="Z1420" s="4">
        <v>14.4757921982265</v>
      </c>
      <c r="AA1420" s="4">
        <f t="shared" si="91"/>
        <v>14.401163387340766</v>
      </c>
    </row>
    <row r="1421" spans="2:27" x14ac:dyDescent="0.2">
      <c r="B1421" s="4" t="s">
        <v>276</v>
      </c>
      <c r="C1421" s="4">
        <v>14.486700000000001</v>
      </c>
      <c r="D1421" s="4">
        <v>14.900499999999999</v>
      </c>
      <c r="E1421" s="4">
        <v>14.581899999999999</v>
      </c>
      <c r="F1421" s="4">
        <f t="shared" si="88"/>
        <v>14.656366666666665</v>
      </c>
      <c r="I1421" s="4" t="s">
        <v>1436</v>
      </c>
      <c r="J1421" s="4">
        <v>14.8009</v>
      </c>
      <c r="K1421" s="4">
        <v>14.538600000000001</v>
      </c>
      <c r="L1421" s="4">
        <v>14.635400000000001</v>
      </c>
      <c r="M1421" s="4">
        <f t="shared" si="89"/>
        <v>14.658300000000002</v>
      </c>
      <c r="P1421" s="4" t="str">
        <f>"T22F3.2"</f>
        <v>T22F3.2</v>
      </c>
      <c r="Q1421" s="4">
        <v>14.112743296675299</v>
      </c>
      <c r="R1421" s="4">
        <v>14.4117649613633</v>
      </c>
      <c r="S1421" s="4">
        <v>14.3077443267211</v>
      </c>
      <c r="T1421" s="4">
        <f t="shared" si="90"/>
        <v>14.277417528253233</v>
      </c>
      <c r="W1421" s="4" t="str">
        <f>"tra-3"</f>
        <v>tra-3</v>
      </c>
      <c r="X1421" s="4">
        <v>14.242439435405201</v>
      </c>
      <c r="Y1421" s="4">
        <v>14.625388798828601</v>
      </c>
      <c r="Z1421" s="4">
        <v>14.3325657236383</v>
      </c>
      <c r="AA1421" s="4">
        <f t="shared" si="91"/>
        <v>14.400131319290701</v>
      </c>
    </row>
    <row r="1422" spans="2:27" x14ac:dyDescent="0.2">
      <c r="B1422" s="4" t="s">
        <v>1498</v>
      </c>
      <c r="C1422" s="4">
        <v>14.4861</v>
      </c>
      <c r="D1422" s="4">
        <v>14.684699999999999</v>
      </c>
      <c r="E1422" s="4">
        <v>14.7972</v>
      </c>
      <c r="F1422" s="4">
        <f t="shared" si="88"/>
        <v>14.656000000000001</v>
      </c>
      <c r="I1422" s="4" t="s">
        <v>1813</v>
      </c>
      <c r="J1422" s="4">
        <v>14.4252</v>
      </c>
      <c r="K1422" s="4">
        <v>15.133599999999999</v>
      </c>
      <c r="L1422" s="4">
        <v>14.413600000000001</v>
      </c>
      <c r="M1422" s="4">
        <f t="shared" si="89"/>
        <v>14.657466666666666</v>
      </c>
      <c r="P1422" s="4" t="str">
        <f>"cyp-13A5"</f>
        <v>cyp-13A5</v>
      </c>
      <c r="Q1422" s="4">
        <v>14.0058606390806</v>
      </c>
      <c r="R1422" s="4">
        <v>14.4643698819668</v>
      </c>
      <c r="S1422" s="4">
        <v>14.359040489639399</v>
      </c>
      <c r="T1422" s="4">
        <f t="shared" si="90"/>
        <v>14.276423670228931</v>
      </c>
      <c r="W1422" s="4" t="str">
        <f>"W03F8.4"</f>
        <v>W03F8.4</v>
      </c>
      <c r="X1422" s="4">
        <v>14.673498612920399</v>
      </c>
      <c r="Y1422" s="4">
        <v>14.424001718508499</v>
      </c>
      <c r="Z1422" s="4">
        <v>14.1027321514359</v>
      </c>
      <c r="AA1422" s="4">
        <f t="shared" si="91"/>
        <v>14.400077494288267</v>
      </c>
    </row>
    <row r="1423" spans="2:27" x14ac:dyDescent="0.2">
      <c r="B1423" s="4" t="s">
        <v>1270</v>
      </c>
      <c r="C1423" s="4">
        <v>14.5846</v>
      </c>
      <c r="D1423" s="4">
        <v>14.51</v>
      </c>
      <c r="E1423" s="4">
        <v>14.8721</v>
      </c>
      <c r="F1423" s="4">
        <f t="shared" si="88"/>
        <v>14.655566666666667</v>
      </c>
      <c r="I1423" s="4" t="s">
        <v>4658</v>
      </c>
      <c r="J1423" s="4">
        <v>14.829000000000001</v>
      </c>
      <c r="K1423" s="4">
        <v>14.9032</v>
      </c>
      <c r="L1423" s="4">
        <v>14.236499999999999</v>
      </c>
      <c r="M1423" s="4">
        <f t="shared" si="89"/>
        <v>14.656233333333333</v>
      </c>
      <c r="P1423" s="4" t="str">
        <f>"T20B12.7"</f>
        <v>T20B12.7</v>
      </c>
      <c r="Q1423" s="4">
        <v>13.9859331779912</v>
      </c>
      <c r="R1423" s="4">
        <v>14.263019547192</v>
      </c>
      <c r="S1423" s="4">
        <v>14.5740567342714</v>
      </c>
      <c r="T1423" s="4">
        <f t="shared" si="90"/>
        <v>14.274336486484868</v>
      </c>
      <c r="W1423" s="4" t="str">
        <f>"vps-16"</f>
        <v>vps-16</v>
      </c>
      <c r="X1423" s="4">
        <v>14.487937295020499</v>
      </c>
      <c r="Y1423" s="4">
        <v>14.368788443552299</v>
      </c>
      <c r="Z1423" s="4">
        <v>14.336295104855701</v>
      </c>
      <c r="AA1423" s="4">
        <f t="shared" si="91"/>
        <v>14.397673614476167</v>
      </c>
    </row>
    <row r="1424" spans="2:27" x14ac:dyDescent="0.2">
      <c r="B1424" s="4" t="s">
        <v>148</v>
      </c>
      <c r="C1424" s="4">
        <v>14.4627</v>
      </c>
      <c r="D1424" s="4">
        <v>15.191700000000001</v>
      </c>
      <c r="E1424" s="4">
        <v>14.310600000000001</v>
      </c>
      <c r="F1424" s="4">
        <f t="shared" si="88"/>
        <v>14.655000000000001</v>
      </c>
      <c r="I1424" s="4" t="s">
        <v>233</v>
      </c>
      <c r="J1424" s="4">
        <v>14.547800000000001</v>
      </c>
      <c r="K1424" s="4">
        <v>14.614100000000001</v>
      </c>
      <c r="L1424" s="4">
        <v>14.7789</v>
      </c>
      <c r="M1424" s="4">
        <f t="shared" si="89"/>
        <v>14.646933333333335</v>
      </c>
      <c r="P1424" s="4" t="str">
        <f>"Y62E10A.6"</f>
        <v>Y62E10A.6</v>
      </c>
      <c r="Q1424" s="4">
        <v>14.3615522521202</v>
      </c>
      <c r="R1424" s="4">
        <v>14.2701014463519</v>
      </c>
      <c r="S1424" s="4">
        <v>14.1912277551267</v>
      </c>
      <c r="T1424" s="4">
        <f t="shared" si="90"/>
        <v>14.274293817866265</v>
      </c>
      <c r="W1424" s="4" t="str">
        <f>"vha-14"</f>
        <v>vha-14</v>
      </c>
      <c r="X1424" s="4">
        <v>14.6076568925796</v>
      </c>
      <c r="Y1424" s="4">
        <v>14.404019411755</v>
      </c>
      <c r="Z1424" s="4">
        <v>14.1790573588173</v>
      </c>
      <c r="AA1424" s="4">
        <f t="shared" si="91"/>
        <v>14.396911221050635</v>
      </c>
    </row>
    <row r="1425" spans="2:27" x14ac:dyDescent="0.2">
      <c r="B1425" s="4" t="s">
        <v>3144</v>
      </c>
      <c r="C1425" s="4">
        <v>14.5755</v>
      </c>
      <c r="D1425" s="4">
        <v>14.518000000000001</v>
      </c>
      <c r="E1425" s="4">
        <v>14.8688</v>
      </c>
      <c r="F1425" s="4">
        <f t="shared" si="88"/>
        <v>14.6541</v>
      </c>
      <c r="I1425" s="4" t="s">
        <v>2832</v>
      </c>
      <c r="J1425" s="4">
        <v>14.7553</v>
      </c>
      <c r="K1425" s="4">
        <v>14.558400000000001</v>
      </c>
      <c r="L1425" s="4">
        <v>14.6233</v>
      </c>
      <c r="M1425" s="4">
        <f t="shared" si="89"/>
        <v>14.645666666666665</v>
      </c>
      <c r="P1425" s="4" t="str">
        <f>"ccf-1"</f>
        <v>ccf-1</v>
      </c>
      <c r="Q1425" s="4">
        <v>14.2236932641074</v>
      </c>
      <c r="R1425" s="4">
        <v>14.15404116369</v>
      </c>
      <c r="S1425" s="4">
        <v>14.4411543419008</v>
      </c>
      <c r="T1425" s="4">
        <f t="shared" si="90"/>
        <v>14.272962923232733</v>
      </c>
      <c r="W1425" s="4" t="str">
        <f>"gpi-1"</f>
        <v>gpi-1</v>
      </c>
      <c r="X1425" s="4">
        <v>14.5688905277287</v>
      </c>
      <c r="Y1425" s="4">
        <v>14.401704859241001</v>
      </c>
      <c r="Z1425" s="4">
        <v>14.2158476836997</v>
      </c>
      <c r="AA1425" s="4">
        <f t="shared" si="91"/>
        <v>14.395481023556465</v>
      </c>
    </row>
    <row r="1426" spans="2:27" x14ac:dyDescent="0.2">
      <c r="B1426" s="4" t="s">
        <v>4254</v>
      </c>
      <c r="C1426" s="4">
        <v>14.635899999999999</v>
      </c>
      <c r="D1426" s="4">
        <v>14.632899999999999</v>
      </c>
      <c r="E1426" s="4">
        <v>14.688000000000001</v>
      </c>
      <c r="F1426" s="4">
        <f t="shared" si="88"/>
        <v>14.652266666666668</v>
      </c>
      <c r="I1426" s="4" t="s">
        <v>3854</v>
      </c>
      <c r="J1426" s="4">
        <v>14.583600000000001</v>
      </c>
      <c r="K1426" s="4">
        <v>14.788600000000001</v>
      </c>
      <c r="L1426" s="4">
        <v>14.559699999999999</v>
      </c>
      <c r="M1426" s="4">
        <f t="shared" si="89"/>
        <v>14.643966666666666</v>
      </c>
      <c r="P1426" s="4" t="str">
        <f>"mek-1"</f>
        <v>mek-1</v>
      </c>
      <c r="Q1426" s="4">
        <v>14.3099044439716</v>
      </c>
      <c r="R1426" s="4">
        <v>14.239352788320099</v>
      </c>
      <c r="S1426" s="4">
        <v>14.269062049670501</v>
      </c>
      <c r="T1426" s="4">
        <f t="shared" si="90"/>
        <v>14.272773093987402</v>
      </c>
      <c r="W1426" s="4" t="str">
        <f>"mek-2"</f>
        <v>mek-2</v>
      </c>
      <c r="X1426" s="4">
        <v>14.3441454245133</v>
      </c>
      <c r="Y1426" s="4">
        <v>14.4260956364949</v>
      </c>
      <c r="Z1426" s="4">
        <v>14.4156834814587</v>
      </c>
      <c r="AA1426" s="4">
        <f t="shared" si="91"/>
        <v>14.395308180822299</v>
      </c>
    </row>
    <row r="1427" spans="2:27" x14ac:dyDescent="0.2">
      <c r="B1427" s="4" t="s">
        <v>990</v>
      </c>
      <c r="C1427" s="4">
        <v>15.0678</v>
      </c>
      <c r="D1427" s="4">
        <v>14.4947</v>
      </c>
      <c r="E1427" s="4">
        <v>14.3934</v>
      </c>
      <c r="F1427" s="4">
        <f t="shared" si="88"/>
        <v>14.651966666666667</v>
      </c>
      <c r="I1427" s="4" t="s">
        <v>2496</v>
      </c>
      <c r="J1427" s="4">
        <v>14.2515</v>
      </c>
      <c r="K1427" s="4">
        <v>15.059699999999999</v>
      </c>
      <c r="L1427" s="4">
        <v>14.617100000000001</v>
      </c>
      <c r="M1427" s="4">
        <f t="shared" si="89"/>
        <v>14.642766666666667</v>
      </c>
      <c r="P1427" s="4" t="str">
        <f>"nhr-46"</f>
        <v>nhr-46</v>
      </c>
      <c r="Q1427" s="4">
        <v>14.3970814261399</v>
      </c>
      <c r="R1427" s="4">
        <v>14.243226240462899</v>
      </c>
      <c r="S1427" s="4">
        <v>14.1750912605166</v>
      </c>
      <c r="T1427" s="4">
        <f t="shared" si="90"/>
        <v>14.271799642373134</v>
      </c>
      <c r="W1427" s="4" t="str">
        <f>"aakb-2"</f>
        <v>aakb-2</v>
      </c>
      <c r="X1427" s="4">
        <v>14.490524273825301</v>
      </c>
      <c r="Y1427" s="4">
        <v>14.4283544920872</v>
      </c>
      <c r="Z1427" s="4">
        <v>14.266690309463</v>
      </c>
      <c r="AA1427" s="4">
        <f t="shared" si="91"/>
        <v>14.395189691791835</v>
      </c>
    </row>
    <row r="1428" spans="2:27" x14ac:dyDescent="0.2">
      <c r="B1428" s="4" t="s">
        <v>1030</v>
      </c>
      <c r="C1428" s="4">
        <v>14.6564</v>
      </c>
      <c r="D1428" s="4">
        <v>14.6652</v>
      </c>
      <c r="E1428" s="4">
        <v>14.632999999999999</v>
      </c>
      <c r="F1428" s="4">
        <f t="shared" si="88"/>
        <v>14.651533333333333</v>
      </c>
      <c r="I1428" s="4" t="s">
        <v>4679</v>
      </c>
      <c r="J1428" s="4">
        <v>14.668100000000001</v>
      </c>
      <c r="K1428" s="4">
        <v>14.696400000000001</v>
      </c>
      <c r="L1428" s="4">
        <v>14.558999999999999</v>
      </c>
      <c r="M1428" s="4">
        <f t="shared" si="89"/>
        <v>14.641166666666665</v>
      </c>
      <c r="P1428" s="4" t="str">
        <f>"W02G9.3"</f>
        <v>W02G9.3</v>
      </c>
      <c r="Q1428" s="4">
        <v>14.1565393308439</v>
      </c>
      <c r="R1428" s="4">
        <v>14.474459140141899</v>
      </c>
      <c r="S1428" s="4">
        <v>14.1843412740551</v>
      </c>
      <c r="T1428" s="4">
        <f t="shared" si="90"/>
        <v>14.271779915013633</v>
      </c>
      <c r="W1428" s="4" t="str">
        <f>"alh-9"</f>
        <v>alh-9</v>
      </c>
      <c r="X1428" s="4">
        <v>14.499701259771101</v>
      </c>
      <c r="Y1428" s="4">
        <v>13.8715635026422</v>
      </c>
      <c r="Z1428" s="4">
        <v>14.8130219642442</v>
      </c>
      <c r="AA1428" s="4">
        <f t="shared" si="91"/>
        <v>14.394762242219167</v>
      </c>
    </row>
    <row r="1429" spans="2:27" x14ac:dyDescent="0.2">
      <c r="B1429" s="4" t="s">
        <v>3193</v>
      </c>
      <c r="C1429" s="4">
        <v>14.640499999999999</v>
      </c>
      <c r="D1429" s="4">
        <v>14.5236</v>
      </c>
      <c r="E1429" s="4">
        <v>14.787699999999999</v>
      </c>
      <c r="F1429" s="4">
        <f t="shared" si="88"/>
        <v>14.650599999999999</v>
      </c>
      <c r="I1429" s="4" t="s">
        <v>718</v>
      </c>
      <c r="J1429" s="4">
        <v>14.5039</v>
      </c>
      <c r="K1429" s="4">
        <v>14.8232</v>
      </c>
      <c r="L1429" s="4">
        <v>14.5905</v>
      </c>
      <c r="M1429" s="4">
        <f t="shared" si="89"/>
        <v>14.639200000000001</v>
      </c>
      <c r="P1429" s="4" t="str">
        <f>"eor-2"</f>
        <v>eor-2</v>
      </c>
      <c r="Q1429" s="4">
        <v>13.895023900576801</v>
      </c>
      <c r="R1429" s="4">
        <v>14.2624403916109</v>
      </c>
      <c r="S1429" s="4">
        <v>14.6558398640774</v>
      </c>
      <c r="T1429" s="4">
        <f t="shared" si="90"/>
        <v>14.271101385421701</v>
      </c>
      <c r="W1429" s="4" t="str">
        <f>"mec-17"</f>
        <v>mec-17</v>
      </c>
      <c r="X1429" s="4">
        <v>14.510909101105501</v>
      </c>
      <c r="Y1429" s="4">
        <v>14.1207221102449</v>
      </c>
      <c r="Z1429" s="4">
        <v>14.5432051465779</v>
      </c>
      <c r="AA1429" s="4">
        <f t="shared" si="91"/>
        <v>14.391612119309434</v>
      </c>
    </row>
    <row r="1430" spans="2:27" x14ac:dyDescent="0.2">
      <c r="B1430" s="4" t="s">
        <v>4663</v>
      </c>
      <c r="C1430" s="4">
        <v>14.7407</v>
      </c>
      <c r="D1430" s="4">
        <v>14.563000000000001</v>
      </c>
      <c r="E1430" s="4">
        <v>14.648099999999999</v>
      </c>
      <c r="F1430" s="4">
        <f t="shared" si="88"/>
        <v>14.650599999999999</v>
      </c>
      <c r="I1430" s="4" t="s">
        <v>941</v>
      </c>
      <c r="J1430" s="4">
        <v>15.0517</v>
      </c>
      <c r="K1430" s="4">
        <v>14.7112</v>
      </c>
      <c r="L1430" s="4">
        <v>14.1534</v>
      </c>
      <c r="M1430" s="4">
        <f t="shared" si="89"/>
        <v>14.638766666666667</v>
      </c>
      <c r="P1430" s="4" t="str">
        <f>"C11D2.4"</f>
        <v>C11D2.4</v>
      </c>
      <c r="Q1430" s="4">
        <v>14.450049821828101</v>
      </c>
      <c r="R1430" s="4">
        <v>14.317709135008201</v>
      </c>
      <c r="S1430" s="4">
        <v>14.0448598110603</v>
      </c>
      <c r="T1430" s="4">
        <f t="shared" si="90"/>
        <v>14.270872922632201</v>
      </c>
      <c r="W1430" s="4" t="str">
        <f>"akt-2"</f>
        <v>akt-2</v>
      </c>
      <c r="X1430" s="4">
        <v>14.123398300082</v>
      </c>
      <c r="Y1430" s="4">
        <v>14.4774350215115</v>
      </c>
      <c r="Z1430" s="4">
        <v>14.5694477502387</v>
      </c>
      <c r="AA1430" s="4">
        <f t="shared" si="91"/>
        <v>14.390093690610733</v>
      </c>
    </row>
    <row r="1431" spans="2:27" x14ac:dyDescent="0.2">
      <c r="B1431" s="4" t="s">
        <v>277</v>
      </c>
      <c r="C1431" s="4">
        <v>14.6433</v>
      </c>
      <c r="D1431" s="4">
        <v>14.5783</v>
      </c>
      <c r="E1431" s="4">
        <v>14.729699999999999</v>
      </c>
      <c r="F1431" s="4">
        <f t="shared" si="88"/>
        <v>14.650433333333334</v>
      </c>
      <c r="I1431" s="4" t="s">
        <v>2867</v>
      </c>
      <c r="J1431" s="4">
        <v>14.9031</v>
      </c>
      <c r="K1431" s="4">
        <v>15.024800000000001</v>
      </c>
      <c r="L1431" s="4">
        <v>13.985200000000001</v>
      </c>
      <c r="M1431" s="4">
        <f t="shared" si="89"/>
        <v>14.637700000000001</v>
      </c>
      <c r="P1431" s="4" t="str">
        <f>"F13A7.7"</f>
        <v>F13A7.7</v>
      </c>
      <c r="Q1431" s="4">
        <v>14.1692348252791</v>
      </c>
      <c r="R1431" s="4">
        <v>14.2733065940918</v>
      </c>
      <c r="S1431" s="4">
        <v>14.3687596113325</v>
      </c>
      <c r="T1431" s="4">
        <f t="shared" si="90"/>
        <v>14.270433676901133</v>
      </c>
      <c r="W1431" s="4" t="str">
        <f>"Y45F10D.7"</f>
        <v>Y45F10D.7</v>
      </c>
      <c r="X1431" s="4">
        <v>14.3247553134933</v>
      </c>
      <c r="Y1431" s="4">
        <v>14.356586426937699</v>
      </c>
      <c r="Z1431" s="4">
        <v>14.4762085921113</v>
      </c>
      <c r="AA1431" s="4">
        <f t="shared" si="91"/>
        <v>14.385850110847434</v>
      </c>
    </row>
    <row r="1432" spans="2:27" x14ac:dyDescent="0.2">
      <c r="B1432" s="4" t="s">
        <v>3604</v>
      </c>
      <c r="C1432" s="4">
        <v>14.573600000000001</v>
      </c>
      <c r="D1432" s="4">
        <v>14.7464</v>
      </c>
      <c r="E1432" s="4">
        <v>14.627000000000001</v>
      </c>
      <c r="F1432" s="4">
        <f t="shared" si="88"/>
        <v>14.649000000000001</v>
      </c>
      <c r="I1432" s="4" t="s">
        <v>4680</v>
      </c>
      <c r="J1432" s="4">
        <v>14.350199999999999</v>
      </c>
      <c r="K1432" s="4">
        <v>14.4419</v>
      </c>
      <c r="L1432" s="4">
        <v>15.1151</v>
      </c>
      <c r="M1432" s="4">
        <f t="shared" si="89"/>
        <v>14.635733333333333</v>
      </c>
      <c r="P1432" s="4" t="str">
        <f>"fard-1"</f>
        <v>fard-1</v>
      </c>
      <c r="Q1432" s="4">
        <v>14.0987544630899</v>
      </c>
      <c r="R1432" s="4">
        <v>14.3679326313058</v>
      </c>
      <c r="S1432" s="4">
        <v>14.343311713786999</v>
      </c>
      <c r="T1432" s="4">
        <f t="shared" si="90"/>
        <v>14.269999602727566</v>
      </c>
      <c r="W1432" s="4" t="str">
        <f>"ule-1"</f>
        <v>ule-1</v>
      </c>
      <c r="X1432" s="4">
        <v>14.499932713551299</v>
      </c>
      <c r="Y1432" s="4">
        <v>14.2976487485532</v>
      </c>
      <c r="Z1432" s="4">
        <v>14.3568805154512</v>
      </c>
      <c r="AA1432" s="4">
        <f t="shared" si="91"/>
        <v>14.384820659185232</v>
      </c>
    </row>
    <row r="1433" spans="2:27" x14ac:dyDescent="0.2">
      <c r="B1433" s="4" t="s">
        <v>3005</v>
      </c>
      <c r="C1433" s="4">
        <v>14.5586</v>
      </c>
      <c r="D1433" s="4">
        <v>14.8315</v>
      </c>
      <c r="E1433" s="4">
        <v>14.5558</v>
      </c>
      <c r="F1433" s="4">
        <f t="shared" si="88"/>
        <v>14.648633333333335</v>
      </c>
      <c r="I1433" s="4" t="s">
        <v>2652</v>
      </c>
      <c r="J1433" s="4">
        <v>14.3041</v>
      </c>
      <c r="K1433" s="4">
        <v>14.5021</v>
      </c>
      <c r="L1433" s="4">
        <v>15.096500000000001</v>
      </c>
      <c r="M1433" s="4">
        <f t="shared" si="89"/>
        <v>14.634233333333334</v>
      </c>
      <c r="P1433" s="4" t="str">
        <f>"dab-1"</f>
        <v>dab-1</v>
      </c>
      <c r="Q1433" s="4">
        <v>14.032503987657099</v>
      </c>
      <c r="R1433" s="4">
        <v>14.313673912195901</v>
      </c>
      <c r="S1433" s="4">
        <v>14.451777641741</v>
      </c>
      <c r="T1433" s="4">
        <f t="shared" si="90"/>
        <v>14.265985180531333</v>
      </c>
      <c r="W1433" s="4" t="str">
        <f>"daf-22"</f>
        <v>daf-22</v>
      </c>
      <c r="X1433" s="4">
        <v>14.2538788448928</v>
      </c>
      <c r="Y1433" s="4">
        <v>14.253242234877799</v>
      </c>
      <c r="Z1433" s="4">
        <v>14.647235234935399</v>
      </c>
      <c r="AA1433" s="4">
        <f t="shared" si="91"/>
        <v>14.384785438235333</v>
      </c>
    </row>
    <row r="1434" spans="2:27" x14ac:dyDescent="0.2">
      <c r="B1434" s="4" t="s">
        <v>3067</v>
      </c>
      <c r="C1434" s="4">
        <v>14.4747</v>
      </c>
      <c r="D1434" s="4">
        <v>14.7575</v>
      </c>
      <c r="E1434" s="4">
        <v>14.7102</v>
      </c>
      <c r="F1434" s="4">
        <f t="shared" si="88"/>
        <v>14.647466666666666</v>
      </c>
      <c r="I1434" s="4" t="s">
        <v>602</v>
      </c>
      <c r="J1434" s="4">
        <v>14.5954</v>
      </c>
      <c r="K1434" s="4">
        <v>14.5886</v>
      </c>
      <c r="L1434" s="4">
        <v>14.7171</v>
      </c>
      <c r="M1434" s="4">
        <f t="shared" si="89"/>
        <v>14.633699999999999</v>
      </c>
      <c r="P1434" s="4" t="str">
        <f>"cid-1"</f>
        <v>cid-1</v>
      </c>
      <c r="Q1434" s="4">
        <v>14.2202910024867</v>
      </c>
      <c r="R1434" s="4">
        <v>14.290982742119301</v>
      </c>
      <c r="S1434" s="4">
        <v>14.2850105303792</v>
      </c>
      <c r="T1434" s="4">
        <f t="shared" si="90"/>
        <v>14.265428091661732</v>
      </c>
      <c r="W1434" s="4" t="str">
        <f>"rab-14"</f>
        <v>rab-14</v>
      </c>
      <c r="X1434" s="4">
        <v>14.4411595371394</v>
      </c>
      <c r="Y1434" s="4">
        <v>14.3625388232056</v>
      </c>
      <c r="Z1434" s="4">
        <v>14.349849476609799</v>
      </c>
      <c r="AA1434" s="4">
        <f t="shared" si="91"/>
        <v>14.3845159456516</v>
      </c>
    </row>
    <row r="1435" spans="2:27" x14ac:dyDescent="0.2">
      <c r="B1435" s="4" t="s">
        <v>1103</v>
      </c>
      <c r="C1435" s="4">
        <v>14.4384</v>
      </c>
      <c r="D1435" s="4">
        <v>14.9268</v>
      </c>
      <c r="E1435" s="4">
        <v>14.5716</v>
      </c>
      <c r="F1435" s="4">
        <f t="shared" si="88"/>
        <v>14.645600000000002</v>
      </c>
      <c r="I1435" s="4" t="s">
        <v>2860</v>
      </c>
      <c r="J1435" s="4">
        <v>14.326700000000001</v>
      </c>
      <c r="K1435" s="4">
        <v>14.4673</v>
      </c>
      <c r="L1435" s="4">
        <v>15.106199999999999</v>
      </c>
      <c r="M1435" s="4">
        <f t="shared" si="89"/>
        <v>14.6334</v>
      </c>
      <c r="P1435" s="4" t="str">
        <f>"emc-1"</f>
        <v>emc-1</v>
      </c>
      <c r="Q1435" s="4">
        <v>14.099968707558199</v>
      </c>
      <c r="R1435" s="4">
        <v>14.2698859488371</v>
      </c>
      <c r="S1435" s="4">
        <v>14.424532455102201</v>
      </c>
      <c r="T1435" s="4">
        <f t="shared" si="90"/>
        <v>14.264795703832499</v>
      </c>
      <c r="W1435" s="4" t="str">
        <f>"ttr-41"</f>
        <v>ttr-41</v>
      </c>
      <c r="X1435" s="4">
        <v>14.4087484571702</v>
      </c>
      <c r="Y1435" s="4">
        <v>14.520563829176799</v>
      </c>
      <c r="Z1435" s="4">
        <v>14.218877588038</v>
      </c>
      <c r="AA1435" s="4">
        <f t="shared" si="91"/>
        <v>14.382729958128332</v>
      </c>
    </row>
    <row r="1436" spans="2:27" x14ac:dyDescent="0.2">
      <c r="B1436" s="4" t="s">
        <v>2720</v>
      </c>
      <c r="C1436" s="4">
        <v>14.4396</v>
      </c>
      <c r="D1436" s="4">
        <v>14.1175</v>
      </c>
      <c r="E1436" s="4">
        <v>15.3713</v>
      </c>
      <c r="F1436" s="4">
        <f t="shared" si="88"/>
        <v>14.642799999999999</v>
      </c>
      <c r="I1436" s="4" t="s">
        <v>1292</v>
      </c>
      <c r="J1436" s="4">
        <v>14.493399999999999</v>
      </c>
      <c r="K1436" s="4">
        <v>15.0215</v>
      </c>
      <c r="L1436" s="4">
        <v>14.3827</v>
      </c>
      <c r="M1436" s="4">
        <f t="shared" si="89"/>
        <v>14.632533333333333</v>
      </c>
      <c r="P1436" s="4" t="str">
        <f>"Y87G2A.19"</f>
        <v>Y87G2A.19</v>
      </c>
      <c r="Q1436" s="4">
        <v>14.3041894042663</v>
      </c>
      <c r="R1436" s="4">
        <v>14.0577522932447</v>
      </c>
      <c r="S1436" s="4">
        <v>14.429879298758999</v>
      </c>
      <c r="T1436" s="4">
        <f t="shared" si="90"/>
        <v>14.26394033209</v>
      </c>
      <c r="W1436" s="4" t="str">
        <f>"let-60"</f>
        <v>let-60</v>
      </c>
      <c r="X1436" s="4">
        <v>14.3975324265833</v>
      </c>
      <c r="Y1436" s="4">
        <v>14.269630093749001</v>
      </c>
      <c r="Z1436" s="4">
        <v>14.4772760323466</v>
      </c>
      <c r="AA1436" s="4">
        <f t="shared" si="91"/>
        <v>14.381479517559633</v>
      </c>
    </row>
    <row r="1437" spans="2:27" x14ac:dyDescent="0.2">
      <c r="B1437" s="4" t="s">
        <v>3244</v>
      </c>
      <c r="C1437" s="4">
        <v>15.0274</v>
      </c>
      <c r="D1437" s="4">
        <v>14.5526</v>
      </c>
      <c r="E1437" s="4">
        <v>14.3477</v>
      </c>
      <c r="F1437" s="4">
        <f t="shared" si="88"/>
        <v>14.642566666666667</v>
      </c>
      <c r="I1437" s="4" t="s">
        <v>4660</v>
      </c>
      <c r="J1437" s="4">
        <v>14.714</v>
      </c>
      <c r="K1437" s="4">
        <v>14.7941</v>
      </c>
      <c r="L1437" s="4">
        <v>14.389099999999999</v>
      </c>
      <c r="M1437" s="4">
        <f t="shared" si="89"/>
        <v>14.632399999999999</v>
      </c>
      <c r="P1437" s="4" t="str">
        <f>"mrps-27"</f>
        <v>mrps-27</v>
      </c>
      <c r="Q1437" s="4">
        <v>14.3752490863332</v>
      </c>
      <c r="R1437" s="4">
        <v>14.2091309431363</v>
      </c>
      <c r="S1437" s="4">
        <v>14.2066508050672</v>
      </c>
      <c r="T1437" s="4">
        <f t="shared" si="90"/>
        <v>14.263676944845566</v>
      </c>
      <c r="W1437" s="4" t="str">
        <f>"ttr-25"</f>
        <v>ttr-25</v>
      </c>
      <c r="X1437" s="4">
        <v>14.6263519593487</v>
      </c>
      <c r="Y1437" s="4">
        <v>14.281633586820901</v>
      </c>
      <c r="Z1437" s="4">
        <v>14.234080394967499</v>
      </c>
      <c r="AA1437" s="4">
        <f t="shared" si="91"/>
        <v>14.3806886470457</v>
      </c>
    </row>
    <row r="1438" spans="2:27" x14ac:dyDescent="0.2">
      <c r="B1438" s="4" t="s">
        <v>4679</v>
      </c>
      <c r="C1438" s="4">
        <v>14.540100000000001</v>
      </c>
      <c r="D1438" s="4">
        <v>14.657400000000001</v>
      </c>
      <c r="E1438" s="4">
        <v>14.7273</v>
      </c>
      <c r="F1438" s="4">
        <f t="shared" si="88"/>
        <v>14.641600000000002</v>
      </c>
      <c r="I1438" s="4" t="s">
        <v>4145</v>
      </c>
      <c r="J1438" s="4">
        <v>14.389799999999999</v>
      </c>
      <c r="K1438" s="4">
        <v>14.500500000000001</v>
      </c>
      <c r="L1438" s="4">
        <v>15.004200000000001</v>
      </c>
      <c r="M1438" s="4">
        <f t="shared" si="89"/>
        <v>14.631500000000001</v>
      </c>
      <c r="P1438" s="4" t="str">
        <f>"cpz-1"</f>
        <v>cpz-1</v>
      </c>
      <c r="Q1438" s="4">
        <v>14.0259960456212</v>
      </c>
      <c r="R1438" s="4">
        <v>14.3584494350493</v>
      </c>
      <c r="S1438" s="4">
        <v>14.404442664105099</v>
      </c>
      <c r="T1438" s="4">
        <f t="shared" si="90"/>
        <v>14.2629627149252</v>
      </c>
      <c r="W1438" s="4" t="str">
        <f>"emc-1"</f>
        <v>emc-1</v>
      </c>
      <c r="X1438" s="4">
        <v>14.472242953581199</v>
      </c>
      <c r="Y1438" s="4">
        <v>14.3774172475804</v>
      </c>
      <c r="Z1438" s="4">
        <v>14.2919296894946</v>
      </c>
      <c r="AA1438" s="4">
        <f t="shared" si="91"/>
        <v>14.380529963552066</v>
      </c>
    </row>
    <row r="1439" spans="2:27" x14ac:dyDescent="0.2">
      <c r="B1439" s="4" t="s">
        <v>3526</v>
      </c>
      <c r="C1439" s="4">
        <v>14.855399999999999</v>
      </c>
      <c r="D1439" s="4">
        <v>14.672499999999999</v>
      </c>
      <c r="E1439" s="4">
        <v>14.3919</v>
      </c>
      <c r="F1439" s="4">
        <f t="shared" si="88"/>
        <v>14.639933333333332</v>
      </c>
      <c r="I1439" s="4" t="s">
        <v>3988</v>
      </c>
      <c r="J1439" s="4">
        <v>14.4617</v>
      </c>
      <c r="K1439" s="4">
        <v>14.6286</v>
      </c>
      <c r="L1439" s="4">
        <v>14.7941</v>
      </c>
      <c r="M1439" s="4">
        <f t="shared" si="89"/>
        <v>14.628133333333333</v>
      </c>
      <c r="P1439" s="4" t="str">
        <f>"hpo-12"</f>
        <v>hpo-12</v>
      </c>
      <c r="Q1439" s="4">
        <v>14.2002506536966</v>
      </c>
      <c r="R1439" s="4">
        <v>14.2677486635201</v>
      </c>
      <c r="S1439" s="4">
        <v>14.3117445854304</v>
      </c>
      <c r="T1439" s="4">
        <f t="shared" si="90"/>
        <v>14.259914634215699</v>
      </c>
      <c r="W1439" s="4" t="str">
        <f>"bub-1"</f>
        <v>bub-1</v>
      </c>
      <c r="X1439" s="4">
        <v>14.451439895879</v>
      </c>
      <c r="Y1439" s="4">
        <v>14.5123108552903</v>
      </c>
      <c r="Z1439" s="4">
        <v>14.177171622523</v>
      </c>
      <c r="AA1439" s="4">
        <f t="shared" si="91"/>
        <v>14.380307457897432</v>
      </c>
    </row>
    <row r="1440" spans="2:27" x14ac:dyDescent="0.2">
      <c r="B1440" s="4" t="s">
        <v>1428</v>
      </c>
      <c r="C1440" s="4">
        <v>14.529400000000001</v>
      </c>
      <c r="D1440" s="4">
        <v>14.669600000000001</v>
      </c>
      <c r="E1440" s="4">
        <v>14.7166</v>
      </c>
      <c r="F1440" s="4">
        <f t="shared" si="88"/>
        <v>14.638533333333333</v>
      </c>
      <c r="I1440" s="4" t="s">
        <v>3005</v>
      </c>
      <c r="J1440" s="4">
        <v>14.568</v>
      </c>
      <c r="K1440" s="4">
        <v>14.757099999999999</v>
      </c>
      <c r="L1440" s="4">
        <v>14.5549</v>
      </c>
      <c r="M1440" s="4">
        <f t="shared" si="89"/>
        <v>14.626666666666665</v>
      </c>
      <c r="P1440" s="4" t="str">
        <f>"tbc-2"</f>
        <v>tbc-2</v>
      </c>
      <c r="Q1440" s="4">
        <v>14.2927981410832</v>
      </c>
      <c r="R1440" s="4">
        <v>14.308112179916099</v>
      </c>
      <c r="S1440" s="4">
        <v>14.166672317938801</v>
      </c>
      <c r="T1440" s="4">
        <f t="shared" si="90"/>
        <v>14.255860879646031</v>
      </c>
      <c r="W1440" s="4" t="str">
        <f>"acdh-6"</f>
        <v>acdh-6</v>
      </c>
      <c r="X1440" s="4">
        <v>14.162747757035399</v>
      </c>
      <c r="Y1440" s="4">
        <v>14.3015196173808</v>
      </c>
      <c r="Z1440" s="4">
        <v>14.674135431061799</v>
      </c>
      <c r="AA1440" s="4">
        <f t="shared" si="91"/>
        <v>14.379467601825999</v>
      </c>
    </row>
    <row r="1441" spans="2:27" x14ac:dyDescent="0.2">
      <c r="B1441" s="4" t="s">
        <v>4681</v>
      </c>
      <c r="C1441" s="4">
        <v>14.2425</v>
      </c>
      <c r="D1441" s="4">
        <v>14.767099999999999</v>
      </c>
      <c r="E1441" s="4">
        <v>14.894399999999999</v>
      </c>
      <c r="F1441" s="4">
        <f t="shared" si="88"/>
        <v>14.634666666666666</v>
      </c>
      <c r="I1441" s="4" t="s">
        <v>4653</v>
      </c>
      <c r="J1441" s="4">
        <v>14.8849</v>
      </c>
      <c r="K1441" s="4">
        <v>15.226100000000001</v>
      </c>
      <c r="L1441" s="4">
        <v>13.7675</v>
      </c>
      <c r="M1441" s="4">
        <f t="shared" si="89"/>
        <v>14.626166666666668</v>
      </c>
      <c r="P1441" s="4" t="str">
        <f>"set-26"</f>
        <v>set-26</v>
      </c>
      <c r="Q1441" s="4">
        <v>14.3040147388816</v>
      </c>
      <c r="R1441" s="4">
        <v>14.0730463119641</v>
      </c>
      <c r="S1441" s="4">
        <v>14.3882694059723</v>
      </c>
      <c r="T1441" s="4">
        <f t="shared" si="90"/>
        <v>14.255110152272666</v>
      </c>
      <c r="W1441" s="4" t="str">
        <f>"mrps-27"</f>
        <v>mrps-27</v>
      </c>
      <c r="X1441" s="4">
        <v>14.203466864582801</v>
      </c>
      <c r="Y1441" s="4">
        <v>14.228911921581</v>
      </c>
      <c r="Z1441" s="4">
        <v>14.7035909926873</v>
      </c>
      <c r="AA1441" s="4">
        <f t="shared" si="91"/>
        <v>14.378656592950369</v>
      </c>
    </row>
    <row r="1442" spans="2:27" x14ac:dyDescent="0.2">
      <c r="B1442" s="4" t="s">
        <v>2587</v>
      </c>
      <c r="C1442" s="4">
        <v>14.884499999999999</v>
      </c>
      <c r="D1442" s="4">
        <v>14.1332</v>
      </c>
      <c r="E1442" s="4">
        <v>14.8851</v>
      </c>
      <c r="F1442" s="4">
        <f t="shared" si="88"/>
        <v>14.634266666666667</v>
      </c>
      <c r="I1442" s="4" t="s">
        <v>2878</v>
      </c>
      <c r="J1442" s="4">
        <v>14.8508</v>
      </c>
      <c r="K1442" s="4">
        <v>14.4588</v>
      </c>
      <c r="L1442" s="4">
        <v>14.567600000000001</v>
      </c>
      <c r="M1442" s="4">
        <f t="shared" si="89"/>
        <v>14.625733333333335</v>
      </c>
      <c r="P1442" s="4" t="str">
        <f>"cdk-7"</f>
        <v>cdk-7</v>
      </c>
      <c r="Q1442" s="4">
        <v>14.3088967649261</v>
      </c>
      <c r="R1442" s="4">
        <v>14.2966828815387</v>
      </c>
      <c r="S1442" s="4">
        <v>14.155057808602701</v>
      </c>
      <c r="T1442" s="4">
        <f t="shared" si="90"/>
        <v>14.253545818355834</v>
      </c>
      <c r="W1442" s="4" t="str">
        <f>"ufd-2"</f>
        <v>ufd-2</v>
      </c>
      <c r="X1442" s="4">
        <v>14.658797087446599</v>
      </c>
      <c r="Y1442" s="4">
        <v>14.400940847712</v>
      </c>
      <c r="Z1442" s="4">
        <v>14.0756677959659</v>
      </c>
      <c r="AA1442" s="4">
        <f t="shared" si="91"/>
        <v>14.378468577041501</v>
      </c>
    </row>
    <row r="1443" spans="2:27" x14ac:dyDescent="0.2">
      <c r="B1443" s="4" t="s">
        <v>3448</v>
      </c>
      <c r="C1443" s="4">
        <v>14.4956</v>
      </c>
      <c r="D1443" s="4">
        <v>14.7805</v>
      </c>
      <c r="E1443" s="4">
        <v>14.6182</v>
      </c>
      <c r="F1443" s="4">
        <f t="shared" si="88"/>
        <v>14.631433333333334</v>
      </c>
      <c r="I1443" s="4" t="s">
        <v>3278</v>
      </c>
      <c r="J1443" s="4">
        <v>14.637600000000001</v>
      </c>
      <c r="K1443" s="4">
        <v>14.827199999999999</v>
      </c>
      <c r="L1443" s="4">
        <v>14.411899999999999</v>
      </c>
      <c r="M1443" s="4">
        <f t="shared" si="89"/>
        <v>14.625566666666666</v>
      </c>
      <c r="P1443" s="4" t="str">
        <f>"sma-1"</f>
        <v>sma-1</v>
      </c>
      <c r="Q1443" s="4">
        <v>14.503081994688401</v>
      </c>
      <c r="R1443" s="4">
        <v>13.957306786435</v>
      </c>
      <c r="S1443" s="4">
        <v>14.296675438849</v>
      </c>
      <c r="T1443" s="4">
        <f t="shared" si="90"/>
        <v>14.2523547399908</v>
      </c>
      <c r="W1443" s="4" t="str">
        <f>"cyc-1"</f>
        <v>cyc-1</v>
      </c>
      <c r="X1443" s="4">
        <v>14.213310305374399</v>
      </c>
      <c r="Y1443" s="4">
        <v>14.326220907666899</v>
      </c>
      <c r="Z1443" s="4">
        <v>14.5901497025719</v>
      </c>
      <c r="AA1443" s="4">
        <f t="shared" si="91"/>
        <v>14.3765603052044</v>
      </c>
    </row>
    <row r="1444" spans="2:27" x14ac:dyDescent="0.2">
      <c r="B1444" s="4" t="s">
        <v>1686</v>
      </c>
      <c r="C1444" s="4">
        <v>14.749700000000001</v>
      </c>
      <c r="D1444" s="4">
        <v>14.5207</v>
      </c>
      <c r="E1444" s="4">
        <v>14.620699999999999</v>
      </c>
      <c r="F1444" s="4">
        <f t="shared" si="88"/>
        <v>14.630366666666667</v>
      </c>
      <c r="I1444" s="4" t="s">
        <v>3653</v>
      </c>
      <c r="J1444" s="4">
        <v>14.5824</v>
      </c>
      <c r="K1444" s="4">
        <v>14.6065</v>
      </c>
      <c r="L1444" s="4">
        <v>14.687200000000001</v>
      </c>
      <c r="M1444" s="4">
        <f t="shared" si="89"/>
        <v>14.625366666666666</v>
      </c>
      <c r="P1444" s="4" t="str">
        <f>"rsbp-1"</f>
        <v>rsbp-1</v>
      </c>
      <c r="Q1444" s="4">
        <v>14.167265429373501</v>
      </c>
      <c r="R1444" s="4">
        <v>14.2780821639862</v>
      </c>
      <c r="S1444" s="4">
        <v>14.309130420072</v>
      </c>
      <c r="T1444" s="4">
        <f t="shared" si="90"/>
        <v>14.2514926711439</v>
      </c>
      <c r="W1444" s="4" t="str">
        <f>"rad-50"</f>
        <v>rad-50</v>
      </c>
      <c r="X1444" s="4">
        <v>14.402519899783499</v>
      </c>
      <c r="Y1444" s="4">
        <v>14.354381257839099</v>
      </c>
      <c r="Z1444" s="4">
        <v>14.367330574069101</v>
      </c>
      <c r="AA1444" s="4">
        <f t="shared" si="91"/>
        <v>14.3747439105639</v>
      </c>
    </row>
    <row r="1445" spans="2:27" x14ac:dyDescent="0.2">
      <c r="B1445" s="4" t="s">
        <v>3662</v>
      </c>
      <c r="C1445" s="4">
        <v>14.7225</v>
      </c>
      <c r="D1445" s="4">
        <v>14.4442</v>
      </c>
      <c r="E1445" s="4">
        <v>14.723699999999999</v>
      </c>
      <c r="F1445" s="4">
        <f t="shared" si="88"/>
        <v>14.630133333333333</v>
      </c>
      <c r="I1445" s="4" t="s">
        <v>1563</v>
      </c>
      <c r="J1445" s="4">
        <v>14.604100000000001</v>
      </c>
      <c r="K1445" s="4">
        <v>14.088200000000001</v>
      </c>
      <c r="L1445" s="4">
        <v>15.183400000000001</v>
      </c>
      <c r="M1445" s="4">
        <f t="shared" si="89"/>
        <v>14.625233333333334</v>
      </c>
      <c r="P1445" s="4" t="str">
        <f>"tba-8"</f>
        <v>tba-8</v>
      </c>
      <c r="Q1445" s="4">
        <v>14.372982587614899</v>
      </c>
      <c r="R1445" s="4">
        <v>14.472765422723199</v>
      </c>
      <c r="S1445" s="4">
        <v>13.9061194704096</v>
      </c>
      <c r="T1445" s="4">
        <f t="shared" si="90"/>
        <v>14.250622493582567</v>
      </c>
      <c r="W1445" s="4" t="str">
        <f>"cdk-7"</f>
        <v>cdk-7</v>
      </c>
      <c r="X1445" s="4">
        <v>13.9743526284591</v>
      </c>
      <c r="Y1445" s="4">
        <v>14.4820031431563</v>
      </c>
      <c r="Z1445" s="4">
        <v>14.664951668168699</v>
      </c>
      <c r="AA1445" s="4">
        <f t="shared" si="91"/>
        <v>14.373769146594698</v>
      </c>
    </row>
    <row r="1446" spans="2:27" x14ac:dyDescent="0.2">
      <c r="B1446" s="4" t="s">
        <v>1467</v>
      </c>
      <c r="C1446" s="4">
        <v>14.560600000000001</v>
      </c>
      <c r="D1446" s="4">
        <v>14.5962</v>
      </c>
      <c r="E1446" s="4">
        <v>14.733499999999999</v>
      </c>
      <c r="F1446" s="4">
        <f t="shared" si="88"/>
        <v>14.630099999999999</v>
      </c>
      <c r="I1446" s="4" t="s">
        <v>2789</v>
      </c>
      <c r="J1446" s="4">
        <v>14.7096</v>
      </c>
      <c r="K1446" s="4">
        <v>14.7037</v>
      </c>
      <c r="L1446" s="4">
        <v>14.4588</v>
      </c>
      <c r="M1446" s="4">
        <f t="shared" si="89"/>
        <v>14.624033333333335</v>
      </c>
      <c r="P1446" s="4" t="str">
        <f>"smg-6"</f>
        <v>smg-6</v>
      </c>
      <c r="Q1446" s="4">
        <v>14.1792614829267</v>
      </c>
      <c r="R1446" s="4">
        <v>14.241025271982201</v>
      </c>
      <c r="S1446" s="4">
        <v>14.3275552359817</v>
      </c>
      <c r="T1446" s="4">
        <f t="shared" si="90"/>
        <v>14.2492806636302</v>
      </c>
      <c r="W1446" s="4" t="str">
        <f>"crls-1"</f>
        <v>crls-1</v>
      </c>
      <c r="X1446" s="4">
        <v>14.327187230847001</v>
      </c>
      <c r="Y1446" s="4">
        <v>14.557682199275201</v>
      </c>
      <c r="Z1446" s="4">
        <v>14.2352203235823</v>
      </c>
      <c r="AA1446" s="4">
        <f t="shared" si="91"/>
        <v>14.373363251234835</v>
      </c>
    </row>
    <row r="1447" spans="2:27" x14ac:dyDescent="0.2">
      <c r="B1447" s="4" t="s">
        <v>3872</v>
      </c>
      <c r="C1447" s="4">
        <v>14.5631</v>
      </c>
      <c r="D1447" s="4">
        <v>14.987500000000001</v>
      </c>
      <c r="E1447" s="4">
        <v>14.338800000000001</v>
      </c>
      <c r="F1447" s="4">
        <f t="shared" si="88"/>
        <v>14.629800000000001</v>
      </c>
      <c r="I1447" s="4" t="s">
        <v>448</v>
      </c>
      <c r="J1447" s="4">
        <v>15.263199999999999</v>
      </c>
      <c r="K1447" s="4">
        <v>14.8863</v>
      </c>
      <c r="L1447" s="4">
        <v>13.7187</v>
      </c>
      <c r="M1447" s="4">
        <f t="shared" si="89"/>
        <v>14.622733333333334</v>
      </c>
      <c r="P1447" s="4" t="str">
        <f>"ostb-1"</f>
        <v>ostb-1</v>
      </c>
      <c r="Q1447" s="4">
        <v>13.906621080654499</v>
      </c>
      <c r="R1447" s="4">
        <v>14.2569045799222</v>
      </c>
      <c r="S1447" s="4">
        <v>14.5786669444594</v>
      </c>
      <c r="T1447" s="4">
        <f t="shared" si="90"/>
        <v>14.247397535012032</v>
      </c>
      <c r="W1447" s="4" t="str">
        <f>"rla-1"</f>
        <v>rla-1</v>
      </c>
      <c r="X1447" s="4">
        <v>14.692380561302899</v>
      </c>
      <c r="Y1447" s="4">
        <v>14.062609792897099</v>
      </c>
      <c r="Z1447" s="4">
        <v>14.3591882986968</v>
      </c>
      <c r="AA1447" s="4">
        <f t="shared" si="91"/>
        <v>14.371392884298933</v>
      </c>
    </row>
    <row r="1448" spans="2:27" x14ac:dyDescent="0.2">
      <c r="B1448" s="4" t="s">
        <v>1321</v>
      </c>
      <c r="C1448" s="4">
        <v>14.8649</v>
      </c>
      <c r="D1448" s="4">
        <v>14.3698</v>
      </c>
      <c r="E1448" s="4">
        <v>14.6502</v>
      </c>
      <c r="F1448" s="4">
        <f t="shared" si="88"/>
        <v>14.628300000000001</v>
      </c>
      <c r="I1448" s="4" t="s">
        <v>4682</v>
      </c>
      <c r="J1448" s="4">
        <v>14.7182</v>
      </c>
      <c r="K1448" s="4">
        <v>14.7354</v>
      </c>
      <c r="L1448" s="4">
        <v>14.410600000000001</v>
      </c>
      <c r="M1448" s="4">
        <f t="shared" si="89"/>
        <v>14.621400000000001</v>
      </c>
      <c r="P1448" s="4" t="str">
        <f>"hrpf-1"</f>
        <v>hrpf-1</v>
      </c>
      <c r="Q1448" s="4">
        <v>14.590734928543499</v>
      </c>
      <c r="R1448" s="4">
        <v>14.018037607723601</v>
      </c>
      <c r="S1448" s="4">
        <v>14.1311985574127</v>
      </c>
      <c r="T1448" s="4">
        <f t="shared" si="90"/>
        <v>14.246657031226599</v>
      </c>
      <c r="W1448" s="4" t="str">
        <f>"C07D8.6"</f>
        <v>C07D8.6</v>
      </c>
      <c r="X1448" s="4">
        <v>14.270992046920499</v>
      </c>
      <c r="Y1448" s="4">
        <v>14.277470877268399</v>
      </c>
      <c r="Z1448" s="4">
        <v>14.5651425614434</v>
      </c>
      <c r="AA1448" s="4">
        <f t="shared" si="91"/>
        <v>14.3712018285441</v>
      </c>
    </row>
    <row r="1449" spans="2:27" x14ac:dyDescent="0.2">
      <c r="B1449" s="4" t="s">
        <v>4028</v>
      </c>
      <c r="C1449" s="4">
        <v>14.4292</v>
      </c>
      <c r="D1449" s="4">
        <v>15.126099999999999</v>
      </c>
      <c r="E1449" s="4">
        <v>14.3279</v>
      </c>
      <c r="F1449" s="4">
        <f t="shared" si="88"/>
        <v>14.627733333333333</v>
      </c>
      <c r="I1449" s="4" t="s">
        <v>3694</v>
      </c>
      <c r="J1449" s="4">
        <v>14.5862</v>
      </c>
      <c r="K1449" s="4">
        <v>14.7407</v>
      </c>
      <c r="L1449" s="4">
        <v>14.526999999999999</v>
      </c>
      <c r="M1449" s="4">
        <f t="shared" si="89"/>
        <v>14.617966666666668</v>
      </c>
      <c r="P1449" s="4" t="str">
        <f>"mup-2"</f>
        <v>mup-2</v>
      </c>
      <c r="Q1449" s="4">
        <v>14.3614740125466</v>
      </c>
      <c r="R1449" s="4">
        <v>14.1990732516355</v>
      </c>
      <c r="S1449" s="4">
        <v>14.1779364554517</v>
      </c>
      <c r="T1449" s="4">
        <f t="shared" si="90"/>
        <v>14.246161239877933</v>
      </c>
      <c r="W1449" s="4" t="str">
        <f>"gop-1"</f>
        <v>gop-1</v>
      </c>
      <c r="X1449" s="4">
        <v>14.083607034349701</v>
      </c>
      <c r="Y1449" s="4">
        <v>14.572981364040499</v>
      </c>
      <c r="Z1449" s="4">
        <v>14.452836638060401</v>
      </c>
      <c r="AA1449" s="4">
        <f t="shared" si="91"/>
        <v>14.369808345483534</v>
      </c>
    </row>
    <row r="1450" spans="2:27" x14ac:dyDescent="0.2">
      <c r="B1450" s="4" t="s">
        <v>1519</v>
      </c>
      <c r="C1450" s="4">
        <v>14.672700000000001</v>
      </c>
      <c r="D1450" s="4">
        <v>14.643599999999999</v>
      </c>
      <c r="E1450" s="4">
        <v>14.566700000000001</v>
      </c>
      <c r="F1450" s="4">
        <f t="shared" si="88"/>
        <v>14.627666666666665</v>
      </c>
      <c r="I1450" s="4" t="s">
        <v>3791</v>
      </c>
      <c r="J1450" s="4">
        <v>15.2354</v>
      </c>
      <c r="K1450" s="4">
        <v>14.169700000000001</v>
      </c>
      <c r="L1450" s="4">
        <v>14.444900000000001</v>
      </c>
      <c r="M1450" s="4">
        <f t="shared" si="89"/>
        <v>14.616666666666667</v>
      </c>
      <c r="P1450" s="4" t="str">
        <f>"upb-1"</f>
        <v>upb-1</v>
      </c>
      <c r="Q1450" s="4">
        <v>14.463659357701101</v>
      </c>
      <c r="R1450" s="4">
        <v>14.0512498875008</v>
      </c>
      <c r="S1450" s="4">
        <v>14.219807351386599</v>
      </c>
      <c r="T1450" s="4">
        <f t="shared" si="90"/>
        <v>14.244905532196166</v>
      </c>
      <c r="W1450" s="4" t="str">
        <f>"T01H3.3"</f>
        <v>T01H3.3</v>
      </c>
      <c r="X1450" s="4">
        <v>14.533223004396101</v>
      </c>
      <c r="Y1450" s="4">
        <v>14.3793002140367</v>
      </c>
      <c r="Z1450" s="4">
        <v>14.193444506591</v>
      </c>
      <c r="AA1450" s="4">
        <f t="shared" si="91"/>
        <v>14.368655908341267</v>
      </c>
    </row>
    <row r="1451" spans="2:27" x14ac:dyDescent="0.2">
      <c r="B1451" s="4" t="s">
        <v>3437</v>
      </c>
      <c r="C1451" s="4">
        <v>14.6105</v>
      </c>
      <c r="D1451" s="4">
        <v>14.7234</v>
      </c>
      <c r="E1451" s="4">
        <v>14.5489</v>
      </c>
      <c r="F1451" s="4">
        <f t="shared" si="88"/>
        <v>14.627600000000001</v>
      </c>
      <c r="I1451" s="4" t="s">
        <v>1428</v>
      </c>
      <c r="J1451" s="4">
        <v>14.7387</v>
      </c>
      <c r="K1451" s="4">
        <v>14.5997</v>
      </c>
      <c r="L1451" s="4">
        <v>14.5101</v>
      </c>
      <c r="M1451" s="4">
        <f t="shared" si="89"/>
        <v>14.616166666666667</v>
      </c>
      <c r="P1451" s="4" t="str">
        <f>"apb-3"</f>
        <v>apb-3</v>
      </c>
      <c r="Q1451" s="4">
        <v>14.3328278096887</v>
      </c>
      <c r="R1451" s="4">
        <v>14.369142243734901</v>
      </c>
      <c r="S1451" s="4">
        <v>14.032729663661399</v>
      </c>
      <c r="T1451" s="4">
        <f t="shared" si="90"/>
        <v>14.244899905695</v>
      </c>
      <c r="W1451" s="4" t="str">
        <f>"tfbm-1"</f>
        <v>tfbm-1</v>
      </c>
      <c r="X1451" s="4">
        <v>14.1681172212951</v>
      </c>
      <c r="Y1451" s="4">
        <v>14.527637851812001</v>
      </c>
      <c r="Z1451" s="4">
        <v>14.4061190428374</v>
      </c>
      <c r="AA1451" s="4">
        <f t="shared" si="91"/>
        <v>14.3672913719815</v>
      </c>
    </row>
    <row r="1452" spans="2:27" x14ac:dyDescent="0.2">
      <c r="B1452" s="4" t="s">
        <v>4683</v>
      </c>
      <c r="C1452" s="4">
        <v>14.4343</v>
      </c>
      <c r="D1452" s="4">
        <v>14.925599999999999</v>
      </c>
      <c r="E1452" s="4">
        <v>14.5206</v>
      </c>
      <c r="F1452" s="4">
        <f t="shared" si="88"/>
        <v>14.626833333333332</v>
      </c>
      <c r="I1452" s="4" t="s">
        <v>2938</v>
      </c>
      <c r="J1452" s="4">
        <v>14.5425</v>
      </c>
      <c r="K1452" s="4">
        <v>14.8416</v>
      </c>
      <c r="L1452" s="4">
        <v>14.4617</v>
      </c>
      <c r="M1452" s="4">
        <f t="shared" si="89"/>
        <v>14.615266666666665</v>
      </c>
      <c r="P1452" s="4" t="str">
        <f>"C09G9.1"</f>
        <v>C09G9.1</v>
      </c>
      <c r="Q1452" s="4">
        <v>14.1597360968363</v>
      </c>
      <c r="R1452" s="4">
        <v>14.196194602789401</v>
      </c>
      <c r="S1452" s="4">
        <v>14.3761323793782</v>
      </c>
      <c r="T1452" s="4">
        <f t="shared" si="90"/>
        <v>14.244021026334634</v>
      </c>
      <c r="W1452" s="4" t="str">
        <f>"pgap-1"</f>
        <v>pgap-1</v>
      </c>
      <c r="X1452" s="4">
        <v>14.5568930885022</v>
      </c>
      <c r="Y1452" s="4">
        <v>14.3018812753552</v>
      </c>
      <c r="Z1452" s="4">
        <v>14.240073605302101</v>
      </c>
      <c r="AA1452" s="4">
        <f t="shared" si="91"/>
        <v>14.366282656386501</v>
      </c>
    </row>
    <row r="1453" spans="2:27" x14ac:dyDescent="0.2">
      <c r="B1453" s="4" t="s">
        <v>2104</v>
      </c>
      <c r="C1453" s="4">
        <v>14.700799999999999</v>
      </c>
      <c r="D1453" s="4">
        <v>14.566700000000001</v>
      </c>
      <c r="E1453" s="4">
        <v>14.613</v>
      </c>
      <c r="F1453" s="4">
        <f t="shared" si="88"/>
        <v>14.626833333333332</v>
      </c>
      <c r="I1453" s="4" t="s">
        <v>1630</v>
      </c>
      <c r="J1453" s="4">
        <v>14.742699999999999</v>
      </c>
      <c r="K1453" s="4">
        <v>14.301</v>
      </c>
      <c r="L1453" s="4">
        <v>14.8012</v>
      </c>
      <c r="M1453" s="4">
        <f t="shared" si="89"/>
        <v>14.614966666666668</v>
      </c>
      <c r="P1453" s="4" t="str">
        <f>"H20J04.9"</f>
        <v>H20J04.9</v>
      </c>
      <c r="Q1453" s="4">
        <v>14.6184363392685</v>
      </c>
      <c r="R1453" s="4">
        <v>14.196318124929499</v>
      </c>
      <c r="S1453" s="4">
        <v>13.913843765038401</v>
      </c>
      <c r="T1453" s="4">
        <f t="shared" si="90"/>
        <v>14.242866076412133</v>
      </c>
      <c r="W1453" s="4" t="str">
        <f>"zfr-1"</f>
        <v>zfr-1</v>
      </c>
      <c r="X1453" s="4">
        <v>14.400377785195699</v>
      </c>
      <c r="Y1453" s="4">
        <v>14.369097457247999</v>
      </c>
      <c r="Z1453" s="4">
        <v>14.3255557312542</v>
      </c>
      <c r="AA1453" s="4">
        <f t="shared" si="91"/>
        <v>14.365010324565965</v>
      </c>
    </row>
    <row r="1454" spans="2:27" x14ac:dyDescent="0.2">
      <c r="B1454" s="4" t="s">
        <v>2646</v>
      </c>
      <c r="C1454" s="4">
        <v>14.677</v>
      </c>
      <c r="D1454" s="4">
        <v>14.545</v>
      </c>
      <c r="E1454" s="4">
        <v>14.6533</v>
      </c>
      <c r="F1454" s="4">
        <f t="shared" si="88"/>
        <v>14.625100000000002</v>
      </c>
      <c r="I1454" s="4" t="s">
        <v>3449</v>
      </c>
      <c r="J1454" s="4">
        <v>14.4749</v>
      </c>
      <c r="K1454" s="4">
        <v>14.7447</v>
      </c>
      <c r="L1454" s="4">
        <v>14.6251</v>
      </c>
      <c r="M1454" s="4">
        <f t="shared" si="89"/>
        <v>14.6149</v>
      </c>
      <c r="P1454" s="4" t="str">
        <f>"atg-13"</f>
        <v>atg-13</v>
      </c>
      <c r="Q1454" s="4">
        <v>14.536180128307601</v>
      </c>
      <c r="R1454" s="4">
        <v>13.9862119062755</v>
      </c>
      <c r="S1454" s="4">
        <v>14.2060748466868</v>
      </c>
      <c r="T1454" s="4">
        <f t="shared" si="90"/>
        <v>14.242822293756632</v>
      </c>
      <c r="W1454" s="4" t="str">
        <f>"mrp-3"</f>
        <v>mrp-3</v>
      </c>
      <c r="X1454" s="4">
        <v>14.588654239037201</v>
      </c>
      <c r="Y1454" s="4">
        <v>14.243785644006</v>
      </c>
      <c r="Z1454" s="4">
        <v>14.249406465431001</v>
      </c>
      <c r="AA1454" s="4">
        <f t="shared" si="91"/>
        <v>14.3606154494914</v>
      </c>
    </row>
    <row r="1455" spans="2:27" x14ac:dyDescent="0.2">
      <c r="B1455" s="4" t="s">
        <v>2772</v>
      </c>
      <c r="C1455" s="4">
        <v>14.3675</v>
      </c>
      <c r="D1455" s="4">
        <v>15.0191</v>
      </c>
      <c r="E1455" s="4">
        <v>14.485300000000001</v>
      </c>
      <c r="F1455" s="4">
        <f t="shared" si="88"/>
        <v>14.623966666666668</v>
      </c>
      <c r="I1455" s="4" t="s">
        <v>1183</v>
      </c>
      <c r="J1455" s="4">
        <v>14.713699999999999</v>
      </c>
      <c r="K1455" s="4">
        <v>14.4527</v>
      </c>
      <c r="L1455" s="4">
        <v>14.677199999999999</v>
      </c>
      <c r="M1455" s="4">
        <f t="shared" si="89"/>
        <v>14.614533333333332</v>
      </c>
      <c r="P1455" s="4" t="str">
        <f>"R07E3.1"</f>
        <v>R07E3.1</v>
      </c>
      <c r="Q1455" s="4">
        <v>14.175779238609801</v>
      </c>
      <c r="R1455" s="4">
        <v>14.244644689029499</v>
      </c>
      <c r="S1455" s="4">
        <v>14.304206602325801</v>
      </c>
      <c r="T1455" s="4">
        <f t="shared" si="90"/>
        <v>14.241543509988366</v>
      </c>
      <c r="W1455" s="4" t="str">
        <f>"str-115"</f>
        <v>str-115</v>
      </c>
      <c r="X1455" s="4">
        <v>14.3240657333016</v>
      </c>
      <c r="Y1455" s="4">
        <v>14.5555272631081</v>
      </c>
      <c r="Z1455" s="4">
        <v>14.1963316822837</v>
      </c>
      <c r="AA1455" s="4">
        <f t="shared" si="91"/>
        <v>14.358641559564466</v>
      </c>
    </row>
    <row r="1456" spans="2:27" x14ac:dyDescent="0.2">
      <c r="B1456" s="4" t="s">
        <v>4164</v>
      </c>
      <c r="C1456" s="4">
        <v>14.7536</v>
      </c>
      <c r="D1456" s="4">
        <v>15.251799999999999</v>
      </c>
      <c r="E1456" s="4">
        <v>13.865600000000001</v>
      </c>
      <c r="F1456" s="4">
        <f t="shared" si="88"/>
        <v>14.623666666666667</v>
      </c>
      <c r="I1456" s="4" t="s">
        <v>943</v>
      </c>
      <c r="J1456" s="4">
        <v>14.4382</v>
      </c>
      <c r="K1456" s="4">
        <v>14.8467</v>
      </c>
      <c r="L1456" s="4">
        <v>14.5571</v>
      </c>
      <c r="M1456" s="4">
        <f t="shared" si="89"/>
        <v>14.613999999999999</v>
      </c>
      <c r="P1456" s="4" t="str">
        <f>"arid-1"</f>
        <v>arid-1</v>
      </c>
      <c r="Q1456" s="4">
        <v>14.1520744355734</v>
      </c>
      <c r="R1456" s="4">
        <v>14.022669781751199</v>
      </c>
      <c r="S1456" s="4">
        <v>14.547589195658899</v>
      </c>
      <c r="T1456" s="4">
        <f t="shared" si="90"/>
        <v>14.240777804327834</v>
      </c>
      <c r="W1456" s="4" t="str">
        <f>"sti-1"</f>
        <v>sti-1</v>
      </c>
      <c r="X1456" s="4">
        <v>14.584481403524601</v>
      </c>
      <c r="Y1456" s="4">
        <v>14.143052769329</v>
      </c>
      <c r="Z1456" s="4">
        <v>14.3482503282778</v>
      </c>
      <c r="AA1456" s="4">
        <f t="shared" si="91"/>
        <v>14.358594833710468</v>
      </c>
    </row>
    <row r="1457" spans="2:27" x14ac:dyDescent="0.2">
      <c r="B1457" s="4" t="s">
        <v>1362</v>
      </c>
      <c r="C1457" s="4">
        <v>14.446099999999999</v>
      </c>
      <c r="D1457" s="4">
        <v>14.7059</v>
      </c>
      <c r="E1457" s="4">
        <v>14.715400000000001</v>
      </c>
      <c r="F1457" s="4">
        <f t="shared" si="88"/>
        <v>14.622466666666668</v>
      </c>
      <c r="I1457" s="4" t="s">
        <v>3933</v>
      </c>
      <c r="J1457" s="4">
        <v>14.2857</v>
      </c>
      <c r="K1457" s="4">
        <v>15.064399999999999</v>
      </c>
      <c r="L1457" s="4">
        <v>14.4846</v>
      </c>
      <c r="M1457" s="4">
        <f t="shared" si="89"/>
        <v>14.611566666666667</v>
      </c>
      <c r="P1457" s="4" t="str">
        <f>"fkb-6"</f>
        <v>fkb-6</v>
      </c>
      <c r="Q1457" s="4">
        <v>13.799032111564401</v>
      </c>
      <c r="R1457" s="4">
        <v>14.397806189055</v>
      </c>
      <c r="S1457" s="4">
        <v>14.5140157681143</v>
      </c>
      <c r="T1457" s="4">
        <f t="shared" si="90"/>
        <v>14.236951356244568</v>
      </c>
      <c r="W1457" s="4" t="str">
        <f>"lin-53"</f>
        <v>lin-53</v>
      </c>
      <c r="X1457" s="4">
        <v>14.449123723646</v>
      </c>
      <c r="Y1457" s="4">
        <v>14.1950881291262</v>
      </c>
      <c r="Z1457" s="4">
        <v>14.428503149940701</v>
      </c>
      <c r="AA1457" s="4">
        <f t="shared" si="91"/>
        <v>14.357571667570967</v>
      </c>
    </row>
    <row r="1458" spans="2:27" x14ac:dyDescent="0.2">
      <c r="B1458" s="4" t="s">
        <v>4684</v>
      </c>
      <c r="C1458" s="4">
        <v>14.7278</v>
      </c>
      <c r="D1458" s="4">
        <v>14.5665</v>
      </c>
      <c r="E1458" s="4">
        <v>14.5722</v>
      </c>
      <c r="F1458" s="4">
        <f t="shared" si="88"/>
        <v>14.622166666666667</v>
      </c>
      <c r="I1458" s="4" t="s">
        <v>2461</v>
      </c>
      <c r="J1458" s="4">
        <v>14.432499999999999</v>
      </c>
      <c r="K1458" s="4">
        <v>14.918200000000001</v>
      </c>
      <c r="L1458" s="4">
        <v>14.4823</v>
      </c>
      <c r="M1458" s="4">
        <f t="shared" si="89"/>
        <v>14.610999999999999</v>
      </c>
      <c r="P1458" s="4" t="str">
        <f>"Y49A3A.3"</f>
        <v>Y49A3A.3</v>
      </c>
      <c r="Q1458" s="4">
        <v>14.227928767814999</v>
      </c>
      <c r="R1458" s="4">
        <v>13.968359226977199</v>
      </c>
      <c r="S1458" s="4">
        <v>14.513700649511</v>
      </c>
      <c r="T1458" s="4">
        <f t="shared" si="90"/>
        <v>14.2366628814344</v>
      </c>
      <c r="W1458" s="4" t="str">
        <f>"Y53F4B.18"</f>
        <v>Y53F4B.18</v>
      </c>
      <c r="X1458" s="4">
        <v>14.384167066356</v>
      </c>
      <c r="Y1458" s="4">
        <v>14.418906147508</v>
      </c>
      <c r="Z1458" s="4">
        <v>14.2680435915162</v>
      </c>
      <c r="AA1458" s="4">
        <f t="shared" si="91"/>
        <v>14.357038935126733</v>
      </c>
    </row>
    <row r="1459" spans="2:27" x14ac:dyDescent="0.2">
      <c r="B1459" s="4" t="s">
        <v>3314</v>
      </c>
      <c r="C1459" s="4">
        <v>14.8741</v>
      </c>
      <c r="D1459" s="4">
        <v>14.2437</v>
      </c>
      <c r="E1459" s="4">
        <v>14.742000000000001</v>
      </c>
      <c r="F1459" s="4">
        <f t="shared" si="88"/>
        <v>14.619933333333336</v>
      </c>
      <c r="I1459" s="4" t="s">
        <v>1476</v>
      </c>
      <c r="J1459" s="4">
        <v>14.662100000000001</v>
      </c>
      <c r="K1459" s="4">
        <v>14.6762</v>
      </c>
      <c r="L1459" s="4">
        <v>14.4854</v>
      </c>
      <c r="M1459" s="4">
        <f t="shared" si="89"/>
        <v>14.607900000000001</v>
      </c>
      <c r="P1459" s="4" t="str">
        <f>"cpr-9"</f>
        <v>cpr-9</v>
      </c>
      <c r="Q1459" s="4">
        <v>13.8158534644933</v>
      </c>
      <c r="R1459" s="4">
        <v>14.238970747322901</v>
      </c>
      <c r="S1459" s="4">
        <v>14.652639798711</v>
      </c>
      <c r="T1459" s="4">
        <f t="shared" si="90"/>
        <v>14.235821336842401</v>
      </c>
      <c r="W1459" s="4" t="str">
        <f>"msh-6"</f>
        <v>msh-6</v>
      </c>
      <c r="X1459" s="4">
        <v>14.3577539459927</v>
      </c>
      <c r="Y1459" s="4">
        <v>14.4317096653528</v>
      </c>
      <c r="Z1459" s="4">
        <v>14.277771605302799</v>
      </c>
      <c r="AA1459" s="4">
        <f t="shared" si="91"/>
        <v>14.3557450722161</v>
      </c>
    </row>
    <row r="1460" spans="2:27" x14ac:dyDescent="0.2">
      <c r="B1460" s="4" t="s">
        <v>698</v>
      </c>
      <c r="C1460" s="4">
        <v>14.415900000000001</v>
      </c>
      <c r="D1460" s="4">
        <v>14.7965</v>
      </c>
      <c r="E1460" s="4">
        <v>14.646599999999999</v>
      </c>
      <c r="F1460" s="4">
        <f t="shared" si="88"/>
        <v>14.619666666666667</v>
      </c>
      <c r="I1460" s="4" t="s">
        <v>1362</v>
      </c>
      <c r="J1460" s="4">
        <v>14.925800000000001</v>
      </c>
      <c r="K1460" s="4">
        <v>14.4634</v>
      </c>
      <c r="L1460" s="4">
        <v>14.4315</v>
      </c>
      <c r="M1460" s="4">
        <f t="shared" si="89"/>
        <v>14.606900000000001</v>
      </c>
      <c r="P1460" s="4" t="str">
        <f>"tre-1"</f>
        <v>tre-1</v>
      </c>
      <c r="Q1460" s="4">
        <v>14.198990532270299</v>
      </c>
      <c r="R1460" s="4">
        <v>14.2881765896439</v>
      </c>
      <c r="S1460" s="4">
        <v>14.2105082179968</v>
      </c>
      <c r="T1460" s="4">
        <f t="shared" si="90"/>
        <v>14.232558446637</v>
      </c>
      <c r="W1460" s="4" t="str">
        <f>"eif-6"</f>
        <v>eif-6</v>
      </c>
      <c r="X1460" s="4">
        <v>13.8989206712794</v>
      </c>
      <c r="Y1460" s="4">
        <v>14.437819690592301</v>
      </c>
      <c r="Z1460" s="4">
        <v>14.726379394232</v>
      </c>
      <c r="AA1460" s="4">
        <f t="shared" si="91"/>
        <v>14.354373252034568</v>
      </c>
    </row>
    <row r="1461" spans="2:27" x14ac:dyDescent="0.2">
      <c r="B1461" s="4" t="s">
        <v>2840</v>
      </c>
      <c r="C1461" s="4">
        <v>14.4078</v>
      </c>
      <c r="D1461" s="4">
        <v>14.770899999999999</v>
      </c>
      <c r="E1461" s="4">
        <v>14.671900000000001</v>
      </c>
      <c r="F1461" s="4">
        <f t="shared" si="88"/>
        <v>14.616866666666667</v>
      </c>
      <c r="I1461" s="4" t="s">
        <v>3304</v>
      </c>
      <c r="J1461" s="4">
        <v>14.714499999999999</v>
      </c>
      <c r="K1461" s="4">
        <v>14.6381</v>
      </c>
      <c r="L1461" s="4">
        <v>14.4659</v>
      </c>
      <c r="M1461" s="4">
        <f t="shared" si="89"/>
        <v>14.606166666666667</v>
      </c>
      <c r="P1461" s="4" t="str">
        <f>"adr-2"</f>
        <v>adr-2</v>
      </c>
      <c r="Q1461" s="4">
        <v>14.1903891147289</v>
      </c>
      <c r="R1461" s="4">
        <v>14.181740800542</v>
      </c>
      <c r="S1461" s="4">
        <v>14.319100305548799</v>
      </c>
      <c r="T1461" s="4">
        <f t="shared" si="90"/>
        <v>14.230410073606565</v>
      </c>
      <c r="W1461" s="4" t="str">
        <f>"C09G9.1"</f>
        <v>C09G9.1</v>
      </c>
      <c r="X1461" s="4">
        <v>14.7126717050766</v>
      </c>
      <c r="Y1461" s="4">
        <v>14.2629890233612</v>
      </c>
      <c r="Z1461" s="4">
        <v>14.0854019306614</v>
      </c>
      <c r="AA1461" s="4">
        <f t="shared" si="91"/>
        <v>14.353687553033067</v>
      </c>
    </row>
    <row r="1462" spans="2:27" x14ac:dyDescent="0.2">
      <c r="B1462" s="4" t="s">
        <v>2341</v>
      </c>
      <c r="C1462" s="4">
        <v>14.670500000000001</v>
      </c>
      <c r="D1462" s="4">
        <v>14.2563</v>
      </c>
      <c r="E1462" s="4">
        <v>14.917899999999999</v>
      </c>
      <c r="F1462" s="4">
        <f t="shared" si="88"/>
        <v>14.6149</v>
      </c>
      <c r="I1462" s="4" t="s">
        <v>4184</v>
      </c>
      <c r="J1462" s="4">
        <v>14.6859</v>
      </c>
      <c r="K1462" s="4">
        <v>15.0921</v>
      </c>
      <c r="L1462" s="4">
        <v>14.039199999999999</v>
      </c>
      <c r="M1462" s="4">
        <f t="shared" si="89"/>
        <v>14.605733333333333</v>
      </c>
      <c r="P1462" s="4" t="str">
        <f>"gcy-13"</f>
        <v>gcy-13</v>
      </c>
      <c r="Q1462" s="4">
        <v>13.975883195875101</v>
      </c>
      <c r="R1462" s="4">
        <v>14.262645187908699</v>
      </c>
      <c r="S1462" s="4">
        <v>14.4520173127876</v>
      </c>
      <c r="T1462" s="4">
        <f t="shared" si="90"/>
        <v>14.230181898857134</v>
      </c>
      <c r="W1462" s="4" t="str">
        <f>"unc-25"</f>
        <v>unc-25</v>
      </c>
      <c r="X1462" s="4">
        <v>14.8299953224489</v>
      </c>
      <c r="Y1462" s="4">
        <v>13.4359541670142</v>
      </c>
      <c r="Z1462" s="4">
        <v>14.7920573266647</v>
      </c>
      <c r="AA1462" s="4">
        <f t="shared" si="91"/>
        <v>14.352668938709266</v>
      </c>
    </row>
    <row r="1463" spans="2:27" x14ac:dyDescent="0.2">
      <c r="B1463" s="4" t="s">
        <v>2736</v>
      </c>
      <c r="C1463" s="4">
        <v>14.664</v>
      </c>
      <c r="D1463" s="4">
        <v>14.7677</v>
      </c>
      <c r="E1463" s="4">
        <v>14.407299999999999</v>
      </c>
      <c r="F1463" s="4">
        <f t="shared" si="88"/>
        <v>14.613</v>
      </c>
      <c r="I1463" s="4" t="s">
        <v>2460</v>
      </c>
      <c r="J1463" s="4">
        <v>14.719900000000001</v>
      </c>
      <c r="K1463" s="4">
        <v>14.413500000000001</v>
      </c>
      <c r="L1463" s="4">
        <v>14.681699999999999</v>
      </c>
      <c r="M1463" s="4">
        <f t="shared" si="89"/>
        <v>14.605033333333333</v>
      </c>
      <c r="P1463" s="4" t="str">
        <f>"cdk-12"</f>
        <v>cdk-12</v>
      </c>
      <c r="Q1463" s="4">
        <v>13.871838942120601</v>
      </c>
      <c r="R1463" s="4">
        <v>14.382905628705</v>
      </c>
      <c r="S1463" s="4">
        <v>14.4289040666338</v>
      </c>
      <c r="T1463" s="4">
        <f t="shared" si="90"/>
        <v>14.227882879153134</v>
      </c>
      <c r="W1463" s="4" t="str">
        <f>"patr-1"</f>
        <v>patr-1</v>
      </c>
      <c r="X1463" s="4">
        <v>14.3296997094197</v>
      </c>
      <c r="Y1463" s="4">
        <v>14.386342509297499</v>
      </c>
      <c r="Z1463" s="4">
        <v>14.3414806942863</v>
      </c>
      <c r="AA1463" s="4">
        <f t="shared" si="91"/>
        <v>14.352507637667832</v>
      </c>
    </row>
    <row r="1464" spans="2:27" x14ac:dyDescent="0.2">
      <c r="B1464" s="4" t="s">
        <v>720</v>
      </c>
      <c r="C1464" s="4">
        <v>14.396100000000001</v>
      </c>
      <c r="D1464" s="4">
        <v>14.942299999999999</v>
      </c>
      <c r="E1464" s="4">
        <v>14.500500000000001</v>
      </c>
      <c r="F1464" s="4">
        <f t="shared" si="88"/>
        <v>14.612966666666667</v>
      </c>
      <c r="I1464" s="4" t="s">
        <v>3976</v>
      </c>
      <c r="J1464" s="4">
        <v>14.776999999999999</v>
      </c>
      <c r="K1464" s="4">
        <v>14.4945</v>
      </c>
      <c r="L1464" s="4">
        <v>14.5428</v>
      </c>
      <c r="M1464" s="4">
        <f t="shared" si="89"/>
        <v>14.604766666666668</v>
      </c>
      <c r="P1464" s="4" t="str">
        <f>"cyk-7"</f>
        <v>cyk-7</v>
      </c>
      <c r="Q1464" s="4">
        <v>14.1290538955079</v>
      </c>
      <c r="R1464" s="4">
        <v>14.366745444981801</v>
      </c>
      <c r="S1464" s="4">
        <v>14.184308455044601</v>
      </c>
      <c r="T1464" s="4">
        <f t="shared" si="90"/>
        <v>14.226702598511432</v>
      </c>
      <c r="W1464" s="4" t="str">
        <f>"lin-35"</f>
        <v>lin-35</v>
      </c>
      <c r="X1464" s="4">
        <v>14.3333722173416</v>
      </c>
      <c r="Y1464" s="4">
        <v>14.326956872661899</v>
      </c>
      <c r="Z1464" s="4">
        <v>14.395627314942001</v>
      </c>
      <c r="AA1464" s="4">
        <f t="shared" si="91"/>
        <v>14.351985468315169</v>
      </c>
    </row>
    <row r="1465" spans="2:27" x14ac:dyDescent="0.2">
      <c r="B1465" s="4" t="s">
        <v>753</v>
      </c>
      <c r="C1465" s="4">
        <v>14.257400000000001</v>
      </c>
      <c r="D1465" s="4">
        <v>14.680899999999999</v>
      </c>
      <c r="E1465" s="4">
        <v>14.9003</v>
      </c>
      <c r="F1465" s="4">
        <f t="shared" si="88"/>
        <v>14.612866666666667</v>
      </c>
      <c r="I1465" s="4" t="s">
        <v>4685</v>
      </c>
      <c r="J1465" s="4">
        <v>14.7658</v>
      </c>
      <c r="K1465" s="4">
        <v>13.9716</v>
      </c>
      <c r="L1465" s="4">
        <v>15.0726</v>
      </c>
      <c r="M1465" s="4">
        <f t="shared" si="89"/>
        <v>14.603333333333333</v>
      </c>
      <c r="P1465" s="4" t="str">
        <f>"sir-2.4"</f>
        <v>sir-2.4</v>
      </c>
      <c r="Q1465" s="4">
        <v>14.1342503105309</v>
      </c>
      <c r="R1465" s="4">
        <v>14.1403560799095</v>
      </c>
      <c r="S1465" s="4">
        <v>14.3979874927695</v>
      </c>
      <c r="T1465" s="4">
        <f t="shared" si="90"/>
        <v>14.224197961069967</v>
      </c>
      <c r="W1465" s="4" t="str">
        <f>"elc-1"</f>
        <v>elc-1</v>
      </c>
      <c r="X1465" s="4">
        <v>14.339704052454801</v>
      </c>
      <c r="Y1465" s="4">
        <v>14.4646825647523</v>
      </c>
      <c r="Z1465" s="4">
        <v>14.2509389686987</v>
      </c>
      <c r="AA1465" s="4">
        <f t="shared" si="91"/>
        <v>14.351775195301933</v>
      </c>
    </row>
    <row r="1466" spans="2:27" x14ac:dyDescent="0.2">
      <c r="B1466" s="4" t="s">
        <v>2760</v>
      </c>
      <c r="C1466" s="4">
        <v>14.479699999999999</v>
      </c>
      <c r="D1466" s="4">
        <v>14.5909</v>
      </c>
      <c r="E1466" s="4">
        <v>14.7646</v>
      </c>
      <c r="F1466" s="4">
        <f t="shared" si="88"/>
        <v>14.611733333333333</v>
      </c>
      <c r="I1466" s="4" t="s">
        <v>2636</v>
      </c>
      <c r="J1466" s="4">
        <v>14.687200000000001</v>
      </c>
      <c r="K1466" s="4">
        <v>14.5549</v>
      </c>
      <c r="L1466" s="4">
        <v>14.5671</v>
      </c>
      <c r="M1466" s="4">
        <f t="shared" si="89"/>
        <v>14.603066666666669</v>
      </c>
      <c r="P1466" s="4" t="str">
        <f>"cars-1"</f>
        <v>cars-1</v>
      </c>
      <c r="Q1466" s="4">
        <v>14.3415787016565</v>
      </c>
      <c r="R1466" s="4">
        <v>14.0046082070818</v>
      </c>
      <c r="S1466" s="4">
        <v>14.322939002908999</v>
      </c>
      <c r="T1466" s="4">
        <f t="shared" si="90"/>
        <v>14.223041970549099</v>
      </c>
      <c r="W1466" s="4" t="str">
        <f>"alh-7"</f>
        <v>alh-7</v>
      </c>
      <c r="X1466" s="4">
        <v>13.8023662504238</v>
      </c>
      <c r="Y1466" s="4">
        <v>14.438309904831399</v>
      </c>
      <c r="Z1466" s="4">
        <v>14.8117446442497</v>
      </c>
      <c r="AA1466" s="4">
        <f t="shared" si="91"/>
        <v>14.3508069331683</v>
      </c>
    </row>
    <row r="1467" spans="2:27" x14ac:dyDescent="0.2">
      <c r="B1467" s="4" t="s">
        <v>2253</v>
      </c>
      <c r="C1467" s="4">
        <v>14.5748</v>
      </c>
      <c r="D1467" s="4">
        <v>14.946199999999999</v>
      </c>
      <c r="E1467" s="4">
        <v>14.312900000000001</v>
      </c>
      <c r="F1467" s="4">
        <f t="shared" si="88"/>
        <v>14.6113</v>
      </c>
      <c r="I1467" s="4" t="s">
        <v>3106</v>
      </c>
      <c r="J1467" s="4">
        <v>14.610300000000001</v>
      </c>
      <c r="K1467" s="4">
        <v>14.7728</v>
      </c>
      <c r="L1467" s="4">
        <v>14.4255</v>
      </c>
      <c r="M1467" s="4">
        <f t="shared" si="89"/>
        <v>14.602866666666666</v>
      </c>
      <c r="P1467" s="4" t="str">
        <f>"phat-4"</f>
        <v>phat-4</v>
      </c>
      <c r="Q1467" s="4">
        <v>14.0433987567573</v>
      </c>
      <c r="R1467" s="4">
        <v>14.225851067331799</v>
      </c>
      <c r="S1467" s="4">
        <v>14.3870239521688</v>
      </c>
      <c r="T1467" s="4">
        <f t="shared" si="90"/>
        <v>14.218757925419302</v>
      </c>
      <c r="W1467" s="4" t="str">
        <f>"gpa-16"</f>
        <v>gpa-16</v>
      </c>
      <c r="X1467" s="4">
        <v>14.4629766954864</v>
      </c>
      <c r="Y1467" s="4">
        <v>14.3210701483617</v>
      </c>
      <c r="Z1467" s="4">
        <v>14.2673292471978</v>
      </c>
      <c r="AA1467" s="4">
        <f t="shared" si="91"/>
        <v>14.3504586970153</v>
      </c>
    </row>
    <row r="1468" spans="2:27" x14ac:dyDescent="0.2">
      <c r="B1468" s="4" t="s">
        <v>3242</v>
      </c>
      <c r="C1468" s="4">
        <v>14.5291</v>
      </c>
      <c r="D1468" s="4">
        <v>14.7525</v>
      </c>
      <c r="E1468" s="4">
        <v>14.545199999999999</v>
      </c>
      <c r="F1468" s="4">
        <f t="shared" si="88"/>
        <v>14.608933333333333</v>
      </c>
      <c r="I1468" s="4" t="s">
        <v>2674</v>
      </c>
      <c r="J1468" s="4">
        <v>14.381399999999999</v>
      </c>
      <c r="K1468" s="4">
        <v>14.6225</v>
      </c>
      <c r="L1468" s="4">
        <v>14.8003</v>
      </c>
      <c r="M1468" s="4">
        <f t="shared" si="89"/>
        <v>14.6014</v>
      </c>
      <c r="P1468" s="4" t="str">
        <f>"rpb-8"</f>
        <v>rpb-8</v>
      </c>
      <c r="Q1468" s="4">
        <v>14.174790877105499</v>
      </c>
      <c r="R1468" s="4">
        <v>14.216913477542001</v>
      </c>
      <c r="S1468" s="4">
        <v>14.2631121795251</v>
      </c>
      <c r="T1468" s="4">
        <f t="shared" si="90"/>
        <v>14.218272178057534</v>
      </c>
      <c r="W1468" s="4" t="str">
        <f>"C01B10.3"</f>
        <v>C01B10.3</v>
      </c>
      <c r="X1468" s="4">
        <v>14.603787906491</v>
      </c>
      <c r="Y1468" s="4">
        <v>13.989037798402901</v>
      </c>
      <c r="Z1468" s="4">
        <v>14.4582898741264</v>
      </c>
      <c r="AA1468" s="4">
        <f t="shared" si="91"/>
        <v>14.350371859673436</v>
      </c>
    </row>
    <row r="1469" spans="2:27" x14ac:dyDescent="0.2">
      <c r="B1469" s="4" t="s">
        <v>2822</v>
      </c>
      <c r="C1469" s="4">
        <v>14.771100000000001</v>
      </c>
      <c r="D1469" s="4">
        <v>14.3591</v>
      </c>
      <c r="E1469" s="4">
        <v>14.6927</v>
      </c>
      <c r="F1469" s="4">
        <f t="shared" si="88"/>
        <v>14.607633333333334</v>
      </c>
      <c r="I1469" s="4" t="s">
        <v>2398</v>
      </c>
      <c r="J1469" s="4">
        <v>14.7273</v>
      </c>
      <c r="K1469" s="4">
        <v>14.553000000000001</v>
      </c>
      <c r="L1469" s="4">
        <v>14.522</v>
      </c>
      <c r="M1469" s="4">
        <f t="shared" si="89"/>
        <v>14.600766666666667</v>
      </c>
      <c r="P1469" s="4" t="str">
        <f>"zig-11"</f>
        <v>zig-11</v>
      </c>
      <c r="Q1469" s="4">
        <v>14.0246698234033</v>
      </c>
      <c r="R1469" s="4">
        <v>14.3876366143623</v>
      </c>
      <c r="S1469" s="4">
        <v>14.241964500643901</v>
      </c>
      <c r="T1469" s="4">
        <f t="shared" si="90"/>
        <v>14.218090312803168</v>
      </c>
      <c r="W1469" s="4" t="str">
        <f>"B0024.11"</f>
        <v>B0024.11</v>
      </c>
      <c r="X1469" s="4">
        <v>14.193518976483499</v>
      </c>
      <c r="Y1469" s="4">
        <v>14.3042897006885</v>
      </c>
      <c r="Z1469" s="4">
        <v>14.5532668699264</v>
      </c>
      <c r="AA1469" s="4">
        <f t="shared" si="91"/>
        <v>14.350358515699467</v>
      </c>
    </row>
    <row r="1470" spans="2:27" x14ac:dyDescent="0.2">
      <c r="B1470" s="4" t="s">
        <v>4328</v>
      </c>
      <c r="C1470" s="4">
        <v>14.672000000000001</v>
      </c>
      <c r="D1470" s="4">
        <v>14.5778</v>
      </c>
      <c r="E1470" s="4">
        <v>14.5715</v>
      </c>
      <c r="F1470" s="4">
        <f t="shared" si="88"/>
        <v>14.607100000000001</v>
      </c>
      <c r="I1470" s="4" t="s">
        <v>2337</v>
      </c>
      <c r="J1470" s="4">
        <v>14.749599999999999</v>
      </c>
      <c r="K1470" s="4">
        <v>14.81</v>
      </c>
      <c r="L1470" s="4">
        <v>14.242100000000001</v>
      </c>
      <c r="M1470" s="4">
        <f t="shared" si="89"/>
        <v>14.600566666666666</v>
      </c>
      <c r="P1470" s="4" t="str">
        <f>"Y71H2AM.6"</f>
        <v>Y71H2AM.6</v>
      </c>
      <c r="Q1470" s="4">
        <v>13.9903264078261</v>
      </c>
      <c r="R1470" s="4">
        <v>14.344550544049801</v>
      </c>
      <c r="S1470" s="4">
        <v>14.316533810541401</v>
      </c>
      <c r="T1470" s="4">
        <f t="shared" si="90"/>
        <v>14.217136920805766</v>
      </c>
      <c r="W1470" s="4" t="str">
        <f>"K10C3.5"</f>
        <v>K10C3.5</v>
      </c>
      <c r="X1470" s="4">
        <v>14.296043393123</v>
      </c>
      <c r="Y1470" s="4">
        <v>14.5367234586493</v>
      </c>
      <c r="Z1470" s="4">
        <v>14.215215332984499</v>
      </c>
      <c r="AA1470" s="4">
        <f t="shared" si="91"/>
        <v>14.349327394918932</v>
      </c>
    </row>
    <row r="1471" spans="2:27" x14ac:dyDescent="0.2">
      <c r="B1471" s="4" t="s">
        <v>3161</v>
      </c>
      <c r="C1471" s="4">
        <v>14.4854</v>
      </c>
      <c r="D1471" s="4">
        <v>15.342499999999999</v>
      </c>
      <c r="E1471" s="4">
        <v>13.986599999999999</v>
      </c>
      <c r="F1471" s="4">
        <f t="shared" si="88"/>
        <v>14.604833333333332</v>
      </c>
      <c r="I1471" s="4" t="s">
        <v>3053</v>
      </c>
      <c r="J1471" s="4">
        <v>14.6265</v>
      </c>
      <c r="K1471" s="4">
        <v>14.355399999999999</v>
      </c>
      <c r="L1471" s="4">
        <v>14.8179</v>
      </c>
      <c r="M1471" s="4">
        <f t="shared" si="89"/>
        <v>14.599933333333333</v>
      </c>
      <c r="P1471" s="4" t="str">
        <f>"Y61A9LA.10"</f>
        <v>Y61A9LA.10</v>
      </c>
      <c r="Q1471" s="4">
        <v>14.234701487121701</v>
      </c>
      <c r="R1471" s="4">
        <v>14.2218018367802</v>
      </c>
      <c r="S1471" s="4">
        <v>14.1910264124581</v>
      </c>
      <c r="T1471" s="4">
        <f t="shared" si="90"/>
        <v>14.215843245453334</v>
      </c>
      <c r="W1471" s="4" t="str">
        <f>"cif-1"</f>
        <v>cif-1</v>
      </c>
      <c r="X1471" s="4">
        <v>14.394892307184699</v>
      </c>
      <c r="Y1471" s="4">
        <v>14.4500421946061</v>
      </c>
      <c r="Z1471" s="4">
        <v>14.1972995235521</v>
      </c>
      <c r="AA1471" s="4">
        <f t="shared" si="91"/>
        <v>14.347411341780967</v>
      </c>
    </row>
    <row r="1472" spans="2:27" x14ac:dyDescent="0.2">
      <c r="B1472" s="4" t="s">
        <v>4566</v>
      </c>
      <c r="C1472" s="4">
        <v>14.6486</v>
      </c>
      <c r="D1472" s="4">
        <v>15.0068</v>
      </c>
      <c r="E1472" s="4">
        <v>14.1532</v>
      </c>
      <c r="F1472" s="4">
        <f t="shared" si="88"/>
        <v>14.602866666666666</v>
      </c>
      <c r="I1472" s="4" t="s">
        <v>3293</v>
      </c>
      <c r="J1472" s="4">
        <v>14.6235</v>
      </c>
      <c r="K1472" s="4">
        <v>14.327500000000001</v>
      </c>
      <c r="L1472" s="4">
        <v>14.848599999999999</v>
      </c>
      <c r="M1472" s="4">
        <f t="shared" si="89"/>
        <v>14.599866666666665</v>
      </c>
      <c r="P1472" s="4" t="str">
        <f>"mboa-6"</f>
        <v>mboa-6</v>
      </c>
      <c r="Q1472" s="4">
        <v>13.8855533218806</v>
      </c>
      <c r="R1472" s="4">
        <v>14.171493393967101</v>
      </c>
      <c r="S1472" s="4">
        <v>14.588572413958</v>
      </c>
      <c r="T1472" s="4">
        <f t="shared" si="90"/>
        <v>14.2152063766019</v>
      </c>
      <c r="W1472" s="4" t="str">
        <f>"Y54E10A.6"</f>
        <v>Y54E10A.6</v>
      </c>
      <c r="X1472" s="4">
        <v>14.4949953051223</v>
      </c>
      <c r="Y1472" s="4">
        <v>14.4799785406894</v>
      </c>
      <c r="Z1472" s="4">
        <v>14.048653351839</v>
      </c>
      <c r="AA1472" s="4">
        <f t="shared" si="91"/>
        <v>14.341209065883566</v>
      </c>
    </row>
    <row r="1473" spans="2:27" x14ac:dyDescent="0.2">
      <c r="B1473" s="4" t="s">
        <v>382</v>
      </c>
      <c r="C1473" s="4">
        <v>15.000400000000001</v>
      </c>
      <c r="D1473" s="4">
        <v>14.140700000000001</v>
      </c>
      <c r="E1473" s="4">
        <v>14.6637</v>
      </c>
      <c r="F1473" s="4">
        <f t="shared" si="88"/>
        <v>14.601599999999999</v>
      </c>
      <c r="I1473" s="4" t="s">
        <v>1406</v>
      </c>
      <c r="J1473" s="4">
        <v>14.5571</v>
      </c>
      <c r="K1473" s="4">
        <v>14.655099999999999</v>
      </c>
      <c r="L1473" s="4">
        <v>14.5837</v>
      </c>
      <c r="M1473" s="4">
        <f t="shared" si="89"/>
        <v>14.598633333333334</v>
      </c>
      <c r="P1473" s="4" t="str">
        <f>"ife-2"</f>
        <v>ife-2</v>
      </c>
      <c r="Q1473" s="4">
        <v>14.231207207753499</v>
      </c>
      <c r="R1473" s="4">
        <v>14.120683529312499</v>
      </c>
      <c r="S1473" s="4">
        <v>14.2936776164061</v>
      </c>
      <c r="T1473" s="4">
        <f t="shared" si="90"/>
        <v>14.215189451157366</v>
      </c>
      <c r="W1473" s="4" t="str">
        <f>"vps-22"</f>
        <v>vps-22</v>
      </c>
      <c r="X1473" s="4">
        <v>14.218169404253199</v>
      </c>
      <c r="Y1473" s="4">
        <v>14.422543217541101</v>
      </c>
      <c r="Z1473" s="4">
        <v>14.372569052934701</v>
      </c>
      <c r="AA1473" s="4">
        <f t="shared" si="91"/>
        <v>14.337760558243</v>
      </c>
    </row>
    <row r="1474" spans="2:27" x14ac:dyDescent="0.2">
      <c r="B1474" s="4" t="s">
        <v>2800</v>
      </c>
      <c r="C1474" s="4">
        <v>14.5382</v>
      </c>
      <c r="D1474" s="4">
        <v>14.6374</v>
      </c>
      <c r="E1474" s="4">
        <v>14.628299999999999</v>
      </c>
      <c r="F1474" s="4">
        <f t="shared" ref="F1474:F1537" si="92">(C1474+D1474+E1474)/3</f>
        <v>14.6013</v>
      </c>
      <c r="I1474" s="4" t="s">
        <v>2683</v>
      </c>
      <c r="J1474" s="4">
        <v>14.724299999999999</v>
      </c>
      <c r="K1474" s="4">
        <v>14.7721</v>
      </c>
      <c r="L1474" s="4">
        <v>14.2965</v>
      </c>
      <c r="M1474" s="4">
        <f t="shared" ref="M1474:M1537" si="93">(J1474+K1474+L1474)/3</f>
        <v>14.597633333333334</v>
      </c>
      <c r="P1474" s="4" t="str">
        <f>"R09E10.5"</f>
        <v>R09E10.5</v>
      </c>
      <c r="Q1474" s="4">
        <v>14.661595616964</v>
      </c>
      <c r="R1474" s="4">
        <v>13.960106810529799</v>
      </c>
      <c r="S1474" s="4">
        <v>14.0142586427529</v>
      </c>
      <c r="T1474" s="4">
        <f t="shared" ref="T1474:T1537" si="94">(Q1474+R1474+S1474)/3</f>
        <v>14.211987023415567</v>
      </c>
      <c r="W1474" s="4" t="str">
        <f>"vps-36"</f>
        <v>vps-36</v>
      </c>
      <c r="X1474" s="4">
        <v>14.3380641201421</v>
      </c>
      <c r="Y1474" s="4">
        <v>14.440282372821301</v>
      </c>
      <c r="Z1474" s="4">
        <v>14.232593691105</v>
      </c>
      <c r="AA1474" s="4">
        <f t="shared" ref="AA1474:AA1537" si="95">(X1474+Y1474+Z1474)/3</f>
        <v>14.336980061356135</v>
      </c>
    </row>
    <row r="1475" spans="2:27" x14ac:dyDescent="0.2">
      <c r="B1475" s="4" t="s">
        <v>2326</v>
      </c>
      <c r="C1475" s="4">
        <v>14.5174</v>
      </c>
      <c r="D1475" s="4">
        <v>14.198600000000001</v>
      </c>
      <c r="E1475" s="4">
        <v>15.0793</v>
      </c>
      <c r="F1475" s="4">
        <f t="shared" si="92"/>
        <v>14.598433333333332</v>
      </c>
      <c r="I1475" s="4" t="s">
        <v>1365</v>
      </c>
      <c r="J1475" s="4">
        <v>13.9962</v>
      </c>
      <c r="K1475" s="4">
        <v>14.6607</v>
      </c>
      <c r="L1475" s="4">
        <v>15.134600000000001</v>
      </c>
      <c r="M1475" s="4">
        <f t="shared" si="93"/>
        <v>14.597166666666666</v>
      </c>
      <c r="P1475" s="4" t="str">
        <f>"csnk-1"</f>
        <v>csnk-1</v>
      </c>
      <c r="Q1475" s="4">
        <v>14.1496076333892</v>
      </c>
      <c r="R1475" s="4">
        <v>14.1332095353055</v>
      </c>
      <c r="S1475" s="4">
        <v>14.3519561694039</v>
      </c>
      <c r="T1475" s="4">
        <f t="shared" si="94"/>
        <v>14.211591112699532</v>
      </c>
      <c r="W1475" s="4" t="str">
        <f>"unc-27"</f>
        <v>unc-27</v>
      </c>
      <c r="X1475" s="4">
        <v>14.4928962511229</v>
      </c>
      <c r="Y1475" s="4">
        <v>14.2367324567455</v>
      </c>
      <c r="Z1475" s="4">
        <v>14.276535900699599</v>
      </c>
      <c r="AA1475" s="4">
        <f t="shared" si="95"/>
        <v>14.335388202856</v>
      </c>
    </row>
    <row r="1476" spans="2:27" x14ac:dyDescent="0.2">
      <c r="B1476" s="4" t="s">
        <v>751</v>
      </c>
      <c r="C1476" s="4">
        <v>14.819800000000001</v>
      </c>
      <c r="D1476" s="4">
        <v>14.3034</v>
      </c>
      <c r="E1476" s="4">
        <v>14.6652</v>
      </c>
      <c r="F1476" s="4">
        <f t="shared" si="92"/>
        <v>14.596133333333334</v>
      </c>
      <c r="I1476" s="4" t="s">
        <v>1314</v>
      </c>
      <c r="J1476" s="4">
        <v>14.5479</v>
      </c>
      <c r="K1476" s="4">
        <v>14.638999999999999</v>
      </c>
      <c r="L1476" s="4">
        <v>14.602499999999999</v>
      </c>
      <c r="M1476" s="4">
        <f t="shared" si="93"/>
        <v>14.596466666666666</v>
      </c>
      <c r="P1476" s="4" t="str">
        <f>"cth-2"</f>
        <v>cth-2</v>
      </c>
      <c r="Q1476" s="4">
        <v>14.0691257913842</v>
      </c>
      <c r="R1476" s="4">
        <v>14.107451252109399</v>
      </c>
      <c r="S1476" s="4">
        <v>14.457328672854899</v>
      </c>
      <c r="T1476" s="4">
        <f t="shared" si="94"/>
        <v>14.211301905449501</v>
      </c>
      <c r="W1476" s="4" t="str">
        <f>"snf-3"</f>
        <v>snf-3</v>
      </c>
      <c r="X1476" s="4">
        <v>14.230581679482601</v>
      </c>
      <c r="Y1476" s="4">
        <v>14.4462519675593</v>
      </c>
      <c r="Z1476" s="4">
        <v>14.3219376024987</v>
      </c>
      <c r="AA1476" s="4">
        <f t="shared" si="95"/>
        <v>14.332923749846868</v>
      </c>
    </row>
    <row r="1477" spans="2:27" x14ac:dyDescent="0.2">
      <c r="B1477" s="4" t="s">
        <v>2166</v>
      </c>
      <c r="C1477" s="4">
        <v>14.412699999999999</v>
      </c>
      <c r="D1477" s="4">
        <v>15.077400000000001</v>
      </c>
      <c r="E1477" s="4">
        <v>14.2957</v>
      </c>
      <c r="F1477" s="4">
        <f t="shared" si="92"/>
        <v>14.595266666666666</v>
      </c>
      <c r="I1477" s="4" t="s">
        <v>2375</v>
      </c>
      <c r="J1477" s="4">
        <v>14.460599999999999</v>
      </c>
      <c r="K1477" s="4">
        <v>14.7555</v>
      </c>
      <c r="L1477" s="4">
        <v>14.568899999999999</v>
      </c>
      <c r="M1477" s="4">
        <f t="shared" si="93"/>
        <v>14.594999999999999</v>
      </c>
      <c r="P1477" s="4" t="str">
        <f>"alh-7"</f>
        <v>alh-7</v>
      </c>
      <c r="Q1477" s="4">
        <v>14.287942616814</v>
      </c>
      <c r="R1477" s="4">
        <v>14.1584732575392</v>
      </c>
      <c r="S1477" s="4">
        <v>14.1807640499085</v>
      </c>
      <c r="T1477" s="4">
        <f t="shared" si="94"/>
        <v>14.209059974753899</v>
      </c>
      <c r="W1477" s="4" t="str">
        <f>"grl-16"</f>
        <v>grl-16</v>
      </c>
      <c r="X1477" s="4">
        <v>13.585267171737501</v>
      </c>
      <c r="Y1477" s="4">
        <v>14.218824920488901</v>
      </c>
      <c r="Z1477" s="4">
        <v>15.193544634929699</v>
      </c>
      <c r="AA1477" s="4">
        <f t="shared" si="95"/>
        <v>14.332545575718699</v>
      </c>
    </row>
    <row r="1478" spans="2:27" x14ac:dyDescent="0.2">
      <c r="B1478" s="4" t="s">
        <v>2030</v>
      </c>
      <c r="C1478" s="4">
        <v>14.831200000000001</v>
      </c>
      <c r="D1478" s="4">
        <v>14.394500000000001</v>
      </c>
      <c r="E1478" s="4">
        <v>14.5593</v>
      </c>
      <c r="F1478" s="4">
        <f t="shared" si="92"/>
        <v>14.595000000000001</v>
      </c>
      <c r="I1478" s="4" t="s">
        <v>4028</v>
      </c>
      <c r="J1478" s="4">
        <v>14.6791</v>
      </c>
      <c r="K1478" s="4">
        <v>14.7163</v>
      </c>
      <c r="L1478" s="4">
        <v>14.389200000000001</v>
      </c>
      <c r="M1478" s="4">
        <f t="shared" si="93"/>
        <v>14.594866666666668</v>
      </c>
      <c r="P1478" s="4" t="str">
        <f>"strd-1"</f>
        <v>strd-1</v>
      </c>
      <c r="Q1478" s="4">
        <v>14.1601615419111</v>
      </c>
      <c r="R1478" s="4">
        <v>14.2027795773064</v>
      </c>
      <c r="S1478" s="4">
        <v>14.263843397846401</v>
      </c>
      <c r="T1478" s="4">
        <f t="shared" si="94"/>
        <v>14.208928172354632</v>
      </c>
      <c r="W1478" s="4" t="str">
        <f>"sec-31"</f>
        <v>sec-31</v>
      </c>
      <c r="X1478" s="4">
        <v>14.467228403040099</v>
      </c>
      <c r="Y1478" s="4">
        <v>14.495420398606001</v>
      </c>
      <c r="Z1478" s="4">
        <v>14.033116854669901</v>
      </c>
      <c r="AA1478" s="4">
        <f t="shared" si="95"/>
        <v>14.331921885438668</v>
      </c>
    </row>
    <row r="1479" spans="2:27" x14ac:dyDescent="0.2">
      <c r="B1479" s="4" t="s">
        <v>2027</v>
      </c>
      <c r="C1479" s="4">
        <v>14.341699999999999</v>
      </c>
      <c r="D1479" s="4">
        <v>14.5047</v>
      </c>
      <c r="E1479" s="4">
        <v>14.9283</v>
      </c>
      <c r="F1479" s="4">
        <f t="shared" si="92"/>
        <v>14.591566666666665</v>
      </c>
      <c r="I1479" s="4" t="s">
        <v>392</v>
      </c>
      <c r="J1479" s="4">
        <v>14.755699999999999</v>
      </c>
      <c r="K1479" s="4">
        <v>14.7197</v>
      </c>
      <c r="L1479" s="4">
        <v>14.302199999999999</v>
      </c>
      <c r="M1479" s="4">
        <f t="shared" si="93"/>
        <v>14.592533333333334</v>
      </c>
      <c r="P1479" s="4" t="str">
        <f>"jmjc-1"</f>
        <v>jmjc-1</v>
      </c>
      <c r="Q1479" s="4">
        <v>14.227300957396499</v>
      </c>
      <c r="R1479" s="4">
        <v>14.450251102229799</v>
      </c>
      <c r="S1479" s="4">
        <v>13.945370011859101</v>
      </c>
      <c r="T1479" s="4">
        <f t="shared" si="94"/>
        <v>14.207640690495134</v>
      </c>
      <c r="W1479" s="4" t="str">
        <f>"mrps-9"</f>
        <v>mrps-9</v>
      </c>
      <c r="X1479" s="4">
        <v>14.216499543412599</v>
      </c>
      <c r="Y1479" s="4">
        <v>14.4846848024532</v>
      </c>
      <c r="Z1479" s="4">
        <v>14.290187931591699</v>
      </c>
      <c r="AA1479" s="4">
        <f t="shared" si="95"/>
        <v>14.330457425819167</v>
      </c>
    </row>
    <row r="1480" spans="2:27" x14ac:dyDescent="0.2">
      <c r="B1480" s="4" t="s">
        <v>3721</v>
      </c>
      <c r="C1480" s="4">
        <v>14.8188</v>
      </c>
      <c r="D1480" s="4">
        <v>14.257</v>
      </c>
      <c r="E1480" s="4">
        <v>14.693099999999999</v>
      </c>
      <c r="F1480" s="4">
        <f t="shared" si="92"/>
        <v>14.589633333333333</v>
      </c>
      <c r="I1480" s="4" t="s">
        <v>4670</v>
      </c>
      <c r="J1480" s="4">
        <v>15.0016</v>
      </c>
      <c r="K1480" s="4">
        <v>14.4337</v>
      </c>
      <c r="L1480" s="4">
        <v>14.3368</v>
      </c>
      <c r="M1480" s="4">
        <f t="shared" si="93"/>
        <v>14.590699999999998</v>
      </c>
      <c r="P1480" s="4" t="str">
        <f>"Y45F10D.7"</f>
        <v>Y45F10D.7</v>
      </c>
      <c r="Q1480" s="4">
        <v>14.2419515785296</v>
      </c>
      <c r="R1480" s="4">
        <v>14.1400854320042</v>
      </c>
      <c r="S1480" s="4">
        <v>14.2318286474215</v>
      </c>
      <c r="T1480" s="4">
        <f t="shared" si="94"/>
        <v>14.2046218859851</v>
      </c>
      <c r="W1480" s="4" t="str">
        <f>"Y92H12BL.1"</f>
        <v>Y92H12BL.1</v>
      </c>
      <c r="X1480" s="4">
        <v>14.494445688805801</v>
      </c>
      <c r="Y1480" s="4">
        <v>14.2405432291458</v>
      </c>
      <c r="Z1480" s="4">
        <v>14.250614244279699</v>
      </c>
      <c r="AA1480" s="4">
        <f t="shared" si="95"/>
        <v>14.328534387410434</v>
      </c>
    </row>
    <row r="1481" spans="2:27" x14ac:dyDescent="0.2">
      <c r="B1481" s="4" t="s">
        <v>977</v>
      </c>
      <c r="C1481" s="4">
        <v>14.776300000000001</v>
      </c>
      <c r="D1481" s="4">
        <v>13.959099999999999</v>
      </c>
      <c r="E1481" s="4">
        <v>15.033099999999999</v>
      </c>
      <c r="F1481" s="4">
        <f t="shared" si="92"/>
        <v>14.589499999999999</v>
      </c>
      <c r="I1481" s="4" t="s">
        <v>484</v>
      </c>
      <c r="J1481" s="4">
        <v>14.6648</v>
      </c>
      <c r="K1481" s="4">
        <v>14.7951</v>
      </c>
      <c r="L1481" s="4">
        <v>14.309799999999999</v>
      </c>
      <c r="M1481" s="4">
        <f t="shared" si="93"/>
        <v>14.5899</v>
      </c>
      <c r="P1481" s="4" t="str">
        <f>"atp-6"</f>
        <v>atp-6</v>
      </c>
      <c r="Q1481" s="4">
        <v>14.1738318869059</v>
      </c>
      <c r="R1481" s="4">
        <v>14.254170780177001</v>
      </c>
      <c r="S1481" s="4">
        <v>14.180195736848299</v>
      </c>
      <c r="T1481" s="4">
        <f t="shared" si="94"/>
        <v>14.202732801310399</v>
      </c>
      <c r="W1481" s="4" t="str">
        <f>"jmjd-5"</f>
        <v>jmjd-5</v>
      </c>
      <c r="X1481" s="4">
        <v>14.3644648928866</v>
      </c>
      <c r="Y1481" s="4">
        <v>14.27076156975</v>
      </c>
      <c r="Z1481" s="4">
        <v>14.347656300101001</v>
      </c>
      <c r="AA1481" s="4">
        <f t="shared" si="95"/>
        <v>14.327627587579201</v>
      </c>
    </row>
    <row r="1482" spans="2:27" x14ac:dyDescent="0.2">
      <c r="B1482" s="4" t="s">
        <v>2337</v>
      </c>
      <c r="C1482" s="4">
        <v>14.632199999999999</v>
      </c>
      <c r="D1482" s="4">
        <v>14.539899999999999</v>
      </c>
      <c r="E1482" s="4">
        <v>14.5892</v>
      </c>
      <c r="F1482" s="4">
        <f t="shared" si="92"/>
        <v>14.5871</v>
      </c>
      <c r="I1482" s="4" t="s">
        <v>4064</v>
      </c>
      <c r="J1482" s="4">
        <v>14.9628</v>
      </c>
      <c r="K1482" s="4">
        <v>14.522</v>
      </c>
      <c r="L1482" s="4">
        <v>14.278499999999999</v>
      </c>
      <c r="M1482" s="4">
        <f t="shared" si="93"/>
        <v>14.587766666666667</v>
      </c>
      <c r="P1482" s="4" t="str">
        <f>"ndx-4"</f>
        <v>ndx-4</v>
      </c>
      <c r="Q1482" s="4">
        <v>14.1477884113307</v>
      </c>
      <c r="R1482" s="4">
        <v>14.2098796882049</v>
      </c>
      <c r="S1482" s="4">
        <v>14.2394168149892</v>
      </c>
      <c r="T1482" s="4">
        <f t="shared" si="94"/>
        <v>14.199028304841599</v>
      </c>
      <c r="W1482" s="4" t="str">
        <f>"tric-1B.1"</f>
        <v>tric-1B.1</v>
      </c>
      <c r="X1482" s="4">
        <v>14.151774942809601</v>
      </c>
      <c r="Y1482" s="4">
        <v>14.3465972160449</v>
      </c>
      <c r="Z1482" s="4">
        <v>14.4773244808501</v>
      </c>
      <c r="AA1482" s="4">
        <f t="shared" si="95"/>
        <v>14.325232213234868</v>
      </c>
    </row>
    <row r="1483" spans="2:27" x14ac:dyDescent="0.2">
      <c r="B1483" s="4" t="s">
        <v>2494</v>
      </c>
      <c r="C1483" s="4">
        <v>14.5799</v>
      </c>
      <c r="D1483" s="4">
        <v>14.7737</v>
      </c>
      <c r="E1483" s="4">
        <v>14.4071</v>
      </c>
      <c r="F1483" s="4">
        <f t="shared" si="92"/>
        <v>14.5869</v>
      </c>
      <c r="I1483" s="4" t="s">
        <v>1364</v>
      </c>
      <c r="J1483" s="4">
        <v>14.5418</v>
      </c>
      <c r="K1483" s="4">
        <v>14.4968</v>
      </c>
      <c r="L1483" s="4">
        <v>14.7204</v>
      </c>
      <c r="M1483" s="4">
        <f t="shared" si="93"/>
        <v>14.586333333333334</v>
      </c>
      <c r="P1483" s="4" t="str">
        <f>"odr-8"</f>
        <v>odr-8</v>
      </c>
      <c r="Q1483" s="4">
        <v>14.095670574671701</v>
      </c>
      <c r="R1483" s="4">
        <v>14.173179464592399</v>
      </c>
      <c r="S1483" s="4">
        <v>14.323225614343</v>
      </c>
      <c r="T1483" s="4">
        <f t="shared" si="94"/>
        <v>14.197358551202369</v>
      </c>
      <c r="W1483" s="4" t="str">
        <f>"ire-1"</f>
        <v>ire-1</v>
      </c>
      <c r="X1483" s="4">
        <v>14.421524204414</v>
      </c>
      <c r="Y1483" s="4">
        <v>14.2310242403611</v>
      </c>
      <c r="Z1483" s="4">
        <v>14.318651090325</v>
      </c>
      <c r="AA1483" s="4">
        <f t="shared" si="95"/>
        <v>14.3237331783667</v>
      </c>
    </row>
    <row r="1484" spans="2:27" x14ac:dyDescent="0.2">
      <c r="B1484" s="4" t="s">
        <v>2816</v>
      </c>
      <c r="C1484" s="4">
        <v>14.595000000000001</v>
      </c>
      <c r="D1484" s="4">
        <v>14.6229</v>
      </c>
      <c r="E1484" s="4">
        <v>14.542199999999999</v>
      </c>
      <c r="F1484" s="4">
        <f t="shared" si="92"/>
        <v>14.5867</v>
      </c>
      <c r="I1484" s="4" t="s">
        <v>1426</v>
      </c>
      <c r="J1484" s="4">
        <v>14.991400000000001</v>
      </c>
      <c r="K1484" s="4">
        <v>14.1722</v>
      </c>
      <c r="L1484" s="4">
        <v>14.592700000000001</v>
      </c>
      <c r="M1484" s="4">
        <f t="shared" si="93"/>
        <v>14.585433333333334</v>
      </c>
      <c r="P1484" s="4" t="str">
        <f>"abhd-3.1"</f>
        <v>abhd-3.1</v>
      </c>
      <c r="Q1484" s="4">
        <v>14.249907724094101</v>
      </c>
      <c r="R1484" s="4">
        <v>14.151104595264799</v>
      </c>
      <c r="S1484" s="4">
        <v>14.1903367615422</v>
      </c>
      <c r="T1484" s="4">
        <f t="shared" si="94"/>
        <v>14.197116360300365</v>
      </c>
      <c r="W1484" s="4" t="str">
        <f>"nduo-1"</f>
        <v>nduo-1</v>
      </c>
      <c r="X1484" s="4">
        <v>14.5652207616171</v>
      </c>
      <c r="Y1484" s="4">
        <v>13.7082517074442</v>
      </c>
      <c r="Z1484" s="4">
        <v>14.6946831647431</v>
      </c>
      <c r="AA1484" s="4">
        <f t="shared" si="95"/>
        <v>14.322718544601466</v>
      </c>
    </row>
    <row r="1485" spans="2:27" x14ac:dyDescent="0.2">
      <c r="B1485" s="4" t="s">
        <v>275</v>
      </c>
      <c r="C1485" s="4">
        <v>14.758699999999999</v>
      </c>
      <c r="D1485" s="4">
        <v>14.353300000000001</v>
      </c>
      <c r="E1485" s="4">
        <v>14.640599999999999</v>
      </c>
      <c r="F1485" s="4">
        <f t="shared" si="92"/>
        <v>14.584200000000001</v>
      </c>
      <c r="I1485" s="4" t="s">
        <v>1146</v>
      </c>
      <c r="J1485" s="4">
        <v>14.615</v>
      </c>
      <c r="K1485" s="4">
        <v>14.968500000000001</v>
      </c>
      <c r="L1485" s="4">
        <v>14.1707</v>
      </c>
      <c r="M1485" s="4">
        <f t="shared" si="93"/>
        <v>14.584733333333332</v>
      </c>
      <c r="P1485" s="4" t="str">
        <f>"T25B9.1"</f>
        <v>T25B9.1</v>
      </c>
      <c r="Q1485" s="4">
        <v>14.3654054516043</v>
      </c>
      <c r="R1485" s="4">
        <v>13.924157162163</v>
      </c>
      <c r="S1485" s="4">
        <v>14.3010772911014</v>
      </c>
      <c r="T1485" s="4">
        <f t="shared" si="94"/>
        <v>14.196879968289567</v>
      </c>
      <c r="W1485" s="4" t="str">
        <f>"T26C12.1"</f>
        <v>T26C12.1</v>
      </c>
      <c r="X1485" s="4">
        <v>14.3552374827854</v>
      </c>
      <c r="Y1485" s="4">
        <v>14.4959750696679</v>
      </c>
      <c r="Z1485" s="4">
        <v>14.116308616167</v>
      </c>
      <c r="AA1485" s="4">
        <f t="shared" si="95"/>
        <v>14.322507056206765</v>
      </c>
    </row>
    <row r="1486" spans="2:27" x14ac:dyDescent="0.2">
      <c r="B1486" s="4" t="s">
        <v>1634</v>
      </c>
      <c r="C1486" s="4">
        <v>14.7066</v>
      </c>
      <c r="D1486" s="4">
        <v>14.440099999999999</v>
      </c>
      <c r="E1486" s="4">
        <v>14.6046</v>
      </c>
      <c r="F1486" s="4">
        <f t="shared" si="92"/>
        <v>14.583766666666667</v>
      </c>
      <c r="I1486" s="4" t="s">
        <v>557</v>
      </c>
      <c r="J1486" s="4">
        <v>14.5268</v>
      </c>
      <c r="K1486" s="4">
        <v>14.729900000000001</v>
      </c>
      <c r="L1486" s="4">
        <v>14.489699999999999</v>
      </c>
      <c r="M1486" s="4">
        <f t="shared" si="93"/>
        <v>14.582133333333333</v>
      </c>
      <c r="P1486" s="4" t="str">
        <f>"fbxa-65"</f>
        <v>fbxa-65</v>
      </c>
      <c r="Q1486" s="4">
        <v>14.070979666831199</v>
      </c>
      <c r="R1486" s="4">
        <v>14.2413002298557</v>
      </c>
      <c r="S1486" s="4">
        <v>14.2742100773474</v>
      </c>
      <c r="T1486" s="4">
        <f t="shared" si="94"/>
        <v>14.195496658011434</v>
      </c>
      <c r="W1486" s="4" t="str">
        <f>"unc-26"</f>
        <v>unc-26</v>
      </c>
      <c r="X1486" s="4">
        <v>14.1819906486236</v>
      </c>
      <c r="Y1486" s="4">
        <v>14.420529051556301</v>
      </c>
      <c r="Z1486" s="4">
        <v>14.3638428269612</v>
      </c>
      <c r="AA1486" s="4">
        <f t="shared" si="95"/>
        <v>14.322120842380366</v>
      </c>
    </row>
    <row r="1487" spans="2:27" x14ac:dyDescent="0.2">
      <c r="B1487" s="4" t="s">
        <v>1768</v>
      </c>
      <c r="C1487" s="4">
        <v>14.6983</v>
      </c>
      <c r="D1487" s="4">
        <v>14.5464</v>
      </c>
      <c r="E1487" s="4">
        <v>14.501899999999999</v>
      </c>
      <c r="F1487" s="4">
        <f t="shared" si="92"/>
        <v>14.5822</v>
      </c>
      <c r="I1487" s="4" t="s">
        <v>1945</v>
      </c>
      <c r="J1487" s="4">
        <v>15.1694</v>
      </c>
      <c r="K1487" s="4">
        <v>14.748900000000001</v>
      </c>
      <c r="L1487" s="4">
        <v>13.826499999999999</v>
      </c>
      <c r="M1487" s="4">
        <f t="shared" si="93"/>
        <v>14.5816</v>
      </c>
      <c r="P1487" s="4" t="str">
        <f>"dnj-29"</f>
        <v>dnj-29</v>
      </c>
      <c r="Q1487" s="4">
        <v>13.951066385627</v>
      </c>
      <c r="R1487" s="4">
        <v>14.2533864956228</v>
      </c>
      <c r="S1487" s="4">
        <v>14.369636058388799</v>
      </c>
      <c r="T1487" s="4">
        <f t="shared" si="94"/>
        <v>14.191362979879534</v>
      </c>
      <c r="W1487" s="4" t="str">
        <f>"C32F10.8"</f>
        <v>C32F10.8</v>
      </c>
      <c r="X1487" s="4">
        <v>14.259658901896699</v>
      </c>
      <c r="Y1487" s="4">
        <v>14.256114079228499</v>
      </c>
      <c r="Z1487" s="4">
        <v>14.443359532966401</v>
      </c>
      <c r="AA1487" s="4">
        <f t="shared" si="95"/>
        <v>14.319710838030533</v>
      </c>
    </row>
    <row r="1488" spans="2:27" x14ac:dyDescent="0.2">
      <c r="B1488" s="4" t="s">
        <v>1844</v>
      </c>
      <c r="C1488" s="4">
        <v>14.473599999999999</v>
      </c>
      <c r="D1488" s="4">
        <v>14.7888</v>
      </c>
      <c r="E1488" s="4">
        <v>14.4815</v>
      </c>
      <c r="F1488" s="4">
        <f t="shared" si="92"/>
        <v>14.581299999999999</v>
      </c>
      <c r="I1488" s="4" t="s">
        <v>425</v>
      </c>
      <c r="J1488" s="4">
        <v>14.5578</v>
      </c>
      <c r="K1488" s="4">
        <v>14.558199999999999</v>
      </c>
      <c r="L1488" s="4">
        <v>14.6275</v>
      </c>
      <c r="M1488" s="4">
        <f t="shared" si="93"/>
        <v>14.581166666666666</v>
      </c>
      <c r="P1488" s="4" t="str">
        <f>"esyt-2"</f>
        <v>esyt-2</v>
      </c>
      <c r="Q1488" s="4">
        <v>14.274401724399899</v>
      </c>
      <c r="R1488" s="4">
        <v>14.1353464026803</v>
      </c>
      <c r="S1488" s="4">
        <v>14.161908391651499</v>
      </c>
      <c r="T1488" s="4">
        <f t="shared" si="94"/>
        <v>14.190552172910566</v>
      </c>
      <c r="W1488" s="4" t="str">
        <f>"lpd-7"</f>
        <v>lpd-7</v>
      </c>
      <c r="X1488" s="4">
        <v>14.358029503475199</v>
      </c>
      <c r="Y1488" s="4">
        <v>14.307670060041801</v>
      </c>
      <c r="Z1488" s="4">
        <v>14.2895229123934</v>
      </c>
      <c r="AA1488" s="4">
        <f t="shared" si="95"/>
        <v>14.318407491970135</v>
      </c>
    </row>
    <row r="1489" spans="2:27" x14ac:dyDescent="0.2">
      <c r="B1489" s="4" t="s">
        <v>1183</v>
      </c>
      <c r="C1489" s="4">
        <v>14.6113</v>
      </c>
      <c r="D1489" s="4">
        <v>14.5078</v>
      </c>
      <c r="E1489" s="4">
        <v>14.6242</v>
      </c>
      <c r="F1489" s="4">
        <f t="shared" si="92"/>
        <v>14.581099999999999</v>
      </c>
      <c r="I1489" s="4" t="s">
        <v>905</v>
      </c>
      <c r="J1489" s="4">
        <v>14.4742</v>
      </c>
      <c r="K1489" s="4">
        <v>14.574</v>
      </c>
      <c r="L1489" s="4">
        <v>14.6655</v>
      </c>
      <c r="M1489" s="4">
        <f t="shared" si="93"/>
        <v>14.571233333333334</v>
      </c>
      <c r="P1489" s="4" t="str">
        <f>"nrd-1"</f>
        <v>nrd-1</v>
      </c>
      <c r="Q1489" s="4">
        <v>14.333572672761001</v>
      </c>
      <c r="R1489" s="4">
        <v>14.208679786097701</v>
      </c>
      <c r="S1489" s="4">
        <v>14.0216848783791</v>
      </c>
      <c r="T1489" s="4">
        <f t="shared" si="94"/>
        <v>14.1879791124126</v>
      </c>
      <c r="W1489" s="4" t="str">
        <f>"hpo-12"</f>
        <v>hpo-12</v>
      </c>
      <c r="X1489" s="4">
        <v>14.244848964817599</v>
      </c>
      <c r="Y1489" s="4">
        <v>14.4179889873559</v>
      </c>
      <c r="Z1489" s="4">
        <v>14.2875588821866</v>
      </c>
      <c r="AA1489" s="4">
        <f t="shared" si="95"/>
        <v>14.316798944786699</v>
      </c>
    </row>
    <row r="1490" spans="2:27" x14ac:dyDescent="0.2">
      <c r="B1490" s="4" t="s">
        <v>3860</v>
      </c>
      <c r="C1490" s="4">
        <v>14.886799999999999</v>
      </c>
      <c r="D1490" s="4">
        <v>14.505800000000001</v>
      </c>
      <c r="E1490" s="4">
        <v>14.3431</v>
      </c>
      <c r="F1490" s="4">
        <f t="shared" si="92"/>
        <v>14.578566666666667</v>
      </c>
      <c r="I1490" s="4" t="s">
        <v>481</v>
      </c>
      <c r="J1490" s="4">
        <v>14.7805</v>
      </c>
      <c r="K1490" s="4">
        <v>14.5</v>
      </c>
      <c r="L1490" s="4">
        <v>14.426500000000001</v>
      </c>
      <c r="M1490" s="4">
        <f t="shared" si="93"/>
        <v>14.569000000000001</v>
      </c>
      <c r="P1490" s="4" t="str">
        <f>"tgt-2"</f>
        <v>tgt-2</v>
      </c>
      <c r="Q1490" s="4">
        <v>14.370778059632499</v>
      </c>
      <c r="R1490" s="4">
        <v>14.047210521841</v>
      </c>
      <c r="S1490" s="4">
        <v>14.1428579838039</v>
      </c>
      <c r="T1490" s="4">
        <f t="shared" si="94"/>
        <v>14.186948855092467</v>
      </c>
      <c r="W1490" s="4" t="str">
        <f>"Y49E10.21"</f>
        <v>Y49E10.21</v>
      </c>
      <c r="X1490" s="4">
        <v>14.3965434389871</v>
      </c>
      <c r="Y1490" s="4">
        <v>14.403249419810001</v>
      </c>
      <c r="Z1490" s="4">
        <v>14.1457623170099</v>
      </c>
      <c r="AA1490" s="4">
        <f t="shared" si="95"/>
        <v>14.315185058602333</v>
      </c>
    </row>
    <row r="1491" spans="2:27" x14ac:dyDescent="0.2">
      <c r="B1491" s="4" t="s">
        <v>349</v>
      </c>
      <c r="C1491" s="4">
        <v>14.149100000000001</v>
      </c>
      <c r="D1491" s="4">
        <v>14.9871</v>
      </c>
      <c r="E1491" s="4">
        <v>14.598100000000001</v>
      </c>
      <c r="F1491" s="4">
        <f t="shared" si="92"/>
        <v>14.578100000000001</v>
      </c>
      <c r="I1491" s="4" t="s">
        <v>1769</v>
      </c>
      <c r="J1491" s="4">
        <v>14.407299999999999</v>
      </c>
      <c r="K1491" s="4">
        <v>14.9239</v>
      </c>
      <c r="L1491" s="4">
        <v>14.3642</v>
      </c>
      <c r="M1491" s="4">
        <f t="shared" si="93"/>
        <v>14.565133333333334</v>
      </c>
      <c r="P1491" s="4" t="str">
        <f>"dlg-1"</f>
        <v>dlg-1</v>
      </c>
      <c r="Q1491" s="4">
        <v>14.3773964100764</v>
      </c>
      <c r="R1491" s="4">
        <v>13.7668175030513</v>
      </c>
      <c r="S1491" s="4">
        <v>14.412593798708899</v>
      </c>
      <c r="T1491" s="4">
        <f t="shared" si="94"/>
        <v>14.185602570612199</v>
      </c>
      <c r="W1491" s="4" t="str">
        <f>"hum-8"</f>
        <v>hum-8</v>
      </c>
      <c r="X1491" s="4">
        <v>14.3848655763788</v>
      </c>
      <c r="Y1491" s="4">
        <v>14.2658574977558</v>
      </c>
      <c r="Z1491" s="4">
        <v>14.2916814827046</v>
      </c>
      <c r="AA1491" s="4">
        <f t="shared" si="95"/>
        <v>14.314134852279734</v>
      </c>
    </row>
    <row r="1492" spans="2:27" x14ac:dyDescent="0.2">
      <c r="B1492" s="4" t="s">
        <v>1272</v>
      </c>
      <c r="C1492" s="4">
        <v>14.3652</v>
      </c>
      <c r="D1492" s="4">
        <v>15.028600000000001</v>
      </c>
      <c r="E1492" s="4">
        <v>14.3383</v>
      </c>
      <c r="F1492" s="4">
        <f t="shared" si="92"/>
        <v>14.577366666666668</v>
      </c>
      <c r="I1492" s="4" t="s">
        <v>4668</v>
      </c>
      <c r="J1492" s="4">
        <v>14.283799999999999</v>
      </c>
      <c r="K1492" s="4">
        <v>14.4922</v>
      </c>
      <c r="L1492" s="4">
        <v>14.9169</v>
      </c>
      <c r="M1492" s="4">
        <f t="shared" si="93"/>
        <v>14.564300000000001</v>
      </c>
      <c r="P1492" s="4" t="str">
        <f>"Y92H12A.5"</f>
        <v>Y92H12A.5</v>
      </c>
      <c r="Q1492" s="4">
        <v>14.3375228116671</v>
      </c>
      <c r="R1492" s="4">
        <v>14.1987215307832</v>
      </c>
      <c r="S1492" s="4">
        <v>14.016555999254701</v>
      </c>
      <c r="T1492" s="4">
        <f t="shared" si="94"/>
        <v>14.184266780568334</v>
      </c>
      <c r="W1492" s="4" t="str">
        <f>"rpb-8"</f>
        <v>rpb-8</v>
      </c>
      <c r="X1492" s="4">
        <v>14.241006255558901</v>
      </c>
      <c r="Y1492" s="4">
        <v>14.1895129455472</v>
      </c>
      <c r="Z1492" s="4">
        <v>14.511058063078501</v>
      </c>
      <c r="AA1492" s="4">
        <f t="shared" si="95"/>
        <v>14.313859088061534</v>
      </c>
    </row>
    <row r="1493" spans="2:27" x14ac:dyDescent="0.2">
      <c r="B1493" s="4" t="s">
        <v>1013</v>
      </c>
      <c r="C1493" s="4">
        <v>14.6355</v>
      </c>
      <c r="D1493" s="4">
        <v>14.5143</v>
      </c>
      <c r="E1493" s="4">
        <v>14.577500000000001</v>
      </c>
      <c r="F1493" s="4">
        <f t="shared" si="92"/>
        <v>14.575766666666667</v>
      </c>
      <c r="I1493" s="4" t="s">
        <v>3531</v>
      </c>
      <c r="J1493" s="4">
        <v>14.5684</v>
      </c>
      <c r="K1493" s="4">
        <v>14.6713</v>
      </c>
      <c r="L1493" s="4">
        <v>14.4468</v>
      </c>
      <c r="M1493" s="4">
        <f t="shared" si="93"/>
        <v>14.562166666666664</v>
      </c>
      <c r="P1493" s="4" t="str">
        <f>"drh-1"</f>
        <v>drh-1</v>
      </c>
      <c r="Q1493" s="4">
        <v>14.0471225378003</v>
      </c>
      <c r="R1493" s="4">
        <v>14.1725179755109</v>
      </c>
      <c r="S1493" s="4">
        <v>14.3323284008314</v>
      </c>
      <c r="T1493" s="4">
        <f t="shared" si="94"/>
        <v>14.183989638047533</v>
      </c>
      <c r="W1493" s="4" t="str">
        <f>"gpd-1"</f>
        <v>gpd-1</v>
      </c>
      <c r="X1493" s="4">
        <v>14.648190279086</v>
      </c>
      <c r="Y1493" s="4">
        <v>14.555979628871301</v>
      </c>
      <c r="Z1493" s="4">
        <v>13.725350604589501</v>
      </c>
      <c r="AA1493" s="4">
        <f t="shared" si="95"/>
        <v>14.309840170848934</v>
      </c>
    </row>
    <row r="1494" spans="2:27" x14ac:dyDescent="0.2">
      <c r="B1494" s="4" t="s">
        <v>476</v>
      </c>
      <c r="C1494" s="4">
        <v>14.301500000000001</v>
      </c>
      <c r="D1494" s="4">
        <v>14.469900000000001</v>
      </c>
      <c r="E1494" s="4">
        <v>14.954000000000001</v>
      </c>
      <c r="F1494" s="4">
        <f t="shared" si="92"/>
        <v>14.575133333333333</v>
      </c>
      <c r="I1494" s="4" t="s">
        <v>584</v>
      </c>
      <c r="J1494" s="4">
        <v>14.5809</v>
      </c>
      <c r="K1494" s="4">
        <v>14.3893</v>
      </c>
      <c r="L1494" s="4">
        <v>14.713699999999999</v>
      </c>
      <c r="M1494" s="4">
        <f t="shared" si="93"/>
        <v>14.561299999999997</v>
      </c>
      <c r="P1494" s="4" t="str">
        <f>"C33F10.14"</f>
        <v>C33F10.14</v>
      </c>
      <c r="Q1494" s="4">
        <v>14.3765309914839</v>
      </c>
      <c r="R1494" s="4">
        <v>14.1329663900983</v>
      </c>
      <c r="S1494" s="4">
        <v>14.0348196947778</v>
      </c>
      <c r="T1494" s="4">
        <f t="shared" si="94"/>
        <v>14.181439025453335</v>
      </c>
      <c r="W1494" s="4" t="str">
        <f>"ddi-1"</f>
        <v>ddi-1</v>
      </c>
      <c r="X1494" s="4">
        <v>14.358036420558999</v>
      </c>
      <c r="Y1494" s="4">
        <v>14.4237970280362</v>
      </c>
      <c r="Z1494" s="4">
        <v>14.142324449944001</v>
      </c>
      <c r="AA1494" s="4">
        <f t="shared" si="95"/>
        <v>14.308052632846399</v>
      </c>
    </row>
    <row r="1495" spans="2:27" x14ac:dyDescent="0.2">
      <c r="B1495" s="4" t="s">
        <v>2644</v>
      </c>
      <c r="C1495" s="4">
        <v>14.3627</v>
      </c>
      <c r="D1495" s="4">
        <v>14.589399999999999</v>
      </c>
      <c r="E1495" s="4">
        <v>14.772</v>
      </c>
      <c r="F1495" s="4">
        <f t="shared" si="92"/>
        <v>14.5747</v>
      </c>
      <c r="I1495" s="4" t="s">
        <v>2027</v>
      </c>
      <c r="J1495" s="4">
        <v>14.652100000000001</v>
      </c>
      <c r="K1495" s="4">
        <v>14.3048</v>
      </c>
      <c r="L1495" s="4">
        <v>14.7234</v>
      </c>
      <c r="M1495" s="4">
        <f t="shared" si="93"/>
        <v>14.5601</v>
      </c>
      <c r="P1495" s="4" t="str">
        <f>"Y94H6A.5"</f>
        <v>Y94H6A.5</v>
      </c>
      <c r="Q1495" s="4">
        <v>14.0468992818335</v>
      </c>
      <c r="R1495" s="4">
        <v>14.343519021986401</v>
      </c>
      <c r="S1495" s="4">
        <v>14.150833749614501</v>
      </c>
      <c r="T1495" s="4">
        <f t="shared" si="94"/>
        <v>14.180417351144799</v>
      </c>
      <c r="W1495" s="4" t="str">
        <f>"ppfr-1"</f>
        <v>ppfr-1</v>
      </c>
      <c r="X1495" s="4">
        <v>14.3928585429185</v>
      </c>
      <c r="Y1495" s="4">
        <v>14.367324723801699</v>
      </c>
      <c r="Z1495" s="4">
        <v>14.1533346064789</v>
      </c>
      <c r="AA1495" s="4">
        <f t="shared" si="95"/>
        <v>14.304505957733033</v>
      </c>
    </row>
    <row r="1496" spans="2:27" x14ac:dyDescent="0.2">
      <c r="B1496" s="4" t="s">
        <v>1475</v>
      </c>
      <c r="C1496" s="4">
        <v>14.3757</v>
      </c>
      <c r="D1496" s="4">
        <v>14.6473</v>
      </c>
      <c r="E1496" s="4">
        <v>14.699400000000001</v>
      </c>
      <c r="F1496" s="4">
        <f t="shared" si="92"/>
        <v>14.574133333333334</v>
      </c>
      <c r="I1496" s="4" t="s">
        <v>3169</v>
      </c>
      <c r="J1496" s="4">
        <v>14.702</v>
      </c>
      <c r="K1496" s="4">
        <v>14.5037</v>
      </c>
      <c r="L1496" s="4">
        <v>14.473100000000001</v>
      </c>
      <c r="M1496" s="4">
        <f t="shared" si="93"/>
        <v>14.559600000000001</v>
      </c>
      <c r="P1496" s="4" t="str">
        <f>"ttc-7"</f>
        <v>ttc-7</v>
      </c>
      <c r="Q1496" s="4">
        <v>14.198855693387401</v>
      </c>
      <c r="R1496" s="4">
        <v>14.2307608040032</v>
      </c>
      <c r="S1496" s="4">
        <v>14.1027907291851</v>
      </c>
      <c r="T1496" s="4">
        <f t="shared" si="94"/>
        <v>14.177469075525233</v>
      </c>
      <c r="W1496" s="4" t="str">
        <f>"hil-5"</f>
        <v>hil-5</v>
      </c>
      <c r="X1496" s="4">
        <v>14.0712914507049</v>
      </c>
      <c r="Y1496" s="4">
        <v>14.5622404493775</v>
      </c>
      <c r="Z1496" s="4">
        <v>14.267136174856599</v>
      </c>
      <c r="AA1496" s="4">
        <f t="shared" si="95"/>
        <v>14.300222691646333</v>
      </c>
    </row>
    <row r="1497" spans="2:27" x14ac:dyDescent="0.2">
      <c r="B1497" s="4" t="s">
        <v>3960</v>
      </c>
      <c r="C1497" s="4">
        <v>14.7066</v>
      </c>
      <c r="D1497" s="4">
        <v>14.4221</v>
      </c>
      <c r="E1497" s="4">
        <v>14.5916</v>
      </c>
      <c r="F1497" s="4">
        <f t="shared" si="92"/>
        <v>14.573433333333334</v>
      </c>
      <c r="I1497" s="4" t="s">
        <v>1686</v>
      </c>
      <c r="J1497" s="4">
        <v>14.8</v>
      </c>
      <c r="K1497" s="4">
        <v>14.2279</v>
      </c>
      <c r="L1497" s="4">
        <v>14.6449</v>
      </c>
      <c r="M1497" s="4">
        <f t="shared" si="93"/>
        <v>14.557600000000001</v>
      </c>
      <c r="P1497" s="4" t="str">
        <f>"acs-17"</f>
        <v>acs-17</v>
      </c>
      <c r="Q1497" s="4">
        <v>14.0709830977249</v>
      </c>
      <c r="R1497" s="4">
        <v>14.201549811594999</v>
      </c>
      <c r="S1497" s="4">
        <v>14.253647584607499</v>
      </c>
      <c r="T1497" s="4">
        <f t="shared" si="94"/>
        <v>14.175393497975799</v>
      </c>
      <c r="W1497" s="4" t="str">
        <f>"Y45F10C.4"</f>
        <v>Y45F10C.4</v>
      </c>
      <c r="X1497" s="4">
        <v>14.267046539474901</v>
      </c>
      <c r="Y1497" s="4">
        <v>14.233801967093701</v>
      </c>
      <c r="Z1497" s="4">
        <v>14.3977535185333</v>
      </c>
      <c r="AA1497" s="4">
        <f t="shared" si="95"/>
        <v>14.299534008367301</v>
      </c>
    </row>
    <row r="1498" spans="2:27" x14ac:dyDescent="0.2">
      <c r="B1498" s="4" t="s">
        <v>2746</v>
      </c>
      <c r="C1498" s="4">
        <v>14.5122</v>
      </c>
      <c r="D1498" s="4">
        <v>14.581200000000001</v>
      </c>
      <c r="E1498" s="4">
        <v>14.6229</v>
      </c>
      <c r="F1498" s="4">
        <f t="shared" si="92"/>
        <v>14.572100000000001</v>
      </c>
      <c r="I1498" s="4" t="s">
        <v>2740</v>
      </c>
      <c r="J1498" s="4">
        <v>14.8391</v>
      </c>
      <c r="K1498" s="4">
        <v>14.600199999999999</v>
      </c>
      <c r="L1498" s="4">
        <v>14.232900000000001</v>
      </c>
      <c r="M1498" s="4">
        <f t="shared" si="93"/>
        <v>14.557400000000001</v>
      </c>
      <c r="P1498" s="4" t="str">
        <f>"cpsf-3"</f>
        <v>cpsf-3</v>
      </c>
      <c r="Q1498" s="4">
        <v>14.385997118593201</v>
      </c>
      <c r="R1498" s="4">
        <v>14.103202954162899</v>
      </c>
      <c r="S1498" s="4">
        <v>14.0323498215825</v>
      </c>
      <c r="T1498" s="4">
        <f t="shared" si="94"/>
        <v>14.173849964779533</v>
      </c>
      <c r="W1498" s="4" t="str">
        <f>"pno-1"</f>
        <v>pno-1</v>
      </c>
      <c r="X1498" s="4">
        <v>14.223677296480201</v>
      </c>
      <c r="Y1498" s="4">
        <v>14.402392238157001</v>
      </c>
      <c r="Z1498" s="4">
        <v>14.2625996005776</v>
      </c>
      <c r="AA1498" s="4">
        <f t="shared" si="95"/>
        <v>14.296223045071601</v>
      </c>
    </row>
    <row r="1499" spans="2:27" x14ac:dyDescent="0.2">
      <c r="B1499" s="4" t="s">
        <v>129</v>
      </c>
      <c r="C1499" s="4">
        <v>14.2485</v>
      </c>
      <c r="D1499" s="4">
        <v>14.8432</v>
      </c>
      <c r="E1499" s="4">
        <v>14.624000000000001</v>
      </c>
      <c r="F1499" s="4">
        <f t="shared" si="92"/>
        <v>14.571899999999999</v>
      </c>
      <c r="I1499" s="4" t="s">
        <v>3</v>
      </c>
      <c r="J1499" s="4">
        <v>14.622400000000001</v>
      </c>
      <c r="K1499" s="4">
        <v>14.6685</v>
      </c>
      <c r="L1499" s="4">
        <v>14.3804</v>
      </c>
      <c r="M1499" s="4">
        <f t="shared" si="93"/>
        <v>14.5571</v>
      </c>
      <c r="P1499" s="4" t="str">
        <f>"Y82E9BR.18"</f>
        <v>Y82E9BR.18</v>
      </c>
      <c r="Q1499" s="4">
        <v>14.2646301005782</v>
      </c>
      <c r="R1499" s="4">
        <v>13.9746203713526</v>
      </c>
      <c r="S1499" s="4">
        <v>14.281439182238101</v>
      </c>
      <c r="T1499" s="4">
        <f t="shared" si="94"/>
        <v>14.173563218056302</v>
      </c>
      <c r="W1499" s="4" t="str">
        <f>"Y65B4A.8"</f>
        <v>Y65B4A.8</v>
      </c>
      <c r="X1499" s="4">
        <v>14.234266168470301</v>
      </c>
      <c r="Y1499" s="4">
        <v>14.236635211514299</v>
      </c>
      <c r="Z1499" s="4">
        <v>14.4081437211464</v>
      </c>
      <c r="AA1499" s="4">
        <f t="shared" si="95"/>
        <v>14.293015033710333</v>
      </c>
    </row>
    <row r="1500" spans="2:27" x14ac:dyDescent="0.2">
      <c r="B1500" s="4" t="s">
        <v>3642</v>
      </c>
      <c r="C1500" s="4">
        <v>14.5215</v>
      </c>
      <c r="D1500" s="4">
        <v>14.426600000000001</v>
      </c>
      <c r="E1500" s="4">
        <v>14.766999999999999</v>
      </c>
      <c r="F1500" s="4">
        <f t="shared" si="92"/>
        <v>14.5717</v>
      </c>
      <c r="I1500" s="4" t="s">
        <v>3072</v>
      </c>
      <c r="J1500" s="4">
        <v>14.3512</v>
      </c>
      <c r="K1500" s="4">
        <v>14.6533</v>
      </c>
      <c r="L1500" s="4">
        <v>14.6578</v>
      </c>
      <c r="M1500" s="4">
        <f t="shared" si="93"/>
        <v>14.5541</v>
      </c>
      <c r="P1500" s="4" t="str">
        <f>"pgk-1"</f>
        <v>pgk-1</v>
      </c>
      <c r="Q1500" s="4">
        <v>14.0511690922801</v>
      </c>
      <c r="R1500" s="4">
        <v>14.224818171052</v>
      </c>
      <c r="S1500" s="4">
        <v>14.229129730064299</v>
      </c>
      <c r="T1500" s="4">
        <f t="shared" si="94"/>
        <v>14.168372331132133</v>
      </c>
      <c r="W1500" s="4" t="str">
        <f>"T05F1.11"</f>
        <v>T05F1.11</v>
      </c>
      <c r="X1500" s="4">
        <v>13.98936413363</v>
      </c>
      <c r="Y1500" s="4">
        <v>14.637891110369999</v>
      </c>
      <c r="Z1500" s="4">
        <v>14.248282568900301</v>
      </c>
      <c r="AA1500" s="4">
        <f t="shared" si="95"/>
        <v>14.291845937633433</v>
      </c>
    </row>
    <row r="1501" spans="2:27" x14ac:dyDescent="0.2">
      <c r="B1501" s="4" t="s">
        <v>1649</v>
      </c>
      <c r="C1501" s="4">
        <v>14.4475</v>
      </c>
      <c r="D1501" s="4">
        <v>14.954800000000001</v>
      </c>
      <c r="E1501" s="4">
        <v>14.3104</v>
      </c>
      <c r="F1501" s="4">
        <f t="shared" si="92"/>
        <v>14.5709</v>
      </c>
      <c r="I1501" s="4" t="s">
        <v>1910</v>
      </c>
      <c r="J1501" s="4">
        <v>14.4208</v>
      </c>
      <c r="K1501" s="4">
        <v>14.498699999999999</v>
      </c>
      <c r="L1501" s="4">
        <v>14.7399</v>
      </c>
      <c r="M1501" s="4">
        <f t="shared" si="93"/>
        <v>14.553133333333333</v>
      </c>
      <c r="P1501" s="4" t="str">
        <f>"smg-1"</f>
        <v>smg-1</v>
      </c>
      <c r="Q1501" s="4">
        <v>14.136720808504</v>
      </c>
      <c r="R1501" s="4">
        <v>14.339371838270599</v>
      </c>
      <c r="S1501" s="4">
        <v>14.028523264111</v>
      </c>
      <c r="T1501" s="4">
        <f t="shared" si="94"/>
        <v>14.168205303628532</v>
      </c>
      <c r="W1501" s="4" t="str">
        <f>"gln-3"</f>
        <v>gln-3</v>
      </c>
      <c r="X1501" s="4">
        <v>14.1822141667322</v>
      </c>
      <c r="Y1501" s="4">
        <v>14.302102600008601</v>
      </c>
      <c r="Z1501" s="4">
        <v>14.388823345727801</v>
      </c>
      <c r="AA1501" s="4">
        <f t="shared" si="95"/>
        <v>14.291046704156201</v>
      </c>
    </row>
    <row r="1502" spans="2:27" x14ac:dyDescent="0.2">
      <c r="B1502" s="4" t="s">
        <v>306</v>
      </c>
      <c r="C1502" s="4">
        <v>14.630699999999999</v>
      </c>
      <c r="D1502" s="4">
        <v>14.381600000000001</v>
      </c>
      <c r="E1502" s="4">
        <v>14.694699999999999</v>
      </c>
      <c r="F1502" s="4">
        <f t="shared" si="92"/>
        <v>14.569000000000001</v>
      </c>
      <c r="I1502" s="4" t="s">
        <v>2767</v>
      </c>
      <c r="J1502" s="4">
        <v>13.694900000000001</v>
      </c>
      <c r="K1502" s="4">
        <v>14.357799999999999</v>
      </c>
      <c r="L1502" s="4">
        <v>15.5998</v>
      </c>
      <c r="M1502" s="4">
        <f t="shared" si="93"/>
        <v>14.550833333333335</v>
      </c>
      <c r="P1502" s="4" t="str">
        <f>"usp-5"</f>
        <v>usp-5</v>
      </c>
      <c r="Q1502" s="4">
        <v>14.144792176768201</v>
      </c>
      <c r="R1502" s="4">
        <v>14.107859533290201</v>
      </c>
      <c r="S1502" s="4">
        <v>14.245889747702</v>
      </c>
      <c r="T1502" s="4">
        <f t="shared" si="94"/>
        <v>14.166180485920135</v>
      </c>
      <c r="W1502" s="4" t="str">
        <f>"EEED8.10"</f>
        <v>EEED8.10</v>
      </c>
      <c r="X1502" s="4">
        <v>14.2584729660633</v>
      </c>
      <c r="Y1502" s="4">
        <v>14.422831481542699</v>
      </c>
      <c r="Z1502" s="4">
        <v>14.1877749820187</v>
      </c>
      <c r="AA1502" s="4">
        <f t="shared" si="95"/>
        <v>14.289693143208233</v>
      </c>
    </row>
    <row r="1503" spans="2:27" x14ac:dyDescent="0.2">
      <c r="B1503" s="4" t="s">
        <v>392</v>
      </c>
      <c r="C1503" s="4">
        <v>14.5252</v>
      </c>
      <c r="D1503" s="4">
        <v>14.6707</v>
      </c>
      <c r="E1503" s="4">
        <v>14.509600000000001</v>
      </c>
      <c r="F1503" s="4">
        <f t="shared" si="92"/>
        <v>14.5685</v>
      </c>
      <c r="I1503" s="4" t="s">
        <v>2013</v>
      </c>
      <c r="J1503" s="4">
        <v>14.481299999999999</v>
      </c>
      <c r="K1503" s="4">
        <v>14.6517</v>
      </c>
      <c r="L1503" s="4">
        <v>14.519299999999999</v>
      </c>
      <c r="M1503" s="4">
        <f t="shared" si="93"/>
        <v>14.550766666666666</v>
      </c>
      <c r="P1503" s="4" t="str">
        <f>"haly-1"</f>
        <v>haly-1</v>
      </c>
      <c r="Q1503" s="4">
        <v>14.161704035565601</v>
      </c>
      <c r="R1503" s="4">
        <v>13.9356455803388</v>
      </c>
      <c r="S1503" s="4">
        <v>14.4002363895756</v>
      </c>
      <c r="T1503" s="4">
        <f t="shared" si="94"/>
        <v>14.165862001826667</v>
      </c>
      <c r="W1503" s="4" t="str">
        <f>"cogc-8"</f>
        <v>cogc-8</v>
      </c>
      <c r="X1503" s="4">
        <v>14.259882120445001</v>
      </c>
      <c r="Y1503" s="4">
        <v>14.2688973699263</v>
      </c>
      <c r="Z1503" s="4">
        <v>14.3400954874547</v>
      </c>
      <c r="AA1503" s="4">
        <f t="shared" si="95"/>
        <v>14.289624992608665</v>
      </c>
    </row>
    <row r="1504" spans="2:27" x14ac:dyDescent="0.2">
      <c r="B1504" s="4" t="s">
        <v>2130</v>
      </c>
      <c r="C1504" s="4">
        <v>14.3744</v>
      </c>
      <c r="D1504" s="4">
        <v>14.528499999999999</v>
      </c>
      <c r="E1504" s="4">
        <v>14.802199999999999</v>
      </c>
      <c r="F1504" s="4">
        <f t="shared" si="92"/>
        <v>14.568366666666668</v>
      </c>
      <c r="I1504" s="4" t="s">
        <v>3513</v>
      </c>
      <c r="J1504" s="4">
        <v>14.6571</v>
      </c>
      <c r="K1504" s="4">
        <v>14.6585</v>
      </c>
      <c r="L1504" s="4">
        <v>14.3344</v>
      </c>
      <c r="M1504" s="4">
        <f t="shared" si="93"/>
        <v>14.549999999999999</v>
      </c>
      <c r="P1504" s="4" t="str">
        <f>"catp-8"</f>
        <v>catp-8</v>
      </c>
      <c r="Q1504" s="4">
        <v>13.8307247268131</v>
      </c>
      <c r="R1504" s="4">
        <v>14.1480845427541</v>
      </c>
      <c r="S1504" s="4">
        <v>14.5173472730858</v>
      </c>
      <c r="T1504" s="4">
        <f t="shared" si="94"/>
        <v>14.165385514217666</v>
      </c>
      <c r="W1504" s="4" t="str">
        <f>"atg-13"</f>
        <v>atg-13</v>
      </c>
      <c r="X1504" s="4">
        <v>14.184975086946601</v>
      </c>
      <c r="Y1504" s="4">
        <v>14.349211557458499</v>
      </c>
      <c r="Z1504" s="4">
        <v>14.334333013583599</v>
      </c>
      <c r="AA1504" s="4">
        <f t="shared" si="95"/>
        <v>14.2895065526629</v>
      </c>
    </row>
    <row r="1505" spans="2:27" x14ac:dyDescent="0.2">
      <c r="B1505" s="4" t="s">
        <v>2509</v>
      </c>
      <c r="C1505" s="4">
        <v>14.8011</v>
      </c>
      <c r="D1505" s="4">
        <v>14.0046</v>
      </c>
      <c r="E1505" s="4">
        <v>14.8848</v>
      </c>
      <c r="F1505" s="4">
        <f t="shared" si="92"/>
        <v>14.563499999999999</v>
      </c>
      <c r="I1505" s="4" t="s">
        <v>2840</v>
      </c>
      <c r="J1505" s="4">
        <v>14.5084</v>
      </c>
      <c r="K1505" s="4">
        <v>14.497199999999999</v>
      </c>
      <c r="L1505" s="4">
        <v>14.6225</v>
      </c>
      <c r="M1505" s="4">
        <f t="shared" si="93"/>
        <v>14.542700000000002</v>
      </c>
      <c r="P1505" s="4" t="str">
        <f>"Y53F4B.18"</f>
        <v>Y53F4B.18</v>
      </c>
      <c r="Q1505" s="4">
        <v>14.1272255869657</v>
      </c>
      <c r="R1505" s="4">
        <v>14.182858247578601</v>
      </c>
      <c r="S1505" s="4">
        <v>14.1828313649021</v>
      </c>
      <c r="T1505" s="4">
        <f t="shared" si="94"/>
        <v>14.164305066482134</v>
      </c>
      <c r="W1505" s="4" t="str">
        <f>"F59B2.3"</f>
        <v>F59B2.3</v>
      </c>
      <c r="X1505" s="4">
        <v>14.029936923201699</v>
      </c>
      <c r="Y1505" s="4">
        <v>14.495355109767599</v>
      </c>
      <c r="Z1505" s="4">
        <v>14.3347853592623</v>
      </c>
      <c r="AA1505" s="4">
        <f t="shared" si="95"/>
        <v>14.286692464077198</v>
      </c>
    </row>
    <row r="1506" spans="2:27" x14ac:dyDescent="0.2">
      <c r="B1506" s="4" t="s">
        <v>1257</v>
      </c>
      <c r="C1506" s="4">
        <v>14.537000000000001</v>
      </c>
      <c r="D1506" s="4">
        <v>14.4274</v>
      </c>
      <c r="E1506" s="4">
        <v>14.722</v>
      </c>
      <c r="F1506" s="4">
        <f t="shared" si="92"/>
        <v>14.562133333333334</v>
      </c>
      <c r="I1506" s="4" t="s">
        <v>4164</v>
      </c>
      <c r="J1506" s="4">
        <v>14.467700000000001</v>
      </c>
      <c r="K1506" s="4">
        <v>15.024900000000001</v>
      </c>
      <c r="L1506" s="4">
        <v>14.133599999999999</v>
      </c>
      <c r="M1506" s="4">
        <f t="shared" si="93"/>
        <v>14.542066666666669</v>
      </c>
      <c r="P1506" s="4" t="str">
        <f>"ints-8"</f>
        <v>ints-8</v>
      </c>
      <c r="Q1506" s="4">
        <v>14.114463181533599</v>
      </c>
      <c r="R1506" s="4">
        <v>14.161187347250699</v>
      </c>
      <c r="S1506" s="4">
        <v>14.2135246588009</v>
      </c>
      <c r="T1506" s="4">
        <f t="shared" si="94"/>
        <v>14.163058395861732</v>
      </c>
      <c r="W1506" s="4" t="str">
        <f>"T23H2.3"</f>
        <v>T23H2.3</v>
      </c>
      <c r="X1506" s="4">
        <v>14.3035567172155</v>
      </c>
      <c r="Y1506" s="4">
        <v>14.3174554156634</v>
      </c>
      <c r="Z1506" s="4">
        <v>14.236679645589801</v>
      </c>
      <c r="AA1506" s="4">
        <f t="shared" si="95"/>
        <v>14.285897259489566</v>
      </c>
    </row>
    <row r="1507" spans="2:27" x14ac:dyDescent="0.2">
      <c r="B1507" s="4" t="s">
        <v>2908</v>
      </c>
      <c r="C1507" s="4">
        <v>14.3339</v>
      </c>
      <c r="D1507" s="4">
        <v>15.057700000000001</v>
      </c>
      <c r="E1507" s="4">
        <v>14.2849</v>
      </c>
      <c r="F1507" s="4">
        <f t="shared" si="92"/>
        <v>14.558833333333334</v>
      </c>
      <c r="I1507" s="4" t="s">
        <v>416</v>
      </c>
      <c r="J1507" s="4">
        <v>14.036799999999999</v>
      </c>
      <c r="K1507" s="4">
        <v>14.4916</v>
      </c>
      <c r="L1507" s="4">
        <v>15.092700000000001</v>
      </c>
      <c r="M1507" s="4">
        <f t="shared" si="93"/>
        <v>14.540366666666666</v>
      </c>
      <c r="P1507" s="4" t="str">
        <f>"dhs-19"</f>
        <v>dhs-19</v>
      </c>
      <c r="Q1507" s="4">
        <v>13.9456954761962</v>
      </c>
      <c r="R1507" s="4">
        <v>14.357392873981</v>
      </c>
      <c r="S1507" s="4">
        <v>14.1832943294499</v>
      </c>
      <c r="T1507" s="4">
        <f t="shared" si="94"/>
        <v>14.162127559875699</v>
      </c>
      <c r="W1507" s="4" t="str">
        <f>"sor-3"</f>
        <v>sor-3</v>
      </c>
      <c r="X1507" s="4">
        <v>14.1753970198969</v>
      </c>
      <c r="Y1507" s="4">
        <v>14.221130813146999</v>
      </c>
      <c r="Z1507" s="4">
        <v>14.460803089984299</v>
      </c>
      <c r="AA1507" s="4">
        <f t="shared" si="95"/>
        <v>14.285776974342733</v>
      </c>
    </row>
    <row r="1508" spans="2:27" x14ac:dyDescent="0.2">
      <c r="B1508" s="4" t="s">
        <v>2145</v>
      </c>
      <c r="C1508" s="4">
        <v>14.681800000000001</v>
      </c>
      <c r="D1508" s="4">
        <v>14.269</v>
      </c>
      <c r="E1508" s="4">
        <v>14.7224</v>
      </c>
      <c r="F1508" s="4">
        <f t="shared" si="92"/>
        <v>14.557733333333333</v>
      </c>
      <c r="I1508" s="4" t="s">
        <v>2900</v>
      </c>
      <c r="J1508" s="4">
        <v>14.2888</v>
      </c>
      <c r="K1508" s="4">
        <v>14.353199999999999</v>
      </c>
      <c r="L1508" s="4">
        <v>14.973000000000001</v>
      </c>
      <c r="M1508" s="4">
        <f t="shared" si="93"/>
        <v>14.538333333333334</v>
      </c>
      <c r="P1508" s="4" t="str">
        <f>"mei-1"</f>
        <v>mei-1</v>
      </c>
      <c r="Q1508" s="4">
        <v>14.1892290172541</v>
      </c>
      <c r="R1508" s="4">
        <v>14.175551159656401</v>
      </c>
      <c r="S1508" s="4">
        <v>14.120589609151301</v>
      </c>
      <c r="T1508" s="4">
        <f t="shared" si="94"/>
        <v>14.161789928687268</v>
      </c>
      <c r="W1508" s="4" t="str">
        <f>"ints-8"</f>
        <v>ints-8</v>
      </c>
      <c r="X1508" s="4">
        <v>14.480678613800899</v>
      </c>
      <c r="Y1508" s="4">
        <v>14.253420064821301</v>
      </c>
      <c r="Z1508" s="4">
        <v>14.121246188131099</v>
      </c>
      <c r="AA1508" s="4">
        <f t="shared" si="95"/>
        <v>14.285114955584433</v>
      </c>
    </row>
    <row r="1509" spans="2:27" x14ac:dyDescent="0.2">
      <c r="B1509" s="4" t="s">
        <v>559</v>
      </c>
      <c r="C1509" s="4">
        <v>14.505800000000001</v>
      </c>
      <c r="D1509" s="4">
        <v>14.7639</v>
      </c>
      <c r="E1509" s="4">
        <v>14.3992</v>
      </c>
      <c r="F1509" s="4">
        <f t="shared" si="92"/>
        <v>14.5563</v>
      </c>
      <c r="I1509" s="4" t="s">
        <v>757</v>
      </c>
      <c r="J1509" s="4">
        <v>14.523899999999999</v>
      </c>
      <c r="K1509" s="4">
        <v>14.7926</v>
      </c>
      <c r="L1509" s="4">
        <v>14.2981</v>
      </c>
      <c r="M1509" s="4">
        <f t="shared" si="93"/>
        <v>14.538199999999998</v>
      </c>
      <c r="P1509" s="4" t="str">
        <f>"npp-2"</f>
        <v>npp-2</v>
      </c>
      <c r="Q1509" s="4">
        <v>14.0438194839396</v>
      </c>
      <c r="R1509" s="4">
        <v>14.1533914852312</v>
      </c>
      <c r="S1509" s="4">
        <v>14.280954090380201</v>
      </c>
      <c r="T1509" s="4">
        <f t="shared" si="94"/>
        <v>14.159388353183667</v>
      </c>
      <c r="W1509" s="4" t="str">
        <f>"cyn-1"</f>
        <v>cyn-1</v>
      </c>
      <c r="X1509" s="4">
        <v>13.984647152874899</v>
      </c>
      <c r="Y1509" s="4">
        <v>13.9839336024536</v>
      </c>
      <c r="Z1509" s="4">
        <v>14.886539935186599</v>
      </c>
      <c r="AA1509" s="4">
        <f t="shared" si="95"/>
        <v>14.285040230171701</v>
      </c>
    </row>
    <row r="1510" spans="2:27" x14ac:dyDescent="0.2">
      <c r="B1510" s="4" t="s">
        <v>3395</v>
      </c>
      <c r="C1510" s="4">
        <v>14.533799999999999</v>
      </c>
      <c r="D1510" s="4">
        <v>14.767799999999999</v>
      </c>
      <c r="E1510" s="4">
        <v>14.3652</v>
      </c>
      <c r="F1510" s="4">
        <f t="shared" si="92"/>
        <v>14.5556</v>
      </c>
      <c r="I1510" s="4" t="s">
        <v>355</v>
      </c>
      <c r="J1510" s="4">
        <v>14.321999999999999</v>
      </c>
      <c r="K1510" s="4">
        <v>14.528600000000001</v>
      </c>
      <c r="L1510" s="4">
        <v>14.7623</v>
      </c>
      <c r="M1510" s="4">
        <f t="shared" si="93"/>
        <v>14.537633333333332</v>
      </c>
      <c r="P1510" s="4" t="str">
        <f>"gpi-1"</f>
        <v>gpi-1</v>
      </c>
      <c r="Q1510" s="4">
        <v>14.532662653447099</v>
      </c>
      <c r="R1510" s="4">
        <v>14.235531897918801</v>
      </c>
      <c r="S1510" s="4">
        <v>13.7026457498261</v>
      </c>
      <c r="T1510" s="4">
        <f t="shared" si="94"/>
        <v>14.156946767063999</v>
      </c>
      <c r="W1510" s="4" t="str">
        <f>"cah-4"</f>
        <v>cah-4</v>
      </c>
      <c r="X1510" s="4">
        <v>14.246129932682599</v>
      </c>
      <c r="Y1510" s="4">
        <v>14.305929122131699</v>
      </c>
      <c r="Z1510" s="4">
        <v>14.301007069716601</v>
      </c>
      <c r="AA1510" s="4">
        <f t="shared" si="95"/>
        <v>14.284355374843633</v>
      </c>
    </row>
    <row r="1511" spans="2:27" x14ac:dyDescent="0.2">
      <c r="B1511" s="4" t="s">
        <v>605</v>
      </c>
      <c r="C1511" s="4">
        <v>14.681800000000001</v>
      </c>
      <c r="D1511" s="4">
        <v>15.1523</v>
      </c>
      <c r="E1511" s="4">
        <v>13.8225</v>
      </c>
      <c r="F1511" s="4">
        <f t="shared" si="92"/>
        <v>14.552199999999999</v>
      </c>
      <c r="I1511" s="4" t="s">
        <v>2704</v>
      </c>
      <c r="J1511" s="4">
        <v>14.385300000000001</v>
      </c>
      <c r="K1511" s="4">
        <v>14.396699999999999</v>
      </c>
      <c r="L1511" s="4">
        <v>14.822800000000001</v>
      </c>
      <c r="M1511" s="4">
        <f t="shared" si="93"/>
        <v>14.534933333333333</v>
      </c>
      <c r="P1511" s="4" t="str">
        <f>"thoc-5"</f>
        <v>thoc-5</v>
      </c>
      <c r="Q1511" s="4">
        <v>14.1804828235703</v>
      </c>
      <c r="R1511" s="4">
        <v>14.141195127084099</v>
      </c>
      <c r="S1511" s="4">
        <v>14.145189135309799</v>
      </c>
      <c r="T1511" s="4">
        <f t="shared" si="94"/>
        <v>14.155622361988065</v>
      </c>
      <c r="W1511" s="4" t="str">
        <f>"F17B5.1"</f>
        <v>F17B5.1</v>
      </c>
      <c r="X1511" s="4">
        <v>14.1270271538428</v>
      </c>
      <c r="Y1511" s="4">
        <v>14.293495744049601</v>
      </c>
      <c r="Z1511" s="4">
        <v>14.431890900243401</v>
      </c>
      <c r="AA1511" s="4">
        <f t="shared" si="95"/>
        <v>14.284137932711934</v>
      </c>
    </row>
    <row r="1512" spans="2:27" x14ac:dyDescent="0.2">
      <c r="B1512" s="4" t="s">
        <v>4082</v>
      </c>
      <c r="C1512" s="4">
        <v>14.456200000000001</v>
      </c>
      <c r="D1512" s="4">
        <v>14.9285</v>
      </c>
      <c r="E1512" s="4">
        <v>14.269299999999999</v>
      </c>
      <c r="F1512" s="4">
        <f t="shared" si="92"/>
        <v>14.551333333333334</v>
      </c>
      <c r="I1512" s="4" t="s">
        <v>3030</v>
      </c>
      <c r="J1512" s="4">
        <v>14.5085</v>
      </c>
      <c r="K1512" s="4">
        <v>14.461600000000001</v>
      </c>
      <c r="L1512" s="4">
        <v>14.6335</v>
      </c>
      <c r="M1512" s="4">
        <f t="shared" si="93"/>
        <v>14.534533333333334</v>
      </c>
      <c r="P1512" s="4" t="str">
        <f>"dhs-18"</f>
        <v>dhs-18</v>
      </c>
      <c r="Q1512" s="4">
        <v>13.9574307617856</v>
      </c>
      <c r="R1512" s="4">
        <v>14.202899279882001</v>
      </c>
      <c r="S1512" s="4">
        <v>14.2976318412654</v>
      </c>
      <c r="T1512" s="4">
        <f t="shared" si="94"/>
        <v>14.152653960977666</v>
      </c>
      <c r="W1512" s="4" t="str">
        <f>"gck-3"</f>
        <v>gck-3</v>
      </c>
      <c r="X1512" s="4">
        <v>14.372374340765599</v>
      </c>
      <c r="Y1512" s="4">
        <v>14.167670078334099</v>
      </c>
      <c r="Z1512" s="4">
        <v>14.310578364431899</v>
      </c>
      <c r="AA1512" s="4">
        <f t="shared" si="95"/>
        <v>14.283540927843866</v>
      </c>
    </row>
    <row r="1513" spans="2:27" x14ac:dyDescent="0.2">
      <c r="B1513" s="4" t="s">
        <v>1477</v>
      </c>
      <c r="C1513" s="4">
        <v>14.674300000000001</v>
      </c>
      <c r="D1513" s="4">
        <v>14.881600000000001</v>
      </c>
      <c r="E1513" s="4">
        <v>14.0952</v>
      </c>
      <c r="F1513" s="4">
        <f t="shared" si="92"/>
        <v>14.550366666666667</v>
      </c>
      <c r="I1513" s="4" t="s">
        <v>343</v>
      </c>
      <c r="J1513" s="4">
        <v>14.718400000000001</v>
      </c>
      <c r="K1513" s="4">
        <v>14.271100000000001</v>
      </c>
      <c r="L1513" s="4">
        <v>14.610799999999999</v>
      </c>
      <c r="M1513" s="4">
        <f t="shared" si="93"/>
        <v>14.533433333333333</v>
      </c>
      <c r="P1513" s="4" t="str">
        <f>"F21C10.9"</f>
        <v>F21C10.9</v>
      </c>
      <c r="Q1513" s="4">
        <v>13.954839275802399</v>
      </c>
      <c r="R1513" s="4">
        <v>14.2990372634926</v>
      </c>
      <c r="S1513" s="4">
        <v>14.202242609789399</v>
      </c>
      <c r="T1513" s="4">
        <f t="shared" si="94"/>
        <v>14.152039716361466</v>
      </c>
      <c r="W1513" s="4" t="str">
        <f>"Y105E8A.25"</f>
        <v>Y105E8A.25</v>
      </c>
      <c r="X1513" s="4">
        <v>14.2797408407384</v>
      </c>
      <c r="Y1513" s="4">
        <v>14.443050246841899</v>
      </c>
      <c r="Z1513" s="4">
        <v>14.125779666843099</v>
      </c>
      <c r="AA1513" s="4">
        <f t="shared" si="95"/>
        <v>14.282856918141134</v>
      </c>
    </row>
    <row r="1514" spans="2:27" x14ac:dyDescent="0.2">
      <c r="B1514" s="4" t="s">
        <v>1697</v>
      </c>
      <c r="C1514" s="4">
        <v>14.5488</v>
      </c>
      <c r="D1514" s="4">
        <v>14.563499999999999</v>
      </c>
      <c r="E1514" s="4">
        <v>14.538399999999999</v>
      </c>
      <c r="F1514" s="4">
        <f t="shared" si="92"/>
        <v>14.550233333333333</v>
      </c>
      <c r="I1514" s="4" t="s">
        <v>1644</v>
      </c>
      <c r="J1514" s="4">
        <v>14.632300000000001</v>
      </c>
      <c r="K1514" s="4">
        <v>14.834</v>
      </c>
      <c r="L1514" s="4">
        <v>14.1309</v>
      </c>
      <c r="M1514" s="4">
        <f t="shared" si="93"/>
        <v>14.532400000000001</v>
      </c>
      <c r="P1514" s="4" t="str">
        <f>"sahd-1"</f>
        <v>sahd-1</v>
      </c>
      <c r="Q1514" s="4">
        <v>14.137550629349301</v>
      </c>
      <c r="R1514" s="4">
        <v>14.1883045331929</v>
      </c>
      <c r="S1514" s="4">
        <v>14.1238073963959</v>
      </c>
      <c r="T1514" s="4">
        <f t="shared" si="94"/>
        <v>14.149887519646034</v>
      </c>
      <c r="W1514" s="4" t="str">
        <f>"vps-34"</f>
        <v>vps-34</v>
      </c>
      <c r="X1514" s="4">
        <v>14.130967072152799</v>
      </c>
      <c r="Y1514" s="4">
        <v>14.341716724894599</v>
      </c>
      <c r="Z1514" s="4">
        <v>14.374950937223399</v>
      </c>
      <c r="AA1514" s="4">
        <f t="shared" si="95"/>
        <v>14.282544911423599</v>
      </c>
    </row>
    <row r="1515" spans="2:27" x14ac:dyDescent="0.2">
      <c r="B1515" s="4" t="s">
        <v>4083</v>
      </c>
      <c r="C1515" s="4">
        <v>14.745900000000001</v>
      </c>
      <c r="D1515" s="4">
        <v>14.444900000000001</v>
      </c>
      <c r="E1515" s="4">
        <v>14.459</v>
      </c>
      <c r="F1515" s="4">
        <f t="shared" si="92"/>
        <v>14.549933333333334</v>
      </c>
      <c r="I1515" s="4" t="s">
        <v>1926</v>
      </c>
      <c r="J1515" s="4">
        <v>14.135300000000001</v>
      </c>
      <c r="K1515" s="4">
        <v>15.020300000000001</v>
      </c>
      <c r="L1515" s="4">
        <v>14.44</v>
      </c>
      <c r="M1515" s="4">
        <f t="shared" si="93"/>
        <v>14.531866666666666</v>
      </c>
      <c r="P1515" s="4" t="str">
        <f>"utx-1"</f>
        <v>utx-1</v>
      </c>
      <c r="Q1515" s="4">
        <v>14.390416544167801</v>
      </c>
      <c r="R1515" s="4">
        <v>13.8602233211586</v>
      </c>
      <c r="S1515" s="4">
        <v>14.190010569053101</v>
      </c>
      <c r="T1515" s="4">
        <f t="shared" si="94"/>
        <v>14.146883478126499</v>
      </c>
      <c r="W1515" s="4" t="str">
        <f>"rga-3"</f>
        <v>rga-3</v>
      </c>
      <c r="X1515" s="4">
        <v>13.971932884975301</v>
      </c>
      <c r="Y1515" s="4">
        <v>14.2375989911147</v>
      </c>
      <c r="Z1515" s="4">
        <v>14.637004233678899</v>
      </c>
      <c r="AA1515" s="4">
        <f t="shared" si="95"/>
        <v>14.282178703256299</v>
      </c>
    </row>
    <row r="1516" spans="2:27" x14ac:dyDescent="0.2">
      <c r="B1516" s="4" t="s">
        <v>2626</v>
      </c>
      <c r="C1516" s="4">
        <v>14.3986</v>
      </c>
      <c r="D1516" s="4">
        <v>14.664099999999999</v>
      </c>
      <c r="E1516" s="4">
        <v>14.5848</v>
      </c>
      <c r="F1516" s="4">
        <f t="shared" si="92"/>
        <v>14.549166666666666</v>
      </c>
      <c r="I1516" s="4" t="s">
        <v>3164</v>
      </c>
      <c r="J1516" s="4">
        <v>14.614000000000001</v>
      </c>
      <c r="K1516" s="4">
        <v>14.2357</v>
      </c>
      <c r="L1516" s="4">
        <v>14.7454</v>
      </c>
      <c r="M1516" s="4">
        <f t="shared" si="93"/>
        <v>14.531700000000001</v>
      </c>
      <c r="P1516" s="4" t="str">
        <f>"pkhm-2"</f>
        <v>pkhm-2</v>
      </c>
      <c r="Q1516" s="4">
        <v>14.283531868911799</v>
      </c>
      <c r="R1516" s="4">
        <v>14.1454080566188</v>
      </c>
      <c r="S1516" s="4">
        <v>13.995836560150099</v>
      </c>
      <c r="T1516" s="4">
        <f t="shared" si="94"/>
        <v>14.141592161893564</v>
      </c>
      <c r="W1516" s="4" t="str">
        <f>"F58F9.3"</f>
        <v>F58F9.3</v>
      </c>
      <c r="X1516" s="4">
        <v>14.069340684832801</v>
      </c>
      <c r="Y1516" s="4">
        <v>14.373325657183299</v>
      </c>
      <c r="Z1516" s="4">
        <v>14.384446356266199</v>
      </c>
      <c r="AA1516" s="4">
        <f t="shared" si="95"/>
        <v>14.275704232760766</v>
      </c>
    </row>
    <row r="1517" spans="2:27" x14ac:dyDescent="0.2">
      <c r="B1517" s="4" t="s">
        <v>1821</v>
      </c>
      <c r="C1517" s="4">
        <v>14.627800000000001</v>
      </c>
      <c r="D1517" s="4">
        <v>14.764799999999999</v>
      </c>
      <c r="E1517" s="4">
        <v>14.253299999999999</v>
      </c>
      <c r="F1517" s="4">
        <f t="shared" si="92"/>
        <v>14.548633333333333</v>
      </c>
      <c r="I1517" s="4" t="s">
        <v>2062</v>
      </c>
      <c r="J1517" s="4">
        <v>14.2636</v>
      </c>
      <c r="K1517" s="4">
        <v>15.024100000000001</v>
      </c>
      <c r="L1517" s="4">
        <v>14.3071</v>
      </c>
      <c r="M1517" s="4">
        <f t="shared" si="93"/>
        <v>14.531599999999999</v>
      </c>
      <c r="P1517" s="4" t="str">
        <f>"xnp-1"</f>
        <v>xnp-1</v>
      </c>
      <c r="Q1517" s="4">
        <v>14.252508353209601</v>
      </c>
      <c r="R1517" s="4">
        <v>14.2297778746603</v>
      </c>
      <c r="S1517" s="4">
        <v>13.9396679289329</v>
      </c>
      <c r="T1517" s="4">
        <f t="shared" si="94"/>
        <v>14.140651385600933</v>
      </c>
      <c r="W1517" s="4" t="str">
        <f>"wah-1"</f>
        <v>wah-1</v>
      </c>
      <c r="X1517" s="4">
        <v>14.2922901813672</v>
      </c>
      <c r="Y1517" s="4">
        <v>14.311265063612201</v>
      </c>
      <c r="Z1517" s="4">
        <v>14.2100551662414</v>
      </c>
      <c r="AA1517" s="4">
        <f t="shared" si="95"/>
        <v>14.271203470406933</v>
      </c>
    </row>
    <row r="1518" spans="2:27" x14ac:dyDescent="0.2">
      <c r="B1518" s="4" t="s">
        <v>3571</v>
      </c>
      <c r="C1518" s="4">
        <v>14.750500000000001</v>
      </c>
      <c r="D1518" s="4">
        <v>14.598599999999999</v>
      </c>
      <c r="E1518" s="4">
        <v>14.2935</v>
      </c>
      <c r="F1518" s="4">
        <f t="shared" si="92"/>
        <v>14.547533333333334</v>
      </c>
      <c r="I1518" s="4" t="s">
        <v>1949</v>
      </c>
      <c r="J1518" s="4">
        <v>14.790100000000001</v>
      </c>
      <c r="K1518" s="4">
        <v>14.9526</v>
      </c>
      <c r="L1518" s="4">
        <v>13.8492</v>
      </c>
      <c r="M1518" s="4">
        <f t="shared" si="93"/>
        <v>14.530633333333332</v>
      </c>
      <c r="P1518" s="4" t="str">
        <f>"K07E3.4"</f>
        <v>K07E3.4</v>
      </c>
      <c r="Q1518" s="4">
        <v>13.821892472932401</v>
      </c>
      <c r="R1518" s="4">
        <v>14.3468793690081</v>
      </c>
      <c r="S1518" s="4">
        <v>14.2483129428305</v>
      </c>
      <c r="T1518" s="4">
        <f t="shared" si="94"/>
        <v>14.139028261590333</v>
      </c>
      <c r="W1518" s="4" t="str">
        <f>"zwl-1"</f>
        <v>zwl-1</v>
      </c>
      <c r="X1518" s="4">
        <v>14.3672253837982</v>
      </c>
      <c r="Y1518" s="4">
        <v>14.154604171249501</v>
      </c>
      <c r="Z1518" s="4">
        <v>14.287176544956701</v>
      </c>
      <c r="AA1518" s="4">
        <f t="shared" si="95"/>
        <v>14.269668700001468</v>
      </c>
    </row>
    <row r="1519" spans="2:27" x14ac:dyDescent="0.2">
      <c r="B1519" s="4" t="s">
        <v>3755</v>
      </c>
      <c r="C1519" s="4">
        <v>14.227399999999999</v>
      </c>
      <c r="D1519" s="4">
        <v>14.930099999999999</v>
      </c>
      <c r="E1519" s="4">
        <v>14.4831</v>
      </c>
      <c r="F1519" s="4">
        <f t="shared" si="92"/>
        <v>14.546866666666666</v>
      </c>
      <c r="I1519" s="4" t="s">
        <v>302</v>
      </c>
      <c r="J1519" s="4">
        <v>14.51</v>
      </c>
      <c r="K1519" s="4">
        <v>14.6122</v>
      </c>
      <c r="L1519" s="4">
        <v>14.4625</v>
      </c>
      <c r="M1519" s="4">
        <f t="shared" si="93"/>
        <v>14.528233333333333</v>
      </c>
      <c r="P1519" s="4" t="str">
        <f>"tmem-120"</f>
        <v>tmem-120</v>
      </c>
      <c r="Q1519" s="4">
        <v>14.037172946195801</v>
      </c>
      <c r="R1519" s="4">
        <v>14.048383324722799</v>
      </c>
      <c r="S1519" s="4">
        <v>14.330806341392</v>
      </c>
      <c r="T1519" s="4">
        <f t="shared" si="94"/>
        <v>14.138787537436867</v>
      </c>
      <c r="W1519" s="4" t="str">
        <f>"rsp-1"</f>
        <v>rsp-1</v>
      </c>
      <c r="X1519" s="4">
        <v>14.163443369577299</v>
      </c>
      <c r="Y1519" s="4">
        <v>14.1648747138758</v>
      </c>
      <c r="Z1519" s="4">
        <v>14.4803765491313</v>
      </c>
      <c r="AA1519" s="4">
        <f t="shared" si="95"/>
        <v>14.269564877528133</v>
      </c>
    </row>
    <row r="1520" spans="2:27" x14ac:dyDescent="0.2">
      <c r="B1520" s="4" t="s">
        <v>1408</v>
      </c>
      <c r="C1520" s="4">
        <v>14.262</v>
      </c>
      <c r="D1520" s="4">
        <v>14.7385</v>
      </c>
      <c r="E1520" s="4">
        <v>14.639799999999999</v>
      </c>
      <c r="F1520" s="4">
        <f t="shared" si="92"/>
        <v>14.546766666666668</v>
      </c>
      <c r="I1520" s="4" t="s">
        <v>1844</v>
      </c>
      <c r="J1520" s="4">
        <v>14.486599999999999</v>
      </c>
      <c r="K1520" s="4">
        <v>14.651999999999999</v>
      </c>
      <c r="L1520" s="4">
        <v>14.446099999999999</v>
      </c>
      <c r="M1520" s="4">
        <f t="shared" si="93"/>
        <v>14.528233333333333</v>
      </c>
      <c r="P1520" s="4" t="str">
        <f>"unc-43"</f>
        <v>unc-43</v>
      </c>
      <c r="Q1520" s="4">
        <v>14.2371147971383</v>
      </c>
      <c r="R1520" s="4">
        <v>13.963942376279601</v>
      </c>
      <c r="S1520" s="4">
        <v>14.213573690980899</v>
      </c>
      <c r="T1520" s="4">
        <f t="shared" si="94"/>
        <v>14.138210288132933</v>
      </c>
      <c r="W1520" s="4" t="str">
        <f>"col-166"</f>
        <v>col-166</v>
      </c>
      <c r="X1520" s="4">
        <v>14.6336200169179</v>
      </c>
      <c r="Y1520" s="4">
        <v>14.1222790562546</v>
      </c>
      <c r="Z1520" s="4">
        <v>14.0445385922445</v>
      </c>
      <c r="AA1520" s="4">
        <f t="shared" si="95"/>
        <v>14.266812555138999</v>
      </c>
    </row>
    <row r="1521" spans="2:27" x14ac:dyDescent="0.2">
      <c r="B1521" s="4" t="s">
        <v>4469</v>
      </c>
      <c r="C1521" s="4">
        <v>14.5871</v>
      </c>
      <c r="D1521" s="4">
        <v>14.6912</v>
      </c>
      <c r="E1521" s="4">
        <v>14.3546</v>
      </c>
      <c r="F1521" s="4">
        <f t="shared" si="92"/>
        <v>14.5443</v>
      </c>
      <c r="I1521" s="4" t="s">
        <v>2339</v>
      </c>
      <c r="J1521" s="4">
        <v>14.696</v>
      </c>
      <c r="K1521" s="4">
        <v>14.1913</v>
      </c>
      <c r="L1521" s="4">
        <v>14.6958</v>
      </c>
      <c r="M1521" s="4">
        <f t="shared" si="93"/>
        <v>14.527700000000001</v>
      </c>
      <c r="P1521" s="4" t="str">
        <f>"DC2.5"</f>
        <v>DC2.5</v>
      </c>
      <c r="Q1521" s="4">
        <v>14.162105745371001</v>
      </c>
      <c r="R1521" s="4">
        <v>14.113262088719299</v>
      </c>
      <c r="S1521" s="4">
        <v>14.1364602931568</v>
      </c>
      <c r="T1521" s="4">
        <f t="shared" si="94"/>
        <v>14.137276042415699</v>
      </c>
      <c r="W1521" s="4" t="str">
        <f>"Y53C12A.10"</f>
        <v>Y53C12A.10</v>
      </c>
      <c r="X1521" s="4">
        <v>14.1124306796707</v>
      </c>
      <c r="Y1521" s="4">
        <v>14.0990064629377</v>
      </c>
      <c r="Z1521" s="4">
        <v>14.5879781083088</v>
      </c>
      <c r="AA1521" s="4">
        <f t="shared" si="95"/>
        <v>14.266471750305733</v>
      </c>
    </row>
    <row r="1522" spans="2:27" x14ac:dyDescent="0.2">
      <c r="B1522" s="4" t="s">
        <v>940</v>
      </c>
      <c r="C1522" s="4">
        <v>14.161799999999999</v>
      </c>
      <c r="D1522" s="4">
        <v>14.7087</v>
      </c>
      <c r="E1522" s="4">
        <v>14.760400000000001</v>
      </c>
      <c r="F1522" s="4">
        <f t="shared" si="92"/>
        <v>14.543633333333332</v>
      </c>
      <c r="I1522" s="4" t="s">
        <v>803</v>
      </c>
      <c r="J1522" s="4">
        <v>14.3871</v>
      </c>
      <c r="K1522" s="4">
        <v>15.0504</v>
      </c>
      <c r="L1522" s="4">
        <v>14.1326</v>
      </c>
      <c r="M1522" s="4">
        <f t="shared" si="93"/>
        <v>14.523366666666666</v>
      </c>
      <c r="P1522" s="4" t="str">
        <f>"mtcu-1"</f>
        <v>mtcu-1</v>
      </c>
      <c r="Q1522" s="4">
        <v>14.358330915746601</v>
      </c>
      <c r="R1522" s="4">
        <v>14.1186099583007</v>
      </c>
      <c r="S1522" s="4">
        <v>13.923396169585599</v>
      </c>
      <c r="T1522" s="4">
        <f t="shared" si="94"/>
        <v>14.133445681210967</v>
      </c>
      <c r="W1522" s="4" t="str">
        <f>"R09E10.5"</f>
        <v>R09E10.5</v>
      </c>
      <c r="X1522" s="4">
        <v>14.017859368596501</v>
      </c>
      <c r="Y1522" s="4">
        <v>14.242895518744399</v>
      </c>
      <c r="Z1522" s="4">
        <v>14.534640593569399</v>
      </c>
      <c r="AA1522" s="4">
        <f t="shared" si="95"/>
        <v>14.2651318269701</v>
      </c>
    </row>
    <row r="1523" spans="2:27" x14ac:dyDescent="0.2">
      <c r="B1523" s="4" t="s">
        <v>1429</v>
      </c>
      <c r="C1523" s="4">
        <v>14.3805</v>
      </c>
      <c r="D1523" s="4">
        <v>14.919499999999999</v>
      </c>
      <c r="E1523" s="4">
        <v>14.3256</v>
      </c>
      <c r="F1523" s="4">
        <f t="shared" si="92"/>
        <v>14.541866666666666</v>
      </c>
      <c r="I1523" s="4" t="s">
        <v>199</v>
      </c>
      <c r="J1523" s="4">
        <v>14.462999999999999</v>
      </c>
      <c r="K1523" s="4">
        <v>14.683299999999999</v>
      </c>
      <c r="L1523" s="4">
        <v>14.417299999999999</v>
      </c>
      <c r="M1523" s="4">
        <f t="shared" si="93"/>
        <v>14.521199999999999</v>
      </c>
      <c r="P1523" s="4" t="str">
        <f>"vps-11"</f>
        <v>vps-11</v>
      </c>
      <c r="Q1523" s="4">
        <v>14.165764995523</v>
      </c>
      <c r="R1523" s="4">
        <v>14.1165275672641</v>
      </c>
      <c r="S1523" s="4">
        <v>14.103197150901</v>
      </c>
      <c r="T1523" s="4">
        <f t="shared" si="94"/>
        <v>14.128496571229368</v>
      </c>
      <c r="W1523" s="4" t="str">
        <f>"hda-3"</f>
        <v>hda-3</v>
      </c>
      <c r="X1523" s="4">
        <v>14.279500283650499</v>
      </c>
      <c r="Y1523" s="4">
        <v>14.2191929370852</v>
      </c>
      <c r="Z1523" s="4">
        <v>14.2963945099699</v>
      </c>
      <c r="AA1523" s="4">
        <f t="shared" si="95"/>
        <v>14.265029243568534</v>
      </c>
    </row>
    <row r="1524" spans="2:27" x14ac:dyDescent="0.2">
      <c r="B1524" s="4" t="s">
        <v>4682</v>
      </c>
      <c r="C1524" s="4">
        <v>14.4771</v>
      </c>
      <c r="D1524" s="4">
        <v>14.661300000000001</v>
      </c>
      <c r="E1524" s="4">
        <v>14.485200000000001</v>
      </c>
      <c r="F1524" s="4">
        <f t="shared" si="92"/>
        <v>14.541200000000002</v>
      </c>
      <c r="I1524" s="4" t="s">
        <v>2345</v>
      </c>
      <c r="J1524" s="4">
        <v>14.6052</v>
      </c>
      <c r="K1524" s="4">
        <v>14.0685</v>
      </c>
      <c r="L1524" s="4">
        <v>14.8848</v>
      </c>
      <c r="M1524" s="4">
        <f t="shared" si="93"/>
        <v>14.519500000000001</v>
      </c>
      <c r="P1524" s="4" t="str">
        <f>"mrp-2"</f>
        <v>mrp-2</v>
      </c>
      <c r="Q1524" s="4">
        <v>14.0016089094121</v>
      </c>
      <c r="R1524" s="4">
        <v>14.1734941500108</v>
      </c>
      <c r="S1524" s="4">
        <v>14.1992775427141</v>
      </c>
      <c r="T1524" s="4">
        <f t="shared" si="94"/>
        <v>14.124793534045667</v>
      </c>
      <c r="W1524" s="4" t="str">
        <f>"cls-2"</f>
        <v>cls-2</v>
      </c>
      <c r="X1524" s="4">
        <v>14.034945144852401</v>
      </c>
      <c r="Y1524" s="4">
        <v>14.5902388640904</v>
      </c>
      <c r="Z1524" s="4">
        <v>14.1580488275665</v>
      </c>
      <c r="AA1524" s="4">
        <f t="shared" si="95"/>
        <v>14.261077612169766</v>
      </c>
    </row>
    <row r="1525" spans="2:27" x14ac:dyDescent="0.2">
      <c r="B1525" s="4" t="s">
        <v>780</v>
      </c>
      <c r="C1525" s="4">
        <v>14.161799999999999</v>
      </c>
      <c r="D1525" s="4">
        <v>14.789199999999999</v>
      </c>
      <c r="E1525" s="4">
        <v>14.6721</v>
      </c>
      <c r="F1525" s="4">
        <f t="shared" si="92"/>
        <v>14.541033333333333</v>
      </c>
      <c r="I1525" s="4" t="s">
        <v>2816</v>
      </c>
      <c r="J1525" s="4">
        <v>14.3217</v>
      </c>
      <c r="K1525" s="4">
        <v>14.651199999999999</v>
      </c>
      <c r="L1525" s="4">
        <v>14.5816</v>
      </c>
      <c r="M1525" s="4">
        <f t="shared" si="93"/>
        <v>14.518166666666666</v>
      </c>
      <c r="P1525" s="4" t="str">
        <f>"pas-5"</f>
        <v>pas-5</v>
      </c>
      <c r="Q1525" s="4">
        <v>13.9924692563172</v>
      </c>
      <c r="R1525" s="4">
        <v>14.1558090524117</v>
      </c>
      <c r="S1525" s="4">
        <v>14.223650735312299</v>
      </c>
      <c r="T1525" s="4">
        <f t="shared" si="94"/>
        <v>14.123976348013732</v>
      </c>
      <c r="W1525" s="4" t="str">
        <f>"npp-24"</f>
        <v>npp-24</v>
      </c>
      <c r="X1525" s="4">
        <v>14.5000020640848</v>
      </c>
      <c r="Y1525" s="4">
        <v>14.2237204575272</v>
      </c>
      <c r="Z1525" s="4">
        <v>14.055694598602001</v>
      </c>
      <c r="AA1525" s="4">
        <f t="shared" si="95"/>
        <v>14.259805706738</v>
      </c>
    </row>
    <row r="1526" spans="2:27" x14ac:dyDescent="0.2">
      <c r="B1526" s="4" t="s">
        <v>3305</v>
      </c>
      <c r="C1526" s="4">
        <v>14.5982</v>
      </c>
      <c r="D1526" s="4">
        <v>14.3474</v>
      </c>
      <c r="E1526" s="4">
        <v>14.672800000000001</v>
      </c>
      <c r="F1526" s="4">
        <f t="shared" si="92"/>
        <v>14.539466666666668</v>
      </c>
      <c r="I1526" s="4" t="s">
        <v>750</v>
      </c>
      <c r="J1526" s="4">
        <v>14.6227</v>
      </c>
      <c r="K1526" s="4">
        <v>14.311299999999999</v>
      </c>
      <c r="L1526" s="4">
        <v>14.6151</v>
      </c>
      <c r="M1526" s="4">
        <f t="shared" si="93"/>
        <v>14.516366666666665</v>
      </c>
      <c r="P1526" s="4" t="str">
        <f>"atic-1"</f>
        <v>atic-1</v>
      </c>
      <c r="Q1526" s="4">
        <v>14.118074795447299</v>
      </c>
      <c r="R1526" s="4">
        <v>14.052819848566299</v>
      </c>
      <c r="S1526" s="4">
        <v>14.183036412310701</v>
      </c>
      <c r="T1526" s="4">
        <f t="shared" si="94"/>
        <v>14.117977018774766</v>
      </c>
      <c r="W1526" s="4" t="str">
        <f>"dpy-28"</f>
        <v>dpy-28</v>
      </c>
      <c r="X1526" s="4">
        <v>14.352712861901599</v>
      </c>
      <c r="Y1526" s="4">
        <v>14.201744658646399</v>
      </c>
      <c r="Z1526" s="4">
        <v>14.22256945308</v>
      </c>
      <c r="AA1526" s="4">
        <f t="shared" si="95"/>
        <v>14.259008991209333</v>
      </c>
    </row>
    <row r="1527" spans="2:27" x14ac:dyDescent="0.2">
      <c r="B1527" s="4" t="s">
        <v>3917</v>
      </c>
      <c r="C1527" s="4">
        <v>14.5001</v>
      </c>
      <c r="D1527" s="4">
        <v>14.4213</v>
      </c>
      <c r="E1527" s="4">
        <v>14.690799999999999</v>
      </c>
      <c r="F1527" s="4">
        <f t="shared" si="92"/>
        <v>14.5374</v>
      </c>
      <c r="I1527" s="4" t="s">
        <v>1408</v>
      </c>
      <c r="J1527" s="4">
        <v>14.3027</v>
      </c>
      <c r="K1527" s="4">
        <v>14.6088</v>
      </c>
      <c r="L1527" s="4">
        <v>14.635400000000001</v>
      </c>
      <c r="M1527" s="4">
        <f t="shared" si="93"/>
        <v>14.515633333333334</v>
      </c>
      <c r="P1527" s="4" t="str">
        <f>"apm-3"</f>
        <v>apm-3</v>
      </c>
      <c r="Q1527" s="4">
        <v>14.1005914806678</v>
      </c>
      <c r="R1527" s="4">
        <v>14.1645649294696</v>
      </c>
      <c r="S1527" s="4">
        <v>14.083295488721401</v>
      </c>
      <c r="T1527" s="4">
        <f t="shared" si="94"/>
        <v>14.116150632952932</v>
      </c>
      <c r="W1527" s="4" t="str">
        <f>"gdi-1"</f>
        <v>gdi-1</v>
      </c>
      <c r="X1527" s="4">
        <v>13.767205488196</v>
      </c>
      <c r="Y1527" s="4">
        <v>14.2339235145133</v>
      </c>
      <c r="Z1527" s="4">
        <v>14.766638165141201</v>
      </c>
      <c r="AA1527" s="4">
        <f t="shared" si="95"/>
        <v>14.2559223892835</v>
      </c>
    </row>
    <row r="1528" spans="2:27" x14ac:dyDescent="0.2">
      <c r="B1528" s="4" t="s">
        <v>4686</v>
      </c>
      <c r="C1528" s="4">
        <v>14.597</v>
      </c>
      <c r="D1528" s="4">
        <v>14.3908</v>
      </c>
      <c r="E1528" s="4">
        <v>14.6219</v>
      </c>
      <c r="F1528" s="4">
        <f t="shared" si="92"/>
        <v>14.536566666666667</v>
      </c>
      <c r="I1528" s="4" t="s">
        <v>3341</v>
      </c>
      <c r="J1528" s="4">
        <v>14.6585</v>
      </c>
      <c r="K1528" s="4">
        <v>14.6798</v>
      </c>
      <c r="L1528" s="4">
        <v>14.1976</v>
      </c>
      <c r="M1528" s="4">
        <f t="shared" si="93"/>
        <v>14.511966666666666</v>
      </c>
      <c r="P1528" s="4" t="str">
        <f>"ttr-31"</f>
        <v>ttr-31</v>
      </c>
      <c r="Q1528" s="4">
        <v>14.3614051703429</v>
      </c>
      <c r="R1528" s="4">
        <v>14.009939642795301</v>
      </c>
      <c r="S1528" s="4">
        <v>13.9735027525389</v>
      </c>
      <c r="T1528" s="4">
        <f t="shared" si="94"/>
        <v>14.114949188559033</v>
      </c>
      <c r="W1528" s="4" t="str">
        <f>"C29F7.3"</f>
        <v>C29F7.3</v>
      </c>
      <c r="X1528" s="4">
        <v>14.465027781640901</v>
      </c>
      <c r="Y1528" s="4">
        <v>14.0743982489721</v>
      </c>
      <c r="Z1528" s="4">
        <v>14.2265949199628</v>
      </c>
      <c r="AA1528" s="4">
        <f t="shared" si="95"/>
        <v>14.2553403168586</v>
      </c>
    </row>
    <row r="1529" spans="2:27" x14ac:dyDescent="0.2">
      <c r="B1529" s="4" t="s">
        <v>2284</v>
      </c>
      <c r="C1529" s="4">
        <v>14.340999999999999</v>
      </c>
      <c r="D1529" s="4">
        <v>14.671900000000001</v>
      </c>
      <c r="E1529" s="4">
        <v>14.5968</v>
      </c>
      <c r="F1529" s="4">
        <f t="shared" si="92"/>
        <v>14.536566666666667</v>
      </c>
      <c r="I1529" s="4" t="s">
        <v>2865</v>
      </c>
      <c r="J1529" s="4">
        <v>14.5532</v>
      </c>
      <c r="K1529" s="4">
        <v>14.1958</v>
      </c>
      <c r="L1529" s="4">
        <v>14.7806</v>
      </c>
      <c r="M1529" s="4">
        <f t="shared" si="93"/>
        <v>14.509866666666667</v>
      </c>
      <c r="P1529" s="4" t="str">
        <f>"snrp-40.1"</f>
        <v>snrp-40.1</v>
      </c>
      <c r="Q1529" s="4">
        <v>13.7100470383748</v>
      </c>
      <c r="R1529" s="4">
        <v>14.4861748373644</v>
      </c>
      <c r="S1529" s="4">
        <v>14.1471668425063</v>
      </c>
      <c r="T1529" s="4">
        <f t="shared" si="94"/>
        <v>14.114462906081833</v>
      </c>
      <c r="W1529" s="4" t="str">
        <f>"F41D9.2"</f>
        <v>F41D9.2</v>
      </c>
      <c r="X1529" s="4">
        <v>14.358435969968699</v>
      </c>
      <c r="Y1529" s="4">
        <v>14.342540788414601</v>
      </c>
      <c r="Z1529" s="4">
        <v>14.0638458150785</v>
      </c>
      <c r="AA1529" s="4">
        <f t="shared" si="95"/>
        <v>14.2549408578206</v>
      </c>
    </row>
    <row r="1530" spans="2:27" x14ac:dyDescent="0.2">
      <c r="B1530" s="4" t="s">
        <v>1769</v>
      </c>
      <c r="C1530" s="4">
        <v>14.442</v>
      </c>
      <c r="D1530" s="4">
        <v>14.6686</v>
      </c>
      <c r="E1530" s="4">
        <v>14.4979</v>
      </c>
      <c r="F1530" s="4">
        <f t="shared" si="92"/>
        <v>14.536166666666666</v>
      </c>
      <c r="I1530" s="4" t="s">
        <v>1166</v>
      </c>
      <c r="J1530" s="4">
        <v>14.7066</v>
      </c>
      <c r="K1530" s="4">
        <v>14.2766</v>
      </c>
      <c r="L1530" s="4">
        <v>14.5451</v>
      </c>
      <c r="M1530" s="4">
        <f t="shared" si="93"/>
        <v>14.509433333333334</v>
      </c>
      <c r="P1530" s="4" t="str">
        <f>"D1054.10"</f>
        <v>D1054.10</v>
      </c>
      <c r="Q1530" s="4">
        <v>13.838124569084901</v>
      </c>
      <c r="R1530" s="4">
        <v>13.981083332513901</v>
      </c>
      <c r="S1530" s="4">
        <v>14.5220595218938</v>
      </c>
      <c r="T1530" s="4">
        <f t="shared" si="94"/>
        <v>14.113755807830868</v>
      </c>
      <c r="W1530" s="4" t="str">
        <f>"F56F11.4"</f>
        <v>F56F11.4</v>
      </c>
      <c r="X1530" s="4">
        <v>14.3438389694072</v>
      </c>
      <c r="Y1530" s="4">
        <v>14.3505394659348</v>
      </c>
      <c r="Z1530" s="4">
        <v>14.065248888112301</v>
      </c>
      <c r="AA1530" s="4">
        <f t="shared" si="95"/>
        <v>14.253209107818099</v>
      </c>
    </row>
    <row r="1531" spans="2:27" x14ac:dyDescent="0.2">
      <c r="B1531" s="4" t="s">
        <v>2971</v>
      </c>
      <c r="C1531" s="4">
        <v>14.8805</v>
      </c>
      <c r="D1531" s="4">
        <v>14.3187</v>
      </c>
      <c r="E1531" s="4">
        <v>14.385999999999999</v>
      </c>
      <c r="F1531" s="4">
        <f t="shared" si="92"/>
        <v>14.5284</v>
      </c>
      <c r="I1531" s="4" t="s">
        <v>2870</v>
      </c>
      <c r="J1531" s="4">
        <v>14.7698</v>
      </c>
      <c r="K1531" s="4">
        <v>14.4693</v>
      </c>
      <c r="L1531" s="4">
        <v>14.2883</v>
      </c>
      <c r="M1531" s="4">
        <f t="shared" si="93"/>
        <v>14.509133333333333</v>
      </c>
      <c r="P1531" s="4" t="str">
        <f>"ttr-41"</f>
        <v>ttr-41</v>
      </c>
      <c r="Q1531" s="4">
        <v>14.2521985991</v>
      </c>
      <c r="R1531" s="4">
        <v>13.769272358</v>
      </c>
      <c r="S1531" s="4">
        <v>14.3171320987475</v>
      </c>
      <c r="T1531" s="4">
        <f t="shared" si="94"/>
        <v>14.112867685282501</v>
      </c>
      <c r="W1531" s="4" t="str">
        <f>"sur-6"</f>
        <v>sur-6</v>
      </c>
      <c r="X1531" s="4">
        <v>15.1449853920747</v>
      </c>
      <c r="Y1531" s="4">
        <v>13.895351701384</v>
      </c>
      <c r="Z1531" s="4">
        <v>13.7133204578837</v>
      </c>
      <c r="AA1531" s="4">
        <f t="shared" si="95"/>
        <v>14.251219183780799</v>
      </c>
    </row>
    <row r="1532" spans="2:27" x14ac:dyDescent="0.2">
      <c r="B1532" s="4" t="s">
        <v>2892</v>
      </c>
      <c r="C1532" s="4">
        <v>14.7714</v>
      </c>
      <c r="D1532" s="4">
        <v>14.58</v>
      </c>
      <c r="E1532" s="4">
        <v>14.229799999999999</v>
      </c>
      <c r="F1532" s="4">
        <f t="shared" si="92"/>
        <v>14.527066666666665</v>
      </c>
      <c r="I1532" s="4" t="s">
        <v>395</v>
      </c>
      <c r="J1532" s="4">
        <v>14.5045</v>
      </c>
      <c r="K1532" s="4">
        <v>14.5708</v>
      </c>
      <c r="L1532" s="4">
        <v>14.4466</v>
      </c>
      <c r="M1532" s="4">
        <f t="shared" si="93"/>
        <v>14.507300000000001</v>
      </c>
      <c r="P1532" s="4" t="str">
        <f>"bra-2"</f>
        <v>bra-2</v>
      </c>
      <c r="Q1532" s="4">
        <v>14.4542567056282</v>
      </c>
      <c r="R1532" s="4">
        <v>13.860532029670001</v>
      </c>
      <c r="S1532" s="4">
        <v>14.0150415732217</v>
      </c>
      <c r="T1532" s="4">
        <f t="shared" si="94"/>
        <v>14.109943436173301</v>
      </c>
      <c r="W1532" s="4" t="str">
        <f>"odr-4"</f>
        <v>odr-4</v>
      </c>
      <c r="X1532" s="4">
        <v>14.125890827198299</v>
      </c>
      <c r="Y1532" s="4">
        <v>14.382939020877201</v>
      </c>
      <c r="Z1532" s="4">
        <v>14.2433181251752</v>
      </c>
      <c r="AA1532" s="4">
        <f t="shared" si="95"/>
        <v>14.250715991083567</v>
      </c>
    </row>
    <row r="1533" spans="2:27" x14ac:dyDescent="0.2">
      <c r="B1533" s="4" t="s">
        <v>1644</v>
      </c>
      <c r="C1533" s="4">
        <v>14.5219</v>
      </c>
      <c r="D1533" s="4">
        <v>14.6706</v>
      </c>
      <c r="E1533" s="4">
        <v>14.3857</v>
      </c>
      <c r="F1533" s="4">
        <f t="shared" si="92"/>
        <v>14.526066666666667</v>
      </c>
      <c r="I1533" s="4" t="s">
        <v>3275</v>
      </c>
      <c r="J1533" s="4">
        <v>14.229900000000001</v>
      </c>
      <c r="K1533" s="4">
        <v>14.343500000000001</v>
      </c>
      <c r="L1533" s="4">
        <v>14.947800000000001</v>
      </c>
      <c r="M1533" s="4">
        <f t="shared" si="93"/>
        <v>14.507066666666667</v>
      </c>
      <c r="P1533" s="4" t="str">
        <f>"cogc-6"</f>
        <v>cogc-6</v>
      </c>
      <c r="Q1533" s="4">
        <v>14.171212176418701</v>
      </c>
      <c r="R1533" s="4">
        <v>14.257137807702501</v>
      </c>
      <c r="S1533" s="4">
        <v>13.896776693947499</v>
      </c>
      <c r="T1533" s="4">
        <f t="shared" si="94"/>
        <v>14.108375559356233</v>
      </c>
      <c r="W1533" s="4" t="str">
        <f>"T24C12.3"</f>
        <v>T24C12.3</v>
      </c>
      <c r="X1533" s="4">
        <v>14.194542439475599</v>
      </c>
      <c r="Y1533" s="4">
        <v>14.236328639019501</v>
      </c>
      <c r="Z1533" s="4">
        <v>14.3191447443171</v>
      </c>
      <c r="AA1533" s="4">
        <f t="shared" si="95"/>
        <v>14.250005274270734</v>
      </c>
    </row>
    <row r="1534" spans="2:27" x14ac:dyDescent="0.2">
      <c r="B1534" s="4" t="s">
        <v>2846</v>
      </c>
      <c r="C1534" s="4">
        <v>14.4209</v>
      </c>
      <c r="D1534" s="4">
        <v>14.5367</v>
      </c>
      <c r="E1534" s="4">
        <v>14.6182</v>
      </c>
      <c r="F1534" s="4">
        <f t="shared" si="92"/>
        <v>14.525266666666667</v>
      </c>
      <c r="I1534" s="4" t="s">
        <v>4672</v>
      </c>
      <c r="J1534" s="4">
        <v>14.8032</v>
      </c>
      <c r="K1534" s="4">
        <v>14.154</v>
      </c>
      <c r="L1534" s="4">
        <v>14.559699999999999</v>
      </c>
      <c r="M1534" s="4">
        <f t="shared" si="93"/>
        <v>14.505633333333334</v>
      </c>
      <c r="P1534" s="4" t="str">
        <f>"bub-1"</f>
        <v>bub-1</v>
      </c>
      <c r="Q1534" s="4">
        <v>14.1470100274722</v>
      </c>
      <c r="R1534" s="4">
        <v>14.0551478556314</v>
      </c>
      <c r="S1534" s="4">
        <v>14.1229019741378</v>
      </c>
      <c r="T1534" s="4">
        <f t="shared" si="94"/>
        <v>14.108353285747134</v>
      </c>
      <c r="W1534" s="4" t="str">
        <f>"fbxc-52"</f>
        <v>fbxc-52</v>
      </c>
      <c r="X1534" s="4">
        <v>14.187446274215</v>
      </c>
      <c r="Y1534" s="4">
        <v>14.2258353175958</v>
      </c>
      <c r="Z1534" s="4">
        <v>14.3365850093793</v>
      </c>
      <c r="AA1534" s="4">
        <f t="shared" si="95"/>
        <v>14.249955533730033</v>
      </c>
    </row>
    <row r="1535" spans="2:27" x14ac:dyDescent="0.2">
      <c r="B1535" s="4" t="s">
        <v>4671</v>
      </c>
      <c r="C1535" s="4">
        <v>14.5738</v>
      </c>
      <c r="D1535" s="4">
        <v>14.657500000000001</v>
      </c>
      <c r="E1535" s="4">
        <v>14.341200000000001</v>
      </c>
      <c r="F1535" s="4">
        <f t="shared" si="92"/>
        <v>14.524166666666668</v>
      </c>
      <c r="I1535" s="4" t="s">
        <v>2776</v>
      </c>
      <c r="J1535" s="4">
        <v>14.710900000000001</v>
      </c>
      <c r="K1535" s="4">
        <v>14.2065</v>
      </c>
      <c r="L1535" s="4">
        <v>14.593</v>
      </c>
      <c r="M1535" s="4">
        <f t="shared" si="93"/>
        <v>14.503466666666668</v>
      </c>
      <c r="P1535" s="4" t="str">
        <f>"dars-2"</f>
        <v>dars-2</v>
      </c>
      <c r="Q1535" s="4">
        <v>14.4512303656131</v>
      </c>
      <c r="R1535" s="4">
        <v>13.9950922271845</v>
      </c>
      <c r="S1535" s="4">
        <v>13.8784282581185</v>
      </c>
      <c r="T1535" s="4">
        <f t="shared" si="94"/>
        <v>14.108250283638702</v>
      </c>
      <c r="W1535" s="4" t="str">
        <f>"T19H12.2"</f>
        <v>T19H12.2</v>
      </c>
      <c r="X1535" s="4">
        <v>14.8697634828562</v>
      </c>
      <c r="Y1535" s="4">
        <v>14.046989712978601</v>
      </c>
      <c r="Z1535" s="4">
        <v>13.825170039557699</v>
      </c>
      <c r="AA1535" s="4">
        <f t="shared" si="95"/>
        <v>14.247307745130833</v>
      </c>
    </row>
    <row r="1536" spans="2:27" x14ac:dyDescent="0.2">
      <c r="B1536" s="4" t="s">
        <v>535</v>
      </c>
      <c r="C1536" s="4">
        <v>14.1737</v>
      </c>
      <c r="D1536" s="4">
        <v>14.818099999999999</v>
      </c>
      <c r="E1536" s="4">
        <v>14.5756</v>
      </c>
      <c r="F1536" s="4">
        <f t="shared" si="92"/>
        <v>14.522466666666666</v>
      </c>
      <c r="I1536" s="4" t="s">
        <v>3604</v>
      </c>
      <c r="J1536" s="4">
        <v>14.464</v>
      </c>
      <c r="K1536" s="4">
        <v>14.5678</v>
      </c>
      <c r="L1536" s="4">
        <v>14.478</v>
      </c>
      <c r="M1536" s="4">
        <f t="shared" si="93"/>
        <v>14.503266666666667</v>
      </c>
      <c r="P1536" s="4" t="str">
        <f>"F25G6.9"</f>
        <v>F25G6.9</v>
      </c>
      <c r="Q1536" s="4">
        <v>13.9821373914465</v>
      </c>
      <c r="R1536" s="4">
        <v>14.1852649979618</v>
      </c>
      <c r="S1536" s="4">
        <v>14.1548389986014</v>
      </c>
      <c r="T1536" s="4">
        <f t="shared" si="94"/>
        <v>14.107413796003234</v>
      </c>
      <c r="W1536" s="4" t="str">
        <f>"C05C10.2"</f>
        <v>C05C10.2</v>
      </c>
      <c r="X1536" s="4">
        <v>14.2521288729136</v>
      </c>
      <c r="Y1536" s="4">
        <v>14.1754828741654</v>
      </c>
      <c r="Z1536" s="4">
        <v>14.309841336931401</v>
      </c>
      <c r="AA1536" s="4">
        <f t="shared" si="95"/>
        <v>14.245817694670132</v>
      </c>
    </row>
    <row r="1537" spans="2:27" x14ac:dyDescent="0.2">
      <c r="B1537" s="4" t="s">
        <v>4497</v>
      </c>
      <c r="C1537" s="4">
        <v>14.588800000000001</v>
      </c>
      <c r="D1537" s="4">
        <v>14.965199999999999</v>
      </c>
      <c r="E1537" s="4">
        <v>14.013</v>
      </c>
      <c r="F1537" s="4">
        <f t="shared" si="92"/>
        <v>14.522333333333334</v>
      </c>
      <c r="I1537" s="4" t="s">
        <v>1432</v>
      </c>
      <c r="J1537" s="4">
        <v>14.3033</v>
      </c>
      <c r="K1537" s="4">
        <v>14.4171</v>
      </c>
      <c r="L1537" s="4">
        <v>14.7875</v>
      </c>
      <c r="M1537" s="4">
        <f t="shared" si="93"/>
        <v>14.502633333333334</v>
      </c>
      <c r="P1537" s="4" t="str">
        <f>"lin-33"</f>
        <v>lin-33</v>
      </c>
      <c r="Q1537" s="4">
        <v>14.098966836399599</v>
      </c>
      <c r="R1537" s="4">
        <v>14.084541433642899</v>
      </c>
      <c r="S1537" s="4">
        <v>14.1377214040374</v>
      </c>
      <c r="T1537" s="4">
        <f t="shared" si="94"/>
        <v>14.107076558026634</v>
      </c>
      <c r="W1537" s="4" t="str">
        <f>"Y105E8A.20"</f>
        <v>Y105E8A.20</v>
      </c>
      <c r="X1537" s="4">
        <v>14.0511959476702</v>
      </c>
      <c r="Y1537" s="4">
        <v>14.146887842510599</v>
      </c>
      <c r="Z1537" s="4">
        <v>14.535269257938699</v>
      </c>
      <c r="AA1537" s="4">
        <f t="shared" si="95"/>
        <v>14.244451016039832</v>
      </c>
    </row>
    <row r="1538" spans="2:27" x14ac:dyDescent="0.2">
      <c r="B1538" s="4" t="s">
        <v>1352</v>
      </c>
      <c r="C1538" s="4">
        <v>14.255800000000001</v>
      </c>
      <c r="D1538" s="4">
        <v>14.9</v>
      </c>
      <c r="E1538" s="4">
        <v>14.407999999999999</v>
      </c>
      <c r="F1538" s="4">
        <f t="shared" ref="F1538:F1601" si="96">(C1538+D1538+E1538)/3</f>
        <v>14.521266666666667</v>
      </c>
      <c r="I1538" s="4" t="s">
        <v>2567</v>
      </c>
      <c r="J1538" s="4">
        <v>14.526</v>
      </c>
      <c r="K1538" s="4">
        <v>14.662000000000001</v>
      </c>
      <c r="L1538" s="4">
        <v>14.319599999999999</v>
      </c>
      <c r="M1538" s="4">
        <f t="shared" ref="M1538:M1601" si="97">(J1538+K1538+L1538)/3</f>
        <v>14.502533333333334</v>
      </c>
      <c r="P1538" s="4" t="str">
        <f>"stdh-1"</f>
        <v>stdh-1</v>
      </c>
      <c r="Q1538" s="4">
        <v>14.040157920997</v>
      </c>
      <c r="R1538" s="4">
        <v>14.0101574327558</v>
      </c>
      <c r="S1538" s="4">
        <v>14.2594212795224</v>
      </c>
      <c r="T1538" s="4">
        <f t="shared" ref="T1538:T1601" si="98">(Q1538+R1538+S1538)/3</f>
        <v>14.103245544425066</v>
      </c>
      <c r="W1538" s="4" t="str">
        <f>"msi-1"</f>
        <v>msi-1</v>
      </c>
      <c r="X1538" s="4">
        <v>14.150877558117401</v>
      </c>
      <c r="Y1538" s="4">
        <v>14.139694472337</v>
      </c>
      <c r="Z1538" s="4">
        <v>14.4412602754717</v>
      </c>
      <c r="AA1538" s="4">
        <f t="shared" ref="AA1538:AA1601" si="99">(X1538+Y1538+Z1538)/3</f>
        <v>14.243944101975366</v>
      </c>
    </row>
    <row r="1539" spans="2:27" x14ac:dyDescent="0.2">
      <c r="B1539" s="4" t="s">
        <v>3962</v>
      </c>
      <c r="C1539" s="4">
        <v>14.6609</v>
      </c>
      <c r="D1539" s="4">
        <v>14.9422</v>
      </c>
      <c r="E1539" s="4">
        <v>13.9557</v>
      </c>
      <c r="F1539" s="4">
        <f t="shared" si="96"/>
        <v>14.519599999999999</v>
      </c>
      <c r="I1539" s="4" t="s">
        <v>4138</v>
      </c>
      <c r="J1539" s="4">
        <v>14.540800000000001</v>
      </c>
      <c r="K1539" s="4">
        <v>14.424099999999999</v>
      </c>
      <c r="L1539" s="4">
        <v>14.541399999999999</v>
      </c>
      <c r="M1539" s="4">
        <f t="shared" si="97"/>
        <v>14.502099999999999</v>
      </c>
      <c r="P1539" s="4" t="str">
        <f>"crls-1"</f>
        <v>crls-1</v>
      </c>
      <c r="Q1539" s="4">
        <v>13.950422463483701</v>
      </c>
      <c r="R1539" s="4">
        <v>14.0694617660315</v>
      </c>
      <c r="S1539" s="4">
        <v>14.285809594705601</v>
      </c>
      <c r="T1539" s="4">
        <f t="shared" si="98"/>
        <v>14.101897941406932</v>
      </c>
      <c r="W1539" s="4" t="str">
        <f>"klp-19"</f>
        <v>klp-19</v>
      </c>
      <c r="X1539" s="4">
        <v>14.029185070545299</v>
      </c>
      <c r="Y1539" s="4">
        <v>14.483603428355901</v>
      </c>
      <c r="Z1539" s="4">
        <v>14.217708691938901</v>
      </c>
      <c r="AA1539" s="4">
        <f t="shared" si="99"/>
        <v>14.243499063613369</v>
      </c>
    </row>
    <row r="1540" spans="2:27" x14ac:dyDescent="0.2">
      <c r="B1540" s="4" t="s">
        <v>338</v>
      </c>
      <c r="C1540" s="4">
        <v>14.6576</v>
      </c>
      <c r="D1540" s="4">
        <v>14.410299999999999</v>
      </c>
      <c r="E1540" s="4">
        <v>14.490500000000001</v>
      </c>
      <c r="F1540" s="4">
        <f t="shared" si="96"/>
        <v>14.519466666666668</v>
      </c>
      <c r="I1540" s="4" t="s">
        <v>3919</v>
      </c>
      <c r="J1540" s="4">
        <v>14.616899999999999</v>
      </c>
      <c r="K1540" s="4">
        <v>14.276</v>
      </c>
      <c r="L1540" s="4">
        <v>14.6126</v>
      </c>
      <c r="M1540" s="4">
        <f t="shared" si="97"/>
        <v>14.501833333333332</v>
      </c>
      <c r="P1540" s="4" t="str">
        <f>"ZK973.11"</f>
        <v>ZK973.11</v>
      </c>
      <c r="Q1540" s="4">
        <v>14.021415479571299</v>
      </c>
      <c r="R1540" s="4">
        <v>14.0902828916386</v>
      </c>
      <c r="S1540" s="4">
        <v>14.188094390988701</v>
      </c>
      <c r="T1540" s="4">
        <f t="shared" si="98"/>
        <v>14.099930920732866</v>
      </c>
      <c r="W1540" s="4" t="str">
        <f>"stdh-1"</f>
        <v>stdh-1</v>
      </c>
      <c r="X1540" s="4">
        <v>14.243710844337899</v>
      </c>
      <c r="Y1540" s="4">
        <v>14.2984067067522</v>
      </c>
      <c r="Z1540" s="4">
        <v>14.1831597829242</v>
      </c>
      <c r="AA1540" s="4">
        <f t="shared" si="99"/>
        <v>14.2417591113381</v>
      </c>
    </row>
    <row r="1541" spans="2:27" x14ac:dyDescent="0.2">
      <c r="B1541" s="4" t="s">
        <v>4687</v>
      </c>
      <c r="C1541" s="4">
        <v>14.4604</v>
      </c>
      <c r="D1541" s="4">
        <v>14.359500000000001</v>
      </c>
      <c r="E1541" s="4">
        <v>14.7315</v>
      </c>
      <c r="F1541" s="4">
        <f t="shared" si="96"/>
        <v>14.517133333333334</v>
      </c>
      <c r="I1541" s="4" t="s">
        <v>4019</v>
      </c>
      <c r="J1541" s="4">
        <v>14.389900000000001</v>
      </c>
      <c r="K1541" s="4">
        <v>14.448700000000001</v>
      </c>
      <c r="L1541" s="4">
        <v>14.662699999999999</v>
      </c>
      <c r="M1541" s="4">
        <f t="shared" si="97"/>
        <v>14.500433333333334</v>
      </c>
      <c r="P1541" s="4" t="str">
        <f>"hum-8"</f>
        <v>hum-8</v>
      </c>
      <c r="Q1541" s="4">
        <v>14.124084321562</v>
      </c>
      <c r="R1541" s="4">
        <v>13.9840802461654</v>
      </c>
      <c r="S1541" s="4">
        <v>14.1900337465592</v>
      </c>
      <c r="T1541" s="4">
        <f t="shared" si="98"/>
        <v>14.099399438095533</v>
      </c>
      <c r="W1541" s="4" t="str">
        <f>"nsy-1"</f>
        <v>nsy-1</v>
      </c>
      <c r="X1541" s="4">
        <v>14.1457852021117</v>
      </c>
      <c r="Y1541" s="4">
        <v>14.391408104795399</v>
      </c>
      <c r="Z1541" s="4">
        <v>14.186755191384201</v>
      </c>
      <c r="AA1541" s="4">
        <f t="shared" si="99"/>
        <v>14.2413161660971</v>
      </c>
    </row>
    <row r="1542" spans="2:27" x14ac:dyDescent="0.2">
      <c r="B1542" s="4" t="s">
        <v>393</v>
      </c>
      <c r="C1542" s="4">
        <v>14.4176</v>
      </c>
      <c r="D1542" s="4">
        <v>14.631500000000001</v>
      </c>
      <c r="E1542" s="4">
        <v>14.4977</v>
      </c>
      <c r="F1542" s="4">
        <f t="shared" si="96"/>
        <v>14.515600000000001</v>
      </c>
      <c r="I1542" s="4" t="s">
        <v>1471</v>
      </c>
      <c r="J1542" s="4">
        <v>14.470800000000001</v>
      </c>
      <c r="K1542" s="4">
        <v>14.3195</v>
      </c>
      <c r="L1542" s="4">
        <v>14.7095</v>
      </c>
      <c r="M1542" s="4">
        <f t="shared" si="97"/>
        <v>14.499933333333333</v>
      </c>
      <c r="P1542" s="4" t="str">
        <f>"sqd-1"</f>
        <v>sqd-1</v>
      </c>
      <c r="Q1542" s="4">
        <v>14.203063780535301</v>
      </c>
      <c r="R1542" s="4">
        <v>13.9409812756459</v>
      </c>
      <c r="S1542" s="4">
        <v>14.1498963725598</v>
      </c>
      <c r="T1542" s="4">
        <f t="shared" si="98"/>
        <v>14.097980476247001</v>
      </c>
      <c r="W1542" s="4" t="str">
        <f>"abtm-1"</f>
        <v>abtm-1</v>
      </c>
      <c r="X1542" s="4">
        <v>14.4385691020221</v>
      </c>
      <c r="Y1542" s="4">
        <v>14.3143424386255</v>
      </c>
      <c r="Z1542" s="4">
        <v>13.9657519729945</v>
      </c>
      <c r="AA1542" s="4">
        <f t="shared" si="99"/>
        <v>14.239554504547366</v>
      </c>
    </row>
    <row r="1543" spans="2:27" x14ac:dyDescent="0.2">
      <c r="B1543" s="4" t="s">
        <v>1535</v>
      </c>
      <c r="C1543" s="4">
        <v>14.968999999999999</v>
      </c>
      <c r="D1543" s="4">
        <v>14.006500000000001</v>
      </c>
      <c r="E1543" s="4">
        <v>14.5646</v>
      </c>
      <c r="F1543" s="4">
        <f t="shared" si="96"/>
        <v>14.513366666666668</v>
      </c>
      <c r="I1543" s="4" t="s">
        <v>506</v>
      </c>
      <c r="J1543" s="4">
        <v>14.4526</v>
      </c>
      <c r="K1543" s="4">
        <v>14.561199999999999</v>
      </c>
      <c r="L1543" s="4">
        <v>14.476599999999999</v>
      </c>
      <c r="M1543" s="4">
        <f t="shared" si="97"/>
        <v>14.4968</v>
      </c>
      <c r="P1543" s="4" t="str">
        <f>"immt-2"</f>
        <v>immt-2</v>
      </c>
      <c r="Q1543" s="4">
        <v>14.0138453722418</v>
      </c>
      <c r="R1543" s="4">
        <v>14.2011890131825</v>
      </c>
      <c r="S1543" s="4">
        <v>14.0778788686575</v>
      </c>
      <c r="T1543" s="4">
        <f t="shared" si="98"/>
        <v>14.097637751360599</v>
      </c>
      <c r="W1543" s="4" t="str">
        <f>"acs-17"</f>
        <v>acs-17</v>
      </c>
      <c r="X1543" s="4">
        <v>14.1225251602001</v>
      </c>
      <c r="Y1543" s="4">
        <v>14.1614142564092</v>
      </c>
      <c r="Z1543" s="4">
        <v>14.4339365602762</v>
      </c>
      <c r="AA1543" s="4">
        <f t="shared" si="99"/>
        <v>14.239291992295167</v>
      </c>
    </row>
    <row r="1544" spans="2:27" x14ac:dyDescent="0.2">
      <c r="B1544" s="4" t="s">
        <v>2035</v>
      </c>
      <c r="C1544" s="4">
        <v>14.638299999999999</v>
      </c>
      <c r="D1544" s="4">
        <v>14.1671</v>
      </c>
      <c r="E1544" s="4">
        <v>14.724399999999999</v>
      </c>
      <c r="F1544" s="4">
        <f t="shared" si="96"/>
        <v>14.509933333333331</v>
      </c>
      <c r="I1544" s="4" t="s">
        <v>437</v>
      </c>
      <c r="J1544" s="4">
        <v>15.1389</v>
      </c>
      <c r="K1544" s="4">
        <v>14.1677</v>
      </c>
      <c r="L1544" s="4">
        <v>14.178599999999999</v>
      </c>
      <c r="M1544" s="4">
        <f t="shared" si="97"/>
        <v>14.495066666666666</v>
      </c>
      <c r="P1544" s="4" t="str">
        <f>"ufc-1"</f>
        <v>ufc-1</v>
      </c>
      <c r="Q1544" s="4">
        <v>14.062754098157599</v>
      </c>
      <c r="R1544" s="4">
        <v>14.043466433882401</v>
      </c>
      <c r="S1544" s="4">
        <v>14.185407485680001</v>
      </c>
      <c r="T1544" s="4">
        <f t="shared" si="98"/>
        <v>14.097209339240001</v>
      </c>
      <c r="W1544" s="4" t="str">
        <f>"T25B9.1"</f>
        <v>T25B9.1</v>
      </c>
      <c r="X1544" s="4">
        <v>13.7676404780981</v>
      </c>
      <c r="Y1544" s="4">
        <v>14.439145844034501</v>
      </c>
      <c r="Z1544" s="4">
        <v>14.5105030566605</v>
      </c>
      <c r="AA1544" s="4">
        <f t="shared" si="99"/>
        <v>14.239096459597699</v>
      </c>
    </row>
    <row r="1545" spans="2:27" x14ac:dyDescent="0.2">
      <c r="B1545" s="4" t="s">
        <v>3273</v>
      </c>
      <c r="C1545" s="4">
        <v>14.500299999999999</v>
      </c>
      <c r="D1545" s="4">
        <v>14.88</v>
      </c>
      <c r="E1545" s="4">
        <v>14.1494</v>
      </c>
      <c r="F1545" s="4">
        <f t="shared" si="96"/>
        <v>14.5099</v>
      </c>
      <c r="I1545" s="4" t="s">
        <v>1896</v>
      </c>
      <c r="J1545" s="4">
        <v>15.058</v>
      </c>
      <c r="K1545" s="4">
        <v>14.3934</v>
      </c>
      <c r="L1545" s="4">
        <v>14.0238</v>
      </c>
      <c r="M1545" s="4">
        <f t="shared" si="97"/>
        <v>14.491733333333334</v>
      </c>
      <c r="P1545" s="4" t="str">
        <f>"vig-1"</f>
        <v>vig-1</v>
      </c>
      <c r="Q1545" s="4">
        <v>14.328712928614801</v>
      </c>
      <c r="R1545" s="4">
        <v>13.8879007210941</v>
      </c>
      <c r="S1545" s="4">
        <v>14.0721986436715</v>
      </c>
      <c r="T1545" s="4">
        <f t="shared" si="98"/>
        <v>14.096270764460135</v>
      </c>
      <c r="W1545" s="4" t="str">
        <f>"sec-15"</f>
        <v>sec-15</v>
      </c>
      <c r="X1545" s="4">
        <v>14.140671456899399</v>
      </c>
      <c r="Y1545" s="4">
        <v>14.198235492322</v>
      </c>
      <c r="Z1545" s="4">
        <v>14.3705935495211</v>
      </c>
      <c r="AA1545" s="4">
        <f t="shared" si="99"/>
        <v>14.236500166247501</v>
      </c>
    </row>
    <row r="1546" spans="2:27" x14ac:dyDescent="0.2">
      <c r="B1546" s="4" t="s">
        <v>3827</v>
      </c>
      <c r="C1546" s="4">
        <v>14.2338</v>
      </c>
      <c r="D1546" s="4">
        <v>14.263199999999999</v>
      </c>
      <c r="E1546" s="4">
        <v>15.0288</v>
      </c>
      <c r="F1546" s="4">
        <f t="shared" si="96"/>
        <v>14.508600000000001</v>
      </c>
      <c r="I1546" s="4" t="s">
        <v>1336</v>
      </c>
      <c r="J1546" s="4">
        <v>14.686199999999999</v>
      </c>
      <c r="K1546" s="4">
        <v>13.955500000000001</v>
      </c>
      <c r="L1546" s="4">
        <v>14.8316</v>
      </c>
      <c r="M1546" s="4">
        <f t="shared" si="97"/>
        <v>14.491100000000001</v>
      </c>
      <c r="P1546" s="4" t="str">
        <f>"Y105E8A.25"</f>
        <v>Y105E8A.25</v>
      </c>
      <c r="Q1546" s="4">
        <v>14.1277694910509</v>
      </c>
      <c r="R1546" s="4">
        <v>14.0993645065568</v>
      </c>
      <c r="S1546" s="4">
        <v>14.060205523340301</v>
      </c>
      <c r="T1546" s="4">
        <f t="shared" si="98"/>
        <v>14.095779840316</v>
      </c>
      <c r="W1546" s="4" t="str">
        <f>"ego-2"</f>
        <v>ego-2</v>
      </c>
      <c r="X1546" s="4">
        <v>14.257044196593201</v>
      </c>
      <c r="Y1546" s="4">
        <v>14.3147132300506</v>
      </c>
      <c r="Z1546" s="4">
        <v>14.1355300536713</v>
      </c>
      <c r="AA1546" s="4">
        <f t="shared" si="99"/>
        <v>14.235762493438367</v>
      </c>
    </row>
    <row r="1547" spans="2:27" x14ac:dyDescent="0.2">
      <c r="B1547" s="4" t="s">
        <v>3186</v>
      </c>
      <c r="C1547" s="4">
        <v>14.4693</v>
      </c>
      <c r="D1547" s="4">
        <v>14.652200000000001</v>
      </c>
      <c r="E1547" s="4">
        <v>14.401999999999999</v>
      </c>
      <c r="F1547" s="4">
        <f t="shared" si="96"/>
        <v>14.507833333333332</v>
      </c>
      <c r="I1547" s="4" t="s">
        <v>4688</v>
      </c>
      <c r="J1547" s="4">
        <v>15.109400000000001</v>
      </c>
      <c r="K1547" s="4">
        <v>14.382999999999999</v>
      </c>
      <c r="L1547" s="4">
        <v>13.978400000000001</v>
      </c>
      <c r="M1547" s="4">
        <f t="shared" si="97"/>
        <v>14.490266666666665</v>
      </c>
      <c r="P1547" s="4" t="str">
        <f>"F56F11.4"</f>
        <v>F56F11.4</v>
      </c>
      <c r="Q1547" s="4">
        <v>14.1978868419676</v>
      </c>
      <c r="R1547" s="4">
        <v>14.087691374524301</v>
      </c>
      <c r="S1547" s="4">
        <v>13.9964319174699</v>
      </c>
      <c r="T1547" s="4">
        <f t="shared" si="98"/>
        <v>14.094003377987265</v>
      </c>
      <c r="W1547" s="4" t="str">
        <f>"F13D11.3"</f>
        <v>F13D11.3</v>
      </c>
      <c r="X1547" s="4">
        <v>13.969551331448001</v>
      </c>
      <c r="Y1547" s="4">
        <v>14.589390760499599</v>
      </c>
      <c r="Z1547" s="4">
        <v>14.1418820910298</v>
      </c>
      <c r="AA1547" s="4">
        <f t="shared" si="99"/>
        <v>14.233608060992466</v>
      </c>
    </row>
    <row r="1548" spans="2:27" x14ac:dyDescent="0.2">
      <c r="B1548" s="4" t="s">
        <v>1822</v>
      </c>
      <c r="C1548" s="4">
        <v>14.5314</v>
      </c>
      <c r="D1548" s="4">
        <v>14.226100000000001</v>
      </c>
      <c r="E1548" s="4">
        <v>14.763</v>
      </c>
      <c r="F1548" s="4">
        <f t="shared" si="96"/>
        <v>14.506833333333333</v>
      </c>
      <c r="I1548" s="4" t="s">
        <v>3819</v>
      </c>
      <c r="J1548" s="4">
        <v>14.476699999999999</v>
      </c>
      <c r="K1548" s="4">
        <v>14.6305</v>
      </c>
      <c r="L1548" s="4">
        <v>14.3605</v>
      </c>
      <c r="M1548" s="4">
        <f t="shared" si="97"/>
        <v>14.489233333333333</v>
      </c>
      <c r="P1548" s="4" t="str">
        <f>"soap-1"</f>
        <v>soap-1</v>
      </c>
      <c r="Q1548" s="4">
        <v>14.1542803403051</v>
      </c>
      <c r="R1548" s="4">
        <v>14.1176121160523</v>
      </c>
      <c r="S1548" s="4">
        <v>14.005326220092501</v>
      </c>
      <c r="T1548" s="4">
        <f t="shared" si="98"/>
        <v>14.0924062254833</v>
      </c>
      <c r="W1548" s="4" t="str">
        <f>"npp-2"</f>
        <v>npp-2</v>
      </c>
      <c r="X1548" s="4">
        <v>14.110128174672599</v>
      </c>
      <c r="Y1548" s="4">
        <v>14.299030053140401</v>
      </c>
      <c r="Z1548" s="4">
        <v>14.288985519483999</v>
      </c>
      <c r="AA1548" s="4">
        <f t="shared" si="99"/>
        <v>14.232714582432335</v>
      </c>
    </row>
    <row r="1549" spans="2:27" x14ac:dyDescent="0.2">
      <c r="B1549" s="4" t="s">
        <v>2530</v>
      </c>
      <c r="C1549" s="4">
        <v>14.460599999999999</v>
      </c>
      <c r="D1549" s="4">
        <v>14.743</v>
      </c>
      <c r="E1549" s="4">
        <v>14.3161</v>
      </c>
      <c r="F1549" s="4">
        <f t="shared" si="96"/>
        <v>14.506566666666666</v>
      </c>
      <c r="I1549" s="4" t="s">
        <v>2139</v>
      </c>
      <c r="J1549" s="4">
        <v>14.5762</v>
      </c>
      <c r="K1549" s="4">
        <v>14.45</v>
      </c>
      <c r="L1549" s="4">
        <v>14.4293</v>
      </c>
      <c r="M1549" s="4">
        <f t="shared" si="97"/>
        <v>14.485166666666666</v>
      </c>
      <c r="P1549" s="4" t="str">
        <f>"dylt-1"</f>
        <v>dylt-1</v>
      </c>
      <c r="Q1549" s="4">
        <v>14.0807636054219</v>
      </c>
      <c r="R1549" s="4">
        <v>14.0565743557695</v>
      </c>
      <c r="S1549" s="4">
        <v>14.1353338957842</v>
      </c>
      <c r="T1549" s="4">
        <f t="shared" si="98"/>
        <v>14.090890618991866</v>
      </c>
      <c r="W1549" s="4" t="str">
        <f>"T20B3.1"</f>
        <v>T20B3.1</v>
      </c>
      <c r="X1549" s="4">
        <v>14.325136469309401</v>
      </c>
      <c r="Y1549" s="4">
        <v>14.1619426367155</v>
      </c>
      <c r="Z1549" s="4">
        <v>14.210816462605999</v>
      </c>
      <c r="AA1549" s="4">
        <f t="shared" si="99"/>
        <v>14.232631856210299</v>
      </c>
    </row>
    <row r="1550" spans="2:27" x14ac:dyDescent="0.2">
      <c r="B1550" s="4" t="s">
        <v>2490</v>
      </c>
      <c r="C1550" s="4">
        <v>14.8569</v>
      </c>
      <c r="D1550" s="4">
        <v>14.1912</v>
      </c>
      <c r="E1550" s="4">
        <v>14.4704</v>
      </c>
      <c r="F1550" s="4">
        <f t="shared" si="96"/>
        <v>14.506166666666665</v>
      </c>
      <c r="I1550" s="4" t="s">
        <v>2326</v>
      </c>
      <c r="J1550" s="4">
        <v>14.234400000000001</v>
      </c>
      <c r="K1550" s="4">
        <v>14.489100000000001</v>
      </c>
      <c r="L1550" s="4">
        <v>14.7262</v>
      </c>
      <c r="M1550" s="4">
        <f t="shared" si="97"/>
        <v>14.483233333333333</v>
      </c>
      <c r="P1550" s="4" t="str">
        <f>"ain-1"</f>
        <v>ain-1</v>
      </c>
      <c r="Q1550" s="4">
        <v>14.3763518124284</v>
      </c>
      <c r="R1550" s="4">
        <v>13.8505375441448</v>
      </c>
      <c r="S1550" s="4">
        <v>14.041959858834399</v>
      </c>
      <c r="T1550" s="4">
        <f t="shared" si="98"/>
        <v>14.089616405135866</v>
      </c>
      <c r="W1550" s="4" t="str">
        <f>"strd-1"</f>
        <v>strd-1</v>
      </c>
      <c r="X1550" s="4">
        <v>14.648371287899399</v>
      </c>
      <c r="Y1550" s="4">
        <v>14.068506586462799</v>
      </c>
      <c r="Z1550" s="4">
        <v>13.9794226815914</v>
      </c>
      <c r="AA1550" s="4">
        <f t="shared" si="99"/>
        <v>14.232100185317867</v>
      </c>
    </row>
    <row r="1551" spans="2:27" x14ac:dyDescent="0.2">
      <c r="B1551" s="4" t="s">
        <v>3472</v>
      </c>
      <c r="C1551" s="4">
        <v>14.4322</v>
      </c>
      <c r="D1551" s="4">
        <v>14.5383</v>
      </c>
      <c r="E1551" s="4">
        <v>14.547000000000001</v>
      </c>
      <c r="F1551" s="4">
        <f t="shared" si="96"/>
        <v>14.505833333333333</v>
      </c>
      <c r="I1551" s="4" t="s">
        <v>3469</v>
      </c>
      <c r="J1551" s="4">
        <v>14.364699999999999</v>
      </c>
      <c r="K1551" s="4">
        <v>14.5547</v>
      </c>
      <c r="L1551" s="4">
        <v>14.5273</v>
      </c>
      <c r="M1551" s="4">
        <f t="shared" si="97"/>
        <v>14.482233333333333</v>
      </c>
      <c r="P1551" s="4" t="str">
        <f>"eif-3.H"</f>
        <v>eif-3.H</v>
      </c>
      <c r="Q1551" s="4">
        <v>14.545130875719501</v>
      </c>
      <c r="R1551" s="4">
        <v>13.740129093458201</v>
      </c>
      <c r="S1551" s="4">
        <v>13.9791920830289</v>
      </c>
      <c r="T1551" s="4">
        <f t="shared" si="98"/>
        <v>14.088150684068866</v>
      </c>
      <c r="W1551" s="4" t="str">
        <f>"pas-4"</f>
        <v>pas-4</v>
      </c>
      <c r="X1551" s="4">
        <v>14.1427834061176</v>
      </c>
      <c r="Y1551" s="4">
        <v>14.3337567219079</v>
      </c>
      <c r="Z1551" s="4">
        <v>14.2181861547735</v>
      </c>
      <c r="AA1551" s="4">
        <f t="shared" si="99"/>
        <v>14.231575427599665</v>
      </c>
    </row>
    <row r="1552" spans="2:27" x14ac:dyDescent="0.2">
      <c r="B1552" s="4" t="s">
        <v>3352</v>
      </c>
      <c r="C1552" s="4">
        <v>13.4992</v>
      </c>
      <c r="D1552" s="4">
        <v>15.505100000000001</v>
      </c>
      <c r="E1552" s="4">
        <v>14.5124</v>
      </c>
      <c r="F1552" s="4">
        <f t="shared" si="96"/>
        <v>14.505566666666667</v>
      </c>
      <c r="I1552" s="4" t="s">
        <v>476</v>
      </c>
      <c r="J1552" s="4">
        <v>14.5486</v>
      </c>
      <c r="K1552" s="4">
        <v>14.482200000000001</v>
      </c>
      <c r="L1552" s="4">
        <v>14.414400000000001</v>
      </c>
      <c r="M1552" s="4">
        <f t="shared" si="97"/>
        <v>14.481733333333333</v>
      </c>
      <c r="P1552" s="4" t="str">
        <f>"pfas-1"</f>
        <v>pfas-1</v>
      </c>
      <c r="Q1552" s="4">
        <v>14.1893184594971</v>
      </c>
      <c r="R1552" s="4">
        <v>13.9795230059714</v>
      </c>
      <c r="S1552" s="4">
        <v>14.093427333699699</v>
      </c>
      <c r="T1552" s="4">
        <f t="shared" si="98"/>
        <v>14.087422933056066</v>
      </c>
      <c r="W1552" s="4" t="str">
        <f>"sup-26"</f>
        <v>sup-26</v>
      </c>
      <c r="X1552" s="4">
        <v>14.209046245691599</v>
      </c>
      <c r="Y1552" s="4">
        <v>14.353781560873401</v>
      </c>
      <c r="Z1552" s="4">
        <v>14.1211883850254</v>
      </c>
      <c r="AA1552" s="4">
        <f t="shared" si="99"/>
        <v>14.228005397196801</v>
      </c>
    </row>
    <row r="1553" spans="2:27" x14ac:dyDescent="0.2">
      <c r="B1553" s="4" t="s">
        <v>1967</v>
      </c>
      <c r="C1553" s="4">
        <v>14.5144</v>
      </c>
      <c r="D1553" s="4">
        <v>14.431800000000001</v>
      </c>
      <c r="E1553" s="4">
        <v>14.5687</v>
      </c>
      <c r="F1553" s="4">
        <f t="shared" si="96"/>
        <v>14.504966666666666</v>
      </c>
      <c r="I1553" s="4" t="s">
        <v>3463</v>
      </c>
      <c r="J1553" s="4">
        <v>14.1319</v>
      </c>
      <c r="K1553" s="4">
        <v>14.7904</v>
      </c>
      <c r="L1553" s="4">
        <v>14.518700000000001</v>
      </c>
      <c r="M1553" s="4">
        <f t="shared" si="97"/>
        <v>14.480333333333334</v>
      </c>
      <c r="P1553" s="4" t="str">
        <f>"cyn-3"</f>
        <v>cyn-3</v>
      </c>
      <c r="Q1553" s="4">
        <v>14.120301540697699</v>
      </c>
      <c r="R1553" s="4">
        <v>14.0782682279164</v>
      </c>
      <c r="S1553" s="4">
        <v>14.0526997681272</v>
      </c>
      <c r="T1553" s="4">
        <f t="shared" si="98"/>
        <v>14.083756512247099</v>
      </c>
      <c r="W1553" s="4" t="str">
        <f>"cyk-4"</f>
        <v>cyk-4</v>
      </c>
      <c r="X1553" s="4">
        <v>14.2967451418445</v>
      </c>
      <c r="Y1553" s="4">
        <v>14.1294000036859</v>
      </c>
      <c r="Z1553" s="4">
        <v>14.253310294838901</v>
      </c>
      <c r="AA1553" s="4">
        <f t="shared" si="99"/>
        <v>14.226485146789765</v>
      </c>
    </row>
    <row r="1554" spans="2:27" x14ac:dyDescent="0.2">
      <c r="B1554" s="4" t="s">
        <v>1364</v>
      </c>
      <c r="C1554" s="4">
        <v>14.4674</v>
      </c>
      <c r="D1554" s="4">
        <v>14.792999999999999</v>
      </c>
      <c r="E1554" s="4">
        <v>14.250400000000001</v>
      </c>
      <c r="F1554" s="4">
        <f t="shared" si="96"/>
        <v>14.503599999999999</v>
      </c>
      <c r="I1554" s="4" t="s">
        <v>432</v>
      </c>
      <c r="J1554" s="4">
        <v>14.7865</v>
      </c>
      <c r="K1554" s="4">
        <v>14.3142</v>
      </c>
      <c r="L1554" s="4">
        <v>14.3384</v>
      </c>
      <c r="M1554" s="4">
        <f t="shared" si="97"/>
        <v>14.479699999999999</v>
      </c>
      <c r="P1554" s="4" t="str">
        <f>"dcap-1"</f>
        <v>dcap-1</v>
      </c>
      <c r="Q1554" s="4">
        <v>14.214691062183901</v>
      </c>
      <c r="R1554" s="4">
        <v>13.883801659970301</v>
      </c>
      <c r="S1554" s="4">
        <v>14.1454801609457</v>
      </c>
      <c r="T1554" s="4">
        <f t="shared" si="98"/>
        <v>14.081324294366633</v>
      </c>
      <c r="W1554" s="4" t="str">
        <f>"npp-25"</f>
        <v>npp-25</v>
      </c>
      <c r="X1554" s="4">
        <v>14.480387124262201</v>
      </c>
      <c r="Y1554" s="4">
        <v>14.114938976029199</v>
      </c>
      <c r="Z1554" s="4">
        <v>14.069045231787999</v>
      </c>
      <c r="AA1554" s="4">
        <f t="shared" si="99"/>
        <v>14.221457110693132</v>
      </c>
    </row>
    <row r="1555" spans="2:27" x14ac:dyDescent="0.2">
      <c r="B1555" s="4" t="s">
        <v>3408</v>
      </c>
      <c r="C1555" s="4">
        <v>14.656700000000001</v>
      </c>
      <c r="D1555" s="4">
        <v>14.3226</v>
      </c>
      <c r="E1555" s="4">
        <v>14.531000000000001</v>
      </c>
      <c r="F1555" s="4">
        <f t="shared" si="96"/>
        <v>14.503433333333334</v>
      </c>
      <c r="I1555" s="4" t="s">
        <v>39</v>
      </c>
      <c r="J1555" s="4">
        <v>14.550599999999999</v>
      </c>
      <c r="K1555" s="4">
        <v>14.5975</v>
      </c>
      <c r="L1555" s="4">
        <v>14.290100000000001</v>
      </c>
      <c r="M1555" s="4">
        <f t="shared" si="97"/>
        <v>14.4794</v>
      </c>
      <c r="P1555" s="4" t="str">
        <f>"ttr-47"</f>
        <v>ttr-47</v>
      </c>
      <c r="Q1555" s="4">
        <v>14.1452007364742</v>
      </c>
      <c r="R1555" s="4">
        <v>13.889965174547999</v>
      </c>
      <c r="S1555" s="4">
        <v>14.204899300113199</v>
      </c>
      <c r="T1555" s="4">
        <f t="shared" si="98"/>
        <v>14.080021737045131</v>
      </c>
      <c r="W1555" s="4" t="str">
        <f>"fmo-3"</f>
        <v>fmo-3</v>
      </c>
      <c r="X1555" s="4">
        <v>14.2953978920482</v>
      </c>
      <c r="Y1555" s="4">
        <v>14.6103821753343</v>
      </c>
      <c r="Z1555" s="4">
        <v>13.7518581603521</v>
      </c>
      <c r="AA1555" s="4">
        <f t="shared" si="99"/>
        <v>14.2192127425782</v>
      </c>
    </row>
    <row r="1556" spans="2:27" x14ac:dyDescent="0.2">
      <c r="B1556" s="4" t="s">
        <v>3062</v>
      </c>
      <c r="C1556" s="4">
        <v>14.612299999999999</v>
      </c>
      <c r="D1556" s="4">
        <v>14.2928</v>
      </c>
      <c r="E1556" s="4">
        <v>14.603999999999999</v>
      </c>
      <c r="F1556" s="4">
        <f t="shared" si="96"/>
        <v>14.503033333333333</v>
      </c>
      <c r="I1556" s="4" t="s">
        <v>2024</v>
      </c>
      <c r="J1556" s="4">
        <v>14.6675</v>
      </c>
      <c r="K1556" s="4">
        <v>14.526199999999999</v>
      </c>
      <c r="L1556" s="4">
        <v>14.241899999999999</v>
      </c>
      <c r="M1556" s="4">
        <f t="shared" si="97"/>
        <v>14.478533333333333</v>
      </c>
      <c r="P1556" s="4" t="str">
        <f>"msi-1"</f>
        <v>msi-1</v>
      </c>
      <c r="Q1556" s="4">
        <v>14.1583754871323</v>
      </c>
      <c r="R1556" s="4">
        <v>13.992360292895301</v>
      </c>
      <c r="S1556" s="4">
        <v>14.086278170437099</v>
      </c>
      <c r="T1556" s="4">
        <f t="shared" si="98"/>
        <v>14.0790046501549</v>
      </c>
      <c r="W1556" s="4" t="str">
        <f>"W02G9.3"</f>
        <v>W02G9.3</v>
      </c>
      <c r="X1556" s="4">
        <v>14.5047878090403</v>
      </c>
      <c r="Y1556" s="4">
        <v>14.1469111433814</v>
      </c>
      <c r="Z1556" s="4">
        <v>14.0006232097168</v>
      </c>
      <c r="AA1556" s="4">
        <f t="shared" si="99"/>
        <v>14.217440720712835</v>
      </c>
    </row>
    <row r="1557" spans="2:27" x14ac:dyDescent="0.2">
      <c r="B1557" s="4" t="s">
        <v>1630</v>
      </c>
      <c r="C1557" s="4">
        <v>14.478400000000001</v>
      </c>
      <c r="D1557" s="4">
        <v>14.5571</v>
      </c>
      <c r="E1557" s="4">
        <v>14.472799999999999</v>
      </c>
      <c r="F1557" s="4">
        <f t="shared" si="96"/>
        <v>14.502766666666666</v>
      </c>
      <c r="I1557" s="4" t="s">
        <v>1828</v>
      </c>
      <c r="J1557" s="4">
        <v>14.3551</v>
      </c>
      <c r="K1557" s="4">
        <v>14.466699999999999</v>
      </c>
      <c r="L1557" s="4">
        <v>14.6092</v>
      </c>
      <c r="M1557" s="4">
        <f t="shared" si="97"/>
        <v>14.476999999999999</v>
      </c>
      <c r="P1557" s="4" t="str">
        <f>"ard-1"</f>
        <v>ard-1</v>
      </c>
      <c r="Q1557" s="4">
        <v>14.1716260357202</v>
      </c>
      <c r="R1557" s="4">
        <v>14.0915453510222</v>
      </c>
      <c r="S1557" s="4">
        <v>13.9721379882614</v>
      </c>
      <c r="T1557" s="4">
        <f t="shared" si="98"/>
        <v>14.0784364583346</v>
      </c>
      <c r="W1557" s="4" t="str">
        <f>"clk-1"</f>
        <v>clk-1</v>
      </c>
      <c r="X1557" s="4">
        <v>14.0422505608427</v>
      </c>
      <c r="Y1557" s="4">
        <v>14.1689578733776</v>
      </c>
      <c r="Z1557" s="4">
        <v>14.439889969838701</v>
      </c>
      <c r="AA1557" s="4">
        <f t="shared" si="99"/>
        <v>14.217032801353</v>
      </c>
    </row>
    <row r="1558" spans="2:27" x14ac:dyDescent="0.2">
      <c r="B1558" s="4" t="s">
        <v>90</v>
      </c>
      <c r="C1558" s="4">
        <v>14.5116</v>
      </c>
      <c r="D1558" s="4">
        <v>14.285</v>
      </c>
      <c r="E1558" s="4">
        <v>14.702299999999999</v>
      </c>
      <c r="F1558" s="4">
        <f t="shared" si="96"/>
        <v>14.499633333333334</v>
      </c>
      <c r="I1558" s="4" t="s">
        <v>611</v>
      </c>
      <c r="J1558" s="4">
        <v>14.604100000000001</v>
      </c>
      <c r="K1558" s="4">
        <v>14.56</v>
      </c>
      <c r="L1558" s="4">
        <v>14.2606</v>
      </c>
      <c r="M1558" s="4">
        <f t="shared" si="97"/>
        <v>14.4749</v>
      </c>
      <c r="P1558" s="4" t="str">
        <f>"vps-16"</f>
        <v>vps-16</v>
      </c>
      <c r="Q1558" s="4">
        <v>14.0741089584757</v>
      </c>
      <c r="R1558" s="4">
        <v>13.983230563315001</v>
      </c>
      <c r="S1558" s="4">
        <v>14.176405759293401</v>
      </c>
      <c r="T1558" s="4">
        <f t="shared" si="98"/>
        <v>14.077915093694701</v>
      </c>
      <c r="W1558" s="4" t="str">
        <f>"ooc-3"</f>
        <v>ooc-3</v>
      </c>
      <c r="X1558" s="4">
        <v>14.1119602524195</v>
      </c>
      <c r="Y1558" s="4">
        <v>14.292064330250399</v>
      </c>
      <c r="Z1558" s="4">
        <v>14.2428679082354</v>
      </c>
      <c r="AA1558" s="4">
        <f t="shared" si="99"/>
        <v>14.215630830301768</v>
      </c>
    </row>
    <row r="1559" spans="2:27" x14ac:dyDescent="0.2">
      <c r="B1559" s="4" t="s">
        <v>2123</v>
      </c>
      <c r="C1559" s="4">
        <v>14.271800000000001</v>
      </c>
      <c r="D1559" s="4">
        <v>14.7332</v>
      </c>
      <c r="E1559" s="4">
        <v>14.493499999999999</v>
      </c>
      <c r="F1559" s="4">
        <f t="shared" si="96"/>
        <v>14.499499999999999</v>
      </c>
      <c r="I1559" s="4" t="s">
        <v>935</v>
      </c>
      <c r="J1559" s="4">
        <v>14.493600000000001</v>
      </c>
      <c r="K1559" s="4">
        <v>14.3508</v>
      </c>
      <c r="L1559" s="4">
        <v>14.578099999999999</v>
      </c>
      <c r="M1559" s="4">
        <f t="shared" si="97"/>
        <v>14.474166666666667</v>
      </c>
      <c r="P1559" s="4" t="str">
        <f>"tba-6"</f>
        <v>tba-6</v>
      </c>
      <c r="Q1559" s="4">
        <v>14.495191712947699</v>
      </c>
      <c r="R1559" s="4">
        <v>14.0301683409405</v>
      </c>
      <c r="S1559" s="4">
        <v>13.7069274457987</v>
      </c>
      <c r="T1559" s="4">
        <f t="shared" si="98"/>
        <v>14.077429166562299</v>
      </c>
      <c r="W1559" s="4" t="str">
        <f>"K02C4.3"</f>
        <v>K02C4.3</v>
      </c>
      <c r="X1559" s="4">
        <v>14.3570443450116</v>
      </c>
      <c r="Y1559" s="4">
        <v>14.2385278497028</v>
      </c>
      <c r="Z1559" s="4">
        <v>14.045838496421901</v>
      </c>
      <c r="AA1559" s="4">
        <f t="shared" si="99"/>
        <v>14.2138035637121</v>
      </c>
    </row>
    <row r="1560" spans="2:27" x14ac:dyDescent="0.2">
      <c r="B1560" s="4" t="s">
        <v>165</v>
      </c>
      <c r="C1560" s="4">
        <v>14.6945</v>
      </c>
      <c r="D1560" s="4">
        <v>14.285600000000001</v>
      </c>
      <c r="E1560" s="4">
        <v>14.514799999999999</v>
      </c>
      <c r="F1560" s="4">
        <f t="shared" si="96"/>
        <v>14.4983</v>
      </c>
      <c r="I1560" s="4" t="s">
        <v>4232</v>
      </c>
      <c r="J1560" s="4">
        <v>14.908300000000001</v>
      </c>
      <c r="K1560" s="4">
        <v>14.509600000000001</v>
      </c>
      <c r="L1560" s="4">
        <v>13.9985</v>
      </c>
      <c r="M1560" s="4">
        <f t="shared" si="97"/>
        <v>14.472133333333334</v>
      </c>
      <c r="P1560" s="4" t="str">
        <f>"T24C12.3"</f>
        <v>T24C12.3</v>
      </c>
      <c r="Q1560" s="4">
        <v>14.1039829343847</v>
      </c>
      <c r="R1560" s="4">
        <v>14.0097090195099</v>
      </c>
      <c r="S1560" s="4">
        <v>14.1129029484105</v>
      </c>
      <c r="T1560" s="4">
        <f t="shared" si="98"/>
        <v>14.075531634101701</v>
      </c>
      <c r="W1560" s="4" t="str">
        <f>"DC2.5"</f>
        <v>DC2.5</v>
      </c>
      <c r="X1560" s="4">
        <v>13.9782011330076</v>
      </c>
      <c r="Y1560" s="4">
        <v>14.3536510601214</v>
      </c>
      <c r="Z1560" s="4">
        <v>14.3093420985594</v>
      </c>
      <c r="AA1560" s="4">
        <f t="shared" si="99"/>
        <v>14.213731430562801</v>
      </c>
    </row>
    <row r="1561" spans="2:27" x14ac:dyDescent="0.2">
      <c r="B1561" s="4" t="s">
        <v>351</v>
      </c>
      <c r="C1561" s="4">
        <v>14.4009</v>
      </c>
      <c r="D1561" s="4">
        <v>14.5459</v>
      </c>
      <c r="E1561" s="4">
        <v>14.544600000000001</v>
      </c>
      <c r="F1561" s="4">
        <f t="shared" si="96"/>
        <v>14.497133333333332</v>
      </c>
      <c r="I1561" s="4" t="s">
        <v>3229</v>
      </c>
      <c r="J1561" s="4">
        <v>14.540900000000001</v>
      </c>
      <c r="K1561" s="4">
        <v>14.5383</v>
      </c>
      <c r="L1561" s="4">
        <v>14.3354</v>
      </c>
      <c r="M1561" s="4">
        <f t="shared" si="97"/>
        <v>14.471533333333333</v>
      </c>
      <c r="P1561" s="4" t="str">
        <f>"asp-1"</f>
        <v>asp-1</v>
      </c>
      <c r="Q1561" s="4">
        <v>13.738826047429299</v>
      </c>
      <c r="R1561" s="4">
        <v>14.196375996731</v>
      </c>
      <c r="S1561" s="4">
        <v>14.2748113932739</v>
      </c>
      <c r="T1561" s="4">
        <f t="shared" si="98"/>
        <v>14.070004479144734</v>
      </c>
      <c r="W1561" s="4" t="str">
        <f>"trpp-11"</f>
        <v>trpp-11</v>
      </c>
      <c r="X1561" s="4">
        <v>14.0151598740082</v>
      </c>
      <c r="Y1561" s="4">
        <v>14.2677243723458</v>
      </c>
      <c r="Z1561" s="4">
        <v>14.3561839156897</v>
      </c>
      <c r="AA1561" s="4">
        <f t="shared" si="99"/>
        <v>14.213022720681233</v>
      </c>
    </row>
    <row r="1562" spans="2:27" x14ac:dyDescent="0.2">
      <c r="B1562" s="4" t="s">
        <v>2139</v>
      </c>
      <c r="C1562" s="4">
        <v>14.440799999999999</v>
      </c>
      <c r="D1562" s="4">
        <v>14.7445</v>
      </c>
      <c r="E1562" s="4">
        <v>14.305899999999999</v>
      </c>
      <c r="F1562" s="4">
        <f t="shared" si="96"/>
        <v>14.497066666666667</v>
      </c>
      <c r="I1562" s="4" t="s">
        <v>458</v>
      </c>
      <c r="J1562" s="4">
        <v>14.551</v>
      </c>
      <c r="K1562" s="4">
        <v>14.7593</v>
      </c>
      <c r="L1562" s="4">
        <v>14.102</v>
      </c>
      <c r="M1562" s="4">
        <f t="shared" si="97"/>
        <v>14.470766666666668</v>
      </c>
      <c r="P1562" s="4" t="str">
        <f>"lam-2"</f>
        <v>lam-2</v>
      </c>
      <c r="Q1562" s="4">
        <v>14.249830234006501</v>
      </c>
      <c r="R1562" s="4">
        <v>13.769252012065699</v>
      </c>
      <c r="S1562" s="4">
        <v>14.1899031170218</v>
      </c>
      <c r="T1562" s="4">
        <f t="shared" si="98"/>
        <v>14.069661787698001</v>
      </c>
      <c r="W1562" s="4" t="str">
        <f>"ZK1321.4"</f>
        <v>ZK1321.4</v>
      </c>
      <c r="X1562" s="4">
        <v>13.2376546757258</v>
      </c>
      <c r="Y1562" s="4">
        <v>14.404815501735699</v>
      </c>
      <c r="Z1562" s="4">
        <v>14.9961185016979</v>
      </c>
      <c r="AA1562" s="4">
        <f t="shared" si="99"/>
        <v>14.212862893053133</v>
      </c>
    </row>
    <row r="1563" spans="2:27" x14ac:dyDescent="0.2">
      <c r="B1563" s="4" t="s">
        <v>551</v>
      </c>
      <c r="C1563" s="4">
        <v>14.563599999999999</v>
      </c>
      <c r="D1563" s="4">
        <v>14.643700000000001</v>
      </c>
      <c r="E1563" s="4">
        <v>14.279500000000001</v>
      </c>
      <c r="F1563" s="4">
        <f t="shared" si="96"/>
        <v>14.495600000000001</v>
      </c>
      <c r="I1563" s="4" t="s">
        <v>4689</v>
      </c>
      <c r="J1563" s="4">
        <v>14.986800000000001</v>
      </c>
      <c r="K1563" s="4">
        <v>14.728899999999999</v>
      </c>
      <c r="L1563" s="4">
        <v>13.696400000000001</v>
      </c>
      <c r="M1563" s="4">
        <f t="shared" si="97"/>
        <v>14.470699999999999</v>
      </c>
      <c r="P1563" s="4" t="str">
        <f>"ufd-3"</f>
        <v>ufd-3</v>
      </c>
      <c r="Q1563" s="4">
        <v>13.991937001367999</v>
      </c>
      <c r="R1563" s="4">
        <v>13.985145345445</v>
      </c>
      <c r="S1563" s="4">
        <v>14.225160384210501</v>
      </c>
      <c r="T1563" s="4">
        <f t="shared" si="98"/>
        <v>14.0674142436745</v>
      </c>
      <c r="W1563" s="4" t="str">
        <f>"cyp-34a8"</f>
        <v>cyp-34a8</v>
      </c>
      <c r="X1563" s="4">
        <v>13.933312368416001</v>
      </c>
      <c r="Y1563" s="4">
        <v>14.2551408796391</v>
      </c>
      <c r="Z1563" s="4">
        <v>14.4348883442445</v>
      </c>
      <c r="AA1563" s="4">
        <f t="shared" si="99"/>
        <v>14.207780530766534</v>
      </c>
    </row>
    <row r="1564" spans="2:27" x14ac:dyDescent="0.2">
      <c r="B1564" s="4" t="s">
        <v>341</v>
      </c>
      <c r="C1564" s="4">
        <v>14.33</v>
      </c>
      <c r="D1564" s="4">
        <v>14.706300000000001</v>
      </c>
      <c r="E1564" s="4">
        <v>14.441000000000001</v>
      </c>
      <c r="F1564" s="4">
        <f t="shared" si="96"/>
        <v>14.492433333333333</v>
      </c>
      <c r="I1564" s="4" t="s">
        <v>4021</v>
      </c>
      <c r="J1564" s="4">
        <v>14.370900000000001</v>
      </c>
      <c r="K1564" s="4">
        <v>14.7455</v>
      </c>
      <c r="L1564" s="4">
        <v>14.2949</v>
      </c>
      <c r="M1564" s="4">
        <f t="shared" si="97"/>
        <v>14.470433333333332</v>
      </c>
      <c r="P1564" s="4" t="str">
        <f>"rps-29"</f>
        <v>rps-29</v>
      </c>
      <c r="Q1564" s="4">
        <v>13.972006418214701</v>
      </c>
      <c r="R1564" s="4">
        <v>14.0004137889718</v>
      </c>
      <c r="S1564" s="4">
        <v>14.229275239227</v>
      </c>
      <c r="T1564" s="4">
        <f t="shared" si="98"/>
        <v>14.067231815471168</v>
      </c>
      <c r="W1564" s="4" t="str">
        <f>"lev-11"</f>
        <v>lev-11</v>
      </c>
      <c r="X1564" s="4">
        <v>14.398673877468701</v>
      </c>
      <c r="Y1564" s="4">
        <v>13.817951256272</v>
      </c>
      <c r="Z1564" s="4">
        <v>14.4054044531653</v>
      </c>
      <c r="AA1564" s="4">
        <f t="shared" si="99"/>
        <v>14.207343195635332</v>
      </c>
    </row>
    <row r="1565" spans="2:27" x14ac:dyDescent="0.2">
      <c r="B1565" s="4" t="s">
        <v>1302</v>
      </c>
      <c r="C1565" s="4">
        <v>14.4467</v>
      </c>
      <c r="D1565" s="4">
        <v>14.5311</v>
      </c>
      <c r="E1565" s="4">
        <v>14.4946</v>
      </c>
      <c r="F1565" s="4">
        <f t="shared" si="96"/>
        <v>14.4908</v>
      </c>
      <c r="I1565" s="4" t="s">
        <v>3969</v>
      </c>
      <c r="J1565" s="4">
        <v>14.504099999999999</v>
      </c>
      <c r="K1565" s="4">
        <v>14.4122</v>
      </c>
      <c r="L1565" s="4">
        <v>14.493</v>
      </c>
      <c r="M1565" s="4">
        <f t="shared" si="97"/>
        <v>14.469766666666667</v>
      </c>
      <c r="P1565" s="4" t="str">
        <f>"lipt-1"</f>
        <v>lipt-1</v>
      </c>
      <c r="Q1565" s="4">
        <v>14.2679327426185</v>
      </c>
      <c r="R1565" s="4">
        <v>13.872243968291301</v>
      </c>
      <c r="S1565" s="4">
        <v>14.0607488238449</v>
      </c>
      <c r="T1565" s="4">
        <f t="shared" si="98"/>
        <v>14.066975178251568</v>
      </c>
      <c r="W1565" s="4" t="str">
        <f>"lgmn-1"</f>
        <v>lgmn-1</v>
      </c>
      <c r="X1565" s="4">
        <v>13.9563053737734</v>
      </c>
      <c r="Y1565" s="4">
        <v>14.277847144415899</v>
      </c>
      <c r="Z1565" s="4">
        <v>14.386736754366</v>
      </c>
      <c r="AA1565" s="4">
        <f t="shared" si="99"/>
        <v>14.206963090851765</v>
      </c>
    </row>
    <row r="1566" spans="2:27" x14ac:dyDescent="0.2">
      <c r="B1566" s="4" t="s">
        <v>4053</v>
      </c>
      <c r="C1566" s="4">
        <v>14.7118</v>
      </c>
      <c r="D1566" s="4">
        <v>14.331799999999999</v>
      </c>
      <c r="E1566" s="4">
        <v>14.4282</v>
      </c>
      <c r="F1566" s="4">
        <f t="shared" si="96"/>
        <v>14.490600000000001</v>
      </c>
      <c r="I1566" s="4" t="s">
        <v>3708</v>
      </c>
      <c r="J1566" s="4">
        <v>14.687900000000001</v>
      </c>
      <c r="K1566" s="4">
        <v>13.9513</v>
      </c>
      <c r="L1566" s="4">
        <v>14.7681</v>
      </c>
      <c r="M1566" s="4">
        <f t="shared" si="97"/>
        <v>14.469100000000003</v>
      </c>
      <c r="P1566" s="4" t="str">
        <f>"tomm-22"</f>
        <v>tomm-22</v>
      </c>
      <c r="Q1566" s="4">
        <v>14.1911439365707</v>
      </c>
      <c r="R1566" s="4">
        <v>13.9718951103827</v>
      </c>
      <c r="S1566" s="4">
        <v>14.0358632032901</v>
      </c>
      <c r="T1566" s="4">
        <f t="shared" si="98"/>
        <v>14.066300750081167</v>
      </c>
      <c r="W1566" s="4" t="str">
        <f>"aldo-2"</f>
        <v>aldo-2</v>
      </c>
      <c r="X1566" s="4">
        <v>14.053892874831099</v>
      </c>
      <c r="Y1566" s="4">
        <v>14.0888909525643</v>
      </c>
      <c r="Z1566" s="4">
        <v>14.467436353714399</v>
      </c>
      <c r="AA1566" s="4">
        <f t="shared" si="99"/>
        <v>14.203406727036599</v>
      </c>
    </row>
    <row r="1567" spans="2:27" x14ac:dyDescent="0.2">
      <c r="B1567" s="4" t="s">
        <v>2876</v>
      </c>
      <c r="C1567" s="4">
        <v>14.222899999999999</v>
      </c>
      <c r="D1567" s="4">
        <v>14.261900000000001</v>
      </c>
      <c r="E1567" s="4">
        <v>14.985099999999999</v>
      </c>
      <c r="F1567" s="4">
        <f t="shared" si="96"/>
        <v>14.489966666666666</v>
      </c>
      <c r="I1567" s="4" t="s">
        <v>3827</v>
      </c>
      <c r="J1567" s="4">
        <v>14.3538</v>
      </c>
      <c r="K1567" s="4">
        <v>14.4704</v>
      </c>
      <c r="L1567" s="4">
        <v>14.582599999999999</v>
      </c>
      <c r="M1567" s="4">
        <f t="shared" si="97"/>
        <v>14.468933333333332</v>
      </c>
      <c r="P1567" s="4" t="str">
        <f>"eif-3.F"</f>
        <v>eif-3.F</v>
      </c>
      <c r="Q1567" s="4">
        <v>13.818123500646101</v>
      </c>
      <c r="R1567" s="4">
        <v>14.233176131416201</v>
      </c>
      <c r="S1567" s="4">
        <v>14.1442094980966</v>
      </c>
      <c r="T1567" s="4">
        <f t="shared" si="98"/>
        <v>14.065169710052968</v>
      </c>
      <c r="W1567" s="4" t="str">
        <f>"F21C10.10"</f>
        <v>F21C10.10</v>
      </c>
      <c r="X1567" s="4">
        <v>14.281466471672699</v>
      </c>
      <c r="Y1567" s="4">
        <v>14.077461136206599</v>
      </c>
      <c r="Z1567" s="4">
        <v>14.251016914309901</v>
      </c>
      <c r="AA1567" s="4">
        <f t="shared" si="99"/>
        <v>14.203314840729732</v>
      </c>
    </row>
    <row r="1568" spans="2:27" x14ac:dyDescent="0.2">
      <c r="B1568" s="4" t="s">
        <v>2196</v>
      </c>
      <c r="C1568" s="4">
        <v>14.086399999999999</v>
      </c>
      <c r="D1568" s="4">
        <v>14.1815</v>
      </c>
      <c r="E1568" s="4">
        <v>15.2013</v>
      </c>
      <c r="F1568" s="4">
        <f t="shared" si="96"/>
        <v>14.489733333333334</v>
      </c>
      <c r="I1568" s="4" t="s">
        <v>2859</v>
      </c>
      <c r="J1568" s="4">
        <v>14.819900000000001</v>
      </c>
      <c r="K1568" s="4">
        <v>14.436199999999999</v>
      </c>
      <c r="L1568" s="4">
        <v>14.1496</v>
      </c>
      <c r="M1568" s="4">
        <f t="shared" si="97"/>
        <v>14.468566666666666</v>
      </c>
      <c r="P1568" s="4" t="str">
        <f>"E02H1.1"</f>
        <v>E02H1.1</v>
      </c>
      <c r="Q1568" s="4">
        <v>13.8943724928076</v>
      </c>
      <c r="R1568" s="4">
        <v>14.3173750287137</v>
      </c>
      <c r="S1568" s="4">
        <v>13.981492664743</v>
      </c>
      <c r="T1568" s="4">
        <f t="shared" si="98"/>
        <v>14.064413395421433</v>
      </c>
      <c r="W1568" s="4" t="str">
        <f>"tre-1"</f>
        <v>tre-1</v>
      </c>
      <c r="X1568" s="4">
        <v>14.2672587963069</v>
      </c>
      <c r="Y1568" s="4">
        <v>14.3930443444607</v>
      </c>
      <c r="Z1568" s="4">
        <v>13.9440022506764</v>
      </c>
      <c r="AA1568" s="4">
        <f t="shared" si="99"/>
        <v>14.201435130481334</v>
      </c>
    </row>
    <row r="1569" spans="2:27" x14ac:dyDescent="0.2">
      <c r="B1569" s="4" t="s">
        <v>2662</v>
      </c>
      <c r="C1569" s="4">
        <v>14.434900000000001</v>
      </c>
      <c r="D1569" s="4">
        <v>14.564</v>
      </c>
      <c r="E1569" s="4">
        <v>14.4686</v>
      </c>
      <c r="F1569" s="4">
        <f t="shared" si="96"/>
        <v>14.489166666666668</v>
      </c>
      <c r="I1569" s="4" t="s">
        <v>1821</v>
      </c>
      <c r="J1569" s="4">
        <v>14.429600000000001</v>
      </c>
      <c r="K1569" s="4">
        <v>14.7523</v>
      </c>
      <c r="L1569" s="4">
        <v>14.220700000000001</v>
      </c>
      <c r="M1569" s="4">
        <f t="shared" si="97"/>
        <v>14.467533333333334</v>
      </c>
      <c r="P1569" s="4" t="str">
        <f>"Y57A10A.13"</f>
        <v>Y57A10A.13</v>
      </c>
      <c r="Q1569" s="4">
        <v>14.0977292654237</v>
      </c>
      <c r="R1569" s="4">
        <v>14.0043395873065</v>
      </c>
      <c r="S1569" s="4">
        <v>14.0869311824019</v>
      </c>
      <c r="T1569" s="4">
        <f t="shared" si="98"/>
        <v>14.063000011710699</v>
      </c>
      <c r="W1569" s="4" t="str">
        <f>"nuc-1"</f>
        <v>nuc-1</v>
      </c>
      <c r="X1569" s="4">
        <v>14.257958407526299</v>
      </c>
      <c r="Y1569" s="4">
        <v>14.481154548140999</v>
      </c>
      <c r="Z1569" s="4">
        <v>13.8646968996861</v>
      </c>
      <c r="AA1569" s="4">
        <f t="shared" si="99"/>
        <v>14.201269951784466</v>
      </c>
    </row>
    <row r="1570" spans="2:27" x14ac:dyDescent="0.2">
      <c r="B1570" s="4" t="s">
        <v>3986</v>
      </c>
      <c r="C1570" s="4">
        <v>14.3932</v>
      </c>
      <c r="D1570" s="4">
        <v>14.220700000000001</v>
      </c>
      <c r="E1570" s="4">
        <v>14.850899999999999</v>
      </c>
      <c r="F1570" s="4">
        <f t="shared" si="96"/>
        <v>14.488266666666666</v>
      </c>
      <c r="I1570" s="4" t="s">
        <v>2713</v>
      </c>
      <c r="J1570" s="4">
        <v>14.5824</v>
      </c>
      <c r="K1570" s="4">
        <v>14.5138</v>
      </c>
      <c r="L1570" s="4">
        <v>14.305400000000001</v>
      </c>
      <c r="M1570" s="4">
        <f t="shared" si="97"/>
        <v>14.4672</v>
      </c>
      <c r="P1570" s="4" t="str">
        <f>"Y45F10C.2"</f>
        <v>Y45F10C.2</v>
      </c>
      <c r="Q1570" s="4">
        <v>13.872805414422601</v>
      </c>
      <c r="R1570" s="4">
        <v>13.9257628342886</v>
      </c>
      <c r="S1570" s="4">
        <v>14.3837625282699</v>
      </c>
      <c r="T1570" s="4">
        <f t="shared" si="98"/>
        <v>14.060776925660365</v>
      </c>
      <c r="W1570" s="4" t="str">
        <f>"cyn-3"</f>
        <v>cyn-3</v>
      </c>
      <c r="X1570" s="4">
        <v>14.6391764602787</v>
      </c>
      <c r="Y1570" s="4">
        <v>13.8771087082287</v>
      </c>
      <c r="Z1570" s="4">
        <v>14.077893578683801</v>
      </c>
      <c r="AA1570" s="4">
        <f t="shared" si="99"/>
        <v>14.198059582397066</v>
      </c>
    </row>
    <row r="1571" spans="2:27" x14ac:dyDescent="0.2">
      <c r="B1571" s="4" t="s">
        <v>3893</v>
      </c>
      <c r="C1571" s="4">
        <v>14.959300000000001</v>
      </c>
      <c r="D1571" s="4">
        <v>14.834300000000001</v>
      </c>
      <c r="E1571" s="4">
        <v>13.6706</v>
      </c>
      <c r="F1571" s="4">
        <f t="shared" si="96"/>
        <v>14.488066666666668</v>
      </c>
      <c r="I1571" s="4" t="s">
        <v>3829</v>
      </c>
      <c r="J1571" s="4">
        <v>14.4001</v>
      </c>
      <c r="K1571" s="4">
        <v>14.641400000000001</v>
      </c>
      <c r="L1571" s="4">
        <v>14.3575</v>
      </c>
      <c r="M1571" s="4">
        <f t="shared" si="97"/>
        <v>14.466333333333333</v>
      </c>
      <c r="P1571" s="4" t="str">
        <f>"gex-3"</f>
        <v>gex-3</v>
      </c>
      <c r="Q1571" s="4">
        <v>13.7938611862445</v>
      </c>
      <c r="R1571" s="4">
        <v>14.358359879510701</v>
      </c>
      <c r="S1571" s="4">
        <v>14.026054286492</v>
      </c>
      <c r="T1571" s="4">
        <f t="shared" si="98"/>
        <v>14.059425117415733</v>
      </c>
      <c r="W1571" s="4" t="str">
        <f>"rcor-1"</f>
        <v>rcor-1</v>
      </c>
      <c r="X1571" s="4">
        <v>14.4169882575494</v>
      </c>
      <c r="Y1571" s="4">
        <v>14.008435990670501</v>
      </c>
      <c r="Z1571" s="4">
        <v>14.1683256438833</v>
      </c>
      <c r="AA1571" s="4">
        <f t="shared" si="99"/>
        <v>14.197916630701068</v>
      </c>
    </row>
    <row r="1572" spans="2:27" x14ac:dyDescent="0.2">
      <c r="B1572" s="4" t="s">
        <v>1910</v>
      </c>
      <c r="C1572" s="4">
        <v>14.3391</v>
      </c>
      <c r="D1572" s="4">
        <v>14.934699999999999</v>
      </c>
      <c r="E1572" s="4">
        <v>14.1877</v>
      </c>
      <c r="F1572" s="4">
        <f t="shared" si="96"/>
        <v>14.487166666666667</v>
      </c>
      <c r="I1572" s="4" t="s">
        <v>4690</v>
      </c>
      <c r="J1572" s="4">
        <v>14.5648</v>
      </c>
      <c r="K1572" s="4">
        <v>14.478</v>
      </c>
      <c r="L1572" s="4">
        <v>14.3522</v>
      </c>
      <c r="M1572" s="4">
        <f t="shared" si="97"/>
        <v>14.464999999999998</v>
      </c>
      <c r="P1572" s="4" t="str">
        <f>"ceeh-1"</f>
        <v>ceeh-1</v>
      </c>
      <c r="Q1572" s="4">
        <v>13.950735641673701</v>
      </c>
      <c r="R1572" s="4">
        <v>14.1823607018156</v>
      </c>
      <c r="S1572" s="4">
        <v>14.043296364410301</v>
      </c>
      <c r="T1572" s="4">
        <f t="shared" si="98"/>
        <v>14.058797569299868</v>
      </c>
      <c r="W1572" s="4" t="str">
        <f>"Y57A10A.13"</f>
        <v>Y57A10A.13</v>
      </c>
      <c r="X1572" s="4">
        <v>14.3049013068891</v>
      </c>
      <c r="Y1572" s="4">
        <v>14.162626148072199</v>
      </c>
      <c r="Z1572" s="4">
        <v>14.1197799720997</v>
      </c>
      <c r="AA1572" s="4">
        <f t="shared" si="99"/>
        <v>14.195769142353667</v>
      </c>
    </row>
    <row r="1573" spans="2:27" x14ac:dyDescent="0.2">
      <c r="B1573" s="4" t="s">
        <v>192</v>
      </c>
      <c r="C1573" s="4">
        <v>14.036099999999999</v>
      </c>
      <c r="D1573" s="4">
        <v>14.795</v>
      </c>
      <c r="E1573" s="4">
        <v>14.629799999999999</v>
      </c>
      <c r="F1573" s="4">
        <f t="shared" si="96"/>
        <v>14.486966666666666</v>
      </c>
      <c r="I1573" s="4" t="s">
        <v>3289</v>
      </c>
      <c r="J1573" s="4">
        <v>14.6656</v>
      </c>
      <c r="K1573" s="4">
        <v>14.588100000000001</v>
      </c>
      <c r="L1573" s="4">
        <v>14.139699999999999</v>
      </c>
      <c r="M1573" s="4">
        <f t="shared" si="97"/>
        <v>14.464466666666667</v>
      </c>
      <c r="P1573" s="4" t="str">
        <f>"fmo-3"</f>
        <v>fmo-3</v>
      </c>
      <c r="Q1573" s="4">
        <v>14.1651019783423</v>
      </c>
      <c r="R1573" s="4">
        <v>14.0765112085632</v>
      </c>
      <c r="S1573" s="4">
        <v>13.928731400139901</v>
      </c>
      <c r="T1573" s="4">
        <f t="shared" si="98"/>
        <v>14.056781529015133</v>
      </c>
      <c r="W1573" s="4" t="str">
        <f>"ajm-1"</f>
        <v>ajm-1</v>
      </c>
      <c r="X1573" s="4">
        <v>13.869642602849201</v>
      </c>
      <c r="Y1573" s="4">
        <v>14.2054577783036</v>
      </c>
      <c r="Z1573" s="4">
        <v>14.5098484718833</v>
      </c>
      <c r="AA1573" s="4">
        <f t="shared" si="99"/>
        <v>14.194982951012035</v>
      </c>
    </row>
    <row r="1574" spans="2:27" x14ac:dyDescent="0.2">
      <c r="B1574" s="4" t="s">
        <v>2112</v>
      </c>
      <c r="C1574" s="4">
        <v>14.731</v>
      </c>
      <c r="D1574" s="4">
        <v>14.2768</v>
      </c>
      <c r="E1574" s="4">
        <v>14.447800000000001</v>
      </c>
      <c r="F1574" s="4">
        <f t="shared" si="96"/>
        <v>14.485200000000001</v>
      </c>
      <c r="I1574" s="4" t="s">
        <v>3437</v>
      </c>
      <c r="J1574" s="4">
        <v>14.3629</v>
      </c>
      <c r="K1574" s="4">
        <v>14.502800000000001</v>
      </c>
      <c r="L1574" s="4">
        <v>14.525399999999999</v>
      </c>
      <c r="M1574" s="4">
        <f t="shared" si="97"/>
        <v>14.463700000000001</v>
      </c>
      <c r="P1574" s="4" t="str">
        <f>"ifa-1"</f>
        <v>ifa-1</v>
      </c>
      <c r="Q1574" s="4">
        <v>14.1035657956803</v>
      </c>
      <c r="R1574" s="4">
        <v>13.7448428210758</v>
      </c>
      <c r="S1574" s="4">
        <v>14.3071544845864</v>
      </c>
      <c r="T1574" s="4">
        <f t="shared" si="98"/>
        <v>14.051854367114167</v>
      </c>
      <c r="W1574" s="4" t="str">
        <f>"aqp-8"</f>
        <v>aqp-8</v>
      </c>
      <c r="X1574" s="4">
        <v>13.783904498173399</v>
      </c>
      <c r="Y1574" s="4">
        <v>13.6363343518499</v>
      </c>
      <c r="Z1574" s="4">
        <v>15.161557742590899</v>
      </c>
      <c r="AA1574" s="4">
        <f t="shared" si="99"/>
        <v>14.193932197538066</v>
      </c>
    </row>
    <row r="1575" spans="2:27" x14ac:dyDescent="0.2">
      <c r="B1575" s="4" t="s">
        <v>1182</v>
      </c>
      <c r="C1575" s="4">
        <v>14.863300000000001</v>
      </c>
      <c r="D1575" s="4">
        <v>14.212999999999999</v>
      </c>
      <c r="E1575" s="4">
        <v>14.368499999999999</v>
      </c>
      <c r="F1575" s="4">
        <f t="shared" si="96"/>
        <v>14.4816</v>
      </c>
      <c r="I1575" s="4" t="s">
        <v>1062</v>
      </c>
      <c r="J1575" s="4">
        <v>14.3325</v>
      </c>
      <c r="K1575" s="4">
        <v>14.3104</v>
      </c>
      <c r="L1575" s="4">
        <v>14.7441</v>
      </c>
      <c r="M1575" s="4">
        <f t="shared" si="97"/>
        <v>14.462333333333333</v>
      </c>
      <c r="P1575" s="4" t="str">
        <f>"C04E6.11"</f>
        <v>C04E6.11</v>
      </c>
      <c r="Q1575" s="4">
        <v>14.241046441745199</v>
      </c>
      <c r="R1575" s="4">
        <v>13.8727491020723</v>
      </c>
      <c r="S1575" s="4">
        <v>14.0379515315284</v>
      </c>
      <c r="T1575" s="4">
        <f t="shared" si="98"/>
        <v>14.050582358448631</v>
      </c>
      <c r="W1575" s="4" t="str">
        <f>"tag-131"</f>
        <v>tag-131</v>
      </c>
      <c r="X1575" s="4">
        <v>14.152673265011799</v>
      </c>
      <c r="Y1575" s="4">
        <v>14.1238529875298</v>
      </c>
      <c r="Z1575" s="4">
        <v>14.302847033757899</v>
      </c>
      <c r="AA1575" s="4">
        <f t="shared" si="99"/>
        <v>14.193124428766501</v>
      </c>
    </row>
    <row r="1576" spans="2:27" x14ac:dyDescent="0.2">
      <c r="B1576" s="4" t="s">
        <v>2031</v>
      </c>
      <c r="C1576" s="4">
        <v>14.568099999999999</v>
      </c>
      <c r="D1576" s="4">
        <v>14.3668</v>
      </c>
      <c r="E1576" s="4">
        <v>14.504300000000001</v>
      </c>
      <c r="F1576" s="4">
        <f t="shared" si="96"/>
        <v>14.479733333333334</v>
      </c>
      <c r="I1576" s="4" t="s">
        <v>3946</v>
      </c>
      <c r="J1576" s="4">
        <v>14.432</v>
      </c>
      <c r="K1576" s="4">
        <v>14.6174</v>
      </c>
      <c r="L1576" s="4">
        <v>14.3347</v>
      </c>
      <c r="M1576" s="4">
        <f t="shared" si="97"/>
        <v>14.461366666666665</v>
      </c>
      <c r="P1576" s="4" t="str">
        <f>"R10E4.9"</f>
        <v>R10E4.9</v>
      </c>
      <c r="Q1576" s="4">
        <v>13.904794430258599</v>
      </c>
      <c r="R1576" s="4">
        <v>14.088296823650801</v>
      </c>
      <c r="S1576" s="4">
        <v>14.150485970756201</v>
      </c>
      <c r="T1576" s="4">
        <f t="shared" si="98"/>
        <v>14.047859074888533</v>
      </c>
      <c r="W1576" s="4" t="str">
        <f>"T21C9.6"</f>
        <v>T21C9.6</v>
      </c>
      <c r="X1576" s="4">
        <v>14.437010695394999</v>
      </c>
      <c r="Y1576" s="4">
        <v>14.131758297478299</v>
      </c>
      <c r="Z1576" s="4">
        <v>14.004467893204099</v>
      </c>
      <c r="AA1576" s="4">
        <f t="shared" si="99"/>
        <v>14.191078962025799</v>
      </c>
    </row>
    <row r="1577" spans="2:27" x14ac:dyDescent="0.2">
      <c r="B1577" s="4" t="s">
        <v>2497</v>
      </c>
      <c r="C1577" s="4">
        <v>14.8567</v>
      </c>
      <c r="D1577" s="4">
        <v>14.0487</v>
      </c>
      <c r="E1577" s="4">
        <v>14.5312</v>
      </c>
      <c r="F1577" s="4">
        <f t="shared" si="96"/>
        <v>14.478866666666667</v>
      </c>
      <c r="I1577" s="4" t="s">
        <v>4053</v>
      </c>
      <c r="J1577" s="4">
        <v>14.484</v>
      </c>
      <c r="K1577" s="4">
        <v>14.512499999999999</v>
      </c>
      <c r="L1577" s="4">
        <v>14.3863</v>
      </c>
      <c r="M1577" s="4">
        <f t="shared" si="97"/>
        <v>14.460933333333331</v>
      </c>
      <c r="P1577" s="4" t="str">
        <f>"tsr-1"</f>
        <v>tsr-1</v>
      </c>
      <c r="Q1577" s="4">
        <v>14.0822618508357</v>
      </c>
      <c r="R1577" s="4">
        <v>14.0171897527238</v>
      </c>
      <c r="S1577" s="4">
        <v>14.042051303576701</v>
      </c>
      <c r="T1577" s="4">
        <f t="shared" si="98"/>
        <v>14.047167635712066</v>
      </c>
      <c r="W1577" s="4" t="str">
        <f>"F33H2.2"</f>
        <v>F33H2.2</v>
      </c>
      <c r="X1577" s="4">
        <v>14.291293489462999</v>
      </c>
      <c r="Y1577" s="4">
        <v>14.290474251139599</v>
      </c>
      <c r="Z1577" s="4">
        <v>13.9868855226721</v>
      </c>
      <c r="AA1577" s="4">
        <f t="shared" si="99"/>
        <v>14.189551087758232</v>
      </c>
    </row>
    <row r="1578" spans="2:27" x14ac:dyDescent="0.2">
      <c r="B1578" s="4" t="s">
        <v>2747</v>
      </c>
      <c r="C1578" s="4">
        <v>14.686400000000001</v>
      </c>
      <c r="D1578" s="4">
        <v>14.331899999999999</v>
      </c>
      <c r="E1578" s="4">
        <v>14.416</v>
      </c>
      <c r="F1578" s="4">
        <f t="shared" si="96"/>
        <v>14.4781</v>
      </c>
      <c r="I1578" s="4" t="s">
        <v>4691</v>
      </c>
      <c r="J1578" s="4">
        <v>14.678100000000001</v>
      </c>
      <c r="K1578" s="4">
        <v>14.2683</v>
      </c>
      <c r="L1578" s="4">
        <v>14.435499999999999</v>
      </c>
      <c r="M1578" s="4">
        <f t="shared" si="97"/>
        <v>14.460633333333334</v>
      </c>
      <c r="P1578" s="4" t="str">
        <f>"cpn-4"</f>
        <v>cpn-4</v>
      </c>
      <c r="Q1578" s="4">
        <v>13.868311821540701</v>
      </c>
      <c r="R1578" s="4">
        <v>14.105778322083999</v>
      </c>
      <c r="S1578" s="4">
        <v>14.1582168318764</v>
      </c>
      <c r="T1578" s="4">
        <f t="shared" si="98"/>
        <v>14.044102325167033</v>
      </c>
      <c r="W1578" s="4" t="str">
        <f>"acl-2"</f>
        <v>acl-2</v>
      </c>
      <c r="X1578" s="4">
        <v>14.199685881690399</v>
      </c>
      <c r="Y1578" s="4">
        <v>14.2661641408351</v>
      </c>
      <c r="Z1578" s="4">
        <v>14.0970374601252</v>
      </c>
      <c r="AA1578" s="4">
        <f t="shared" si="99"/>
        <v>14.187629160883567</v>
      </c>
    </row>
    <row r="1579" spans="2:27" x14ac:dyDescent="0.2">
      <c r="B1579" s="4" t="s">
        <v>1523</v>
      </c>
      <c r="C1579" s="4">
        <v>14.4437</v>
      </c>
      <c r="D1579" s="4">
        <v>14.5662</v>
      </c>
      <c r="E1579" s="4">
        <v>14.420999999999999</v>
      </c>
      <c r="F1579" s="4">
        <f t="shared" si="96"/>
        <v>14.476966666666668</v>
      </c>
      <c r="I1579" s="4" t="s">
        <v>2370</v>
      </c>
      <c r="J1579" s="4">
        <v>14.397500000000001</v>
      </c>
      <c r="K1579" s="4">
        <v>14.5017</v>
      </c>
      <c r="L1579" s="4">
        <v>14.4818</v>
      </c>
      <c r="M1579" s="4">
        <f t="shared" si="97"/>
        <v>14.460333333333333</v>
      </c>
      <c r="P1579" s="4" t="str">
        <f>"arl-3"</f>
        <v>arl-3</v>
      </c>
      <c r="Q1579" s="4">
        <v>14.1641087933739</v>
      </c>
      <c r="R1579" s="4">
        <v>14.0093824534577</v>
      </c>
      <c r="S1579" s="4">
        <v>13.9574537954212</v>
      </c>
      <c r="T1579" s="4">
        <f t="shared" si="98"/>
        <v>14.043648347417601</v>
      </c>
      <c r="W1579" s="4" t="str">
        <f>"apb-3"</f>
        <v>apb-3</v>
      </c>
      <c r="X1579" s="4">
        <v>14.322690309072399</v>
      </c>
      <c r="Y1579" s="4">
        <v>14.085234464484699</v>
      </c>
      <c r="Z1579" s="4">
        <v>14.153559742545299</v>
      </c>
      <c r="AA1579" s="4">
        <f t="shared" si="99"/>
        <v>14.187161505367465</v>
      </c>
    </row>
    <row r="1580" spans="2:27" x14ac:dyDescent="0.2">
      <c r="B1580" s="4" t="s">
        <v>3976</v>
      </c>
      <c r="C1580" s="4">
        <v>14.721299999999999</v>
      </c>
      <c r="D1580" s="4">
        <v>14.298999999999999</v>
      </c>
      <c r="E1580" s="4">
        <v>14.410500000000001</v>
      </c>
      <c r="F1580" s="4">
        <f t="shared" si="96"/>
        <v>14.476933333333333</v>
      </c>
      <c r="I1580" s="4" t="s">
        <v>3448</v>
      </c>
      <c r="J1580" s="4">
        <v>14.4899</v>
      </c>
      <c r="K1580" s="4">
        <v>14.0441</v>
      </c>
      <c r="L1580" s="4">
        <v>14.8437</v>
      </c>
      <c r="M1580" s="4">
        <f t="shared" si="97"/>
        <v>14.459233333333332</v>
      </c>
      <c r="P1580" s="4" t="str">
        <f>"ech-2"</f>
        <v>ech-2</v>
      </c>
      <c r="Q1580" s="4">
        <v>14.145448828497001</v>
      </c>
      <c r="R1580" s="4">
        <v>13.967564096012699</v>
      </c>
      <c r="S1580" s="4">
        <v>14.0171505716061</v>
      </c>
      <c r="T1580" s="4">
        <f t="shared" si="98"/>
        <v>14.043387832038599</v>
      </c>
      <c r="W1580" s="4" t="str">
        <f>"pezo-1"</f>
        <v>pezo-1</v>
      </c>
      <c r="X1580" s="4">
        <v>14.2783492846016</v>
      </c>
      <c r="Y1580" s="4">
        <v>14.082265661370601</v>
      </c>
      <c r="Z1580" s="4">
        <v>14.198642267257</v>
      </c>
      <c r="AA1580" s="4">
        <f t="shared" si="99"/>
        <v>14.186419071076401</v>
      </c>
    </row>
    <row r="1581" spans="2:27" x14ac:dyDescent="0.2">
      <c r="B1581" s="4" t="s">
        <v>2814</v>
      </c>
      <c r="C1581" s="4">
        <v>14.784599999999999</v>
      </c>
      <c r="D1581" s="4">
        <v>14.3264</v>
      </c>
      <c r="E1581" s="4">
        <v>14.315200000000001</v>
      </c>
      <c r="F1581" s="4">
        <f t="shared" si="96"/>
        <v>14.475399999999999</v>
      </c>
      <c r="I1581" s="4" t="s">
        <v>3394</v>
      </c>
      <c r="J1581" s="4">
        <v>14.647</v>
      </c>
      <c r="K1581" s="4">
        <v>14.468400000000001</v>
      </c>
      <c r="L1581" s="4">
        <v>14.2576</v>
      </c>
      <c r="M1581" s="4">
        <f t="shared" si="97"/>
        <v>14.457666666666668</v>
      </c>
      <c r="P1581" s="4" t="str">
        <f>"odr-4"</f>
        <v>odr-4</v>
      </c>
      <c r="Q1581" s="4">
        <v>14.446068313426901</v>
      </c>
      <c r="R1581" s="4">
        <v>13.608565679306199</v>
      </c>
      <c r="S1581" s="4">
        <v>14.074766582659301</v>
      </c>
      <c r="T1581" s="4">
        <f t="shared" si="98"/>
        <v>14.0431335251308</v>
      </c>
      <c r="W1581" s="4" t="str">
        <f>"pabp-2"</f>
        <v>pabp-2</v>
      </c>
      <c r="X1581" s="4">
        <v>13.9891498651105</v>
      </c>
      <c r="Y1581" s="4">
        <v>14.1706174979282</v>
      </c>
      <c r="Z1581" s="4">
        <v>14.397900453569701</v>
      </c>
      <c r="AA1581" s="4">
        <f t="shared" si="99"/>
        <v>14.1858892722028</v>
      </c>
    </row>
    <row r="1582" spans="2:27" x14ac:dyDescent="0.2">
      <c r="B1582" s="4" t="s">
        <v>3227</v>
      </c>
      <c r="C1582" s="4">
        <v>14.680899999999999</v>
      </c>
      <c r="D1582" s="4">
        <v>14.0007</v>
      </c>
      <c r="E1582" s="4">
        <v>14.741</v>
      </c>
      <c r="F1582" s="4">
        <f t="shared" si="96"/>
        <v>14.474200000000002</v>
      </c>
      <c r="I1582" s="4" t="s">
        <v>2543</v>
      </c>
      <c r="J1582" s="4">
        <v>14.4932</v>
      </c>
      <c r="K1582" s="4">
        <v>13.916399999999999</v>
      </c>
      <c r="L1582" s="4">
        <v>14.9627</v>
      </c>
      <c r="M1582" s="4">
        <f t="shared" si="97"/>
        <v>14.457433333333332</v>
      </c>
      <c r="P1582" s="4" t="str">
        <f>"aex-6"</f>
        <v>aex-6</v>
      </c>
      <c r="Q1582" s="4">
        <v>13.7465876150409</v>
      </c>
      <c r="R1582" s="4">
        <v>14.1341727396037</v>
      </c>
      <c r="S1582" s="4">
        <v>14.245269032337299</v>
      </c>
      <c r="T1582" s="4">
        <f t="shared" si="98"/>
        <v>14.042009795660633</v>
      </c>
      <c r="W1582" s="4" t="str">
        <f>"C08F8.3"</f>
        <v>C08F8.3</v>
      </c>
      <c r="X1582" s="4">
        <v>14.0068465878552</v>
      </c>
      <c r="Y1582" s="4">
        <v>14.0703355066925</v>
      </c>
      <c r="Z1582" s="4">
        <v>14.480367574825101</v>
      </c>
      <c r="AA1582" s="4">
        <f t="shared" si="99"/>
        <v>14.185849889790935</v>
      </c>
    </row>
    <row r="1583" spans="2:27" x14ac:dyDescent="0.2">
      <c r="B1583" s="4" t="s">
        <v>2545</v>
      </c>
      <c r="C1583" s="4">
        <v>14.592599999999999</v>
      </c>
      <c r="D1583" s="4">
        <v>14.452500000000001</v>
      </c>
      <c r="E1583" s="4">
        <v>14.3703</v>
      </c>
      <c r="F1583" s="4">
        <f t="shared" si="96"/>
        <v>14.4718</v>
      </c>
      <c r="I1583" s="4" t="s">
        <v>2747</v>
      </c>
      <c r="J1583" s="4">
        <v>14.529500000000001</v>
      </c>
      <c r="K1583" s="4">
        <v>14.603</v>
      </c>
      <c r="L1583" s="4">
        <v>14.236700000000001</v>
      </c>
      <c r="M1583" s="4">
        <f t="shared" si="97"/>
        <v>14.4564</v>
      </c>
      <c r="P1583" s="4" t="str">
        <f>"cif-1"</f>
        <v>cif-1</v>
      </c>
      <c r="Q1583" s="4">
        <v>13.873444407563699</v>
      </c>
      <c r="R1583" s="4">
        <v>14.1399988905002</v>
      </c>
      <c r="S1583" s="4">
        <v>14.1123816274684</v>
      </c>
      <c r="T1583" s="4">
        <f t="shared" si="98"/>
        <v>14.041941641844099</v>
      </c>
      <c r="W1583" s="4" t="str">
        <f>"tbc-11"</f>
        <v>tbc-11</v>
      </c>
      <c r="X1583" s="4">
        <v>13.9137954560365</v>
      </c>
      <c r="Y1583" s="4">
        <v>14.3464922951818</v>
      </c>
      <c r="Z1583" s="4">
        <v>14.2967523838606</v>
      </c>
      <c r="AA1583" s="4">
        <f t="shared" si="99"/>
        <v>14.185680045026301</v>
      </c>
    </row>
    <row r="1584" spans="2:27" x14ac:dyDescent="0.2">
      <c r="B1584" s="4" t="s">
        <v>1513</v>
      </c>
      <c r="C1584" s="4">
        <v>14.686999999999999</v>
      </c>
      <c r="D1584" s="4">
        <v>14.0428</v>
      </c>
      <c r="E1584" s="4">
        <v>14.6768</v>
      </c>
      <c r="F1584" s="4">
        <f t="shared" si="96"/>
        <v>14.468866666666665</v>
      </c>
      <c r="I1584" s="4" t="s">
        <v>3450</v>
      </c>
      <c r="J1584" s="4">
        <v>14.1656</v>
      </c>
      <c r="K1584" s="4">
        <v>14.381399999999999</v>
      </c>
      <c r="L1584" s="4">
        <v>14.8218</v>
      </c>
      <c r="M1584" s="4">
        <f t="shared" si="97"/>
        <v>14.456266666666664</v>
      </c>
      <c r="P1584" s="4" t="str">
        <f>"xpd-1"</f>
        <v>xpd-1</v>
      </c>
      <c r="Q1584" s="4">
        <v>14.180017247061899</v>
      </c>
      <c r="R1584" s="4">
        <v>14.0300370843471</v>
      </c>
      <c r="S1584" s="4">
        <v>13.9153292827991</v>
      </c>
      <c r="T1584" s="4">
        <f t="shared" si="98"/>
        <v>14.041794538069366</v>
      </c>
      <c r="W1584" s="4" t="str">
        <f>"ent-2"</f>
        <v>ent-2</v>
      </c>
      <c r="X1584" s="4">
        <v>14.523771927306401</v>
      </c>
      <c r="Y1584" s="4">
        <v>14.081090005872801</v>
      </c>
      <c r="Z1584" s="4">
        <v>13.948474916934</v>
      </c>
      <c r="AA1584" s="4">
        <f t="shared" si="99"/>
        <v>14.1844456167044</v>
      </c>
    </row>
    <row r="1585" spans="2:27" x14ac:dyDescent="0.2">
      <c r="B1585" s="4" t="s">
        <v>1026</v>
      </c>
      <c r="C1585" s="4">
        <v>14.388999999999999</v>
      </c>
      <c r="D1585" s="4">
        <v>14.372400000000001</v>
      </c>
      <c r="E1585" s="4">
        <v>14.6434</v>
      </c>
      <c r="F1585" s="4">
        <f t="shared" si="96"/>
        <v>14.468266666666667</v>
      </c>
      <c r="I1585" s="4" t="s">
        <v>4587</v>
      </c>
      <c r="J1585" s="4">
        <v>14.6546</v>
      </c>
      <c r="K1585" s="4">
        <v>14.1569</v>
      </c>
      <c r="L1585" s="4">
        <v>14.556100000000001</v>
      </c>
      <c r="M1585" s="4">
        <f t="shared" si="97"/>
        <v>14.455866666666667</v>
      </c>
      <c r="P1585" s="4" t="str">
        <f>"mev-1"</f>
        <v>mev-1</v>
      </c>
      <c r="Q1585" s="4">
        <v>14.0351623526679</v>
      </c>
      <c r="R1585" s="4">
        <v>14.061415639367601</v>
      </c>
      <c r="S1585" s="4">
        <v>14.0275489553533</v>
      </c>
      <c r="T1585" s="4">
        <f t="shared" si="98"/>
        <v>14.0413756491296</v>
      </c>
      <c r="W1585" s="4" t="str">
        <f>"smg-6"</f>
        <v>smg-6</v>
      </c>
      <c r="X1585" s="4">
        <v>14.266713434348601</v>
      </c>
      <c r="Y1585" s="4">
        <v>14.2279366633386</v>
      </c>
      <c r="Z1585" s="4">
        <v>14.0581051439797</v>
      </c>
      <c r="AA1585" s="4">
        <f t="shared" si="99"/>
        <v>14.1842517472223</v>
      </c>
    </row>
    <row r="1586" spans="2:27" x14ac:dyDescent="0.2">
      <c r="B1586" s="4" t="s">
        <v>4692</v>
      </c>
      <c r="C1586" s="4">
        <v>14.060499999999999</v>
      </c>
      <c r="D1586" s="4">
        <v>14.8111</v>
      </c>
      <c r="E1586" s="4">
        <v>14.525499999999999</v>
      </c>
      <c r="F1586" s="4">
        <f t="shared" si="96"/>
        <v>14.4657</v>
      </c>
      <c r="I1586" s="4" t="s">
        <v>2530</v>
      </c>
      <c r="J1586" s="4">
        <v>14.594799999999999</v>
      </c>
      <c r="K1586" s="4">
        <v>14.305</v>
      </c>
      <c r="L1586" s="4">
        <v>14.4635</v>
      </c>
      <c r="M1586" s="4">
        <f t="shared" si="97"/>
        <v>14.454433333333332</v>
      </c>
      <c r="P1586" s="4" t="str">
        <f>"trpp-11"</f>
        <v>trpp-11</v>
      </c>
      <c r="Q1586" s="4">
        <v>14.0425710252745</v>
      </c>
      <c r="R1586" s="4">
        <v>14.032233142123699</v>
      </c>
      <c r="S1586" s="4">
        <v>14.0481639004005</v>
      </c>
      <c r="T1586" s="4">
        <f t="shared" si="98"/>
        <v>14.040989355932899</v>
      </c>
      <c r="W1586" s="4" t="str">
        <f>"F07B7.2"</f>
        <v>F07B7.2</v>
      </c>
      <c r="X1586" s="4">
        <v>14.266544242755099</v>
      </c>
      <c r="Y1586" s="4">
        <v>14.293978474888601</v>
      </c>
      <c r="Z1586" s="4">
        <v>13.9889776497828</v>
      </c>
      <c r="AA1586" s="4">
        <f t="shared" si="99"/>
        <v>14.183166789142168</v>
      </c>
    </row>
    <row r="1587" spans="2:27" x14ac:dyDescent="0.2">
      <c r="B1587" s="4" t="s">
        <v>2789</v>
      </c>
      <c r="C1587" s="4">
        <v>14.4213</v>
      </c>
      <c r="D1587" s="4">
        <v>14.392799999999999</v>
      </c>
      <c r="E1587" s="4">
        <v>14.582700000000001</v>
      </c>
      <c r="F1587" s="4">
        <f t="shared" si="96"/>
        <v>14.4656</v>
      </c>
      <c r="I1587" s="4" t="s">
        <v>3714</v>
      </c>
      <c r="J1587" s="4">
        <v>14.5989</v>
      </c>
      <c r="K1587" s="4">
        <v>14.0838</v>
      </c>
      <c r="L1587" s="4">
        <v>14.679399999999999</v>
      </c>
      <c r="M1587" s="4">
        <f t="shared" si="97"/>
        <v>14.454033333333333</v>
      </c>
      <c r="P1587" s="4" t="str">
        <f>"Y71F9B.2"</f>
        <v>Y71F9B.2</v>
      </c>
      <c r="Q1587" s="4">
        <v>14.148904906253399</v>
      </c>
      <c r="R1587" s="4">
        <v>14.0878347962354</v>
      </c>
      <c r="S1587" s="4">
        <v>13.881020107795401</v>
      </c>
      <c r="T1587" s="4">
        <f t="shared" si="98"/>
        <v>14.039253270094733</v>
      </c>
      <c r="W1587" s="4" t="str">
        <f>"npp-12"</f>
        <v>npp-12</v>
      </c>
      <c r="X1587" s="4">
        <v>14.187940879672899</v>
      </c>
      <c r="Y1587" s="4">
        <v>14.2091878038694</v>
      </c>
      <c r="Z1587" s="4">
        <v>14.1515511593742</v>
      </c>
      <c r="AA1587" s="4">
        <f t="shared" si="99"/>
        <v>14.182893280972166</v>
      </c>
    </row>
    <row r="1588" spans="2:27" x14ac:dyDescent="0.2">
      <c r="B1588" s="4" t="s">
        <v>4673</v>
      </c>
      <c r="C1588" s="4">
        <v>14.8675</v>
      </c>
      <c r="D1588" s="4">
        <v>13.933999999999999</v>
      </c>
      <c r="E1588" s="4">
        <v>14.5893</v>
      </c>
      <c r="F1588" s="4">
        <f t="shared" si="96"/>
        <v>14.4636</v>
      </c>
      <c r="I1588" s="4" t="s">
        <v>694</v>
      </c>
      <c r="J1588" s="4">
        <v>14.2957</v>
      </c>
      <c r="K1588" s="4">
        <v>14.323700000000001</v>
      </c>
      <c r="L1588" s="4">
        <v>14.741400000000001</v>
      </c>
      <c r="M1588" s="4">
        <f t="shared" si="97"/>
        <v>14.4536</v>
      </c>
      <c r="P1588" s="4" t="str">
        <f>"ptp-1"</f>
        <v>ptp-1</v>
      </c>
      <c r="Q1588" s="4">
        <v>14.434695193181099</v>
      </c>
      <c r="R1588" s="4">
        <v>13.7211941176782</v>
      </c>
      <c r="S1588" s="4">
        <v>13.9609409180693</v>
      </c>
      <c r="T1588" s="4">
        <f t="shared" si="98"/>
        <v>14.038943409642867</v>
      </c>
      <c r="W1588" s="4" t="str">
        <f>"sqd-1"</f>
        <v>sqd-1</v>
      </c>
      <c r="X1588" s="4">
        <v>14.2035528377021</v>
      </c>
      <c r="Y1588" s="4">
        <v>14.300329069591699</v>
      </c>
      <c r="Z1588" s="4">
        <v>14.042379806625201</v>
      </c>
      <c r="AA1588" s="4">
        <f t="shared" si="99"/>
        <v>14.182087237973001</v>
      </c>
    </row>
    <row r="1589" spans="2:27" x14ac:dyDescent="0.2">
      <c r="B1589" s="4" t="s">
        <v>1905</v>
      </c>
      <c r="C1589" s="4">
        <v>14.8171</v>
      </c>
      <c r="D1589" s="4">
        <v>13.856</v>
      </c>
      <c r="E1589" s="4">
        <v>14.7163</v>
      </c>
      <c r="F1589" s="4">
        <f t="shared" si="96"/>
        <v>14.463133333333332</v>
      </c>
      <c r="I1589" s="4" t="s">
        <v>2823</v>
      </c>
      <c r="J1589" s="4">
        <v>14.4817</v>
      </c>
      <c r="K1589" s="4">
        <v>14.276199999999999</v>
      </c>
      <c r="L1589" s="4">
        <v>14.597099999999999</v>
      </c>
      <c r="M1589" s="4">
        <f t="shared" si="97"/>
        <v>14.451666666666666</v>
      </c>
      <c r="P1589" s="4" t="str">
        <f>"ppm-1.A"</f>
        <v>ppm-1.A</v>
      </c>
      <c r="Q1589" s="4">
        <v>14.1729615112872</v>
      </c>
      <c r="R1589" s="4">
        <v>13.814457420955501</v>
      </c>
      <c r="S1589" s="4">
        <v>14.1243539104989</v>
      </c>
      <c r="T1589" s="4">
        <f t="shared" si="98"/>
        <v>14.037257614247201</v>
      </c>
      <c r="W1589" s="4" t="str">
        <f>"inx-5"</f>
        <v>inx-5</v>
      </c>
      <c r="X1589" s="4">
        <v>14.1513299789545</v>
      </c>
      <c r="Y1589" s="4">
        <v>14.4142537249038</v>
      </c>
      <c r="Z1589" s="4">
        <v>13.9765460786953</v>
      </c>
      <c r="AA1589" s="4">
        <f t="shared" si="99"/>
        <v>14.180709927517867</v>
      </c>
    </row>
    <row r="1590" spans="2:27" x14ac:dyDescent="0.2">
      <c r="B1590" s="4" t="s">
        <v>2460</v>
      </c>
      <c r="C1590" s="4">
        <v>14.4514</v>
      </c>
      <c r="D1590" s="4">
        <v>14.4664</v>
      </c>
      <c r="E1590" s="4">
        <v>14.470599999999999</v>
      </c>
      <c r="F1590" s="4">
        <f t="shared" si="96"/>
        <v>14.4628</v>
      </c>
      <c r="I1590" s="4" t="s">
        <v>3580</v>
      </c>
      <c r="J1590" s="4">
        <v>14.426500000000001</v>
      </c>
      <c r="K1590" s="4">
        <v>14.3325</v>
      </c>
      <c r="L1590" s="4">
        <v>14.5937</v>
      </c>
      <c r="M1590" s="4">
        <f t="shared" si="97"/>
        <v>14.450899999999999</v>
      </c>
      <c r="P1590" s="4" t="str">
        <f>"C25G4.3"</f>
        <v>C25G4.3</v>
      </c>
      <c r="Q1590" s="4">
        <v>14.4233976000389</v>
      </c>
      <c r="R1590" s="4">
        <v>13.723080654755799</v>
      </c>
      <c r="S1590" s="4">
        <v>13.962991520014899</v>
      </c>
      <c r="T1590" s="4">
        <f t="shared" si="98"/>
        <v>14.036489924936532</v>
      </c>
      <c r="W1590" s="4" t="str">
        <f>"mtg-1"</f>
        <v>mtg-1</v>
      </c>
      <c r="X1590" s="4">
        <v>13.9826289238725</v>
      </c>
      <c r="Y1590" s="4">
        <v>14.1899698107561</v>
      </c>
      <c r="Z1590" s="4">
        <v>14.368134780364599</v>
      </c>
      <c r="AA1590" s="4">
        <f t="shared" si="99"/>
        <v>14.180244504997733</v>
      </c>
    </row>
    <row r="1591" spans="2:27" x14ac:dyDescent="0.2">
      <c r="B1591" s="4" t="s">
        <v>3230</v>
      </c>
      <c r="C1591" s="4">
        <v>14.3255</v>
      </c>
      <c r="D1591" s="4">
        <v>14.4787</v>
      </c>
      <c r="E1591" s="4">
        <v>14.583600000000001</v>
      </c>
      <c r="F1591" s="4">
        <f t="shared" si="96"/>
        <v>14.4626</v>
      </c>
      <c r="I1591" s="4" t="s">
        <v>1545</v>
      </c>
      <c r="J1591" s="4">
        <v>14.342499999999999</v>
      </c>
      <c r="K1591" s="4">
        <v>13.8954</v>
      </c>
      <c r="L1591" s="4">
        <v>15.1145</v>
      </c>
      <c r="M1591" s="4">
        <f t="shared" si="97"/>
        <v>14.450800000000001</v>
      </c>
      <c r="P1591" s="4" t="str">
        <f>"aap-1"</f>
        <v>aap-1</v>
      </c>
      <c r="Q1591" s="4">
        <v>14.1753377598376</v>
      </c>
      <c r="R1591" s="4">
        <v>13.9190924956747</v>
      </c>
      <c r="S1591" s="4">
        <v>14.014119107928099</v>
      </c>
      <c r="T1591" s="4">
        <f t="shared" si="98"/>
        <v>14.0361831211468</v>
      </c>
      <c r="W1591" s="4" t="str">
        <f>"fld-1"</f>
        <v>fld-1</v>
      </c>
      <c r="X1591" s="4">
        <v>14.319723919264</v>
      </c>
      <c r="Y1591" s="4">
        <v>14.0984141392554</v>
      </c>
      <c r="Z1591" s="4">
        <v>14.121120676943599</v>
      </c>
      <c r="AA1591" s="4">
        <f t="shared" si="99"/>
        <v>14.179752911821</v>
      </c>
    </row>
    <row r="1592" spans="2:27" x14ac:dyDescent="0.2">
      <c r="B1592" s="4" t="s">
        <v>3099</v>
      </c>
      <c r="C1592" s="4">
        <v>14.248699999999999</v>
      </c>
      <c r="D1592" s="4">
        <v>14.6792</v>
      </c>
      <c r="E1592" s="4">
        <v>14.4598</v>
      </c>
      <c r="F1592" s="4">
        <f t="shared" si="96"/>
        <v>14.462566666666667</v>
      </c>
      <c r="I1592" s="4" t="s">
        <v>2694</v>
      </c>
      <c r="J1592" s="4">
        <v>14.3988</v>
      </c>
      <c r="K1592" s="4">
        <v>14.4079</v>
      </c>
      <c r="L1592" s="4">
        <v>14.5426</v>
      </c>
      <c r="M1592" s="4">
        <f t="shared" si="97"/>
        <v>14.449766666666667</v>
      </c>
      <c r="P1592" s="4" t="str">
        <f>"nhl-1"</f>
        <v>nhl-1</v>
      </c>
      <c r="Q1592" s="4">
        <v>14.1933297947909</v>
      </c>
      <c r="R1592" s="4">
        <v>13.871597799649299</v>
      </c>
      <c r="S1592" s="4">
        <v>14.038535567380899</v>
      </c>
      <c r="T1592" s="4">
        <f t="shared" si="98"/>
        <v>14.034487720607032</v>
      </c>
      <c r="W1592" s="4" t="str">
        <f>"Y71H2AM.6"</f>
        <v>Y71H2AM.6</v>
      </c>
      <c r="X1592" s="4">
        <v>14.322293143511301</v>
      </c>
      <c r="Y1592" s="4">
        <v>14.3844865223654</v>
      </c>
      <c r="Z1592" s="4">
        <v>13.830505196335601</v>
      </c>
      <c r="AA1592" s="4">
        <f t="shared" si="99"/>
        <v>14.179094954070768</v>
      </c>
    </row>
    <row r="1593" spans="2:27" x14ac:dyDescent="0.2">
      <c r="B1593" s="4" t="s">
        <v>3138</v>
      </c>
      <c r="C1593" s="4">
        <v>14.245699999999999</v>
      </c>
      <c r="D1593" s="4">
        <v>14.9893</v>
      </c>
      <c r="E1593" s="4">
        <v>14.141400000000001</v>
      </c>
      <c r="F1593" s="4">
        <f t="shared" si="96"/>
        <v>14.458800000000002</v>
      </c>
      <c r="I1593" s="4" t="s">
        <v>2112</v>
      </c>
      <c r="J1593" s="4">
        <v>14.4183</v>
      </c>
      <c r="K1593" s="4">
        <v>14.285</v>
      </c>
      <c r="L1593" s="4">
        <v>14.641999999999999</v>
      </c>
      <c r="M1593" s="4">
        <f t="shared" si="97"/>
        <v>14.448433333333332</v>
      </c>
      <c r="P1593" s="4" t="str">
        <f>"R08D7.1"</f>
        <v>R08D7.1</v>
      </c>
      <c r="Q1593" s="4">
        <v>13.9773203174261</v>
      </c>
      <c r="R1593" s="4">
        <v>13.975878090206599</v>
      </c>
      <c r="S1593" s="4">
        <v>14.150261508374401</v>
      </c>
      <c r="T1593" s="4">
        <f t="shared" si="98"/>
        <v>14.034486638669032</v>
      </c>
      <c r="W1593" s="4" t="str">
        <f>"skih-2"</f>
        <v>skih-2</v>
      </c>
      <c r="X1593" s="4">
        <v>14.191012553192801</v>
      </c>
      <c r="Y1593" s="4">
        <v>14.346512859541001</v>
      </c>
      <c r="Z1593" s="4">
        <v>13.986008183038001</v>
      </c>
      <c r="AA1593" s="4">
        <f t="shared" si="99"/>
        <v>14.174511198590601</v>
      </c>
    </row>
    <row r="1594" spans="2:27" x14ac:dyDescent="0.2">
      <c r="B1594" s="4" t="s">
        <v>3132</v>
      </c>
      <c r="C1594" s="4">
        <v>14.382899999999999</v>
      </c>
      <c r="D1594" s="4">
        <v>14.859</v>
      </c>
      <c r="E1594" s="4">
        <v>14.133800000000001</v>
      </c>
      <c r="F1594" s="4">
        <f t="shared" si="96"/>
        <v>14.458566666666668</v>
      </c>
      <c r="I1594" s="4" t="s">
        <v>2918</v>
      </c>
      <c r="J1594" s="4">
        <v>14.450699999999999</v>
      </c>
      <c r="K1594" s="4">
        <v>14.4283</v>
      </c>
      <c r="L1594" s="4">
        <v>14.465400000000001</v>
      </c>
      <c r="M1594" s="4">
        <f t="shared" si="97"/>
        <v>14.448133333333333</v>
      </c>
      <c r="P1594" s="4" t="str">
        <f>"aha-1"</f>
        <v>aha-1</v>
      </c>
      <c r="Q1594" s="4">
        <v>14.244647473452099</v>
      </c>
      <c r="R1594" s="4">
        <v>13.789620111914401</v>
      </c>
      <c r="S1594" s="4">
        <v>14.062506150373901</v>
      </c>
      <c r="T1594" s="4">
        <f t="shared" si="98"/>
        <v>14.032257911913467</v>
      </c>
      <c r="W1594" s="4" t="str">
        <f>"mrps-18a"</f>
        <v>mrps-18a</v>
      </c>
      <c r="X1594" s="4">
        <v>13.8376771109731</v>
      </c>
      <c r="Y1594" s="4">
        <v>14.271251870181199</v>
      </c>
      <c r="Z1594" s="4">
        <v>14.405262041684001</v>
      </c>
      <c r="AA1594" s="4">
        <f t="shared" si="99"/>
        <v>14.171397007612768</v>
      </c>
    </row>
    <row r="1595" spans="2:27" x14ac:dyDescent="0.2">
      <c r="B1595" s="4" t="s">
        <v>1764</v>
      </c>
      <c r="C1595" s="4">
        <v>14.619</v>
      </c>
      <c r="D1595" s="4">
        <v>14.371600000000001</v>
      </c>
      <c r="E1595" s="4">
        <v>14.383100000000001</v>
      </c>
      <c r="F1595" s="4">
        <f t="shared" si="96"/>
        <v>14.4579</v>
      </c>
      <c r="I1595" s="4" t="s">
        <v>3193</v>
      </c>
      <c r="J1595" s="4">
        <v>14.716799999999999</v>
      </c>
      <c r="K1595" s="4">
        <v>14.319900000000001</v>
      </c>
      <c r="L1595" s="4">
        <v>14.306900000000001</v>
      </c>
      <c r="M1595" s="4">
        <f t="shared" si="97"/>
        <v>14.447866666666668</v>
      </c>
      <c r="P1595" s="4" t="str">
        <f>"ttr-5"</f>
        <v>ttr-5</v>
      </c>
      <c r="Q1595" s="4">
        <v>13.9111890602129</v>
      </c>
      <c r="R1595" s="4">
        <v>14.310430426852299</v>
      </c>
      <c r="S1595" s="4">
        <v>13.874449702477699</v>
      </c>
      <c r="T1595" s="4">
        <f t="shared" si="98"/>
        <v>14.032023063180965</v>
      </c>
      <c r="W1595" s="4" t="str">
        <f>"F38A5.2"</f>
        <v>F38A5.2</v>
      </c>
      <c r="X1595" s="4">
        <v>14.0948927525396</v>
      </c>
      <c r="Y1595" s="4">
        <v>14.0810076103771</v>
      </c>
      <c r="Z1595" s="4">
        <v>14.335655594919499</v>
      </c>
      <c r="AA1595" s="4">
        <f t="shared" si="99"/>
        <v>14.170518652612067</v>
      </c>
    </row>
    <row r="1596" spans="2:27" x14ac:dyDescent="0.2">
      <c r="B1596" s="4" t="s">
        <v>355</v>
      </c>
      <c r="C1596" s="4">
        <v>14.601900000000001</v>
      </c>
      <c r="D1596" s="4">
        <v>14.5913</v>
      </c>
      <c r="E1596" s="4">
        <v>14.1747</v>
      </c>
      <c r="F1596" s="4">
        <f t="shared" si="96"/>
        <v>14.455966666666667</v>
      </c>
      <c r="I1596" s="4" t="s">
        <v>1371</v>
      </c>
      <c r="J1596" s="4">
        <v>14.461399999999999</v>
      </c>
      <c r="K1596" s="4">
        <v>14.478</v>
      </c>
      <c r="L1596" s="4">
        <v>14.401999999999999</v>
      </c>
      <c r="M1596" s="4">
        <f t="shared" si="97"/>
        <v>14.447133333333333</v>
      </c>
      <c r="P1596" s="4" t="str">
        <f>"cyp-34a8"</f>
        <v>cyp-34a8</v>
      </c>
      <c r="Q1596" s="4">
        <v>13.841566708832</v>
      </c>
      <c r="R1596" s="4">
        <v>14.078601646752199</v>
      </c>
      <c r="S1596" s="4">
        <v>14.1694240729783</v>
      </c>
      <c r="T1596" s="4">
        <f t="shared" si="98"/>
        <v>14.029864142854166</v>
      </c>
      <c r="W1596" s="4" t="str">
        <f>"slc-25a18.2"</f>
        <v>slc-25a18.2</v>
      </c>
      <c r="X1596" s="4">
        <v>14.605437168816101</v>
      </c>
      <c r="Y1596" s="4">
        <v>13.4143279485733</v>
      </c>
      <c r="Z1596" s="4">
        <v>14.490772422102401</v>
      </c>
      <c r="AA1596" s="4">
        <f t="shared" si="99"/>
        <v>14.170179179830599</v>
      </c>
    </row>
    <row r="1597" spans="2:27" x14ac:dyDescent="0.2">
      <c r="B1597" s="4" t="s">
        <v>2370</v>
      </c>
      <c r="C1597" s="4">
        <v>14.3971</v>
      </c>
      <c r="D1597" s="4">
        <v>14.510999999999999</v>
      </c>
      <c r="E1597" s="4">
        <v>14.4544</v>
      </c>
      <c r="F1597" s="4">
        <f t="shared" si="96"/>
        <v>14.454166666666666</v>
      </c>
      <c r="I1597" s="4" t="s">
        <v>2587</v>
      </c>
      <c r="J1597" s="4">
        <v>14.4536</v>
      </c>
      <c r="K1597" s="4">
        <v>14.5281</v>
      </c>
      <c r="L1597" s="4">
        <v>14.347</v>
      </c>
      <c r="M1597" s="4">
        <f t="shared" si="97"/>
        <v>14.4429</v>
      </c>
      <c r="P1597" s="4" t="str">
        <f>"C14H10.3"</f>
        <v>C14H10.3</v>
      </c>
      <c r="Q1597" s="4">
        <v>13.712584177863301</v>
      </c>
      <c r="R1597" s="4">
        <v>14.327203452288501</v>
      </c>
      <c r="S1597" s="4">
        <v>14.047038278897601</v>
      </c>
      <c r="T1597" s="4">
        <f t="shared" si="98"/>
        <v>14.028941969683133</v>
      </c>
      <c r="W1597" s="4" t="str">
        <f>"cars-1"</f>
        <v>cars-1</v>
      </c>
      <c r="X1597" s="4">
        <v>14.1908910414689</v>
      </c>
      <c r="Y1597" s="4">
        <v>14.0443408456777</v>
      </c>
      <c r="Z1597" s="4">
        <v>14.263188752522799</v>
      </c>
      <c r="AA1597" s="4">
        <f t="shared" si="99"/>
        <v>14.166140213223132</v>
      </c>
    </row>
    <row r="1598" spans="2:27" x14ac:dyDescent="0.2">
      <c r="B1598" s="4" t="s">
        <v>3678</v>
      </c>
      <c r="C1598" s="4">
        <v>14.650600000000001</v>
      </c>
      <c r="D1598" s="4">
        <v>14.468299999999999</v>
      </c>
      <c r="E1598" s="4">
        <v>14.2422</v>
      </c>
      <c r="F1598" s="4">
        <f t="shared" si="96"/>
        <v>14.4537</v>
      </c>
      <c r="I1598" s="4" t="s">
        <v>3479</v>
      </c>
      <c r="J1598" s="4">
        <v>14.266999999999999</v>
      </c>
      <c r="K1598" s="4">
        <v>14.462300000000001</v>
      </c>
      <c r="L1598" s="4">
        <v>14.5961</v>
      </c>
      <c r="M1598" s="4">
        <f t="shared" si="97"/>
        <v>14.441800000000001</v>
      </c>
      <c r="P1598" s="4" t="str">
        <f>"F33C8.4"</f>
        <v>F33C8.4</v>
      </c>
      <c r="Q1598" s="4">
        <v>13.8799368552656</v>
      </c>
      <c r="R1598" s="4">
        <v>14.0815459219892</v>
      </c>
      <c r="S1598" s="4">
        <v>14.1250182275919</v>
      </c>
      <c r="T1598" s="4">
        <f t="shared" si="98"/>
        <v>14.028833668282234</v>
      </c>
      <c r="W1598" s="4" t="str">
        <f>"taco-1"</f>
        <v>taco-1</v>
      </c>
      <c r="X1598" s="4">
        <v>14.3041514589295</v>
      </c>
      <c r="Y1598" s="4">
        <v>14.080480167742101</v>
      </c>
      <c r="Z1598" s="4">
        <v>14.109336252690399</v>
      </c>
      <c r="AA1598" s="4">
        <f t="shared" si="99"/>
        <v>14.164655959787332</v>
      </c>
    </row>
    <row r="1599" spans="2:27" x14ac:dyDescent="0.2">
      <c r="B1599" s="4" t="s">
        <v>787</v>
      </c>
      <c r="C1599" s="4">
        <v>14.3811</v>
      </c>
      <c r="D1599" s="4">
        <v>14.773999999999999</v>
      </c>
      <c r="E1599" s="4">
        <v>14.2058</v>
      </c>
      <c r="F1599" s="4">
        <f t="shared" si="96"/>
        <v>14.453633333333334</v>
      </c>
      <c r="I1599" s="4" t="s">
        <v>1667</v>
      </c>
      <c r="J1599" s="4">
        <v>14.216699999999999</v>
      </c>
      <c r="K1599" s="4">
        <v>14.6548</v>
      </c>
      <c r="L1599" s="4">
        <v>14.452400000000001</v>
      </c>
      <c r="M1599" s="4">
        <f t="shared" si="97"/>
        <v>14.441299999999998</v>
      </c>
      <c r="P1599" s="4" t="str">
        <f>"gpb-2"</f>
        <v>gpb-2</v>
      </c>
      <c r="Q1599" s="4">
        <v>13.867742184660599</v>
      </c>
      <c r="R1599" s="4">
        <v>14.1097522087163</v>
      </c>
      <c r="S1599" s="4">
        <v>14.104460794936401</v>
      </c>
      <c r="T1599" s="4">
        <f t="shared" si="98"/>
        <v>14.027318396104434</v>
      </c>
      <c r="W1599" s="4" t="str">
        <f>"gtbp-1"</f>
        <v>gtbp-1</v>
      </c>
      <c r="X1599" s="4">
        <v>14.189844743562499</v>
      </c>
      <c r="Y1599" s="4">
        <v>14.196297531248799</v>
      </c>
      <c r="Z1599" s="4">
        <v>14.086987015295801</v>
      </c>
      <c r="AA1599" s="4">
        <f t="shared" si="99"/>
        <v>14.157709763369033</v>
      </c>
    </row>
    <row r="1600" spans="2:27" x14ac:dyDescent="0.2">
      <c r="B1600" s="4" t="s">
        <v>3942</v>
      </c>
      <c r="C1600" s="4">
        <v>14.420199999999999</v>
      </c>
      <c r="D1600" s="4">
        <v>14.4251</v>
      </c>
      <c r="E1600" s="4">
        <v>14.5143</v>
      </c>
      <c r="F1600" s="4">
        <f t="shared" si="96"/>
        <v>14.453200000000001</v>
      </c>
      <c r="I1600" s="4" t="s">
        <v>4049</v>
      </c>
      <c r="J1600" s="4">
        <v>14.4917</v>
      </c>
      <c r="K1600" s="4">
        <v>14.444900000000001</v>
      </c>
      <c r="L1600" s="4">
        <v>14.384</v>
      </c>
      <c r="M1600" s="4">
        <f t="shared" si="97"/>
        <v>14.440199999999999</v>
      </c>
      <c r="P1600" s="4" t="str">
        <f>"F38A5.2"</f>
        <v>F38A5.2</v>
      </c>
      <c r="Q1600" s="4">
        <v>14.0284597700183</v>
      </c>
      <c r="R1600" s="4">
        <v>13.9618761736113</v>
      </c>
      <c r="S1600" s="4">
        <v>14.0909374845183</v>
      </c>
      <c r="T1600" s="4">
        <f t="shared" si="98"/>
        <v>14.027091142715966</v>
      </c>
      <c r="W1600" s="4" t="str">
        <f>"unc-73"</f>
        <v>unc-73</v>
      </c>
      <c r="X1600" s="4">
        <v>14.1862909938776</v>
      </c>
      <c r="Y1600" s="4">
        <v>14.2209443714736</v>
      </c>
      <c r="Z1600" s="4">
        <v>14.0640916670806</v>
      </c>
      <c r="AA1600" s="4">
        <f t="shared" si="99"/>
        <v>14.157109010810601</v>
      </c>
    </row>
    <row r="1601" spans="2:27" x14ac:dyDescent="0.2">
      <c r="B1601" s="4" t="s">
        <v>3010</v>
      </c>
      <c r="C1601" s="4">
        <v>14.577199999999999</v>
      </c>
      <c r="D1601" s="4">
        <v>14.5907</v>
      </c>
      <c r="E1601" s="4">
        <v>14.1904</v>
      </c>
      <c r="F1601" s="4">
        <f t="shared" si="96"/>
        <v>14.452766666666667</v>
      </c>
      <c r="I1601" s="4" t="s">
        <v>3645</v>
      </c>
      <c r="J1601" s="4">
        <v>14.376300000000001</v>
      </c>
      <c r="K1601" s="4">
        <v>14.258599999999999</v>
      </c>
      <c r="L1601" s="4">
        <v>14.6843</v>
      </c>
      <c r="M1601" s="4">
        <f t="shared" si="97"/>
        <v>14.439733333333335</v>
      </c>
      <c r="P1601" s="4" t="str">
        <f>"usp-46"</f>
        <v>usp-46</v>
      </c>
      <c r="Q1601" s="4">
        <v>13.975567009301599</v>
      </c>
      <c r="R1601" s="4">
        <v>13.9993011852224</v>
      </c>
      <c r="S1601" s="4">
        <v>14.1021323278413</v>
      </c>
      <c r="T1601" s="4">
        <f t="shared" si="98"/>
        <v>14.025666840788432</v>
      </c>
      <c r="W1601" s="4" t="str">
        <f>"sek-1"</f>
        <v>sek-1</v>
      </c>
      <c r="X1601" s="4">
        <v>14.183143519945901</v>
      </c>
      <c r="Y1601" s="4">
        <v>14.117904550176499</v>
      </c>
      <c r="Z1601" s="4">
        <v>14.166045745203199</v>
      </c>
      <c r="AA1601" s="4">
        <f t="shared" si="99"/>
        <v>14.155697938441866</v>
      </c>
    </row>
    <row r="1602" spans="2:27" x14ac:dyDescent="0.2">
      <c r="B1602" s="4" t="s">
        <v>3090</v>
      </c>
      <c r="C1602" s="4">
        <v>14.354799999999999</v>
      </c>
      <c r="D1602" s="4">
        <v>14.7416</v>
      </c>
      <c r="E1602" s="4">
        <v>14.2607</v>
      </c>
      <c r="F1602" s="4">
        <f t="shared" ref="F1602:F1665" si="100">(C1602+D1602+E1602)/3</f>
        <v>14.452366666666668</v>
      </c>
      <c r="I1602" s="4" t="s">
        <v>4009</v>
      </c>
      <c r="J1602" s="4">
        <v>14.1181</v>
      </c>
      <c r="K1602" s="4">
        <v>14.344200000000001</v>
      </c>
      <c r="L1602" s="4">
        <v>14.8568</v>
      </c>
      <c r="M1602" s="4">
        <f t="shared" ref="M1602:M1665" si="101">(J1602+K1602+L1602)/3</f>
        <v>14.4397</v>
      </c>
      <c r="P1602" s="4" t="str">
        <f>"uaf-1"</f>
        <v>uaf-1</v>
      </c>
      <c r="Q1602" s="4">
        <v>14.110246790636699</v>
      </c>
      <c r="R1602" s="4">
        <v>13.885165164042</v>
      </c>
      <c r="S1602" s="4">
        <v>14.0812579527502</v>
      </c>
      <c r="T1602" s="4">
        <f t="shared" ref="T1602:T1665" si="102">(Q1602+R1602+S1602)/3</f>
        <v>14.025556635809634</v>
      </c>
      <c r="W1602" s="4" t="str">
        <f>"C11D2.4"</f>
        <v>C11D2.4</v>
      </c>
      <c r="X1602" s="4">
        <v>14.129733067655501</v>
      </c>
      <c r="Y1602" s="4">
        <v>14.0735012279871</v>
      </c>
      <c r="Z1602" s="4">
        <v>14.262338775492299</v>
      </c>
      <c r="AA1602" s="4">
        <f t="shared" ref="AA1602:AA1665" si="103">(X1602+Y1602+Z1602)/3</f>
        <v>14.155191023711632</v>
      </c>
    </row>
    <row r="1603" spans="2:27" x14ac:dyDescent="0.2">
      <c r="B1603" s="4" t="s">
        <v>3922</v>
      </c>
      <c r="C1603" s="4">
        <v>14.118</v>
      </c>
      <c r="D1603" s="4">
        <v>14.8673</v>
      </c>
      <c r="E1603" s="4">
        <v>14.3626</v>
      </c>
      <c r="F1603" s="4">
        <f t="shared" si="100"/>
        <v>14.449300000000001</v>
      </c>
      <c r="I1603" s="4" t="s">
        <v>3099</v>
      </c>
      <c r="J1603" s="4">
        <v>14.334899999999999</v>
      </c>
      <c r="K1603" s="4">
        <v>14.2218</v>
      </c>
      <c r="L1603" s="4">
        <v>14.7622</v>
      </c>
      <c r="M1603" s="4">
        <f t="shared" si="101"/>
        <v>14.439633333333333</v>
      </c>
      <c r="P1603" s="4" t="str">
        <f>"VF13D12L.3"</f>
        <v>VF13D12L.3</v>
      </c>
      <c r="Q1603" s="4">
        <v>13.8550915453513</v>
      </c>
      <c r="R1603" s="4">
        <v>14.2718945204728</v>
      </c>
      <c r="S1603" s="4">
        <v>13.949358067477799</v>
      </c>
      <c r="T1603" s="4">
        <f t="shared" si="102"/>
        <v>14.025448044433967</v>
      </c>
      <c r="W1603" s="4" t="str">
        <f>"R144.12"</f>
        <v>R144.12</v>
      </c>
      <c r="X1603" s="4">
        <v>14.2151542745199</v>
      </c>
      <c r="Y1603" s="4">
        <v>14.1571962816659</v>
      </c>
      <c r="Z1603" s="4">
        <v>14.089988435166401</v>
      </c>
      <c r="AA1603" s="4">
        <f t="shared" si="103"/>
        <v>14.1541129971174</v>
      </c>
    </row>
    <row r="1604" spans="2:27" x14ac:dyDescent="0.2">
      <c r="B1604" s="4" t="s">
        <v>1817</v>
      </c>
      <c r="C1604" s="4">
        <v>14.539300000000001</v>
      </c>
      <c r="D1604" s="4">
        <v>14.5037</v>
      </c>
      <c r="E1604" s="4">
        <v>14.3043</v>
      </c>
      <c r="F1604" s="4">
        <f t="shared" si="100"/>
        <v>14.4491</v>
      </c>
      <c r="I1604" s="4" t="s">
        <v>3269</v>
      </c>
      <c r="J1604" s="4">
        <v>14.3264</v>
      </c>
      <c r="K1604" s="4">
        <v>14.607900000000001</v>
      </c>
      <c r="L1604" s="4">
        <v>14.383100000000001</v>
      </c>
      <c r="M1604" s="4">
        <f t="shared" si="101"/>
        <v>14.439133333333332</v>
      </c>
      <c r="P1604" s="4" t="str">
        <f>"prp-3"</f>
        <v>prp-3</v>
      </c>
      <c r="Q1604" s="4">
        <v>14.020337356378301</v>
      </c>
      <c r="R1604" s="4">
        <v>14.0258836042812</v>
      </c>
      <c r="S1604" s="4">
        <v>14.028415672787901</v>
      </c>
      <c r="T1604" s="4">
        <f t="shared" si="102"/>
        <v>14.0248788778158</v>
      </c>
      <c r="W1604" s="4" t="str">
        <f>"ogt-1"</f>
        <v>ogt-1</v>
      </c>
      <c r="X1604" s="4">
        <v>14.097971597660299</v>
      </c>
      <c r="Y1604" s="4">
        <v>14.2401939015823</v>
      </c>
      <c r="Z1604" s="4">
        <v>14.123472876311</v>
      </c>
      <c r="AA1604" s="4">
        <f t="shared" si="103"/>
        <v>14.153879458517865</v>
      </c>
    </row>
    <row r="1605" spans="2:27" x14ac:dyDescent="0.2">
      <c r="B1605" s="4" t="s">
        <v>3297</v>
      </c>
      <c r="C1605" s="4">
        <v>14.690200000000001</v>
      </c>
      <c r="D1605" s="4">
        <v>14.2744</v>
      </c>
      <c r="E1605" s="4">
        <v>14.378</v>
      </c>
      <c r="F1605" s="4">
        <f t="shared" si="100"/>
        <v>14.447533333333334</v>
      </c>
      <c r="I1605" s="4" t="s">
        <v>2494</v>
      </c>
      <c r="J1605" s="4">
        <v>14.4512</v>
      </c>
      <c r="K1605" s="4">
        <v>14.431100000000001</v>
      </c>
      <c r="L1605" s="4">
        <v>14.434699999999999</v>
      </c>
      <c r="M1605" s="4">
        <f t="shared" si="101"/>
        <v>14.439</v>
      </c>
      <c r="P1605" s="4" t="str">
        <f>"sur-6"</f>
        <v>sur-6</v>
      </c>
      <c r="Q1605" s="4">
        <v>13.8072722217065</v>
      </c>
      <c r="R1605" s="4">
        <v>13.9470318123696</v>
      </c>
      <c r="S1605" s="4">
        <v>14.320076241087101</v>
      </c>
      <c r="T1605" s="4">
        <f t="shared" si="102"/>
        <v>14.0247934250544</v>
      </c>
      <c r="W1605" s="4" t="str">
        <f>"ufc-1"</f>
        <v>ufc-1</v>
      </c>
      <c r="X1605" s="4">
        <v>14.1313662566067</v>
      </c>
      <c r="Y1605" s="4">
        <v>14.129019615230799</v>
      </c>
      <c r="Z1605" s="4">
        <v>14.1926030715201</v>
      </c>
      <c r="AA1605" s="4">
        <f t="shared" si="103"/>
        <v>14.150996314452533</v>
      </c>
    </row>
    <row r="1606" spans="2:27" x14ac:dyDescent="0.2">
      <c r="B1606" s="4" t="s">
        <v>3596</v>
      </c>
      <c r="C1606" s="4">
        <v>14.046900000000001</v>
      </c>
      <c r="D1606" s="4">
        <v>14.643000000000001</v>
      </c>
      <c r="E1606" s="4">
        <v>14.6526</v>
      </c>
      <c r="F1606" s="4">
        <f t="shared" si="100"/>
        <v>14.4475</v>
      </c>
      <c r="I1606" s="4" t="s">
        <v>4683</v>
      </c>
      <c r="J1606" s="4">
        <v>14.322699999999999</v>
      </c>
      <c r="K1606" s="4">
        <v>14.741099999999999</v>
      </c>
      <c r="L1606" s="4">
        <v>14.2477</v>
      </c>
      <c r="M1606" s="4">
        <f t="shared" si="101"/>
        <v>14.437166666666668</v>
      </c>
      <c r="P1606" s="4" t="str">
        <f>"Y49E10.21"</f>
        <v>Y49E10.21</v>
      </c>
      <c r="Q1606" s="4">
        <v>13.907375833809001</v>
      </c>
      <c r="R1606" s="4">
        <v>14.162068189440401</v>
      </c>
      <c r="S1606" s="4">
        <v>13.9969899663503</v>
      </c>
      <c r="T1606" s="4">
        <f t="shared" si="102"/>
        <v>14.022144663199901</v>
      </c>
      <c r="W1606" s="4" t="str">
        <f>"arid-1"</f>
        <v>arid-1</v>
      </c>
      <c r="X1606" s="4">
        <v>14.5239435481499</v>
      </c>
      <c r="Y1606" s="4">
        <v>13.834154119372799</v>
      </c>
      <c r="Z1606" s="4">
        <v>14.089787058806399</v>
      </c>
      <c r="AA1606" s="4">
        <f t="shared" si="103"/>
        <v>14.149294908776367</v>
      </c>
    </row>
    <row r="1607" spans="2:27" x14ac:dyDescent="0.2">
      <c r="B1607" s="4" t="s">
        <v>3152</v>
      </c>
      <c r="C1607" s="4">
        <v>14.4978</v>
      </c>
      <c r="D1607" s="4">
        <v>14.455299999999999</v>
      </c>
      <c r="E1607" s="4">
        <v>14.388400000000001</v>
      </c>
      <c r="F1607" s="4">
        <f t="shared" si="100"/>
        <v>14.447166666666666</v>
      </c>
      <c r="I1607" s="4" t="s">
        <v>4693</v>
      </c>
      <c r="J1607" s="4">
        <v>14.238200000000001</v>
      </c>
      <c r="K1607" s="4">
        <v>14.367699999999999</v>
      </c>
      <c r="L1607" s="4">
        <v>14.703099999999999</v>
      </c>
      <c r="M1607" s="4">
        <f t="shared" si="101"/>
        <v>14.436333333333332</v>
      </c>
      <c r="P1607" s="4" t="str">
        <f>"tut-1"</f>
        <v>tut-1</v>
      </c>
      <c r="Q1607" s="4">
        <v>14.0290579568694</v>
      </c>
      <c r="R1607" s="4">
        <v>14.022377397073001</v>
      </c>
      <c r="S1607" s="4">
        <v>14.014131215606</v>
      </c>
      <c r="T1607" s="4">
        <f t="shared" si="102"/>
        <v>14.021855523182801</v>
      </c>
      <c r="W1607" s="4" t="str">
        <f>"cnep-1"</f>
        <v>cnep-1</v>
      </c>
      <c r="X1607" s="4">
        <v>14.653434211171099</v>
      </c>
      <c r="Y1607" s="4">
        <v>13.5662256427086</v>
      </c>
      <c r="Z1607" s="4">
        <v>14.2270294242332</v>
      </c>
      <c r="AA1607" s="4">
        <f t="shared" si="103"/>
        <v>14.148896426037632</v>
      </c>
    </row>
    <row r="1608" spans="2:27" x14ac:dyDescent="0.2">
      <c r="B1608" s="4" t="s">
        <v>3016</v>
      </c>
      <c r="C1608" s="4">
        <v>14.3736</v>
      </c>
      <c r="D1608" s="4">
        <v>14.351599999999999</v>
      </c>
      <c r="E1608" s="4">
        <v>14.6135</v>
      </c>
      <c r="F1608" s="4">
        <f t="shared" si="100"/>
        <v>14.446233333333334</v>
      </c>
      <c r="I1608" s="4" t="s">
        <v>3347</v>
      </c>
      <c r="J1608" s="4">
        <v>14.3147</v>
      </c>
      <c r="K1608" s="4">
        <v>14.2415</v>
      </c>
      <c r="L1608" s="4">
        <v>14.7453</v>
      </c>
      <c r="M1608" s="4">
        <f t="shared" si="101"/>
        <v>14.433833333333334</v>
      </c>
      <c r="P1608" s="4" t="str">
        <f>"Y92H12BL.1"</f>
        <v>Y92H12BL.1</v>
      </c>
      <c r="Q1608" s="4">
        <v>13.881426750550499</v>
      </c>
      <c r="R1608" s="4">
        <v>14.006815068011701</v>
      </c>
      <c r="S1608" s="4">
        <v>14.1765616877507</v>
      </c>
      <c r="T1608" s="4">
        <f t="shared" si="102"/>
        <v>14.021601168770966</v>
      </c>
      <c r="W1608" s="4" t="str">
        <f>"hut-1"</f>
        <v>hut-1</v>
      </c>
      <c r="X1608" s="4">
        <v>13.838161413325899</v>
      </c>
      <c r="Y1608" s="4">
        <v>14.2660114556113</v>
      </c>
      <c r="Z1608" s="4">
        <v>14.339381689426199</v>
      </c>
      <c r="AA1608" s="4">
        <f t="shared" si="103"/>
        <v>14.147851519454465</v>
      </c>
    </row>
    <row r="1609" spans="2:27" x14ac:dyDescent="0.2">
      <c r="B1609" s="4" t="s">
        <v>4542</v>
      </c>
      <c r="C1609" s="4">
        <v>14.529500000000001</v>
      </c>
      <c r="D1609" s="4">
        <v>14.409700000000001</v>
      </c>
      <c r="E1609" s="4">
        <v>14.395</v>
      </c>
      <c r="F1609" s="4">
        <f t="shared" si="100"/>
        <v>14.444733333333332</v>
      </c>
      <c r="I1609" s="4" t="s">
        <v>2868</v>
      </c>
      <c r="J1609" s="4">
        <v>14.734</v>
      </c>
      <c r="K1609" s="4">
        <v>14.055300000000001</v>
      </c>
      <c r="L1609" s="4">
        <v>14.505699999999999</v>
      </c>
      <c r="M1609" s="4">
        <f t="shared" si="101"/>
        <v>14.431666666666667</v>
      </c>
      <c r="P1609" s="4" t="str">
        <f>"ppfr-1"</f>
        <v>ppfr-1</v>
      </c>
      <c r="Q1609" s="4">
        <v>14.042792588079701</v>
      </c>
      <c r="R1609" s="4">
        <v>14.137001928080799</v>
      </c>
      <c r="S1609" s="4">
        <v>13.883861600343799</v>
      </c>
      <c r="T1609" s="4">
        <f t="shared" si="102"/>
        <v>14.021218705501433</v>
      </c>
      <c r="W1609" s="4" t="str">
        <f>"mrps-30"</f>
        <v>mrps-30</v>
      </c>
      <c r="X1609" s="4">
        <v>14.1761802300753</v>
      </c>
      <c r="Y1609" s="4">
        <v>14.114079059283</v>
      </c>
      <c r="Z1609" s="4">
        <v>14.1498169564174</v>
      </c>
      <c r="AA1609" s="4">
        <f t="shared" si="103"/>
        <v>14.146692081925233</v>
      </c>
    </row>
    <row r="1610" spans="2:27" x14ac:dyDescent="0.2">
      <c r="B1610" s="4" t="s">
        <v>2741</v>
      </c>
      <c r="C1610" s="4">
        <v>14.473599999999999</v>
      </c>
      <c r="D1610" s="4">
        <v>14.4229</v>
      </c>
      <c r="E1610" s="4">
        <v>14.435700000000001</v>
      </c>
      <c r="F1610" s="4">
        <f t="shared" si="100"/>
        <v>14.444066666666666</v>
      </c>
      <c r="I1610" s="4" t="s">
        <v>1822</v>
      </c>
      <c r="J1610" s="4">
        <v>14.5505</v>
      </c>
      <c r="K1610" s="4">
        <v>14.423</v>
      </c>
      <c r="L1610" s="4">
        <v>14.3131</v>
      </c>
      <c r="M1610" s="4">
        <f t="shared" si="101"/>
        <v>14.428866666666666</v>
      </c>
      <c r="P1610" s="4" t="str">
        <f>"lec-2"</f>
        <v>lec-2</v>
      </c>
      <c r="Q1610" s="4">
        <v>13.7513675853879</v>
      </c>
      <c r="R1610" s="4">
        <v>14.372376623496001</v>
      </c>
      <c r="S1610" s="4">
        <v>13.939628645668799</v>
      </c>
      <c r="T1610" s="4">
        <f t="shared" si="102"/>
        <v>14.021124284850899</v>
      </c>
      <c r="W1610" s="4" t="str">
        <f>"tut-1"</f>
        <v>tut-1</v>
      </c>
      <c r="X1610" s="4">
        <v>14.231971778603301</v>
      </c>
      <c r="Y1610" s="4">
        <v>14.221592526439601</v>
      </c>
      <c r="Z1610" s="4">
        <v>13.985229056183</v>
      </c>
      <c r="AA1610" s="4">
        <f t="shared" si="103"/>
        <v>14.146264453741969</v>
      </c>
    </row>
    <row r="1611" spans="2:27" x14ac:dyDescent="0.2">
      <c r="B1611" s="4" t="s">
        <v>3572</v>
      </c>
      <c r="C1611" s="4">
        <v>14.562900000000001</v>
      </c>
      <c r="D1611" s="4">
        <v>14.3141</v>
      </c>
      <c r="E1611" s="4">
        <v>14.4551</v>
      </c>
      <c r="F1611" s="4">
        <f t="shared" si="100"/>
        <v>14.444033333333335</v>
      </c>
      <c r="I1611" s="4" t="s">
        <v>3120</v>
      </c>
      <c r="J1611" s="4">
        <v>13.8302</v>
      </c>
      <c r="K1611" s="4">
        <v>14.019299999999999</v>
      </c>
      <c r="L1611" s="4">
        <v>15.4352</v>
      </c>
      <c r="M1611" s="4">
        <f t="shared" si="101"/>
        <v>14.428233333333333</v>
      </c>
      <c r="P1611" s="4" t="str">
        <f>"jmjd-5"</f>
        <v>jmjd-5</v>
      </c>
      <c r="Q1611" s="4">
        <v>13.6886286804269</v>
      </c>
      <c r="R1611" s="4">
        <v>14.2667074623476</v>
      </c>
      <c r="S1611" s="4">
        <v>14.106318765318999</v>
      </c>
      <c r="T1611" s="4">
        <f t="shared" si="102"/>
        <v>14.020551636031167</v>
      </c>
      <c r="W1611" s="4" t="str">
        <f>"T22D1.3"</f>
        <v>T22D1.3</v>
      </c>
      <c r="X1611" s="4">
        <v>14.133763423530301</v>
      </c>
      <c r="Y1611" s="4">
        <v>14.0810003593482</v>
      </c>
      <c r="Z1611" s="4">
        <v>14.221989560439299</v>
      </c>
      <c r="AA1611" s="4">
        <f t="shared" si="103"/>
        <v>14.145584447772599</v>
      </c>
    </row>
    <row r="1612" spans="2:27" x14ac:dyDescent="0.2">
      <c r="B1612" s="4" t="s">
        <v>2062</v>
      </c>
      <c r="C1612" s="4">
        <v>14.648199999999999</v>
      </c>
      <c r="D1612" s="4">
        <v>14.7462</v>
      </c>
      <c r="E1612" s="4">
        <v>13.933400000000001</v>
      </c>
      <c r="F1612" s="4">
        <f t="shared" si="100"/>
        <v>14.442599999999999</v>
      </c>
      <c r="I1612" s="4" t="s">
        <v>2539</v>
      </c>
      <c r="J1612" s="4">
        <v>14.1805</v>
      </c>
      <c r="K1612" s="4">
        <v>14.3805</v>
      </c>
      <c r="L1612" s="4">
        <v>14.7232</v>
      </c>
      <c r="M1612" s="4">
        <f t="shared" si="101"/>
        <v>14.428066666666666</v>
      </c>
      <c r="P1612" s="4" t="str">
        <f>"semo-1"</f>
        <v>semo-1</v>
      </c>
      <c r="Q1612" s="4">
        <v>13.9844435713311</v>
      </c>
      <c r="R1612" s="4">
        <v>14.100840831303</v>
      </c>
      <c r="S1612" s="4">
        <v>13.9722453410504</v>
      </c>
      <c r="T1612" s="4">
        <f t="shared" si="102"/>
        <v>14.019176581228166</v>
      </c>
      <c r="W1612" s="4" t="str">
        <f>"atp-6"</f>
        <v>atp-6</v>
      </c>
      <c r="X1612" s="4">
        <v>14.2928401340658</v>
      </c>
      <c r="Y1612" s="4">
        <v>13.988350752513499</v>
      </c>
      <c r="Z1612" s="4">
        <v>14.1508884063597</v>
      </c>
      <c r="AA1612" s="4">
        <f t="shared" si="103"/>
        <v>14.144026430979666</v>
      </c>
    </row>
    <row r="1613" spans="2:27" x14ac:dyDescent="0.2">
      <c r="B1613" s="4" t="s">
        <v>4694</v>
      </c>
      <c r="C1613" s="4">
        <v>14.7354</v>
      </c>
      <c r="D1613" s="4">
        <v>14.265599999999999</v>
      </c>
      <c r="E1613" s="4">
        <v>14.3262</v>
      </c>
      <c r="F1613" s="4">
        <f t="shared" si="100"/>
        <v>14.442399999999999</v>
      </c>
      <c r="I1613" s="4" t="s">
        <v>1332</v>
      </c>
      <c r="J1613" s="4">
        <v>14.0015</v>
      </c>
      <c r="K1613" s="4">
        <v>14.9026</v>
      </c>
      <c r="L1613" s="4">
        <v>14.3779</v>
      </c>
      <c r="M1613" s="4">
        <f t="shared" si="101"/>
        <v>14.427333333333332</v>
      </c>
      <c r="P1613" s="4" t="str">
        <f>"coel-1"</f>
        <v>coel-1</v>
      </c>
      <c r="Q1613" s="4">
        <v>14.0044100241563</v>
      </c>
      <c r="R1613" s="4">
        <v>14.090666575261199</v>
      </c>
      <c r="S1613" s="4">
        <v>13.9617743462824</v>
      </c>
      <c r="T1613" s="4">
        <f t="shared" si="102"/>
        <v>14.018950315233299</v>
      </c>
      <c r="W1613" s="4" t="str">
        <f>"T21B10.3"</f>
        <v>T21B10.3</v>
      </c>
      <c r="X1613" s="4">
        <v>14.361211892120499</v>
      </c>
      <c r="Y1613" s="4">
        <v>14.109177925418299</v>
      </c>
      <c r="Z1613" s="4">
        <v>13.959059982150199</v>
      </c>
      <c r="AA1613" s="4">
        <f t="shared" si="103"/>
        <v>14.143149933229665</v>
      </c>
    </row>
    <row r="1614" spans="2:27" x14ac:dyDescent="0.2">
      <c r="B1614" s="4" t="s">
        <v>1562</v>
      </c>
      <c r="C1614" s="4">
        <v>14.596299999999999</v>
      </c>
      <c r="D1614" s="4">
        <v>13.992699999999999</v>
      </c>
      <c r="E1614" s="4">
        <v>14.7377</v>
      </c>
      <c r="F1614" s="4">
        <f t="shared" si="100"/>
        <v>14.442233333333334</v>
      </c>
      <c r="I1614" s="4" t="s">
        <v>3623</v>
      </c>
      <c r="J1614" s="4">
        <v>14.6168</v>
      </c>
      <c r="K1614" s="4">
        <v>14.5585</v>
      </c>
      <c r="L1614" s="4">
        <v>14.104900000000001</v>
      </c>
      <c r="M1614" s="4">
        <f t="shared" si="101"/>
        <v>14.426733333333333</v>
      </c>
      <c r="P1614" s="4" t="str">
        <f>"epg-4"</f>
        <v>epg-4</v>
      </c>
      <c r="Q1614" s="4">
        <v>13.7378442209643</v>
      </c>
      <c r="R1614" s="4">
        <v>14.148142161906501</v>
      </c>
      <c r="S1614" s="4">
        <v>14.1699679803724</v>
      </c>
      <c r="T1614" s="4">
        <f t="shared" si="102"/>
        <v>14.018651454414401</v>
      </c>
      <c r="W1614" s="4" t="str">
        <f>"pbs-1"</f>
        <v>pbs-1</v>
      </c>
      <c r="X1614" s="4">
        <v>13.991875948465999</v>
      </c>
      <c r="Y1614" s="4">
        <v>14.0617643094452</v>
      </c>
      <c r="Z1614" s="4">
        <v>14.370083131398699</v>
      </c>
      <c r="AA1614" s="4">
        <f t="shared" si="103"/>
        <v>14.141241129769966</v>
      </c>
    </row>
    <row r="1615" spans="2:27" x14ac:dyDescent="0.2">
      <c r="B1615" s="4" t="s">
        <v>3988</v>
      </c>
      <c r="C1615" s="4">
        <v>14.470499999999999</v>
      </c>
      <c r="D1615" s="4">
        <v>14.6097</v>
      </c>
      <c r="E1615" s="4">
        <v>14.2424</v>
      </c>
      <c r="F1615" s="4">
        <f t="shared" si="100"/>
        <v>14.440866666666665</v>
      </c>
      <c r="I1615" s="4" t="s">
        <v>1289</v>
      </c>
      <c r="J1615" s="4">
        <v>14.312900000000001</v>
      </c>
      <c r="K1615" s="4">
        <v>14.7087</v>
      </c>
      <c r="L1615" s="4">
        <v>14.255699999999999</v>
      </c>
      <c r="M1615" s="4">
        <f t="shared" si="101"/>
        <v>14.425766666666666</v>
      </c>
      <c r="P1615" s="4" t="str">
        <f>"tbc-8"</f>
        <v>tbc-8</v>
      </c>
      <c r="Q1615" s="4">
        <v>14.4490799472223</v>
      </c>
      <c r="R1615" s="4">
        <v>13.730582884781199</v>
      </c>
      <c r="S1615" s="4">
        <v>13.8738814533694</v>
      </c>
      <c r="T1615" s="4">
        <f t="shared" si="102"/>
        <v>14.0178480951243</v>
      </c>
      <c r="W1615" s="4" t="str">
        <f>"ech-2"</f>
        <v>ech-2</v>
      </c>
      <c r="X1615" s="4">
        <v>14.172537229172899</v>
      </c>
      <c r="Y1615" s="4">
        <v>14.1215598118046</v>
      </c>
      <c r="Z1615" s="4">
        <v>14.1268271916726</v>
      </c>
      <c r="AA1615" s="4">
        <f t="shared" si="103"/>
        <v>14.140308077550031</v>
      </c>
    </row>
    <row r="1616" spans="2:27" x14ac:dyDescent="0.2">
      <c r="B1616" s="4" t="s">
        <v>918</v>
      </c>
      <c r="C1616" s="4">
        <v>14.478</v>
      </c>
      <c r="D1616" s="4">
        <v>14.0692</v>
      </c>
      <c r="E1616" s="4">
        <v>14.775</v>
      </c>
      <c r="F1616" s="4">
        <f t="shared" si="100"/>
        <v>14.440733333333334</v>
      </c>
      <c r="I1616" s="4" t="s">
        <v>2814</v>
      </c>
      <c r="J1616" s="4">
        <v>14.347</v>
      </c>
      <c r="K1616" s="4">
        <v>14.284000000000001</v>
      </c>
      <c r="L1616" s="4">
        <v>14.645300000000001</v>
      </c>
      <c r="M1616" s="4">
        <f t="shared" si="101"/>
        <v>14.425433333333332</v>
      </c>
      <c r="P1616" s="4" t="str">
        <f>"acs-1"</f>
        <v>acs-1</v>
      </c>
      <c r="Q1616" s="4">
        <v>14.068535354438801</v>
      </c>
      <c r="R1616" s="4">
        <v>13.9294260694962</v>
      </c>
      <c r="S1616" s="4">
        <v>14.0547457854935</v>
      </c>
      <c r="T1616" s="4">
        <f t="shared" si="102"/>
        <v>14.017569069809502</v>
      </c>
      <c r="W1616" s="4" t="str">
        <f>"cogc-6"</f>
        <v>cogc-6</v>
      </c>
      <c r="X1616" s="4">
        <v>14.080147607768399</v>
      </c>
      <c r="Y1616" s="4">
        <v>14.250589148415299</v>
      </c>
      <c r="Z1616" s="4">
        <v>14.0880078568344</v>
      </c>
      <c r="AA1616" s="4">
        <f t="shared" si="103"/>
        <v>14.139581537672699</v>
      </c>
    </row>
    <row r="1617" spans="2:27" x14ac:dyDescent="0.2">
      <c r="B1617" s="4" t="s">
        <v>557</v>
      </c>
      <c r="C1617" s="4">
        <v>14.511799999999999</v>
      </c>
      <c r="D1617" s="4">
        <v>14.369899999999999</v>
      </c>
      <c r="E1617" s="4">
        <v>14.439</v>
      </c>
      <c r="F1617" s="4">
        <f t="shared" si="100"/>
        <v>14.440233333333333</v>
      </c>
      <c r="I1617" s="4" t="s">
        <v>3174</v>
      </c>
      <c r="J1617" s="4">
        <v>14.38</v>
      </c>
      <c r="K1617" s="4">
        <v>14.419499999999999</v>
      </c>
      <c r="L1617" s="4">
        <v>14.4762</v>
      </c>
      <c r="M1617" s="4">
        <f t="shared" si="101"/>
        <v>14.425233333333333</v>
      </c>
      <c r="P1617" s="4" t="str">
        <f>"vhp-1"</f>
        <v>vhp-1</v>
      </c>
      <c r="Q1617" s="4">
        <v>14.117811986803501</v>
      </c>
      <c r="R1617" s="4">
        <v>13.819271603746801</v>
      </c>
      <c r="S1617" s="4">
        <v>14.1118725640983</v>
      </c>
      <c r="T1617" s="4">
        <f t="shared" si="102"/>
        <v>14.016318718216199</v>
      </c>
      <c r="W1617" s="4" t="str">
        <f>"pdpr-1"</f>
        <v>pdpr-1</v>
      </c>
      <c r="X1617" s="4">
        <v>13.8498039041634</v>
      </c>
      <c r="Y1617" s="4">
        <v>14.1309185389169</v>
      </c>
      <c r="Z1617" s="4">
        <v>14.4268697293762</v>
      </c>
      <c r="AA1617" s="4">
        <f t="shared" si="103"/>
        <v>14.135864057485501</v>
      </c>
    </row>
    <row r="1618" spans="2:27" x14ac:dyDescent="0.2">
      <c r="B1618" s="4" t="s">
        <v>3626</v>
      </c>
      <c r="C1618" s="4">
        <v>14.6356</v>
      </c>
      <c r="D1618" s="4">
        <v>14.494199999999999</v>
      </c>
      <c r="E1618" s="4">
        <v>14.183299999999999</v>
      </c>
      <c r="F1618" s="4">
        <f t="shared" si="100"/>
        <v>14.4377</v>
      </c>
      <c r="I1618" s="4" t="s">
        <v>1751</v>
      </c>
      <c r="J1618" s="4">
        <v>14.545299999999999</v>
      </c>
      <c r="K1618" s="4">
        <v>14.9062</v>
      </c>
      <c r="L1618" s="4">
        <v>13.8233</v>
      </c>
      <c r="M1618" s="4">
        <f t="shared" si="101"/>
        <v>14.424933333333334</v>
      </c>
      <c r="P1618" s="4" t="str">
        <f>"mppb-1"</f>
        <v>mppb-1</v>
      </c>
      <c r="Q1618" s="4">
        <v>14.341907199643099</v>
      </c>
      <c r="R1618" s="4">
        <v>13.8421820325441</v>
      </c>
      <c r="S1618" s="4">
        <v>13.8621408348922</v>
      </c>
      <c r="T1618" s="4">
        <f t="shared" si="102"/>
        <v>14.0154100223598</v>
      </c>
      <c r="W1618" s="4" t="str">
        <f>"sft-4"</f>
        <v>sft-4</v>
      </c>
      <c r="X1618" s="4">
        <v>14.233277895821701</v>
      </c>
      <c r="Y1618" s="4">
        <v>14.0180087662372</v>
      </c>
      <c r="Z1618" s="4">
        <v>14.1529953835461</v>
      </c>
      <c r="AA1618" s="4">
        <f t="shared" si="103"/>
        <v>14.134760681868334</v>
      </c>
    </row>
    <row r="1619" spans="2:27" x14ac:dyDescent="0.2">
      <c r="B1619" s="4" t="s">
        <v>3178</v>
      </c>
      <c r="C1619" s="4">
        <v>14.6601</v>
      </c>
      <c r="D1619" s="4">
        <v>14.0511</v>
      </c>
      <c r="E1619" s="4">
        <v>14.6015</v>
      </c>
      <c r="F1619" s="4">
        <f t="shared" si="100"/>
        <v>14.437566666666667</v>
      </c>
      <c r="I1619" s="4" t="s">
        <v>3230</v>
      </c>
      <c r="J1619" s="4">
        <v>14.2583</v>
      </c>
      <c r="K1619" s="4">
        <v>14.321099999999999</v>
      </c>
      <c r="L1619" s="4">
        <v>14.6942</v>
      </c>
      <c r="M1619" s="4">
        <f t="shared" si="101"/>
        <v>14.424533333333335</v>
      </c>
      <c r="P1619" s="4" t="str">
        <f>"abtm-1"</f>
        <v>abtm-1</v>
      </c>
      <c r="Q1619" s="4">
        <v>13.9363884075822</v>
      </c>
      <c r="R1619" s="4">
        <v>13.9852342359098</v>
      </c>
      <c r="S1619" s="4">
        <v>14.120739740205799</v>
      </c>
      <c r="T1619" s="4">
        <f t="shared" si="102"/>
        <v>14.014120794565933</v>
      </c>
      <c r="W1619" s="4" t="str">
        <f>"pigt-1"</f>
        <v>pigt-1</v>
      </c>
      <c r="X1619" s="4">
        <v>14.233144335994499</v>
      </c>
      <c r="Y1619" s="4">
        <v>14.1436671296487</v>
      </c>
      <c r="Z1619" s="4">
        <v>14.026751976128701</v>
      </c>
      <c r="AA1619" s="4">
        <f t="shared" si="103"/>
        <v>14.134521147257301</v>
      </c>
    </row>
    <row r="1620" spans="2:27" x14ac:dyDescent="0.2">
      <c r="B1620" s="4" t="s">
        <v>2193</v>
      </c>
      <c r="C1620" s="4">
        <v>14.7219</v>
      </c>
      <c r="D1620" s="4">
        <v>14.384600000000001</v>
      </c>
      <c r="E1620" s="4">
        <v>14.2028</v>
      </c>
      <c r="F1620" s="4">
        <f t="shared" si="100"/>
        <v>14.436433333333333</v>
      </c>
      <c r="I1620" s="4" t="s">
        <v>3706</v>
      </c>
      <c r="J1620" s="4">
        <v>14.487299999999999</v>
      </c>
      <c r="K1620" s="4">
        <v>14.425700000000001</v>
      </c>
      <c r="L1620" s="4">
        <v>14.360200000000001</v>
      </c>
      <c r="M1620" s="4">
        <f t="shared" si="101"/>
        <v>14.4244</v>
      </c>
      <c r="P1620" s="4" t="str">
        <f>"ula-1"</f>
        <v>ula-1</v>
      </c>
      <c r="Q1620" s="4">
        <v>13.9606799773488</v>
      </c>
      <c r="R1620" s="4">
        <v>14.0275628905784</v>
      </c>
      <c r="S1620" s="4">
        <v>14.0499000000001</v>
      </c>
      <c r="T1620" s="4">
        <f t="shared" si="102"/>
        <v>14.0127142893091</v>
      </c>
      <c r="W1620" s="4" t="str">
        <f>"hsp-12.3"</f>
        <v>hsp-12.3</v>
      </c>
      <c r="X1620" s="4">
        <v>14.3500321053733</v>
      </c>
      <c r="Y1620" s="4">
        <v>14.1572782945195</v>
      </c>
      <c r="Z1620" s="4">
        <v>13.894523539288601</v>
      </c>
      <c r="AA1620" s="4">
        <f t="shared" si="103"/>
        <v>14.1339446463938</v>
      </c>
    </row>
    <row r="1621" spans="2:27" x14ac:dyDescent="0.2">
      <c r="B1621" s="4" t="s">
        <v>2895</v>
      </c>
      <c r="C1621" s="4">
        <v>14.456200000000001</v>
      </c>
      <c r="D1621" s="4">
        <v>14.2577</v>
      </c>
      <c r="E1621" s="4">
        <v>14.5946</v>
      </c>
      <c r="F1621" s="4">
        <f t="shared" si="100"/>
        <v>14.436166666666667</v>
      </c>
      <c r="I1621" s="4" t="s">
        <v>778</v>
      </c>
      <c r="J1621" s="4">
        <v>14.564500000000001</v>
      </c>
      <c r="K1621" s="4">
        <v>14.191599999999999</v>
      </c>
      <c r="L1621" s="4">
        <v>14.5014</v>
      </c>
      <c r="M1621" s="4">
        <f t="shared" si="101"/>
        <v>14.419166666666667</v>
      </c>
      <c r="P1621" s="4" t="str">
        <f>"ogdh-2"</f>
        <v>ogdh-2</v>
      </c>
      <c r="Q1621" s="4">
        <v>14.3245246750676</v>
      </c>
      <c r="R1621" s="4">
        <v>13.7735989673776</v>
      </c>
      <c r="S1621" s="4">
        <v>13.9268161600175</v>
      </c>
      <c r="T1621" s="4">
        <f t="shared" si="102"/>
        <v>14.008313267487567</v>
      </c>
      <c r="W1621" s="4" t="str">
        <f>"T14B4.1"</f>
        <v>T14B4.1</v>
      </c>
      <c r="X1621" s="4">
        <v>14.1361436730104</v>
      </c>
      <c r="Y1621" s="4">
        <v>14.139767782110001</v>
      </c>
      <c r="Z1621" s="4">
        <v>14.1254942500836</v>
      </c>
      <c r="AA1621" s="4">
        <f t="shared" si="103"/>
        <v>14.133801901734666</v>
      </c>
    </row>
    <row r="1622" spans="2:27" x14ac:dyDescent="0.2">
      <c r="B1622" s="4" t="s">
        <v>3294</v>
      </c>
      <c r="C1622" s="4">
        <v>14.307600000000001</v>
      </c>
      <c r="D1622" s="4">
        <v>14.0564</v>
      </c>
      <c r="E1622" s="4">
        <v>14.9298</v>
      </c>
      <c r="F1622" s="4">
        <f t="shared" si="100"/>
        <v>14.431266666666668</v>
      </c>
      <c r="I1622" s="4" t="s">
        <v>2273</v>
      </c>
      <c r="J1622" s="4">
        <v>14.3262</v>
      </c>
      <c r="K1622" s="4">
        <v>14.5288</v>
      </c>
      <c r="L1622" s="4">
        <v>14.401899999999999</v>
      </c>
      <c r="M1622" s="4">
        <f t="shared" si="101"/>
        <v>14.418966666666668</v>
      </c>
      <c r="P1622" s="4" t="str">
        <f>"mop-25.1"</f>
        <v>mop-25.1</v>
      </c>
      <c r="Q1622" s="4">
        <v>13.8587991257398</v>
      </c>
      <c r="R1622" s="4">
        <v>14.2052484674791</v>
      </c>
      <c r="S1622" s="4">
        <v>13.9605977680626</v>
      </c>
      <c r="T1622" s="4">
        <f t="shared" si="102"/>
        <v>14.008215120427167</v>
      </c>
      <c r="W1622" s="4" t="str">
        <f>"rpl-29"</f>
        <v>rpl-29</v>
      </c>
      <c r="X1622" s="4">
        <v>13.452651542288001</v>
      </c>
      <c r="Y1622" s="4">
        <v>14.07732665608</v>
      </c>
      <c r="Z1622" s="4">
        <v>14.860381546785501</v>
      </c>
      <c r="AA1622" s="4">
        <f t="shared" si="103"/>
        <v>14.130119915051168</v>
      </c>
    </row>
    <row r="1623" spans="2:27" x14ac:dyDescent="0.2">
      <c r="B1623" s="4" t="s">
        <v>2074</v>
      </c>
      <c r="C1623" s="4">
        <v>14.715199999999999</v>
      </c>
      <c r="D1623" s="4">
        <v>14.1815</v>
      </c>
      <c r="E1623" s="4">
        <v>14.396699999999999</v>
      </c>
      <c r="F1623" s="4">
        <f t="shared" si="100"/>
        <v>14.431133333333333</v>
      </c>
      <c r="I1623" s="4" t="s">
        <v>1753</v>
      </c>
      <c r="J1623" s="4">
        <v>14.322800000000001</v>
      </c>
      <c r="K1623" s="4">
        <v>14.6914</v>
      </c>
      <c r="L1623" s="4">
        <v>14.2386</v>
      </c>
      <c r="M1623" s="4">
        <f t="shared" si="101"/>
        <v>14.4176</v>
      </c>
      <c r="P1623" s="4" t="str">
        <f>"ints-2"</f>
        <v>ints-2</v>
      </c>
      <c r="Q1623" s="4">
        <v>14.0793906586359</v>
      </c>
      <c r="R1623" s="4">
        <v>13.983643322145401</v>
      </c>
      <c r="S1623" s="4">
        <v>13.958507581190499</v>
      </c>
      <c r="T1623" s="4">
        <f t="shared" si="102"/>
        <v>14.007180520657267</v>
      </c>
      <c r="W1623" s="4" t="str">
        <f>"rbm-3.2"</f>
        <v>rbm-3.2</v>
      </c>
      <c r="X1623" s="4">
        <v>14.328192688553001</v>
      </c>
      <c r="Y1623" s="4">
        <v>14.086060396701001</v>
      </c>
      <c r="Z1623" s="4">
        <v>13.969731421666699</v>
      </c>
      <c r="AA1623" s="4">
        <f t="shared" si="103"/>
        <v>14.127994835640235</v>
      </c>
    </row>
    <row r="1624" spans="2:27" x14ac:dyDescent="0.2">
      <c r="B1624" s="4" t="s">
        <v>3398</v>
      </c>
      <c r="C1624" s="4">
        <v>14.5862</v>
      </c>
      <c r="D1624" s="4">
        <v>14.2835</v>
      </c>
      <c r="E1624" s="4">
        <v>14.4198</v>
      </c>
      <c r="F1624" s="4">
        <f t="shared" si="100"/>
        <v>14.429833333333335</v>
      </c>
      <c r="I1624" s="4" t="s">
        <v>2800</v>
      </c>
      <c r="J1624" s="4">
        <v>14.554399999999999</v>
      </c>
      <c r="K1624" s="4">
        <v>14.572100000000001</v>
      </c>
      <c r="L1624" s="4">
        <v>14.120200000000001</v>
      </c>
      <c r="M1624" s="4">
        <f t="shared" si="101"/>
        <v>14.415566666666669</v>
      </c>
      <c r="P1624" s="4" t="str">
        <f>"smc-4"</f>
        <v>smc-4</v>
      </c>
      <c r="Q1624" s="4">
        <v>13.715531309043101</v>
      </c>
      <c r="R1624" s="4">
        <v>14.2288765506591</v>
      </c>
      <c r="S1624" s="4">
        <v>14.076660411933201</v>
      </c>
      <c r="T1624" s="4">
        <f t="shared" si="102"/>
        <v>14.0070227572118</v>
      </c>
      <c r="W1624" s="4" t="str">
        <f>"pmp-4"</f>
        <v>pmp-4</v>
      </c>
      <c r="X1624" s="4">
        <v>14.0882977754913</v>
      </c>
      <c r="Y1624" s="4">
        <v>14.2328377234098</v>
      </c>
      <c r="Z1624" s="4">
        <v>14.0624866271488</v>
      </c>
      <c r="AA1624" s="4">
        <f t="shared" si="103"/>
        <v>14.127874042016634</v>
      </c>
    </row>
    <row r="1625" spans="2:27" x14ac:dyDescent="0.2">
      <c r="B1625" s="4" t="s">
        <v>1749</v>
      </c>
      <c r="C1625" s="4">
        <v>14.4168</v>
      </c>
      <c r="D1625" s="4">
        <v>14.558</v>
      </c>
      <c r="E1625" s="4">
        <v>14.313599999999999</v>
      </c>
      <c r="F1625" s="4">
        <f t="shared" si="100"/>
        <v>14.429466666666668</v>
      </c>
      <c r="I1625" s="4" t="s">
        <v>1649</v>
      </c>
      <c r="J1625" s="4">
        <v>14.685600000000001</v>
      </c>
      <c r="K1625" s="4">
        <v>14.5634</v>
      </c>
      <c r="L1625" s="4">
        <v>13.996700000000001</v>
      </c>
      <c r="M1625" s="4">
        <f t="shared" si="101"/>
        <v>14.415233333333333</v>
      </c>
      <c r="P1625" s="4" t="str">
        <f>"F38A1.8"</f>
        <v>F38A1.8</v>
      </c>
      <c r="Q1625" s="4">
        <v>14.059217839168101</v>
      </c>
      <c r="R1625" s="4">
        <v>14.038473526688501</v>
      </c>
      <c r="S1625" s="4">
        <v>13.921549274131801</v>
      </c>
      <c r="T1625" s="4">
        <f t="shared" si="102"/>
        <v>14.006413546662801</v>
      </c>
      <c r="W1625" s="4" t="str">
        <f>"hmg-3"</f>
        <v>hmg-3</v>
      </c>
      <c r="X1625" s="4">
        <v>14.1655891260791</v>
      </c>
      <c r="Y1625" s="4">
        <v>13.911790316645799</v>
      </c>
      <c r="Z1625" s="4">
        <v>14.302405630153</v>
      </c>
      <c r="AA1625" s="4">
        <f t="shared" si="103"/>
        <v>14.126595024292632</v>
      </c>
    </row>
    <row r="1626" spans="2:27" x14ac:dyDescent="0.2">
      <c r="B1626" s="4" t="s">
        <v>4695</v>
      </c>
      <c r="C1626" s="4">
        <v>14.128</v>
      </c>
      <c r="D1626" s="4">
        <v>14.6393</v>
      </c>
      <c r="E1626" s="4">
        <v>14.5152</v>
      </c>
      <c r="F1626" s="4">
        <f t="shared" si="100"/>
        <v>14.4275</v>
      </c>
      <c r="I1626" s="4" t="s">
        <v>829</v>
      </c>
      <c r="J1626" s="4">
        <v>15.004300000000001</v>
      </c>
      <c r="K1626" s="4">
        <v>14.0319</v>
      </c>
      <c r="L1626" s="4">
        <v>14.208</v>
      </c>
      <c r="M1626" s="4">
        <f t="shared" si="101"/>
        <v>14.414733333333333</v>
      </c>
      <c r="P1626" s="4" t="str">
        <f>"glt-3"</f>
        <v>glt-3</v>
      </c>
      <c r="Q1626" s="4">
        <v>13.888572312810799</v>
      </c>
      <c r="R1626" s="4">
        <v>13.860448277076101</v>
      </c>
      <c r="S1626" s="4">
        <v>14.269121532430599</v>
      </c>
      <c r="T1626" s="4">
        <f t="shared" si="102"/>
        <v>14.006047374105833</v>
      </c>
      <c r="W1626" s="4" t="str">
        <f>"C33F10.14"</f>
        <v>C33F10.14</v>
      </c>
      <c r="X1626" s="4">
        <v>14.166212594742699</v>
      </c>
      <c r="Y1626" s="4">
        <v>13.9635751784666</v>
      </c>
      <c r="Z1626" s="4">
        <v>14.248131365199701</v>
      </c>
      <c r="AA1626" s="4">
        <f t="shared" si="103"/>
        <v>14.125973046136332</v>
      </c>
    </row>
    <row r="1627" spans="2:27" x14ac:dyDescent="0.2">
      <c r="B1627" s="4" t="s">
        <v>484</v>
      </c>
      <c r="C1627" s="4">
        <v>14.4808</v>
      </c>
      <c r="D1627" s="4">
        <v>14.1937</v>
      </c>
      <c r="E1627" s="4">
        <v>14.6035</v>
      </c>
      <c r="F1627" s="4">
        <f t="shared" si="100"/>
        <v>14.426000000000002</v>
      </c>
      <c r="I1627" s="4" t="s">
        <v>2447</v>
      </c>
      <c r="J1627" s="4">
        <v>14.541</v>
      </c>
      <c r="K1627" s="4">
        <v>14.536300000000001</v>
      </c>
      <c r="L1627" s="4">
        <v>14.164400000000001</v>
      </c>
      <c r="M1627" s="4">
        <f t="shared" si="101"/>
        <v>14.4139</v>
      </c>
      <c r="P1627" s="4" t="str">
        <f>"ckb-2"</f>
        <v>ckb-2</v>
      </c>
      <c r="Q1627" s="4">
        <v>13.9202282253757</v>
      </c>
      <c r="R1627" s="4">
        <v>14.107327929560901</v>
      </c>
      <c r="S1627" s="4">
        <v>13.9897318311292</v>
      </c>
      <c r="T1627" s="4">
        <f t="shared" si="102"/>
        <v>14.005762662021935</v>
      </c>
      <c r="W1627" s="4" t="str">
        <f>"T08B1.1"</f>
        <v>T08B1.1</v>
      </c>
      <c r="X1627" s="4">
        <v>14.1521065810756</v>
      </c>
      <c r="Y1627" s="4">
        <v>14.0664465257115</v>
      </c>
      <c r="Z1627" s="4">
        <v>14.157237915833401</v>
      </c>
      <c r="AA1627" s="4">
        <f t="shared" si="103"/>
        <v>14.125263674206833</v>
      </c>
    </row>
    <row r="1628" spans="2:27" x14ac:dyDescent="0.2">
      <c r="B1628" s="4" t="s">
        <v>1047</v>
      </c>
      <c r="C1628" s="4">
        <v>14.2636</v>
      </c>
      <c r="D1628" s="4">
        <v>15.069800000000001</v>
      </c>
      <c r="E1628" s="4">
        <v>13.940799999999999</v>
      </c>
      <c r="F1628" s="4">
        <f t="shared" si="100"/>
        <v>14.424733333333334</v>
      </c>
      <c r="I1628" s="4" t="s">
        <v>4220</v>
      </c>
      <c r="J1628" s="4">
        <v>14.3081</v>
      </c>
      <c r="K1628" s="4">
        <v>14.7287</v>
      </c>
      <c r="L1628" s="4">
        <v>14.2043</v>
      </c>
      <c r="M1628" s="4">
        <f t="shared" si="101"/>
        <v>14.4137</v>
      </c>
      <c r="P1628" s="4" t="str">
        <f>"max-2"</f>
        <v>max-2</v>
      </c>
      <c r="Q1628" s="4">
        <v>14.1790120833326</v>
      </c>
      <c r="R1628" s="4">
        <v>13.9405546620234</v>
      </c>
      <c r="S1628" s="4">
        <v>13.8903666211862</v>
      </c>
      <c r="T1628" s="4">
        <f t="shared" si="102"/>
        <v>14.003311122180733</v>
      </c>
      <c r="W1628" s="4" t="str">
        <f>"vps-11"</f>
        <v>vps-11</v>
      </c>
      <c r="X1628" s="4">
        <v>14.010416418570999</v>
      </c>
      <c r="Y1628" s="4">
        <v>14.1989147840222</v>
      </c>
      <c r="Z1628" s="4">
        <v>14.1646186164194</v>
      </c>
      <c r="AA1628" s="4">
        <f t="shared" si="103"/>
        <v>14.124649939670865</v>
      </c>
    </row>
    <row r="1629" spans="2:27" x14ac:dyDescent="0.2">
      <c r="B1629" s="4" t="s">
        <v>2860</v>
      </c>
      <c r="C1629" s="4">
        <v>14.238099999999999</v>
      </c>
      <c r="D1629" s="4">
        <v>14.746600000000001</v>
      </c>
      <c r="E1629" s="4">
        <v>14.282400000000001</v>
      </c>
      <c r="F1629" s="4">
        <f t="shared" si="100"/>
        <v>14.422366666666667</v>
      </c>
      <c r="I1629" s="4" t="s">
        <v>436</v>
      </c>
      <c r="J1629" s="4">
        <v>14.47</v>
      </c>
      <c r="K1629" s="4">
        <v>14.492000000000001</v>
      </c>
      <c r="L1629" s="4">
        <v>14.2737</v>
      </c>
      <c r="M1629" s="4">
        <f t="shared" si="101"/>
        <v>14.411900000000001</v>
      </c>
      <c r="P1629" s="4" t="str">
        <f>"Y65B4A.8"</f>
        <v>Y65B4A.8</v>
      </c>
      <c r="Q1629" s="4">
        <v>14.0275250900263</v>
      </c>
      <c r="R1629" s="4">
        <v>14.0861774668541</v>
      </c>
      <c r="S1629" s="4">
        <v>13.8925373237189</v>
      </c>
      <c r="T1629" s="4">
        <f t="shared" si="102"/>
        <v>14.002079960199765</v>
      </c>
      <c r="W1629" s="4" t="str">
        <f>"unc-84"</f>
        <v>unc-84</v>
      </c>
      <c r="X1629" s="4">
        <v>14.0685003366749</v>
      </c>
      <c r="Y1629" s="4">
        <v>14.0969635583241</v>
      </c>
      <c r="Z1629" s="4">
        <v>14.202450445513399</v>
      </c>
      <c r="AA1629" s="4">
        <f t="shared" si="103"/>
        <v>14.122638113504133</v>
      </c>
    </row>
    <row r="1630" spans="2:27" x14ac:dyDescent="0.2">
      <c r="B1630" s="4" t="s">
        <v>2513</v>
      </c>
      <c r="C1630" s="4">
        <v>14.7601</v>
      </c>
      <c r="D1630" s="4">
        <v>13.894</v>
      </c>
      <c r="E1630" s="4">
        <v>14.611700000000001</v>
      </c>
      <c r="F1630" s="4">
        <f t="shared" si="100"/>
        <v>14.421933333333333</v>
      </c>
      <c r="I1630" s="4" t="s">
        <v>2388</v>
      </c>
      <c r="J1630" s="4">
        <v>14.5153</v>
      </c>
      <c r="K1630" s="4">
        <v>14.326599999999999</v>
      </c>
      <c r="L1630" s="4">
        <v>14.3918</v>
      </c>
      <c r="M1630" s="4">
        <f t="shared" si="101"/>
        <v>14.411233333333334</v>
      </c>
      <c r="P1630" s="4" t="str">
        <f>"alh-11"</f>
        <v>alh-11</v>
      </c>
      <c r="Q1630" s="4">
        <v>14.0829098780472</v>
      </c>
      <c r="R1630" s="4">
        <v>13.7387124441076</v>
      </c>
      <c r="S1630" s="4">
        <v>14.184203940352401</v>
      </c>
      <c r="T1630" s="4">
        <f t="shared" si="102"/>
        <v>14.0019420875024</v>
      </c>
      <c r="W1630" s="4" t="str">
        <f>"aap-1"</f>
        <v>aap-1</v>
      </c>
      <c r="X1630" s="4">
        <v>14.088354584784399</v>
      </c>
      <c r="Y1630" s="4">
        <v>14.2031904751976</v>
      </c>
      <c r="Z1630" s="4">
        <v>14.072134115580599</v>
      </c>
      <c r="AA1630" s="4">
        <f t="shared" si="103"/>
        <v>14.121226391854199</v>
      </c>
    </row>
    <row r="1631" spans="2:27" x14ac:dyDescent="0.2">
      <c r="B1631" s="4" t="s">
        <v>1563</v>
      </c>
      <c r="C1631" s="4">
        <v>14.4808</v>
      </c>
      <c r="D1631" s="4">
        <v>14.3089</v>
      </c>
      <c r="E1631" s="4">
        <v>14.4727</v>
      </c>
      <c r="F1631" s="4">
        <f t="shared" si="100"/>
        <v>14.4208</v>
      </c>
      <c r="I1631" s="4" t="s">
        <v>1374</v>
      </c>
      <c r="J1631" s="4">
        <v>14.5921</v>
      </c>
      <c r="K1631" s="4">
        <v>14.4512</v>
      </c>
      <c r="L1631" s="4">
        <v>14.1866</v>
      </c>
      <c r="M1631" s="4">
        <f t="shared" si="101"/>
        <v>14.409966666666667</v>
      </c>
      <c r="P1631" s="4" t="str">
        <f>"dhs-6"</f>
        <v>dhs-6</v>
      </c>
      <c r="Q1631" s="4">
        <v>14.0179379224592</v>
      </c>
      <c r="R1631" s="4">
        <v>13.9231979169284</v>
      </c>
      <c r="S1631" s="4">
        <v>14.0637411481939</v>
      </c>
      <c r="T1631" s="4">
        <f t="shared" si="102"/>
        <v>14.001625662527166</v>
      </c>
      <c r="W1631" s="4" t="str">
        <f>"ZK673.2"</f>
        <v>ZK673.2</v>
      </c>
      <c r="X1631" s="4">
        <v>13.9255748504522</v>
      </c>
      <c r="Y1631" s="4">
        <v>13.6819883951321</v>
      </c>
      <c r="Z1631" s="4">
        <v>14.7561005978952</v>
      </c>
      <c r="AA1631" s="4">
        <f t="shared" si="103"/>
        <v>14.121221281159833</v>
      </c>
    </row>
    <row r="1632" spans="2:27" x14ac:dyDescent="0.2">
      <c r="B1632" s="4" t="s">
        <v>423</v>
      </c>
      <c r="C1632" s="4">
        <v>13.9778</v>
      </c>
      <c r="D1632" s="4">
        <v>14.959899999999999</v>
      </c>
      <c r="E1632" s="4">
        <v>14.317600000000001</v>
      </c>
      <c r="F1632" s="4">
        <f t="shared" si="100"/>
        <v>14.418433333333333</v>
      </c>
      <c r="I1632" s="4" t="s">
        <v>4216</v>
      </c>
      <c r="J1632" s="4">
        <v>13.611000000000001</v>
      </c>
      <c r="K1632" s="4">
        <v>14.595700000000001</v>
      </c>
      <c r="L1632" s="4">
        <v>15.0227</v>
      </c>
      <c r="M1632" s="4">
        <f t="shared" si="101"/>
        <v>14.409799999999999</v>
      </c>
      <c r="P1632" s="4" t="str">
        <f>"pyk-2"</f>
        <v>pyk-2</v>
      </c>
      <c r="Q1632" s="4">
        <v>13.977588140677801</v>
      </c>
      <c r="R1632" s="4">
        <v>13.833026750147599</v>
      </c>
      <c r="S1632" s="4">
        <v>14.1941932314932</v>
      </c>
      <c r="T1632" s="4">
        <f t="shared" si="102"/>
        <v>14.001602707439533</v>
      </c>
      <c r="W1632" s="4" t="str">
        <f>"spg-20"</f>
        <v>spg-20</v>
      </c>
      <c r="X1632" s="4">
        <v>14.1732884158082</v>
      </c>
      <c r="Y1632" s="4">
        <v>14.164480443847401</v>
      </c>
      <c r="Z1632" s="4">
        <v>14.012970117548701</v>
      </c>
      <c r="AA1632" s="4">
        <f t="shared" si="103"/>
        <v>14.116912992401433</v>
      </c>
    </row>
    <row r="1633" spans="2:27" x14ac:dyDescent="0.2">
      <c r="B1633" s="4" t="s">
        <v>4396</v>
      </c>
      <c r="C1633" s="4">
        <v>14.3954</v>
      </c>
      <c r="D1633" s="4">
        <v>14.658200000000001</v>
      </c>
      <c r="E1633" s="4">
        <v>14.1983</v>
      </c>
      <c r="F1633" s="4">
        <f t="shared" si="100"/>
        <v>14.417300000000003</v>
      </c>
      <c r="I1633" s="4" t="s">
        <v>1104</v>
      </c>
      <c r="J1633" s="4">
        <v>14.4595</v>
      </c>
      <c r="K1633" s="4">
        <v>14.2403</v>
      </c>
      <c r="L1633" s="4">
        <v>14.5246</v>
      </c>
      <c r="M1633" s="4">
        <f t="shared" si="101"/>
        <v>14.408133333333334</v>
      </c>
      <c r="P1633" s="4" t="str">
        <f>"K09A9.6"</f>
        <v>K09A9.6</v>
      </c>
      <c r="Q1633" s="4">
        <v>13.905352122579799</v>
      </c>
      <c r="R1633" s="4">
        <v>13.986324858274999</v>
      </c>
      <c r="S1633" s="4">
        <v>14.1055878248418</v>
      </c>
      <c r="T1633" s="4">
        <f t="shared" si="102"/>
        <v>13.999088268565531</v>
      </c>
      <c r="W1633" s="4" t="str">
        <f>"pro-2"</f>
        <v>pro-2</v>
      </c>
      <c r="X1633" s="4">
        <v>13.9520093201464</v>
      </c>
      <c r="Y1633" s="4">
        <v>14.2247245250053</v>
      </c>
      <c r="Z1633" s="4">
        <v>14.172321153700899</v>
      </c>
      <c r="AA1633" s="4">
        <f t="shared" si="103"/>
        <v>14.116351666284201</v>
      </c>
    </row>
    <row r="1634" spans="2:27" x14ac:dyDescent="0.2">
      <c r="B1634" s="4" t="s">
        <v>3943</v>
      </c>
      <c r="C1634" s="4">
        <v>14.4968</v>
      </c>
      <c r="D1634" s="4">
        <v>14.4145</v>
      </c>
      <c r="E1634" s="4">
        <v>14.3406</v>
      </c>
      <c r="F1634" s="4">
        <f t="shared" si="100"/>
        <v>14.417299999999999</v>
      </c>
      <c r="I1634" s="4" t="s">
        <v>3989</v>
      </c>
      <c r="J1634" s="4">
        <v>14.0444</v>
      </c>
      <c r="K1634" s="4">
        <v>14.590299999999999</v>
      </c>
      <c r="L1634" s="4">
        <v>14.5863</v>
      </c>
      <c r="M1634" s="4">
        <f t="shared" si="101"/>
        <v>14.406999999999998</v>
      </c>
      <c r="P1634" s="4" t="str">
        <f>"T14B4.1"</f>
        <v>T14B4.1</v>
      </c>
      <c r="Q1634" s="4">
        <v>14.012600721369299</v>
      </c>
      <c r="R1634" s="4">
        <v>14.044960170533701</v>
      </c>
      <c r="S1634" s="4">
        <v>13.933417138295701</v>
      </c>
      <c r="T1634" s="4">
        <f t="shared" si="102"/>
        <v>13.996992676732901</v>
      </c>
      <c r="W1634" s="4" t="str">
        <f>"mel-32"</f>
        <v>mel-32</v>
      </c>
      <c r="X1634" s="4">
        <v>14.1771053091111</v>
      </c>
      <c r="Y1634" s="4">
        <v>14.0072067884466</v>
      </c>
      <c r="Z1634" s="4">
        <v>14.157824149649899</v>
      </c>
      <c r="AA1634" s="4">
        <f t="shared" si="103"/>
        <v>14.114045415735866</v>
      </c>
    </row>
    <row r="1635" spans="2:27" x14ac:dyDescent="0.2">
      <c r="B1635" s="4" t="s">
        <v>1795</v>
      </c>
      <c r="C1635" s="4">
        <v>14.4724</v>
      </c>
      <c r="D1635" s="4">
        <v>14.043900000000001</v>
      </c>
      <c r="E1635" s="4">
        <v>14.732200000000001</v>
      </c>
      <c r="F1635" s="4">
        <f t="shared" si="100"/>
        <v>14.416166666666667</v>
      </c>
      <c r="I1635" s="4" t="s">
        <v>4070</v>
      </c>
      <c r="J1635" s="4">
        <v>14.334199999999999</v>
      </c>
      <c r="K1635" s="4">
        <v>14.555300000000001</v>
      </c>
      <c r="L1635" s="4">
        <v>14.3315</v>
      </c>
      <c r="M1635" s="4">
        <f t="shared" si="101"/>
        <v>14.406999999999998</v>
      </c>
      <c r="P1635" s="4" t="str">
        <f>"kin-4"</f>
        <v>kin-4</v>
      </c>
      <c r="Q1635" s="4">
        <v>13.874808021697</v>
      </c>
      <c r="R1635" s="4">
        <v>14.171568081045701</v>
      </c>
      <c r="S1635" s="4">
        <v>13.941816201529599</v>
      </c>
      <c r="T1635" s="4">
        <f t="shared" si="102"/>
        <v>13.996064101424098</v>
      </c>
      <c r="W1635" s="4" t="str">
        <f>"ubc-9"</f>
        <v>ubc-9</v>
      </c>
      <c r="X1635" s="4">
        <v>13.8672004280322</v>
      </c>
      <c r="Y1635" s="4">
        <v>14.418244682190201</v>
      </c>
      <c r="Z1635" s="4">
        <v>14.054562092718101</v>
      </c>
      <c r="AA1635" s="4">
        <f t="shared" si="103"/>
        <v>14.1133357343135</v>
      </c>
    </row>
    <row r="1636" spans="2:27" x14ac:dyDescent="0.2">
      <c r="B1636" s="4" t="s">
        <v>3133</v>
      </c>
      <c r="C1636" s="4">
        <v>14.2745</v>
      </c>
      <c r="D1636" s="4">
        <v>14.494</v>
      </c>
      <c r="E1636" s="4">
        <v>14.4773</v>
      </c>
      <c r="F1636" s="4">
        <f t="shared" si="100"/>
        <v>14.415266666666668</v>
      </c>
      <c r="I1636" s="4" t="s">
        <v>3037</v>
      </c>
      <c r="J1636" s="4">
        <v>14.4968</v>
      </c>
      <c r="K1636" s="4">
        <v>14.605700000000001</v>
      </c>
      <c r="L1636" s="4">
        <v>14.1149</v>
      </c>
      <c r="M1636" s="4">
        <f t="shared" si="101"/>
        <v>14.405799999999999</v>
      </c>
      <c r="P1636" s="4" t="str">
        <f>"erm-1"</f>
        <v>erm-1</v>
      </c>
      <c r="Q1636" s="4">
        <v>13.9109370095338</v>
      </c>
      <c r="R1636" s="4">
        <v>14.0405977891149</v>
      </c>
      <c r="S1636" s="4">
        <v>14.036264626981</v>
      </c>
      <c r="T1636" s="4">
        <f t="shared" si="102"/>
        <v>13.995933141876568</v>
      </c>
      <c r="W1636" s="4" t="str">
        <f>"nex-3"</f>
        <v>nex-3</v>
      </c>
      <c r="X1636" s="4">
        <v>14.110820372556301</v>
      </c>
      <c r="Y1636" s="4">
        <v>14.360585687981599</v>
      </c>
      <c r="Z1636" s="4">
        <v>13.864530841851501</v>
      </c>
      <c r="AA1636" s="4">
        <f t="shared" si="103"/>
        <v>14.111978967463136</v>
      </c>
    </row>
    <row r="1637" spans="2:27" x14ac:dyDescent="0.2">
      <c r="B1637" s="4" t="s">
        <v>258</v>
      </c>
      <c r="C1637" s="4">
        <v>14.494999999999999</v>
      </c>
      <c r="D1637" s="4">
        <v>14.41</v>
      </c>
      <c r="E1637" s="4">
        <v>14.340299999999999</v>
      </c>
      <c r="F1637" s="4">
        <f t="shared" si="100"/>
        <v>14.415100000000001</v>
      </c>
      <c r="I1637" s="4" t="s">
        <v>1542</v>
      </c>
      <c r="J1637" s="4">
        <v>14.7417</v>
      </c>
      <c r="K1637" s="4">
        <v>14.1935</v>
      </c>
      <c r="L1637" s="4">
        <v>14.280799999999999</v>
      </c>
      <c r="M1637" s="4">
        <f t="shared" si="101"/>
        <v>14.405333333333333</v>
      </c>
      <c r="P1637" s="4" t="str">
        <f>"ergo-1"</f>
        <v>ergo-1</v>
      </c>
      <c r="Q1637" s="4">
        <v>14.0086263119913</v>
      </c>
      <c r="R1637" s="4">
        <v>14.044520288455599</v>
      </c>
      <c r="S1637" s="4">
        <v>13.9342407808636</v>
      </c>
      <c r="T1637" s="4">
        <f t="shared" si="102"/>
        <v>13.995795793770165</v>
      </c>
      <c r="W1637" s="4" t="str">
        <f>"swsn-4"</f>
        <v>swsn-4</v>
      </c>
      <c r="X1637" s="4">
        <v>13.931436859786199</v>
      </c>
      <c r="Y1637" s="4">
        <v>14.275101448171901</v>
      </c>
      <c r="Z1637" s="4">
        <v>14.1189948598517</v>
      </c>
      <c r="AA1637" s="4">
        <f t="shared" si="103"/>
        <v>14.108511055936598</v>
      </c>
    </row>
    <row r="1638" spans="2:27" x14ac:dyDescent="0.2">
      <c r="B1638" s="4" t="s">
        <v>1862</v>
      </c>
      <c r="C1638" s="4">
        <v>14.7531</v>
      </c>
      <c r="D1638" s="4">
        <v>13.7644</v>
      </c>
      <c r="E1638" s="4">
        <v>14.7278</v>
      </c>
      <c r="F1638" s="4">
        <f t="shared" si="100"/>
        <v>14.415100000000001</v>
      </c>
      <c r="I1638" s="4" t="s">
        <v>2662</v>
      </c>
      <c r="J1638" s="4">
        <v>14.492800000000001</v>
      </c>
      <c r="K1638" s="4">
        <v>14.502000000000001</v>
      </c>
      <c r="L1638" s="4">
        <v>14.218500000000001</v>
      </c>
      <c r="M1638" s="4">
        <f t="shared" si="101"/>
        <v>14.404433333333335</v>
      </c>
      <c r="P1638" s="4" t="str">
        <f>"hsp-16.2"</f>
        <v>hsp-16.2</v>
      </c>
      <c r="Q1638" s="4">
        <v>14.033202925274001</v>
      </c>
      <c r="R1638" s="4">
        <v>13.8773556050989</v>
      </c>
      <c r="S1638" s="4">
        <v>14.073567569616401</v>
      </c>
      <c r="T1638" s="4">
        <f t="shared" si="102"/>
        <v>13.994708699996435</v>
      </c>
      <c r="W1638" s="4" t="str">
        <f>"ttr-31"</f>
        <v>ttr-31</v>
      </c>
      <c r="X1638" s="4">
        <v>14.0660431326493</v>
      </c>
      <c r="Y1638" s="4">
        <v>14.219962413367</v>
      </c>
      <c r="Z1638" s="4">
        <v>14.038269769916999</v>
      </c>
      <c r="AA1638" s="4">
        <f t="shared" si="103"/>
        <v>14.108091771977767</v>
      </c>
    </row>
    <row r="1639" spans="2:27" x14ac:dyDescent="0.2">
      <c r="B1639" s="4" t="s">
        <v>3894</v>
      </c>
      <c r="C1639" s="4">
        <v>14.311999999999999</v>
      </c>
      <c r="D1639" s="4">
        <v>14.620799999999999</v>
      </c>
      <c r="E1639" s="4">
        <v>14.3101</v>
      </c>
      <c r="F1639" s="4">
        <f t="shared" si="100"/>
        <v>14.414299999999999</v>
      </c>
      <c r="I1639" s="4" t="s">
        <v>1498</v>
      </c>
      <c r="J1639" s="4">
        <v>14.648199999999999</v>
      </c>
      <c r="K1639" s="4">
        <v>14.2692</v>
      </c>
      <c r="L1639" s="4">
        <v>14.2943</v>
      </c>
      <c r="M1639" s="4">
        <f t="shared" si="101"/>
        <v>14.4039</v>
      </c>
      <c r="P1639" s="4" t="str">
        <f>"H03A11.2"</f>
        <v>H03A11.2</v>
      </c>
      <c r="Q1639" s="4">
        <v>14.2942793229915</v>
      </c>
      <c r="R1639" s="4">
        <v>13.7696067875405</v>
      </c>
      <c r="S1639" s="4">
        <v>13.9164270734927</v>
      </c>
      <c r="T1639" s="4">
        <f t="shared" si="102"/>
        <v>13.993437728008233</v>
      </c>
      <c r="W1639" s="4" t="str">
        <f>"natc-1"</f>
        <v>natc-1</v>
      </c>
      <c r="X1639" s="4">
        <v>14.0436859458946</v>
      </c>
      <c r="Y1639" s="4">
        <v>14.043057165653099</v>
      </c>
      <c r="Z1639" s="4">
        <v>14.230481592717901</v>
      </c>
      <c r="AA1639" s="4">
        <f t="shared" si="103"/>
        <v>14.105741568088533</v>
      </c>
    </row>
    <row r="1640" spans="2:27" x14ac:dyDescent="0.2">
      <c r="B1640" s="4" t="s">
        <v>2539</v>
      </c>
      <c r="C1640" s="4">
        <v>14.4466</v>
      </c>
      <c r="D1640" s="4">
        <v>14.366300000000001</v>
      </c>
      <c r="E1640" s="4">
        <v>14.4297</v>
      </c>
      <c r="F1640" s="4">
        <f t="shared" si="100"/>
        <v>14.414199999999999</v>
      </c>
      <c r="I1640" s="4" t="s">
        <v>4696</v>
      </c>
      <c r="J1640" s="4">
        <v>15.2591</v>
      </c>
      <c r="K1640" s="4">
        <v>14.0566</v>
      </c>
      <c r="L1640" s="4">
        <v>13.8939</v>
      </c>
      <c r="M1640" s="4">
        <f t="shared" si="101"/>
        <v>14.4032</v>
      </c>
      <c r="P1640" s="4" t="str">
        <f>"F17B5.1"</f>
        <v>F17B5.1</v>
      </c>
      <c r="Q1640" s="4">
        <v>14.1509646903672</v>
      </c>
      <c r="R1640" s="4">
        <v>13.936285368795399</v>
      </c>
      <c r="S1640" s="4">
        <v>13.8736671032048</v>
      </c>
      <c r="T1640" s="4">
        <f t="shared" si="102"/>
        <v>13.986972387455801</v>
      </c>
      <c r="W1640" s="4" t="str">
        <f>"mct-4"</f>
        <v>mct-4</v>
      </c>
      <c r="X1640" s="4">
        <v>14.1719699346831</v>
      </c>
      <c r="Y1640" s="4">
        <v>14.166322935858201</v>
      </c>
      <c r="Z1640" s="4">
        <v>13.972051436555301</v>
      </c>
      <c r="AA1640" s="4">
        <f t="shared" si="103"/>
        <v>14.103448102365533</v>
      </c>
    </row>
    <row r="1641" spans="2:27" x14ac:dyDescent="0.2">
      <c r="B1641" s="4" t="s">
        <v>4105</v>
      </c>
      <c r="C1641" s="4">
        <v>14.4251</v>
      </c>
      <c r="D1641" s="4">
        <v>14.4277</v>
      </c>
      <c r="E1641" s="4">
        <v>14.383100000000001</v>
      </c>
      <c r="F1641" s="4">
        <f t="shared" si="100"/>
        <v>14.411966666666666</v>
      </c>
      <c r="I1641" s="4" t="s">
        <v>1212</v>
      </c>
      <c r="J1641" s="4">
        <v>14.4758</v>
      </c>
      <c r="K1641" s="4">
        <v>14.345800000000001</v>
      </c>
      <c r="L1641" s="4">
        <v>14.386900000000001</v>
      </c>
      <c r="M1641" s="4">
        <f t="shared" si="101"/>
        <v>14.402833333333334</v>
      </c>
      <c r="P1641" s="4" t="str">
        <f>"npp-24"</f>
        <v>npp-24</v>
      </c>
      <c r="Q1641" s="4">
        <v>13.7950699406579</v>
      </c>
      <c r="R1641" s="4">
        <v>14.0966161634559</v>
      </c>
      <c r="S1641" s="4">
        <v>14.0627171784498</v>
      </c>
      <c r="T1641" s="4">
        <f t="shared" si="102"/>
        <v>13.984801094187867</v>
      </c>
      <c r="W1641" s="4" t="str">
        <f>"cdk-12"</f>
        <v>cdk-12</v>
      </c>
      <c r="X1641" s="4">
        <v>13.926609185922899</v>
      </c>
      <c r="Y1641" s="4">
        <v>14.159771364041999</v>
      </c>
      <c r="Z1641" s="4">
        <v>14.2228345681234</v>
      </c>
      <c r="AA1641" s="4">
        <f t="shared" si="103"/>
        <v>14.103071706029434</v>
      </c>
    </row>
    <row r="1642" spans="2:27" x14ac:dyDescent="0.2">
      <c r="B1642" s="4" t="s">
        <v>4697</v>
      </c>
      <c r="C1642" s="4">
        <v>14.874700000000001</v>
      </c>
      <c r="D1642" s="4">
        <v>14.2584</v>
      </c>
      <c r="E1642" s="4">
        <v>14.0968</v>
      </c>
      <c r="F1642" s="4">
        <f t="shared" si="100"/>
        <v>14.409966666666667</v>
      </c>
      <c r="I1642" s="4" t="s">
        <v>4034</v>
      </c>
      <c r="J1642" s="4">
        <v>14.4953</v>
      </c>
      <c r="K1642" s="4">
        <v>14.3088</v>
      </c>
      <c r="L1642" s="4">
        <v>14.404299999999999</v>
      </c>
      <c r="M1642" s="4">
        <f t="shared" si="101"/>
        <v>14.402799999999999</v>
      </c>
      <c r="P1642" s="4" t="str">
        <f>"F55A12.5"</f>
        <v>F55A12.5</v>
      </c>
      <c r="Q1642" s="4">
        <v>14.108519881321399</v>
      </c>
      <c r="R1642" s="4">
        <v>13.8141998591726</v>
      </c>
      <c r="S1642" s="4">
        <v>14.0299706211044</v>
      </c>
      <c r="T1642" s="4">
        <f t="shared" si="102"/>
        <v>13.9842301205328</v>
      </c>
      <c r="W1642" s="4" t="str">
        <f>"gex-3"</f>
        <v>gex-3</v>
      </c>
      <c r="X1642" s="4">
        <v>13.9981097418475</v>
      </c>
      <c r="Y1642" s="4">
        <v>14.153905044943</v>
      </c>
      <c r="Z1642" s="4">
        <v>14.1560531341651</v>
      </c>
      <c r="AA1642" s="4">
        <f t="shared" si="103"/>
        <v>14.1026893069852</v>
      </c>
    </row>
    <row r="1643" spans="2:27" x14ac:dyDescent="0.2">
      <c r="B1643" s="4" t="s">
        <v>348</v>
      </c>
      <c r="C1643" s="4">
        <v>14.223699999999999</v>
      </c>
      <c r="D1643" s="4">
        <v>14.6638</v>
      </c>
      <c r="E1643" s="4">
        <v>14.3422</v>
      </c>
      <c r="F1643" s="4">
        <f t="shared" si="100"/>
        <v>14.4099</v>
      </c>
      <c r="I1643" s="4" t="s">
        <v>2660</v>
      </c>
      <c r="J1643" s="4">
        <v>14.6662</v>
      </c>
      <c r="K1643" s="4">
        <v>14.488799999999999</v>
      </c>
      <c r="L1643" s="4">
        <v>14.052199999999999</v>
      </c>
      <c r="M1643" s="4">
        <f t="shared" si="101"/>
        <v>14.4024</v>
      </c>
      <c r="P1643" s="4" t="str">
        <f>"Y41D4A.6"</f>
        <v>Y41D4A.6</v>
      </c>
      <c r="Q1643" s="4">
        <v>14.3332380963612</v>
      </c>
      <c r="R1643" s="4">
        <v>13.906103261709401</v>
      </c>
      <c r="S1643" s="4">
        <v>13.708463289132499</v>
      </c>
      <c r="T1643" s="4">
        <f t="shared" si="102"/>
        <v>13.9826015490677</v>
      </c>
      <c r="W1643" s="4" t="str">
        <f>"gld-1"</f>
        <v>gld-1</v>
      </c>
      <c r="X1643" s="4">
        <v>14.176584259116099</v>
      </c>
      <c r="Y1643" s="4">
        <v>14.187382802898</v>
      </c>
      <c r="Z1643" s="4">
        <v>13.9426068072536</v>
      </c>
      <c r="AA1643" s="4">
        <f t="shared" si="103"/>
        <v>14.102191289755899</v>
      </c>
    </row>
    <row r="1644" spans="2:27" x14ac:dyDescent="0.2">
      <c r="B1644" s="4" t="s">
        <v>884</v>
      </c>
      <c r="C1644" s="4">
        <v>14.464700000000001</v>
      </c>
      <c r="D1644" s="4">
        <v>14.2233</v>
      </c>
      <c r="E1644" s="4">
        <v>14.538500000000001</v>
      </c>
      <c r="F1644" s="4">
        <f t="shared" si="100"/>
        <v>14.408833333333334</v>
      </c>
      <c r="I1644" s="4" t="s">
        <v>2094</v>
      </c>
      <c r="J1644" s="4">
        <v>15.0656</v>
      </c>
      <c r="K1644" s="4">
        <v>14.452199999999999</v>
      </c>
      <c r="L1644" s="4">
        <v>13.686500000000001</v>
      </c>
      <c r="M1644" s="4">
        <f t="shared" si="101"/>
        <v>14.401433333333335</v>
      </c>
      <c r="P1644" s="4" t="str">
        <f>"spg-20"</f>
        <v>spg-20</v>
      </c>
      <c r="Q1644" s="4">
        <v>13.953144748745199</v>
      </c>
      <c r="R1644" s="4">
        <v>14.0006172126769</v>
      </c>
      <c r="S1644" s="4">
        <v>13.9932218965657</v>
      </c>
      <c r="T1644" s="4">
        <f t="shared" si="102"/>
        <v>13.982327952662601</v>
      </c>
      <c r="W1644" s="4" t="str">
        <f>"vig-1"</f>
        <v>vig-1</v>
      </c>
      <c r="X1644" s="4">
        <v>14.307122241782899</v>
      </c>
      <c r="Y1644" s="4">
        <v>14.2096212975162</v>
      </c>
      <c r="Z1644" s="4">
        <v>13.7897850584043</v>
      </c>
      <c r="AA1644" s="4">
        <f t="shared" si="103"/>
        <v>14.102176199234465</v>
      </c>
    </row>
    <row r="1645" spans="2:27" x14ac:dyDescent="0.2">
      <c r="B1645" s="4" t="s">
        <v>4698</v>
      </c>
      <c r="C1645" s="4">
        <v>14.5101</v>
      </c>
      <c r="D1645" s="4">
        <v>14.6275</v>
      </c>
      <c r="E1645" s="4">
        <v>14.076599999999999</v>
      </c>
      <c r="F1645" s="4">
        <f t="shared" si="100"/>
        <v>14.404733333333333</v>
      </c>
      <c r="I1645" s="4" t="s">
        <v>3244</v>
      </c>
      <c r="J1645" s="4">
        <v>14.3764</v>
      </c>
      <c r="K1645" s="4">
        <v>14.1807</v>
      </c>
      <c r="L1645" s="4">
        <v>14.6454</v>
      </c>
      <c r="M1645" s="4">
        <f t="shared" si="101"/>
        <v>14.400833333333333</v>
      </c>
      <c r="P1645" s="4" t="str">
        <f>"cpn-1"</f>
        <v>cpn-1</v>
      </c>
      <c r="Q1645" s="4">
        <v>13.684225941598701</v>
      </c>
      <c r="R1645" s="4">
        <v>14.1476482540932</v>
      </c>
      <c r="S1645" s="4">
        <v>14.114407756807299</v>
      </c>
      <c r="T1645" s="4">
        <f t="shared" si="102"/>
        <v>13.982093984166402</v>
      </c>
      <c r="W1645" s="4" t="str">
        <f>"F44B9.8"</f>
        <v>F44B9.8</v>
      </c>
      <c r="X1645" s="4">
        <v>14.083724506374001</v>
      </c>
      <c r="Y1645" s="4">
        <v>14.231217007074401</v>
      </c>
      <c r="Z1645" s="4">
        <v>13.987016208226001</v>
      </c>
      <c r="AA1645" s="4">
        <f t="shared" si="103"/>
        <v>14.100652573891468</v>
      </c>
    </row>
    <row r="1646" spans="2:27" x14ac:dyDescent="0.2">
      <c r="B1646" s="4" t="s">
        <v>4258</v>
      </c>
      <c r="C1646" s="4">
        <v>14.3987</v>
      </c>
      <c r="D1646" s="4">
        <v>14.4031</v>
      </c>
      <c r="E1646" s="4">
        <v>14.411300000000001</v>
      </c>
      <c r="F1646" s="4">
        <f t="shared" si="100"/>
        <v>14.404366666666666</v>
      </c>
      <c r="I1646" s="4" t="s">
        <v>1532</v>
      </c>
      <c r="J1646" s="4">
        <v>13.5098</v>
      </c>
      <c r="K1646" s="4">
        <v>14.1701</v>
      </c>
      <c r="L1646" s="4">
        <v>15.5192</v>
      </c>
      <c r="M1646" s="4">
        <f t="shared" si="101"/>
        <v>14.399700000000001</v>
      </c>
      <c r="P1646" s="4" t="str">
        <f>"cisd-1"</f>
        <v>cisd-1</v>
      </c>
      <c r="Q1646" s="4">
        <v>14.1565372335389</v>
      </c>
      <c r="R1646" s="4">
        <v>13.6559552199534</v>
      </c>
      <c r="S1646" s="4">
        <v>14.131826254018</v>
      </c>
      <c r="T1646" s="4">
        <f t="shared" si="102"/>
        <v>13.981439569170099</v>
      </c>
      <c r="W1646" s="4" t="str">
        <f>"mrpl-19"</f>
        <v>mrpl-19</v>
      </c>
      <c r="X1646" s="4">
        <v>14.373583194076099</v>
      </c>
      <c r="Y1646" s="4">
        <v>13.9717906917937</v>
      </c>
      <c r="Z1646" s="4">
        <v>13.954904555542999</v>
      </c>
      <c r="AA1646" s="4">
        <f t="shared" si="103"/>
        <v>14.100092813804267</v>
      </c>
    </row>
    <row r="1647" spans="2:27" x14ac:dyDescent="0.2">
      <c r="B1647" s="4" t="s">
        <v>2536</v>
      </c>
      <c r="C1647" s="4">
        <v>14.4</v>
      </c>
      <c r="D1647" s="4">
        <v>14.290800000000001</v>
      </c>
      <c r="E1647" s="4">
        <v>14.521699999999999</v>
      </c>
      <c r="F1647" s="4">
        <f t="shared" si="100"/>
        <v>14.404166666666669</v>
      </c>
      <c r="I1647" s="4" t="s">
        <v>529</v>
      </c>
      <c r="J1647" s="4">
        <v>14.7925</v>
      </c>
      <c r="K1647" s="4">
        <v>14.167299999999999</v>
      </c>
      <c r="L1647" s="4">
        <v>14.238899999999999</v>
      </c>
      <c r="M1647" s="4">
        <f t="shared" si="101"/>
        <v>14.399566666666667</v>
      </c>
      <c r="P1647" s="4" t="str">
        <f>"lrk-1"</f>
        <v>lrk-1</v>
      </c>
      <c r="Q1647" s="4">
        <v>14.0640408460535</v>
      </c>
      <c r="R1647" s="4">
        <v>13.9382905842489</v>
      </c>
      <c r="S1647" s="4">
        <v>13.937762135636399</v>
      </c>
      <c r="T1647" s="4">
        <f t="shared" si="102"/>
        <v>13.980031188646265</v>
      </c>
      <c r="W1647" s="4" t="str">
        <f>"mcat-1"</f>
        <v>mcat-1</v>
      </c>
      <c r="X1647" s="4">
        <v>14.0171550363549</v>
      </c>
      <c r="Y1647" s="4">
        <v>14.0063175503078</v>
      </c>
      <c r="Z1647" s="4">
        <v>14.2738336178982</v>
      </c>
      <c r="AA1647" s="4">
        <f t="shared" si="103"/>
        <v>14.099102068186966</v>
      </c>
    </row>
    <row r="1648" spans="2:27" x14ac:dyDescent="0.2">
      <c r="B1648" s="4" t="s">
        <v>1542</v>
      </c>
      <c r="C1648" s="4">
        <v>14.4231</v>
      </c>
      <c r="D1648" s="4">
        <v>14.290800000000001</v>
      </c>
      <c r="E1648" s="4">
        <v>14.498100000000001</v>
      </c>
      <c r="F1648" s="4">
        <f t="shared" si="100"/>
        <v>14.404000000000002</v>
      </c>
      <c r="I1648" s="4" t="s">
        <v>3161</v>
      </c>
      <c r="J1648" s="4">
        <v>14.342499999999999</v>
      </c>
      <c r="K1648" s="4">
        <v>14.4847</v>
      </c>
      <c r="L1648" s="4">
        <v>14.3711</v>
      </c>
      <c r="M1648" s="4">
        <f t="shared" si="101"/>
        <v>14.399433333333333</v>
      </c>
      <c r="P1648" s="4" t="str">
        <f>"Y32H12A.7"</f>
        <v>Y32H12A.7</v>
      </c>
      <c r="Q1648" s="4">
        <v>14.003458558398201</v>
      </c>
      <c r="R1648" s="4">
        <v>13.993893274655701</v>
      </c>
      <c r="S1648" s="4">
        <v>13.9400067723983</v>
      </c>
      <c r="T1648" s="4">
        <f t="shared" si="102"/>
        <v>13.979119535150735</v>
      </c>
      <c r="W1648" s="4" t="str">
        <f>"Y110A7A.9"</f>
        <v>Y110A7A.9</v>
      </c>
      <c r="X1648" s="4">
        <v>14.1129260601508</v>
      </c>
      <c r="Y1648" s="4">
        <v>14.184529292275901</v>
      </c>
      <c r="Z1648" s="4">
        <v>13.998274325541001</v>
      </c>
      <c r="AA1648" s="4">
        <f t="shared" si="103"/>
        <v>14.098576559322566</v>
      </c>
    </row>
    <row r="1649" spans="2:27" x14ac:dyDescent="0.2">
      <c r="B1649" s="4" t="s">
        <v>3275</v>
      </c>
      <c r="C1649" s="4">
        <v>14.497299999999999</v>
      </c>
      <c r="D1649" s="4">
        <v>14.5428</v>
      </c>
      <c r="E1649" s="4">
        <v>14.1693</v>
      </c>
      <c r="F1649" s="4">
        <f t="shared" si="100"/>
        <v>14.403133333333335</v>
      </c>
      <c r="I1649" s="4" t="s">
        <v>2318</v>
      </c>
      <c r="J1649" s="4">
        <v>14.193300000000001</v>
      </c>
      <c r="K1649" s="4">
        <v>14.4628</v>
      </c>
      <c r="L1649" s="4">
        <v>14.5366</v>
      </c>
      <c r="M1649" s="4">
        <f t="shared" si="101"/>
        <v>14.397566666666668</v>
      </c>
      <c r="P1649" s="4" t="str">
        <f>"sbp-1"</f>
        <v>sbp-1</v>
      </c>
      <c r="Q1649" s="4">
        <v>13.9584252927293</v>
      </c>
      <c r="R1649" s="4">
        <v>14.0283233428563</v>
      </c>
      <c r="S1649" s="4">
        <v>13.945881915509499</v>
      </c>
      <c r="T1649" s="4">
        <f t="shared" si="102"/>
        <v>13.9775435170317</v>
      </c>
      <c r="W1649" s="4" t="str">
        <f>"VF13D12L.3"</f>
        <v>VF13D12L.3</v>
      </c>
      <c r="X1649" s="4">
        <v>14.1358493612763</v>
      </c>
      <c r="Y1649" s="4">
        <v>14.210002318602699</v>
      </c>
      <c r="Z1649" s="4">
        <v>13.948271901771401</v>
      </c>
      <c r="AA1649" s="4">
        <f t="shared" si="103"/>
        <v>14.098041193883466</v>
      </c>
    </row>
    <row r="1650" spans="2:27" x14ac:dyDescent="0.2">
      <c r="B1650" s="4" t="s">
        <v>670</v>
      </c>
      <c r="C1650" s="4">
        <v>14.253500000000001</v>
      </c>
      <c r="D1650" s="4">
        <v>14.6111</v>
      </c>
      <c r="E1650" s="4">
        <v>14.3431</v>
      </c>
      <c r="F1650" s="4">
        <f t="shared" si="100"/>
        <v>14.402566666666667</v>
      </c>
      <c r="I1650" s="4" t="s">
        <v>3150</v>
      </c>
      <c r="J1650" s="4">
        <v>14.338200000000001</v>
      </c>
      <c r="K1650" s="4">
        <v>14.7522</v>
      </c>
      <c r="L1650" s="4">
        <v>14.1006</v>
      </c>
      <c r="M1650" s="4">
        <f t="shared" si="101"/>
        <v>14.397</v>
      </c>
      <c r="P1650" s="4" t="str">
        <f>"taco-1"</f>
        <v>taco-1</v>
      </c>
      <c r="Q1650" s="4">
        <v>13.6813265880283</v>
      </c>
      <c r="R1650" s="4">
        <v>14.1941841435179</v>
      </c>
      <c r="S1650" s="4">
        <v>14.0403402080203</v>
      </c>
      <c r="T1650" s="4">
        <f t="shared" si="102"/>
        <v>13.971950313188833</v>
      </c>
      <c r="W1650" s="4" t="str">
        <f>"Y32H12A.7"</f>
        <v>Y32H12A.7</v>
      </c>
      <c r="X1650" s="4">
        <v>13.7019016517905</v>
      </c>
      <c r="Y1650" s="4">
        <v>14.4016089730535</v>
      </c>
      <c r="Z1650" s="4">
        <v>14.1869862888556</v>
      </c>
      <c r="AA1650" s="4">
        <f t="shared" si="103"/>
        <v>14.096832304566533</v>
      </c>
    </row>
    <row r="1651" spans="2:27" x14ac:dyDescent="0.2">
      <c r="B1651" s="4" t="s">
        <v>1539</v>
      </c>
      <c r="C1651" s="4">
        <v>14.7441</v>
      </c>
      <c r="D1651" s="4">
        <v>14.3307</v>
      </c>
      <c r="E1651" s="4">
        <v>14.1325</v>
      </c>
      <c r="F1651" s="4">
        <f t="shared" si="100"/>
        <v>14.402433333333335</v>
      </c>
      <c r="I1651" s="4" t="s">
        <v>1862</v>
      </c>
      <c r="J1651" s="4">
        <v>14.342599999999999</v>
      </c>
      <c r="K1651" s="4">
        <v>14.6389</v>
      </c>
      <c r="L1651" s="4">
        <v>14.209199999999999</v>
      </c>
      <c r="M1651" s="4">
        <f t="shared" si="101"/>
        <v>14.396899999999997</v>
      </c>
      <c r="P1651" s="4" t="str">
        <f>"skih-2"</f>
        <v>skih-2</v>
      </c>
      <c r="Q1651" s="4">
        <v>14.0312882046052</v>
      </c>
      <c r="R1651" s="4">
        <v>14.102200834172001</v>
      </c>
      <c r="S1651" s="4">
        <v>13.7804279447386</v>
      </c>
      <c r="T1651" s="4">
        <f t="shared" si="102"/>
        <v>13.971305661171932</v>
      </c>
      <c r="W1651" s="4" t="str">
        <f>"ubxn-3"</f>
        <v>ubxn-3</v>
      </c>
      <c r="X1651" s="4">
        <v>14.245803177385699</v>
      </c>
      <c r="Y1651" s="4">
        <v>13.891753227980001</v>
      </c>
      <c r="Z1651" s="4">
        <v>14.1475526870863</v>
      </c>
      <c r="AA1651" s="4">
        <f t="shared" si="103"/>
        <v>14.095036364150667</v>
      </c>
    </row>
    <row r="1652" spans="2:27" x14ac:dyDescent="0.2">
      <c r="B1652" s="4" t="s">
        <v>1008</v>
      </c>
      <c r="C1652" s="4">
        <v>14.184100000000001</v>
      </c>
      <c r="D1652" s="4">
        <v>14.5083</v>
      </c>
      <c r="E1652" s="4">
        <v>14.509499999999999</v>
      </c>
      <c r="F1652" s="4">
        <f t="shared" si="100"/>
        <v>14.400633333333332</v>
      </c>
      <c r="I1652" s="4" t="s">
        <v>2605</v>
      </c>
      <c r="J1652" s="4">
        <v>13.972899999999999</v>
      </c>
      <c r="K1652" s="4">
        <v>13.977499999999999</v>
      </c>
      <c r="L1652" s="4">
        <v>15.2399</v>
      </c>
      <c r="M1652" s="4">
        <f t="shared" si="101"/>
        <v>14.396766666666666</v>
      </c>
      <c r="P1652" s="4" t="str">
        <f>"lec-3"</f>
        <v>lec-3</v>
      </c>
      <c r="Q1652" s="4">
        <v>13.9563188877396</v>
      </c>
      <c r="R1652" s="4">
        <v>13.9195636551341</v>
      </c>
      <c r="S1652" s="4">
        <v>14.030522881820801</v>
      </c>
      <c r="T1652" s="4">
        <f t="shared" si="102"/>
        <v>13.968801808231499</v>
      </c>
      <c r="W1652" s="4" t="str">
        <f>"T07E3.3"</f>
        <v>T07E3.3</v>
      </c>
      <c r="X1652" s="4">
        <v>13.8630514048908</v>
      </c>
      <c r="Y1652" s="4">
        <v>14.1022752757648</v>
      </c>
      <c r="Z1652" s="4">
        <v>14.317678073762799</v>
      </c>
      <c r="AA1652" s="4">
        <f t="shared" si="103"/>
        <v>14.094334918139467</v>
      </c>
    </row>
    <row r="1653" spans="2:27" x14ac:dyDescent="0.2">
      <c r="B1653" s="4" t="s">
        <v>3169</v>
      </c>
      <c r="C1653" s="4">
        <v>14.3932</v>
      </c>
      <c r="D1653" s="4">
        <v>14.492100000000001</v>
      </c>
      <c r="E1653" s="4">
        <v>14.3111</v>
      </c>
      <c r="F1653" s="4">
        <f t="shared" si="100"/>
        <v>14.3988</v>
      </c>
      <c r="I1653" s="4" t="s">
        <v>1645</v>
      </c>
      <c r="J1653" s="4">
        <v>14.3042</v>
      </c>
      <c r="K1653" s="4">
        <v>14.411199999999999</v>
      </c>
      <c r="L1653" s="4">
        <v>14.4727</v>
      </c>
      <c r="M1653" s="4">
        <f t="shared" si="101"/>
        <v>14.396033333333333</v>
      </c>
      <c r="P1653" s="4" t="str">
        <f>"rsp-7"</f>
        <v>rsp-7</v>
      </c>
      <c r="Q1653" s="4">
        <v>13.722261787269</v>
      </c>
      <c r="R1653" s="4">
        <v>14.423962215342099</v>
      </c>
      <c r="S1653" s="4">
        <v>13.755840881659999</v>
      </c>
      <c r="T1653" s="4">
        <f t="shared" si="102"/>
        <v>13.9673549614237</v>
      </c>
      <c r="W1653" s="4" t="str">
        <f>"smgl-1"</f>
        <v>smgl-1</v>
      </c>
      <c r="X1653" s="4">
        <v>14.175917681305499</v>
      </c>
      <c r="Y1653" s="4">
        <v>14.1568906984515</v>
      </c>
      <c r="Z1653" s="4">
        <v>13.948217899113899</v>
      </c>
      <c r="AA1653" s="4">
        <f t="shared" si="103"/>
        <v>14.093675426290298</v>
      </c>
    </row>
    <row r="1654" spans="2:27" x14ac:dyDescent="0.2">
      <c r="B1654" s="4" t="s">
        <v>1327</v>
      </c>
      <c r="C1654" s="4">
        <v>14.2621</v>
      </c>
      <c r="D1654" s="4">
        <v>14.585900000000001</v>
      </c>
      <c r="E1654" s="4">
        <v>14.348100000000001</v>
      </c>
      <c r="F1654" s="4">
        <f t="shared" si="100"/>
        <v>14.3987</v>
      </c>
      <c r="I1654" s="4" t="s">
        <v>3361</v>
      </c>
      <c r="J1654" s="4">
        <v>14.251099999999999</v>
      </c>
      <c r="K1654" s="4">
        <v>14.7196</v>
      </c>
      <c r="L1654" s="4">
        <v>14.2142</v>
      </c>
      <c r="M1654" s="4">
        <f t="shared" si="101"/>
        <v>14.394966666666667</v>
      </c>
      <c r="P1654" s="4" t="str">
        <f>"dlc-1"</f>
        <v>dlc-1</v>
      </c>
      <c r="Q1654" s="4">
        <v>14.126384182555499</v>
      </c>
      <c r="R1654" s="4">
        <v>13.8126505873156</v>
      </c>
      <c r="S1654" s="4">
        <v>13.958940076124501</v>
      </c>
      <c r="T1654" s="4">
        <f t="shared" si="102"/>
        <v>13.965991615331866</v>
      </c>
      <c r="W1654" s="4" t="str">
        <f>"F44E7.9"</f>
        <v>F44E7.9</v>
      </c>
      <c r="X1654" s="4">
        <v>14.417168774435501</v>
      </c>
      <c r="Y1654" s="4">
        <v>14.073297678399101</v>
      </c>
      <c r="Z1654" s="4">
        <v>13.787059806996201</v>
      </c>
      <c r="AA1654" s="4">
        <f t="shared" si="103"/>
        <v>14.092508753276936</v>
      </c>
    </row>
    <row r="1655" spans="2:27" x14ac:dyDescent="0.2">
      <c r="B1655" s="4" t="s">
        <v>1229</v>
      </c>
      <c r="C1655" s="4">
        <v>14.415699999999999</v>
      </c>
      <c r="D1655" s="4">
        <v>14.707800000000001</v>
      </c>
      <c r="E1655" s="4">
        <v>14.0723</v>
      </c>
      <c r="F1655" s="4">
        <f t="shared" si="100"/>
        <v>14.3986</v>
      </c>
      <c r="I1655" s="4" t="s">
        <v>2626</v>
      </c>
      <c r="J1655" s="4">
        <v>14.5991</v>
      </c>
      <c r="K1655" s="4">
        <v>14.233700000000001</v>
      </c>
      <c r="L1655" s="4">
        <v>14.3499</v>
      </c>
      <c r="M1655" s="4">
        <f t="shared" si="101"/>
        <v>14.394233333333332</v>
      </c>
      <c r="P1655" s="4" t="str">
        <f>"EEED8.10"</f>
        <v>EEED8.10</v>
      </c>
      <c r="Q1655" s="4">
        <v>13.6954391081075</v>
      </c>
      <c r="R1655" s="4">
        <v>14.012414020325499</v>
      </c>
      <c r="S1655" s="4">
        <v>14.1851062565619</v>
      </c>
      <c r="T1655" s="4">
        <f t="shared" si="102"/>
        <v>13.964319794998302</v>
      </c>
      <c r="W1655" s="4" t="str">
        <f>"usp-50"</f>
        <v>usp-50</v>
      </c>
      <c r="X1655" s="4">
        <v>14.2704977064364</v>
      </c>
      <c r="Y1655" s="4">
        <v>14.0510686130515</v>
      </c>
      <c r="Z1655" s="4">
        <v>13.954454730158901</v>
      </c>
      <c r="AA1655" s="4">
        <f t="shared" si="103"/>
        <v>14.092007016548934</v>
      </c>
    </row>
    <row r="1656" spans="2:27" x14ac:dyDescent="0.2">
      <c r="B1656" s="4" t="s">
        <v>3003</v>
      </c>
      <c r="C1656" s="4">
        <v>14.226800000000001</v>
      </c>
      <c r="D1656" s="4">
        <v>14.603999999999999</v>
      </c>
      <c r="E1656" s="4">
        <v>14.3613</v>
      </c>
      <c r="F1656" s="4">
        <f t="shared" si="100"/>
        <v>14.397366666666665</v>
      </c>
      <c r="I1656" s="4" t="s">
        <v>2876</v>
      </c>
      <c r="J1656" s="4">
        <v>14.4124</v>
      </c>
      <c r="K1656" s="4">
        <v>14.507400000000001</v>
      </c>
      <c r="L1656" s="4">
        <v>14.262499999999999</v>
      </c>
      <c r="M1656" s="4">
        <f t="shared" si="101"/>
        <v>14.3941</v>
      </c>
      <c r="P1656" s="4" t="str">
        <f>"ulp-3"</f>
        <v>ulp-3</v>
      </c>
      <c r="Q1656" s="4">
        <v>14.134248535565201</v>
      </c>
      <c r="R1656" s="4">
        <v>13.8530109480548</v>
      </c>
      <c r="S1656" s="4">
        <v>13.905662360377701</v>
      </c>
      <c r="T1656" s="4">
        <f t="shared" si="102"/>
        <v>13.964307281332566</v>
      </c>
      <c r="W1656" s="4" t="str">
        <f>"trip-4"</f>
        <v>trip-4</v>
      </c>
      <c r="X1656" s="4">
        <v>14.1627678861795</v>
      </c>
      <c r="Y1656" s="4">
        <v>14.202202515925</v>
      </c>
      <c r="Z1656" s="4">
        <v>13.9104360501731</v>
      </c>
      <c r="AA1656" s="4">
        <f t="shared" si="103"/>
        <v>14.0918021507592</v>
      </c>
    </row>
    <row r="1657" spans="2:27" x14ac:dyDescent="0.2">
      <c r="B1657" s="4" t="s">
        <v>4699</v>
      </c>
      <c r="C1657" s="4">
        <v>14.377700000000001</v>
      </c>
      <c r="D1657" s="4">
        <v>14.5124</v>
      </c>
      <c r="E1657" s="4">
        <v>14.2966</v>
      </c>
      <c r="F1657" s="4">
        <f t="shared" si="100"/>
        <v>14.395566666666667</v>
      </c>
      <c r="I1657" s="4" t="s">
        <v>1182</v>
      </c>
      <c r="J1657" s="4">
        <v>14.539300000000001</v>
      </c>
      <c r="K1657" s="4">
        <v>14.814299999999999</v>
      </c>
      <c r="L1657" s="4">
        <v>13.8287</v>
      </c>
      <c r="M1657" s="4">
        <f t="shared" si="101"/>
        <v>14.3941</v>
      </c>
      <c r="P1657" s="4" t="str">
        <f>"nol-10"</f>
        <v>nol-10</v>
      </c>
      <c r="Q1657" s="4">
        <v>13.9192219388048</v>
      </c>
      <c r="R1657" s="4">
        <v>13.9192015338985</v>
      </c>
      <c r="S1657" s="4">
        <v>14.053309091127399</v>
      </c>
      <c r="T1657" s="4">
        <f t="shared" si="102"/>
        <v>13.963910854610234</v>
      </c>
      <c r="W1657" s="4" t="str">
        <f>"ddx-10"</f>
        <v>ddx-10</v>
      </c>
      <c r="X1657" s="4">
        <v>14.171030400504501</v>
      </c>
      <c r="Y1657" s="4">
        <v>14.075005146773799</v>
      </c>
      <c r="Z1657" s="4">
        <v>14.023280683847499</v>
      </c>
      <c r="AA1657" s="4">
        <f t="shared" si="103"/>
        <v>14.089772077041934</v>
      </c>
    </row>
    <row r="1658" spans="2:27" x14ac:dyDescent="0.2">
      <c r="B1658" s="4" t="s">
        <v>568</v>
      </c>
      <c r="C1658" s="4">
        <v>14.493499999999999</v>
      </c>
      <c r="D1658" s="4">
        <v>14.435</v>
      </c>
      <c r="E1658" s="4">
        <v>14.2575</v>
      </c>
      <c r="F1658" s="4">
        <f t="shared" si="100"/>
        <v>14.395333333333333</v>
      </c>
      <c r="I1658" s="4" t="s">
        <v>3111</v>
      </c>
      <c r="J1658" s="4">
        <v>14.4117</v>
      </c>
      <c r="K1658" s="4">
        <v>14.2394</v>
      </c>
      <c r="L1658" s="4">
        <v>14.5251</v>
      </c>
      <c r="M1658" s="4">
        <f t="shared" si="101"/>
        <v>14.392066666666667</v>
      </c>
      <c r="P1658" s="4" t="str">
        <f>"K03B8.6"</f>
        <v>K03B8.6</v>
      </c>
      <c r="Q1658" s="4">
        <v>14.0210301166547</v>
      </c>
      <c r="R1658" s="4">
        <v>14.092852405534</v>
      </c>
      <c r="S1658" s="4">
        <v>13.7770748567479</v>
      </c>
      <c r="T1658" s="4">
        <f t="shared" si="102"/>
        <v>13.963652459645532</v>
      </c>
      <c r="W1658" s="4" t="str">
        <f>"dhs-19"</f>
        <v>dhs-19</v>
      </c>
      <c r="X1658" s="4">
        <v>14.0946367789607</v>
      </c>
      <c r="Y1658" s="4">
        <v>14.123071038346099</v>
      </c>
      <c r="Z1658" s="4">
        <v>14.042068903288399</v>
      </c>
      <c r="AA1658" s="4">
        <f t="shared" si="103"/>
        <v>14.086592240198399</v>
      </c>
    </row>
    <row r="1659" spans="2:27" x14ac:dyDescent="0.2">
      <c r="B1659" s="4" t="s">
        <v>3603</v>
      </c>
      <c r="C1659" s="4">
        <v>14.288500000000001</v>
      </c>
      <c r="D1659" s="4">
        <v>14.1348</v>
      </c>
      <c r="E1659" s="4">
        <v>14.760899999999999</v>
      </c>
      <c r="F1659" s="4">
        <f t="shared" si="100"/>
        <v>14.394733333333335</v>
      </c>
      <c r="I1659" s="4" t="s">
        <v>1229</v>
      </c>
      <c r="J1659" s="4">
        <v>14.469099999999999</v>
      </c>
      <c r="K1659" s="4">
        <v>14.592499999999999</v>
      </c>
      <c r="L1659" s="4">
        <v>14.1127</v>
      </c>
      <c r="M1659" s="4">
        <f t="shared" si="101"/>
        <v>14.391433333333334</v>
      </c>
      <c r="P1659" s="4" t="str">
        <f>"mrps-16"</f>
        <v>mrps-16</v>
      </c>
      <c r="Q1659" s="4">
        <v>14.1218757645432</v>
      </c>
      <c r="R1659" s="4">
        <v>13.964624010108199</v>
      </c>
      <c r="S1659" s="4">
        <v>13.8026082557653</v>
      </c>
      <c r="T1659" s="4">
        <f t="shared" si="102"/>
        <v>13.9630360101389</v>
      </c>
      <c r="W1659" s="4" t="str">
        <f>"lpd-6"</f>
        <v>lpd-6</v>
      </c>
      <c r="X1659" s="4">
        <v>14.1018560299408</v>
      </c>
      <c r="Y1659" s="4">
        <v>14.099235166325499</v>
      </c>
      <c r="Z1659" s="4">
        <v>14.0561038442503</v>
      </c>
      <c r="AA1659" s="4">
        <f t="shared" si="103"/>
        <v>14.0857316801722</v>
      </c>
    </row>
    <row r="1660" spans="2:27" x14ac:dyDescent="0.2">
      <c r="B1660" s="4" t="s">
        <v>927</v>
      </c>
      <c r="C1660" s="4">
        <v>14.4651</v>
      </c>
      <c r="D1660" s="4">
        <v>14.3855</v>
      </c>
      <c r="E1660" s="4">
        <v>14.331300000000001</v>
      </c>
      <c r="F1660" s="4">
        <f t="shared" si="100"/>
        <v>14.393966666666666</v>
      </c>
      <c r="I1660" s="4" t="s">
        <v>1827</v>
      </c>
      <c r="J1660" s="4">
        <v>14.616099999999999</v>
      </c>
      <c r="K1660" s="4">
        <v>14.311</v>
      </c>
      <c r="L1660" s="4">
        <v>14.2464</v>
      </c>
      <c r="M1660" s="4">
        <f t="shared" si="101"/>
        <v>14.391166666666665</v>
      </c>
      <c r="P1660" s="4" t="str">
        <f>"F37C4.5"</f>
        <v>F37C4.5</v>
      </c>
      <c r="Q1660" s="4">
        <v>13.552605530767</v>
      </c>
      <c r="R1660" s="4">
        <v>13.8665634819125</v>
      </c>
      <c r="S1660" s="4">
        <v>14.468780704875099</v>
      </c>
      <c r="T1660" s="4">
        <f t="shared" si="102"/>
        <v>13.962649905851533</v>
      </c>
      <c r="W1660" s="4" t="str">
        <f>"F53G2.12"</f>
        <v>F53G2.12</v>
      </c>
      <c r="X1660" s="4">
        <v>14.171177873559699</v>
      </c>
      <c r="Y1660" s="4">
        <v>13.993458166979799</v>
      </c>
      <c r="Z1660" s="4">
        <v>14.0892612226843</v>
      </c>
      <c r="AA1660" s="4">
        <f t="shared" si="103"/>
        <v>14.0846324210746</v>
      </c>
    </row>
    <row r="1661" spans="2:27" x14ac:dyDescent="0.2">
      <c r="B1661" s="4" t="s">
        <v>3229</v>
      </c>
      <c r="C1661" s="4">
        <v>14.5693</v>
      </c>
      <c r="D1661" s="4">
        <v>14.805899999999999</v>
      </c>
      <c r="E1661" s="4">
        <v>13.8057</v>
      </c>
      <c r="F1661" s="4">
        <f t="shared" si="100"/>
        <v>14.393633333333334</v>
      </c>
      <c r="I1661" s="4" t="s">
        <v>2457</v>
      </c>
      <c r="J1661" s="4">
        <v>14.566000000000001</v>
      </c>
      <c r="K1661" s="4">
        <v>14.545500000000001</v>
      </c>
      <c r="L1661" s="4">
        <v>14.0588</v>
      </c>
      <c r="M1661" s="4">
        <f t="shared" si="101"/>
        <v>14.390099999999999</v>
      </c>
      <c r="P1661" s="4" t="str">
        <f>"gsnl-1"</f>
        <v>gsnl-1</v>
      </c>
      <c r="Q1661" s="4">
        <v>14.0924867183694</v>
      </c>
      <c r="R1661" s="4">
        <v>13.830267532551799</v>
      </c>
      <c r="S1661" s="4">
        <v>13.9644819781811</v>
      </c>
      <c r="T1661" s="4">
        <f t="shared" si="102"/>
        <v>13.962412076367434</v>
      </c>
      <c r="W1661" s="4" t="str">
        <f>"ZK546.2"</f>
        <v>ZK546.2</v>
      </c>
      <c r="X1661" s="4">
        <v>14.060935279425101</v>
      </c>
      <c r="Y1661" s="4">
        <v>14.072363058073</v>
      </c>
      <c r="Z1661" s="4">
        <v>14.102023126692499</v>
      </c>
      <c r="AA1661" s="4">
        <f t="shared" si="103"/>
        <v>14.078440488063533</v>
      </c>
    </row>
    <row r="1662" spans="2:27" x14ac:dyDescent="0.2">
      <c r="B1662" s="4" t="s">
        <v>4700</v>
      </c>
      <c r="C1662" s="4">
        <v>14.2041</v>
      </c>
      <c r="D1662" s="4">
        <v>14.9192</v>
      </c>
      <c r="E1662" s="4">
        <v>14.0572</v>
      </c>
      <c r="F1662" s="4">
        <f t="shared" si="100"/>
        <v>14.393500000000001</v>
      </c>
      <c r="I1662" s="4" t="s">
        <v>4240</v>
      </c>
      <c r="J1662" s="4">
        <v>14.477499999999999</v>
      </c>
      <c r="K1662" s="4">
        <v>14.407400000000001</v>
      </c>
      <c r="L1662" s="4">
        <v>14.284700000000001</v>
      </c>
      <c r="M1662" s="4">
        <f t="shared" si="101"/>
        <v>14.389866666666668</v>
      </c>
      <c r="P1662" s="4" t="str">
        <f>"fat-5"</f>
        <v>fat-5</v>
      </c>
      <c r="Q1662" s="4">
        <v>13.8890373293723</v>
      </c>
      <c r="R1662" s="4">
        <v>13.9544655283274</v>
      </c>
      <c r="S1662" s="4">
        <v>14.0421344301311</v>
      </c>
      <c r="T1662" s="4">
        <f t="shared" si="102"/>
        <v>13.961879095943601</v>
      </c>
      <c r="W1662" s="4" t="str">
        <f>"rab-3"</f>
        <v>rab-3</v>
      </c>
      <c r="X1662" s="4">
        <v>14.115682391819499</v>
      </c>
      <c r="Y1662" s="4">
        <v>14.0830518253488</v>
      </c>
      <c r="Z1662" s="4">
        <v>14.028280684162199</v>
      </c>
      <c r="AA1662" s="4">
        <f t="shared" si="103"/>
        <v>14.075671633776834</v>
      </c>
    </row>
    <row r="1663" spans="2:27" x14ac:dyDescent="0.2">
      <c r="B1663" s="4" t="s">
        <v>4249</v>
      </c>
      <c r="C1663" s="4">
        <v>15.057600000000001</v>
      </c>
      <c r="D1663" s="4">
        <v>13.7699</v>
      </c>
      <c r="E1663" s="4">
        <v>14.345800000000001</v>
      </c>
      <c r="F1663" s="4">
        <f t="shared" si="100"/>
        <v>14.3911</v>
      </c>
      <c r="I1663" s="4" t="s">
        <v>1320</v>
      </c>
      <c r="J1663" s="4">
        <v>14.7057</v>
      </c>
      <c r="K1663" s="4">
        <v>14.284800000000001</v>
      </c>
      <c r="L1663" s="4">
        <v>14.170199999999999</v>
      </c>
      <c r="M1663" s="4">
        <f t="shared" si="101"/>
        <v>14.386899999999999</v>
      </c>
      <c r="P1663" s="4" t="str">
        <f>"K12C11.1"</f>
        <v>K12C11.1</v>
      </c>
      <c r="Q1663" s="4">
        <v>14.017663727575</v>
      </c>
      <c r="R1663" s="4">
        <v>13.8403936461829</v>
      </c>
      <c r="S1663" s="4">
        <v>14.020903587549199</v>
      </c>
      <c r="T1663" s="4">
        <f t="shared" si="102"/>
        <v>13.959653653769033</v>
      </c>
      <c r="W1663" s="4" t="str">
        <f>"R151.6"</f>
        <v>R151.6</v>
      </c>
      <c r="X1663" s="4">
        <v>14.523279945751799</v>
      </c>
      <c r="Y1663" s="4">
        <v>14.018450553695301</v>
      </c>
      <c r="Z1663" s="4">
        <v>13.6841524561037</v>
      </c>
      <c r="AA1663" s="4">
        <f t="shared" si="103"/>
        <v>14.075294318516933</v>
      </c>
    </row>
    <row r="1664" spans="2:27" x14ac:dyDescent="0.2">
      <c r="B1664" s="4" t="s">
        <v>2124</v>
      </c>
      <c r="C1664" s="4">
        <v>14.4711</v>
      </c>
      <c r="D1664" s="4">
        <v>14.1911</v>
      </c>
      <c r="E1664" s="4">
        <v>14.5077</v>
      </c>
      <c r="F1664" s="4">
        <f t="shared" si="100"/>
        <v>14.389966666666666</v>
      </c>
      <c r="I1664" s="4" t="s">
        <v>3212</v>
      </c>
      <c r="J1664" s="4">
        <v>14.351900000000001</v>
      </c>
      <c r="K1664" s="4">
        <v>14.679</v>
      </c>
      <c r="L1664" s="4">
        <v>14.1286</v>
      </c>
      <c r="M1664" s="4">
        <f t="shared" si="101"/>
        <v>14.3865</v>
      </c>
      <c r="P1664" s="4" t="str">
        <f>"htz-1"</f>
        <v>htz-1</v>
      </c>
      <c r="Q1664" s="4">
        <v>13.9046405353902</v>
      </c>
      <c r="R1664" s="4">
        <v>14.1530824983389</v>
      </c>
      <c r="S1664" s="4">
        <v>13.8207316134694</v>
      </c>
      <c r="T1664" s="4">
        <f t="shared" si="102"/>
        <v>13.959484882399501</v>
      </c>
      <c r="W1664" s="4" t="str">
        <f>"usip-1"</f>
        <v>usip-1</v>
      </c>
      <c r="X1664" s="4">
        <v>14.036191764118801</v>
      </c>
      <c r="Y1664" s="4">
        <v>14.184956457233699</v>
      </c>
      <c r="Z1664" s="4">
        <v>14.004483461282399</v>
      </c>
      <c r="AA1664" s="4">
        <f t="shared" si="103"/>
        <v>14.075210560878299</v>
      </c>
    </row>
    <row r="1665" spans="2:27" x14ac:dyDescent="0.2">
      <c r="B1665" s="4" t="s">
        <v>327</v>
      </c>
      <c r="C1665" s="4">
        <v>14.439</v>
      </c>
      <c r="D1665" s="4">
        <v>14.792899999999999</v>
      </c>
      <c r="E1665" s="4">
        <v>13.937900000000001</v>
      </c>
      <c r="F1665" s="4">
        <f t="shared" si="100"/>
        <v>14.389933333333333</v>
      </c>
      <c r="I1665" s="4" t="s">
        <v>2911</v>
      </c>
      <c r="J1665" s="4">
        <v>14.419700000000001</v>
      </c>
      <c r="K1665" s="4">
        <v>14.626300000000001</v>
      </c>
      <c r="L1665" s="4">
        <v>14.1083</v>
      </c>
      <c r="M1665" s="4">
        <f t="shared" si="101"/>
        <v>14.384766666666666</v>
      </c>
      <c r="P1665" s="4" t="str">
        <f>"epg-3"</f>
        <v>epg-3</v>
      </c>
      <c r="Q1665" s="4">
        <v>13.9490265980037</v>
      </c>
      <c r="R1665" s="4">
        <v>13.787828297869799</v>
      </c>
      <c r="S1665" s="4">
        <v>14.1383391877938</v>
      </c>
      <c r="T1665" s="4">
        <f t="shared" si="102"/>
        <v>13.958398027889098</v>
      </c>
      <c r="W1665" s="4" t="str">
        <f>"ethe-1"</f>
        <v>ethe-1</v>
      </c>
      <c r="X1665" s="4">
        <v>13.721552942605101</v>
      </c>
      <c r="Y1665" s="4">
        <v>14.229244759057099</v>
      </c>
      <c r="Z1665" s="4">
        <v>14.2728771340935</v>
      </c>
      <c r="AA1665" s="4">
        <f t="shared" si="103"/>
        <v>14.074558278585235</v>
      </c>
    </row>
    <row r="1666" spans="2:27" x14ac:dyDescent="0.2">
      <c r="B1666" s="4" t="s">
        <v>2388</v>
      </c>
      <c r="C1666" s="4">
        <v>14.510999999999999</v>
      </c>
      <c r="D1666" s="4">
        <v>14.2904</v>
      </c>
      <c r="E1666" s="4">
        <v>14.3683</v>
      </c>
      <c r="F1666" s="4">
        <f t="shared" ref="F1666:F1729" si="104">(C1666+D1666+E1666)/3</f>
        <v>14.389899999999999</v>
      </c>
      <c r="I1666" s="4" t="s">
        <v>1340</v>
      </c>
      <c r="J1666" s="4">
        <v>14.5685</v>
      </c>
      <c r="K1666" s="4">
        <v>14.358000000000001</v>
      </c>
      <c r="L1666" s="4">
        <v>14.2195</v>
      </c>
      <c r="M1666" s="4">
        <f t="shared" ref="M1666:M1729" si="105">(J1666+K1666+L1666)/3</f>
        <v>14.382</v>
      </c>
      <c r="P1666" s="4" t="str">
        <f>"yif-1"</f>
        <v>yif-1</v>
      </c>
      <c r="Q1666" s="4">
        <v>13.409193843884699</v>
      </c>
      <c r="R1666" s="4">
        <v>14.1634207692143</v>
      </c>
      <c r="S1666" s="4">
        <v>14.295764718816599</v>
      </c>
      <c r="T1666" s="4">
        <f t="shared" ref="T1666:T1729" si="106">(Q1666+R1666+S1666)/3</f>
        <v>13.956126443971867</v>
      </c>
      <c r="W1666" s="4" t="str">
        <f>"trm-1"</f>
        <v>trm-1</v>
      </c>
      <c r="X1666" s="4">
        <v>14.162208620470601</v>
      </c>
      <c r="Y1666" s="4">
        <v>14.1321950121066</v>
      </c>
      <c r="Z1666" s="4">
        <v>13.913798149343799</v>
      </c>
      <c r="AA1666" s="4">
        <f t="shared" ref="AA1666:AA1729" si="107">(X1666+Y1666+Z1666)/3</f>
        <v>14.069400593973667</v>
      </c>
    </row>
    <row r="1667" spans="2:27" x14ac:dyDescent="0.2">
      <c r="B1667" s="4" t="s">
        <v>4200</v>
      </c>
      <c r="C1667" s="4">
        <v>14.4283</v>
      </c>
      <c r="D1667" s="4">
        <v>14.3794</v>
      </c>
      <c r="E1667" s="4">
        <v>14.3599</v>
      </c>
      <c r="F1667" s="4">
        <f t="shared" si="104"/>
        <v>14.389200000000001</v>
      </c>
      <c r="I1667" s="4" t="s">
        <v>2588</v>
      </c>
      <c r="J1667" s="4">
        <v>14.3512</v>
      </c>
      <c r="K1667" s="4">
        <v>14.496</v>
      </c>
      <c r="L1667" s="4">
        <v>14.2928</v>
      </c>
      <c r="M1667" s="4">
        <f t="shared" si="105"/>
        <v>14.38</v>
      </c>
      <c r="P1667" s="4" t="str">
        <f>"exos-2"</f>
        <v>exos-2</v>
      </c>
      <c r="Q1667" s="4">
        <v>14.1833283751649</v>
      </c>
      <c r="R1667" s="4">
        <v>13.8366292944308</v>
      </c>
      <c r="S1667" s="4">
        <v>13.847428840564</v>
      </c>
      <c r="T1667" s="4">
        <f t="shared" si="106"/>
        <v>13.955795503386566</v>
      </c>
      <c r="W1667" s="4" t="str">
        <f>"fbxl-1"</f>
        <v>fbxl-1</v>
      </c>
      <c r="X1667" s="4">
        <v>13.878152378753899</v>
      </c>
      <c r="Y1667" s="4">
        <v>14.1297039236019</v>
      </c>
      <c r="Z1667" s="4">
        <v>14.196369397965499</v>
      </c>
      <c r="AA1667" s="4">
        <f t="shared" si="107"/>
        <v>14.068075233440432</v>
      </c>
    </row>
    <row r="1668" spans="2:27" x14ac:dyDescent="0.2">
      <c r="B1668" s="4" t="s">
        <v>2352</v>
      </c>
      <c r="C1668" s="4">
        <v>14.4842</v>
      </c>
      <c r="D1668" s="4">
        <v>14.6326</v>
      </c>
      <c r="E1668" s="4">
        <v>14.046900000000001</v>
      </c>
      <c r="F1668" s="4">
        <f t="shared" si="104"/>
        <v>14.3879</v>
      </c>
      <c r="I1668" s="4" t="s">
        <v>2401</v>
      </c>
      <c r="J1668" s="4">
        <v>14.3353</v>
      </c>
      <c r="K1668" s="4">
        <v>14.2316</v>
      </c>
      <c r="L1668" s="4">
        <v>14.571999999999999</v>
      </c>
      <c r="M1668" s="4">
        <f t="shared" si="105"/>
        <v>14.379633333333333</v>
      </c>
      <c r="P1668" s="4" t="str">
        <f>"ent-2"</f>
        <v>ent-2</v>
      </c>
      <c r="Q1668" s="4">
        <v>13.940254853866501</v>
      </c>
      <c r="R1668" s="4">
        <v>13.756195539580601</v>
      </c>
      <c r="S1668" s="4">
        <v>14.167089179684799</v>
      </c>
      <c r="T1668" s="4">
        <f t="shared" si="106"/>
        <v>13.954513191043967</v>
      </c>
      <c r="W1668" s="4" t="str">
        <f>"thoc-5"</f>
        <v>thoc-5</v>
      </c>
      <c r="X1668" s="4">
        <v>14.0878079414256</v>
      </c>
      <c r="Y1668" s="4">
        <v>14.0744020014883</v>
      </c>
      <c r="Z1668" s="4">
        <v>14.0412483092651</v>
      </c>
      <c r="AA1668" s="4">
        <f t="shared" si="107"/>
        <v>14.067819417393002</v>
      </c>
    </row>
    <row r="1669" spans="2:27" x14ac:dyDescent="0.2">
      <c r="B1669" s="4" t="s">
        <v>529</v>
      </c>
      <c r="C1669" s="4">
        <v>14.419600000000001</v>
      </c>
      <c r="D1669" s="4">
        <v>14.533099999999999</v>
      </c>
      <c r="E1669" s="4">
        <v>14.2036</v>
      </c>
      <c r="F1669" s="4">
        <f t="shared" si="104"/>
        <v>14.385433333333333</v>
      </c>
      <c r="I1669" s="4" t="s">
        <v>465</v>
      </c>
      <c r="J1669" s="4">
        <v>14.154199999999999</v>
      </c>
      <c r="K1669" s="4">
        <v>14.3368</v>
      </c>
      <c r="L1669" s="4">
        <v>14.639900000000001</v>
      </c>
      <c r="M1669" s="4">
        <f t="shared" si="105"/>
        <v>14.376966666666666</v>
      </c>
      <c r="P1669" s="4" t="str">
        <f>"acox-1.6"</f>
        <v>acox-1.6</v>
      </c>
      <c r="Q1669" s="4">
        <v>13.910106578004299</v>
      </c>
      <c r="R1669" s="4">
        <v>14.111744975464999</v>
      </c>
      <c r="S1669" s="4">
        <v>13.8289910196034</v>
      </c>
      <c r="T1669" s="4">
        <f t="shared" si="106"/>
        <v>13.950280857690899</v>
      </c>
      <c r="W1669" s="4" t="str">
        <f>"prp-39"</f>
        <v>prp-39</v>
      </c>
      <c r="X1669" s="4">
        <v>13.8964507052524</v>
      </c>
      <c r="Y1669" s="4">
        <v>14.0440269648079</v>
      </c>
      <c r="Z1669" s="4">
        <v>14.258693742009299</v>
      </c>
      <c r="AA1669" s="4">
        <f t="shared" si="107"/>
        <v>14.066390470689868</v>
      </c>
    </row>
    <row r="1670" spans="2:27" x14ac:dyDescent="0.2">
      <c r="B1670" s="4" t="s">
        <v>1667</v>
      </c>
      <c r="C1670" s="4">
        <v>14.219099999999999</v>
      </c>
      <c r="D1670" s="4">
        <v>14.538500000000001</v>
      </c>
      <c r="E1670" s="4">
        <v>14.3986</v>
      </c>
      <c r="F1670" s="4">
        <f t="shared" si="104"/>
        <v>14.385399999999999</v>
      </c>
      <c r="I1670" s="4" t="s">
        <v>2270</v>
      </c>
      <c r="J1670" s="4">
        <v>13.782</v>
      </c>
      <c r="K1670" s="4">
        <v>14.0365</v>
      </c>
      <c r="L1670" s="4">
        <v>15.311999999999999</v>
      </c>
      <c r="M1670" s="4">
        <f t="shared" si="105"/>
        <v>14.376833333333332</v>
      </c>
      <c r="P1670" s="4" t="str">
        <f>"pud-4"</f>
        <v>pud-4</v>
      </c>
      <c r="Q1670" s="4">
        <v>13.8323519606635</v>
      </c>
      <c r="R1670" s="4">
        <v>14.1016670316641</v>
      </c>
      <c r="S1670" s="4">
        <v>13.9146310642989</v>
      </c>
      <c r="T1670" s="4">
        <f t="shared" si="106"/>
        <v>13.949550018875501</v>
      </c>
      <c r="W1670" s="4" t="str">
        <f>"F38A1.8"</f>
        <v>F38A1.8</v>
      </c>
      <c r="X1670" s="4">
        <v>14.127444507108001</v>
      </c>
      <c r="Y1670" s="4">
        <v>14.1741175705878</v>
      </c>
      <c r="Z1670" s="4">
        <v>13.894657216534</v>
      </c>
      <c r="AA1670" s="4">
        <f t="shared" si="107"/>
        <v>14.065406431409933</v>
      </c>
    </row>
    <row r="1671" spans="2:27" x14ac:dyDescent="0.2">
      <c r="B1671" s="4" t="s">
        <v>3278</v>
      </c>
      <c r="C1671" s="4">
        <v>14.281700000000001</v>
      </c>
      <c r="D1671" s="4">
        <v>14.2841</v>
      </c>
      <c r="E1671" s="4">
        <v>14.5883</v>
      </c>
      <c r="F1671" s="4">
        <f t="shared" si="104"/>
        <v>14.3847</v>
      </c>
      <c r="I1671" s="4" t="s">
        <v>2258</v>
      </c>
      <c r="J1671" s="4">
        <v>14.4947</v>
      </c>
      <c r="K1671" s="4">
        <v>14.286199999999999</v>
      </c>
      <c r="L1671" s="4">
        <v>14.3482</v>
      </c>
      <c r="M1671" s="4">
        <f t="shared" si="105"/>
        <v>14.376366666666668</v>
      </c>
      <c r="P1671" s="4" t="str">
        <f>"R07E4.5"</f>
        <v>R07E4.5</v>
      </c>
      <c r="Q1671" s="4">
        <v>13.962238105193601</v>
      </c>
      <c r="R1671" s="4">
        <v>13.764034542985399</v>
      </c>
      <c r="S1671" s="4">
        <v>14.1209508531401</v>
      </c>
      <c r="T1671" s="4">
        <f t="shared" si="106"/>
        <v>13.9490745004397</v>
      </c>
      <c r="W1671" s="4" t="str">
        <f>"csnk-1"</f>
        <v>csnk-1</v>
      </c>
      <c r="X1671" s="4">
        <v>13.9162180195554</v>
      </c>
      <c r="Y1671" s="4">
        <v>14.133959295075799</v>
      </c>
      <c r="Z1671" s="4">
        <v>14.1419149127174</v>
      </c>
      <c r="AA1671" s="4">
        <f t="shared" si="107"/>
        <v>14.064030742449532</v>
      </c>
    </row>
    <row r="1672" spans="2:27" x14ac:dyDescent="0.2">
      <c r="B1672" s="4" t="s">
        <v>3053</v>
      </c>
      <c r="C1672" s="4">
        <v>14.5441</v>
      </c>
      <c r="D1672" s="4">
        <v>14.0076</v>
      </c>
      <c r="E1672" s="4">
        <v>14.602399999999999</v>
      </c>
      <c r="F1672" s="4">
        <f t="shared" si="104"/>
        <v>14.3847</v>
      </c>
      <c r="I1672" s="4" t="s">
        <v>2910</v>
      </c>
      <c r="J1672" s="4">
        <v>14.867000000000001</v>
      </c>
      <c r="K1672" s="4">
        <v>14.463100000000001</v>
      </c>
      <c r="L1672" s="4">
        <v>13.7967</v>
      </c>
      <c r="M1672" s="4">
        <f t="shared" si="105"/>
        <v>14.3756</v>
      </c>
      <c r="P1672" s="4" t="str">
        <f>"F28H1.4"</f>
        <v>F28H1.4</v>
      </c>
      <c r="Q1672" s="4">
        <v>13.754178529012799</v>
      </c>
      <c r="R1672" s="4">
        <v>13.845889314906801</v>
      </c>
      <c r="S1672" s="4">
        <v>14.2465007915215</v>
      </c>
      <c r="T1672" s="4">
        <f t="shared" si="106"/>
        <v>13.9488562118137</v>
      </c>
      <c r="W1672" s="4" t="str">
        <f>"smg-1"</f>
        <v>smg-1</v>
      </c>
      <c r="X1672" s="4">
        <v>13.9932487514491</v>
      </c>
      <c r="Y1672" s="4">
        <v>14.245402211193699</v>
      </c>
      <c r="Z1672" s="4">
        <v>13.9502334647142</v>
      </c>
      <c r="AA1672" s="4">
        <f t="shared" si="107"/>
        <v>14.062961475785668</v>
      </c>
    </row>
    <row r="1673" spans="2:27" x14ac:dyDescent="0.2">
      <c r="B1673" s="4" t="s">
        <v>1206</v>
      </c>
      <c r="C1673" s="4">
        <v>14.295999999999999</v>
      </c>
      <c r="D1673" s="4">
        <v>14.424799999999999</v>
      </c>
      <c r="E1673" s="4">
        <v>14.4292</v>
      </c>
      <c r="F1673" s="4">
        <f t="shared" si="104"/>
        <v>14.383333333333333</v>
      </c>
      <c r="I1673" s="4" t="s">
        <v>3338</v>
      </c>
      <c r="J1673" s="4">
        <v>14.551399999999999</v>
      </c>
      <c r="K1673" s="4">
        <v>14.432</v>
      </c>
      <c r="L1673" s="4">
        <v>14.141</v>
      </c>
      <c r="M1673" s="4">
        <f t="shared" si="105"/>
        <v>14.3748</v>
      </c>
      <c r="P1673" s="4" t="str">
        <f>"msh-6"</f>
        <v>msh-6</v>
      </c>
      <c r="Q1673" s="4">
        <v>13.827364073587001</v>
      </c>
      <c r="R1673" s="4">
        <v>14.162442672445</v>
      </c>
      <c r="S1673" s="4">
        <v>13.856292077498299</v>
      </c>
      <c r="T1673" s="4">
        <f t="shared" si="106"/>
        <v>13.948699607843432</v>
      </c>
      <c r="W1673" s="4" t="str">
        <f>"Y79H2A.3"</f>
        <v>Y79H2A.3</v>
      </c>
      <c r="X1673" s="4">
        <v>14.3019245940781</v>
      </c>
      <c r="Y1673" s="4">
        <v>13.7259440510866</v>
      </c>
      <c r="Z1673" s="4">
        <v>14.1580980541447</v>
      </c>
      <c r="AA1673" s="4">
        <f t="shared" si="107"/>
        <v>14.061988899769801</v>
      </c>
    </row>
    <row r="1674" spans="2:27" x14ac:dyDescent="0.2">
      <c r="B1674" s="4" t="s">
        <v>3595</v>
      </c>
      <c r="C1674" s="4">
        <v>14.1073</v>
      </c>
      <c r="D1674" s="4">
        <v>14.6311</v>
      </c>
      <c r="E1674" s="4">
        <v>14.4056</v>
      </c>
      <c r="F1674" s="4">
        <f t="shared" si="104"/>
        <v>14.381333333333332</v>
      </c>
      <c r="I1674" s="4" t="s">
        <v>907</v>
      </c>
      <c r="J1674" s="4">
        <v>14.454000000000001</v>
      </c>
      <c r="K1674" s="4">
        <v>13.9154</v>
      </c>
      <c r="L1674" s="4">
        <v>14.727</v>
      </c>
      <c r="M1674" s="4">
        <f t="shared" si="105"/>
        <v>14.365466666666668</v>
      </c>
      <c r="P1674" s="4" t="str">
        <f>"tfbm-1"</f>
        <v>tfbm-1</v>
      </c>
      <c r="Q1674" s="4">
        <v>14.037193639806601</v>
      </c>
      <c r="R1674" s="4">
        <v>13.797899063232499</v>
      </c>
      <c r="S1674" s="4">
        <v>14.0062016698125</v>
      </c>
      <c r="T1674" s="4">
        <f t="shared" si="106"/>
        <v>13.947098124283867</v>
      </c>
      <c r="W1674" s="4" t="str">
        <f>"eif-3.D"</f>
        <v>eif-3.D</v>
      </c>
      <c r="X1674" s="4">
        <v>13.952478967102</v>
      </c>
      <c r="Y1674" s="4">
        <v>13.9181976005703</v>
      </c>
      <c r="Z1674" s="4">
        <v>14.3130783894534</v>
      </c>
      <c r="AA1674" s="4">
        <f t="shared" si="107"/>
        <v>14.061251652375233</v>
      </c>
    </row>
    <row r="1675" spans="2:27" x14ac:dyDescent="0.2">
      <c r="B1675" s="4" t="s">
        <v>107</v>
      </c>
      <c r="C1675" s="4">
        <v>14.0267</v>
      </c>
      <c r="D1675" s="4">
        <v>14.700699999999999</v>
      </c>
      <c r="E1675" s="4">
        <v>14.4122</v>
      </c>
      <c r="F1675" s="4">
        <f t="shared" si="104"/>
        <v>14.379866666666667</v>
      </c>
      <c r="I1675" s="4" t="s">
        <v>371</v>
      </c>
      <c r="J1675" s="4">
        <v>14.340400000000001</v>
      </c>
      <c r="K1675" s="4">
        <v>14.2882</v>
      </c>
      <c r="L1675" s="4">
        <v>14.463100000000001</v>
      </c>
      <c r="M1675" s="4">
        <f t="shared" si="105"/>
        <v>14.363900000000001</v>
      </c>
      <c r="P1675" s="4" t="str">
        <f>"got-2.2"</f>
        <v>got-2.2</v>
      </c>
      <c r="Q1675" s="4">
        <v>14.0233272381286</v>
      </c>
      <c r="R1675" s="4">
        <v>13.9556604758377</v>
      </c>
      <c r="S1675" s="4">
        <v>13.861269839521601</v>
      </c>
      <c r="T1675" s="4">
        <f t="shared" si="106"/>
        <v>13.946752517829301</v>
      </c>
      <c r="W1675" s="4" t="str">
        <f>"cpn-4"</f>
        <v>cpn-4</v>
      </c>
      <c r="X1675" s="4">
        <v>14.391987820722401</v>
      </c>
      <c r="Y1675" s="4">
        <v>14.025813502150299</v>
      </c>
      <c r="Z1675" s="4">
        <v>13.7647242424668</v>
      </c>
      <c r="AA1675" s="4">
        <f t="shared" si="107"/>
        <v>14.060841855113166</v>
      </c>
    </row>
    <row r="1676" spans="2:27" x14ac:dyDescent="0.2">
      <c r="B1676" s="4" t="s">
        <v>2745</v>
      </c>
      <c r="C1676" s="4">
        <v>14.411199999999999</v>
      </c>
      <c r="D1676" s="4">
        <v>14.3581</v>
      </c>
      <c r="E1676" s="4">
        <v>14.3642</v>
      </c>
      <c r="F1676" s="4">
        <f t="shared" si="104"/>
        <v>14.377833333333333</v>
      </c>
      <c r="I1676" s="4" t="s">
        <v>723</v>
      </c>
      <c r="J1676" s="4">
        <v>14.235099999999999</v>
      </c>
      <c r="K1676" s="4">
        <v>14.684799999999999</v>
      </c>
      <c r="L1676" s="4">
        <v>14.165100000000001</v>
      </c>
      <c r="M1676" s="4">
        <f t="shared" si="105"/>
        <v>14.361666666666666</v>
      </c>
      <c r="P1676" s="4" t="str">
        <f>"K02C4.3"</f>
        <v>K02C4.3</v>
      </c>
      <c r="Q1676" s="4">
        <v>13.988381873250001</v>
      </c>
      <c r="R1676" s="4">
        <v>13.878626579619899</v>
      </c>
      <c r="S1676" s="4">
        <v>13.9673333766768</v>
      </c>
      <c r="T1676" s="4">
        <f t="shared" si="106"/>
        <v>13.9447806098489</v>
      </c>
      <c r="W1676" s="4" t="str">
        <f>"F39H12.3"</f>
        <v>F39H12.3</v>
      </c>
      <c r="X1676" s="4">
        <v>13.791961384259499</v>
      </c>
      <c r="Y1676" s="4">
        <v>14.1363033869996</v>
      </c>
      <c r="Z1676" s="4">
        <v>14.244965599075</v>
      </c>
      <c r="AA1676" s="4">
        <f t="shared" si="107"/>
        <v>14.057743456778034</v>
      </c>
    </row>
    <row r="1677" spans="2:27" x14ac:dyDescent="0.2">
      <c r="B1677" s="4" t="s">
        <v>1066</v>
      </c>
      <c r="C1677" s="4">
        <v>14.3264</v>
      </c>
      <c r="D1677" s="4">
        <v>14.3925</v>
      </c>
      <c r="E1677" s="4">
        <v>14.407999999999999</v>
      </c>
      <c r="F1677" s="4">
        <f t="shared" si="104"/>
        <v>14.375633333333333</v>
      </c>
      <c r="I1677" s="4" t="s">
        <v>3894</v>
      </c>
      <c r="J1677" s="4">
        <v>14.351000000000001</v>
      </c>
      <c r="K1677" s="4">
        <v>14.476800000000001</v>
      </c>
      <c r="L1677" s="4">
        <v>14.253399999999999</v>
      </c>
      <c r="M1677" s="4">
        <f t="shared" si="105"/>
        <v>14.3604</v>
      </c>
      <c r="P1677" s="4" t="str">
        <f>"vps-34"</f>
        <v>vps-34</v>
      </c>
      <c r="Q1677" s="4">
        <v>13.8791431400332</v>
      </c>
      <c r="R1677" s="4">
        <v>14.0137639829624</v>
      </c>
      <c r="S1677" s="4">
        <v>13.938668781791201</v>
      </c>
      <c r="T1677" s="4">
        <f t="shared" si="106"/>
        <v>13.943858634928935</v>
      </c>
      <c r="W1677" s="4" t="str">
        <f>"R10E4.9"</f>
        <v>R10E4.9</v>
      </c>
      <c r="X1677" s="4">
        <v>14.101205146258099</v>
      </c>
      <c r="Y1677" s="4">
        <v>14.0767900425947</v>
      </c>
      <c r="Z1677" s="4">
        <v>13.989478408717501</v>
      </c>
      <c r="AA1677" s="4">
        <f t="shared" si="107"/>
        <v>14.055824532523433</v>
      </c>
    </row>
    <row r="1678" spans="2:27" x14ac:dyDescent="0.2">
      <c r="B1678" s="4" t="s">
        <v>4289</v>
      </c>
      <c r="C1678" s="4">
        <v>14.5459</v>
      </c>
      <c r="D1678" s="4">
        <v>14.4453</v>
      </c>
      <c r="E1678" s="4">
        <v>14.132199999999999</v>
      </c>
      <c r="F1678" s="4">
        <f t="shared" si="104"/>
        <v>14.374466666666665</v>
      </c>
      <c r="I1678" s="4" t="s">
        <v>3023</v>
      </c>
      <c r="J1678" s="4">
        <v>14.007</v>
      </c>
      <c r="K1678" s="4">
        <v>14.4253</v>
      </c>
      <c r="L1678" s="4">
        <v>14.6454</v>
      </c>
      <c r="M1678" s="4">
        <f t="shared" si="105"/>
        <v>14.359233333333334</v>
      </c>
      <c r="P1678" s="4" t="str">
        <f>"rbm-34"</f>
        <v>rbm-34</v>
      </c>
      <c r="Q1678" s="4">
        <v>14.1366588783008</v>
      </c>
      <c r="R1678" s="4">
        <v>13.95500009569</v>
      </c>
      <c r="S1678" s="4">
        <v>13.7330113929064</v>
      </c>
      <c r="T1678" s="4">
        <f t="shared" si="106"/>
        <v>13.941556788965734</v>
      </c>
      <c r="W1678" s="4" t="str">
        <f>"klp-18"</f>
        <v>klp-18</v>
      </c>
      <c r="X1678" s="4">
        <v>14.1817537434908</v>
      </c>
      <c r="Y1678" s="4">
        <v>13.9580154341433</v>
      </c>
      <c r="Z1678" s="4">
        <v>14.0193024412808</v>
      </c>
      <c r="AA1678" s="4">
        <f t="shared" si="107"/>
        <v>14.053023872971634</v>
      </c>
    </row>
    <row r="1679" spans="2:27" x14ac:dyDescent="0.2">
      <c r="B1679" s="4" t="s">
        <v>3174</v>
      </c>
      <c r="C1679" s="4">
        <v>14.045</v>
      </c>
      <c r="D1679" s="4">
        <v>14.5952</v>
      </c>
      <c r="E1679" s="4">
        <v>14.4808</v>
      </c>
      <c r="F1679" s="4">
        <f t="shared" si="104"/>
        <v>14.373666666666667</v>
      </c>
      <c r="I1679" s="4" t="s">
        <v>2123</v>
      </c>
      <c r="J1679" s="4">
        <v>14.452299999999999</v>
      </c>
      <c r="K1679" s="4">
        <v>14.1225</v>
      </c>
      <c r="L1679" s="4">
        <v>14.4956</v>
      </c>
      <c r="M1679" s="4">
        <f t="shared" si="105"/>
        <v>14.3568</v>
      </c>
      <c r="P1679" s="4" t="str">
        <f>"rga-3"</f>
        <v>rga-3</v>
      </c>
      <c r="Q1679" s="4">
        <v>14.2990203439805</v>
      </c>
      <c r="R1679" s="4">
        <v>13.8230357674344</v>
      </c>
      <c r="S1679" s="4">
        <v>13.7023402326981</v>
      </c>
      <c r="T1679" s="4">
        <f t="shared" si="106"/>
        <v>13.941465448037667</v>
      </c>
      <c r="W1679" s="4" t="str">
        <f>"cpsf-3"</f>
        <v>cpsf-3</v>
      </c>
      <c r="X1679" s="4">
        <v>13.9677339921681</v>
      </c>
      <c r="Y1679" s="4">
        <v>14.1404424790113</v>
      </c>
      <c r="Z1679" s="4">
        <v>14.0483421052251</v>
      </c>
      <c r="AA1679" s="4">
        <f t="shared" si="107"/>
        <v>14.052172858801498</v>
      </c>
    </row>
    <row r="1680" spans="2:27" x14ac:dyDescent="0.2">
      <c r="B1680" s="4" t="s">
        <v>2713</v>
      </c>
      <c r="C1680" s="4">
        <v>14.459300000000001</v>
      </c>
      <c r="D1680" s="4">
        <v>14.098599999999999</v>
      </c>
      <c r="E1680" s="4">
        <v>14.5609</v>
      </c>
      <c r="F1680" s="4">
        <f t="shared" si="104"/>
        <v>14.372933333333334</v>
      </c>
      <c r="I1680" s="4" t="s">
        <v>4614</v>
      </c>
      <c r="J1680" s="4">
        <v>14.4412</v>
      </c>
      <c r="K1680" s="4">
        <v>14.493600000000001</v>
      </c>
      <c r="L1680" s="4">
        <v>14.1348</v>
      </c>
      <c r="M1680" s="4">
        <f t="shared" si="105"/>
        <v>14.356533333333333</v>
      </c>
      <c r="P1680" s="4" t="str">
        <f>"ugt-22"</f>
        <v>ugt-22</v>
      </c>
      <c r="Q1680" s="4">
        <v>13.5939016795589</v>
      </c>
      <c r="R1680" s="4">
        <v>13.979332867624599</v>
      </c>
      <c r="S1680" s="4">
        <v>14.2489390381142</v>
      </c>
      <c r="T1680" s="4">
        <f t="shared" si="106"/>
        <v>13.940724528432566</v>
      </c>
      <c r="W1680" s="4" t="str">
        <f>"xpd-1"</f>
        <v>xpd-1</v>
      </c>
      <c r="X1680" s="4">
        <v>13.9964528432119</v>
      </c>
      <c r="Y1680" s="4">
        <v>14.085532279493499</v>
      </c>
      <c r="Z1680" s="4">
        <v>14.0674645822518</v>
      </c>
      <c r="AA1680" s="4">
        <f t="shared" si="107"/>
        <v>14.049816568319066</v>
      </c>
    </row>
    <row r="1681" spans="2:27" x14ac:dyDescent="0.2">
      <c r="B1681" s="4" t="s">
        <v>2868</v>
      </c>
      <c r="C1681" s="4">
        <v>14.150399999999999</v>
      </c>
      <c r="D1681" s="4">
        <v>14.419499999999999</v>
      </c>
      <c r="E1681" s="4">
        <v>14.542899999999999</v>
      </c>
      <c r="F1681" s="4">
        <f t="shared" si="104"/>
        <v>14.370933333333332</v>
      </c>
      <c r="I1681" s="4" t="s">
        <v>1470</v>
      </c>
      <c r="J1681" s="4">
        <v>14.526400000000001</v>
      </c>
      <c r="K1681" s="4">
        <v>13.8294</v>
      </c>
      <c r="L1681" s="4">
        <v>14.711399999999999</v>
      </c>
      <c r="M1681" s="4">
        <f t="shared" si="105"/>
        <v>14.355733333333333</v>
      </c>
      <c r="P1681" s="4" t="str">
        <f>"Y39A3CL.4"</f>
        <v>Y39A3CL.4</v>
      </c>
      <c r="Q1681" s="4">
        <v>13.473139436885299</v>
      </c>
      <c r="R1681" s="4">
        <v>14.1181862511069</v>
      </c>
      <c r="S1681" s="4">
        <v>14.212103319589399</v>
      </c>
      <c r="T1681" s="4">
        <f t="shared" si="106"/>
        <v>13.934476335860532</v>
      </c>
      <c r="W1681" s="4" t="str">
        <f>"ubc-26"</f>
        <v>ubc-26</v>
      </c>
      <c r="X1681" s="4">
        <v>14.3435331769985</v>
      </c>
      <c r="Y1681" s="4">
        <v>14.2289255062637</v>
      </c>
      <c r="Z1681" s="4">
        <v>13.575506375269301</v>
      </c>
      <c r="AA1681" s="4">
        <f t="shared" si="107"/>
        <v>14.049321686177166</v>
      </c>
    </row>
    <row r="1682" spans="2:27" x14ac:dyDescent="0.2">
      <c r="B1682" s="4" t="s">
        <v>146</v>
      </c>
      <c r="C1682" s="4">
        <v>14.322699999999999</v>
      </c>
      <c r="D1682" s="4">
        <v>14.1182</v>
      </c>
      <c r="E1682" s="4">
        <v>14.664</v>
      </c>
      <c r="F1682" s="4">
        <f t="shared" si="104"/>
        <v>14.3683</v>
      </c>
      <c r="I1682" s="4" t="s">
        <v>2497</v>
      </c>
      <c r="J1682" s="4">
        <v>14.534000000000001</v>
      </c>
      <c r="K1682" s="4">
        <v>14.1373</v>
      </c>
      <c r="L1682" s="4">
        <v>14.389099999999999</v>
      </c>
      <c r="M1682" s="4">
        <f t="shared" si="105"/>
        <v>14.353466666666668</v>
      </c>
      <c r="P1682" s="4" t="str">
        <f>"gtbp-1"</f>
        <v>gtbp-1</v>
      </c>
      <c r="Q1682" s="4">
        <v>14.002012917315399</v>
      </c>
      <c r="R1682" s="4">
        <v>13.763232153195901</v>
      </c>
      <c r="S1682" s="4">
        <v>14.0368888253553</v>
      </c>
      <c r="T1682" s="4">
        <f t="shared" si="106"/>
        <v>13.934044631955532</v>
      </c>
      <c r="W1682" s="4" t="str">
        <f>"sql-1"</f>
        <v>sql-1</v>
      </c>
      <c r="X1682" s="4">
        <v>13.954446385302999</v>
      </c>
      <c r="Y1682" s="4">
        <v>13.5995490578612</v>
      </c>
      <c r="Z1682" s="4">
        <v>14.5916541632199</v>
      </c>
      <c r="AA1682" s="4">
        <f t="shared" si="107"/>
        <v>14.0485498687947</v>
      </c>
    </row>
    <row r="1683" spans="2:27" x14ac:dyDescent="0.2">
      <c r="B1683" s="4" t="s">
        <v>3111</v>
      </c>
      <c r="C1683" s="4">
        <v>14.2707</v>
      </c>
      <c r="D1683" s="4">
        <v>14.533300000000001</v>
      </c>
      <c r="E1683" s="4">
        <v>14.3009</v>
      </c>
      <c r="F1683" s="4">
        <f t="shared" si="104"/>
        <v>14.3683</v>
      </c>
      <c r="I1683" s="4" t="s">
        <v>3779</v>
      </c>
      <c r="J1683" s="4">
        <v>14.3134</v>
      </c>
      <c r="K1683" s="4">
        <v>14.8725</v>
      </c>
      <c r="L1683" s="4">
        <v>13.8734</v>
      </c>
      <c r="M1683" s="4">
        <f t="shared" si="105"/>
        <v>14.3531</v>
      </c>
      <c r="P1683" s="4" t="str">
        <f>"lam-1"</f>
        <v>lam-1</v>
      </c>
      <c r="Q1683" s="4">
        <v>14.1280559836273</v>
      </c>
      <c r="R1683" s="4">
        <v>13.6749047258358</v>
      </c>
      <c r="S1683" s="4">
        <v>13.9959836983282</v>
      </c>
      <c r="T1683" s="4">
        <f t="shared" si="106"/>
        <v>13.932981469263765</v>
      </c>
      <c r="W1683" s="4" t="str">
        <f>"pmk-1"</f>
        <v>pmk-1</v>
      </c>
      <c r="X1683" s="4">
        <v>14.2064493492938</v>
      </c>
      <c r="Y1683" s="4">
        <v>14.0667870778107</v>
      </c>
      <c r="Z1683" s="4">
        <v>13.8636193275397</v>
      </c>
      <c r="AA1683" s="4">
        <f t="shared" si="107"/>
        <v>14.045618584881401</v>
      </c>
    </row>
    <row r="1684" spans="2:27" x14ac:dyDescent="0.2">
      <c r="B1684" s="4" t="s">
        <v>1757</v>
      </c>
      <c r="C1684" s="4">
        <v>14.415800000000001</v>
      </c>
      <c r="D1684" s="4">
        <v>14.228400000000001</v>
      </c>
      <c r="E1684" s="4">
        <v>14.4564</v>
      </c>
      <c r="F1684" s="4">
        <f t="shared" si="104"/>
        <v>14.366866666666667</v>
      </c>
      <c r="I1684" s="4" t="s">
        <v>4684</v>
      </c>
      <c r="J1684" s="4">
        <v>14.1883</v>
      </c>
      <c r="K1684" s="4">
        <v>14.7272</v>
      </c>
      <c r="L1684" s="4">
        <v>14.1389</v>
      </c>
      <c r="M1684" s="4">
        <f t="shared" si="105"/>
        <v>14.351466666666667</v>
      </c>
      <c r="P1684" s="4" t="str">
        <f>"npp-12"</f>
        <v>npp-12</v>
      </c>
      <c r="Q1684" s="4">
        <v>13.639863779441599</v>
      </c>
      <c r="R1684" s="4">
        <v>13.9805471828517</v>
      </c>
      <c r="S1684" s="4">
        <v>14.1718850345421</v>
      </c>
      <c r="T1684" s="4">
        <f t="shared" si="106"/>
        <v>13.930765332278467</v>
      </c>
      <c r="W1684" s="4" t="str">
        <f>"ephx-1"</f>
        <v>ephx-1</v>
      </c>
      <c r="X1684" s="4">
        <v>14.1101273190569</v>
      </c>
      <c r="Y1684" s="4">
        <v>13.6832096916417</v>
      </c>
      <c r="Z1684" s="4">
        <v>14.3409642274909</v>
      </c>
      <c r="AA1684" s="4">
        <f t="shared" si="107"/>
        <v>14.0447670793965</v>
      </c>
    </row>
    <row r="1685" spans="2:27" x14ac:dyDescent="0.2">
      <c r="B1685" s="4" t="s">
        <v>4701</v>
      </c>
      <c r="C1685" s="4">
        <v>13.5158</v>
      </c>
      <c r="D1685" s="4">
        <v>14.7971</v>
      </c>
      <c r="E1685" s="4">
        <v>14.7852</v>
      </c>
      <c r="F1685" s="4">
        <f t="shared" si="104"/>
        <v>14.366033333333334</v>
      </c>
      <c r="I1685" s="4" t="s">
        <v>3445</v>
      </c>
      <c r="J1685" s="4">
        <v>14.388199999999999</v>
      </c>
      <c r="K1685" s="4">
        <v>14.5665</v>
      </c>
      <c r="L1685" s="4">
        <v>14.096399999999999</v>
      </c>
      <c r="M1685" s="4">
        <f t="shared" si="105"/>
        <v>14.350366666666666</v>
      </c>
      <c r="P1685" s="4" t="str">
        <f>"byn-1"</f>
        <v>byn-1</v>
      </c>
      <c r="Q1685" s="4">
        <v>14.1747070016938</v>
      </c>
      <c r="R1685" s="4">
        <v>14.0743766799455</v>
      </c>
      <c r="S1685" s="4">
        <v>13.5423242114744</v>
      </c>
      <c r="T1685" s="4">
        <f t="shared" si="106"/>
        <v>13.930469297704567</v>
      </c>
      <c r="W1685" s="4" t="str">
        <f>"ints-5"</f>
        <v>ints-5</v>
      </c>
      <c r="X1685" s="4">
        <v>14.2085904718521</v>
      </c>
      <c r="Y1685" s="4">
        <v>13.945048099968</v>
      </c>
      <c r="Z1685" s="4">
        <v>13.9724823623307</v>
      </c>
      <c r="AA1685" s="4">
        <f t="shared" si="107"/>
        <v>14.0420403113836</v>
      </c>
    </row>
    <row r="1686" spans="2:27" x14ac:dyDescent="0.2">
      <c r="B1686" s="4" t="s">
        <v>2345</v>
      </c>
      <c r="C1686" s="4">
        <v>14.1371</v>
      </c>
      <c r="D1686" s="4">
        <v>14.063800000000001</v>
      </c>
      <c r="E1686" s="4">
        <v>14.8971</v>
      </c>
      <c r="F1686" s="4">
        <f t="shared" si="104"/>
        <v>14.366</v>
      </c>
      <c r="I1686" s="4" t="s">
        <v>1274</v>
      </c>
      <c r="J1686" s="4">
        <v>14.5174</v>
      </c>
      <c r="K1686" s="4">
        <v>14.2309</v>
      </c>
      <c r="L1686" s="4">
        <v>14.299300000000001</v>
      </c>
      <c r="M1686" s="4">
        <f t="shared" si="105"/>
        <v>14.349200000000002</v>
      </c>
      <c r="P1686" s="4" t="str">
        <f>"sftb-2"</f>
        <v>sftb-2</v>
      </c>
      <c r="Q1686" s="4">
        <v>14.049992935866999</v>
      </c>
      <c r="R1686" s="4">
        <v>13.960362599598801</v>
      </c>
      <c r="S1686" s="4">
        <v>13.7790032109894</v>
      </c>
      <c r="T1686" s="4">
        <f t="shared" si="106"/>
        <v>13.929786248818401</v>
      </c>
      <c r="W1686" s="4" t="str">
        <f>"apm-3"</f>
        <v>apm-3</v>
      </c>
      <c r="X1686" s="4">
        <v>14.039952030093801</v>
      </c>
      <c r="Y1686" s="4">
        <v>14.0563665287512</v>
      </c>
      <c r="Z1686" s="4">
        <v>14.029613777885499</v>
      </c>
      <c r="AA1686" s="4">
        <f t="shared" si="107"/>
        <v>14.041977445576833</v>
      </c>
    </row>
    <row r="1687" spans="2:27" x14ac:dyDescent="0.2">
      <c r="B1687" s="4" t="s">
        <v>1640</v>
      </c>
      <c r="C1687" s="4">
        <v>14.1973</v>
      </c>
      <c r="D1687" s="4">
        <v>14.424200000000001</v>
      </c>
      <c r="E1687" s="4">
        <v>14.4694</v>
      </c>
      <c r="F1687" s="4">
        <f t="shared" si="104"/>
        <v>14.363633333333334</v>
      </c>
      <c r="I1687" s="4" t="s">
        <v>1917</v>
      </c>
      <c r="J1687" s="4">
        <v>14.626200000000001</v>
      </c>
      <c r="K1687" s="4">
        <v>14.5083</v>
      </c>
      <c r="L1687" s="4">
        <v>13.909599999999999</v>
      </c>
      <c r="M1687" s="4">
        <f t="shared" si="105"/>
        <v>14.348033333333333</v>
      </c>
      <c r="P1687" s="4" t="str">
        <f>"nmy-1"</f>
        <v>nmy-1</v>
      </c>
      <c r="Q1687" s="4">
        <v>13.977193264555501</v>
      </c>
      <c r="R1687" s="4">
        <v>13.5325190972023</v>
      </c>
      <c r="S1687" s="4">
        <v>14.2751193458539</v>
      </c>
      <c r="T1687" s="4">
        <f t="shared" si="106"/>
        <v>13.928277235870567</v>
      </c>
      <c r="W1687" s="4" t="str">
        <f>"hsp-16.49"</f>
        <v>hsp-16.49</v>
      </c>
      <c r="X1687" s="4">
        <v>14.3180830307468</v>
      </c>
      <c r="Y1687" s="4">
        <v>13.8255439954255</v>
      </c>
      <c r="Z1687" s="4">
        <v>13.977670938625</v>
      </c>
      <c r="AA1687" s="4">
        <f t="shared" si="107"/>
        <v>14.040432654932433</v>
      </c>
    </row>
    <row r="1688" spans="2:27" x14ac:dyDescent="0.2">
      <c r="B1688" s="4" t="s">
        <v>3201</v>
      </c>
      <c r="C1688" s="4">
        <v>14.528499999999999</v>
      </c>
      <c r="D1688" s="4">
        <v>14.013299999999999</v>
      </c>
      <c r="E1688" s="4">
        <v>14.5458</v>
      </c>
      <c r="F1688" s="4">
        <f t="shared" si="104"/>
        <v>14.362533333333332</v>
      </c>
      <c r="I1688" s="4" t="s">
        <v>4396</v>
      </c>
      <c r="J1688" s="4">
        <v>14.391</v>
      </c>
      <c r="K1688" s="4">
        <v>14.7464</v>
      </c>
      <c r="L1688" s="4">
        <v>13.904199999999999</v>
      </c>
      <c r="M1688" s="4">
        <f t="shared" si="105"/>
        <v>14.347200000000001</v>
      </c>
      <c r="P1688" s="4" t="str">
        <f>"ntl-11"</f>
        <v>ntl-11</v>
      </c>
      <c r="Q1688" s="4">
        <v>13.9928637914762</v>
      </c>
      <c r="R1688" s="4">
        <v>13.8670645704858</v>
      </c>
      <c r="S1688" s="4">
        <v>13.9224501971308</v>
      </c>
      <c r="T1688" s="4">
        <f t="shared" si="106"/>
        <v>13.927459519697599</v>
      </c>
      <c r="W1688" s="4" t="str">
        <f>"C18B2.4"</f>
        <v>C18B2.4</v>
      </c>
      <c r="X1688" s="4">
        <v>13.3020306965399</v>
      </c>
      <c r="Y1688" s="4">
        <v>14.4762421099281</v>
      </c>
      <c r="Z1688" s="4">
        <v>14.3428212633504</v>
      </c>
      <c r="AA1688" s="4">
        <f t="shared" si="107"/>
        <v>14.040364689939466</v>
      </c>
    </row>
    <row r="1689" spans="2:27" x14ac:dyDescent="0.2">
      <c r="B1689" s="4" t="s">
        <v>4232</v>
      </c>
      <c r="C1689" s="4">
        <v>13.8064</v>
      </c>
      <c r="D1689" s="4">
        <v>14.6905</v>
      </c>
      <c r="E1689" s="4">
        <v>14.5779</v>
      </c>
      <c r="F1689" s="4">
        <f t="shared" si="104"/>
        <v>14.358266666666665</v>
      </c>
      <c r="I1689" s="4" t="s">
        <v>88</v>
      </c>
      <c r="J1689" s="4">
        <v>14.2369</v>
      </c>
      <c r="K1689" s="4">
        <v>14.3307</v>
      </c>
      <c r="L1689" s="4">
        <v>14.470800000000001</v>
      </c>
      <c r="M1689" s="4">
        <f t="shared" si="105"/>
        <v>14.346133333333333</v>
      </c>
      <c r="P1689" s="4" t="str">
        <f>"T23H2.3"</f>
        <v>T23H2.3</v>
      </c>
      <c r="Q1689" s="4">
        <v>14.006886137172</v>
      </c>
      <c r="R1689" s="4">
        <v>13.870775427040099</v>
      </c>
      <c r="S1689" s="4">
        <v>13.9021319307188</v>
      </c>
      <c r="T1689" s="4">
        <f t="shared" si="106"/>
        <v>13.926597831643633</v>
      </c>
      <c r="W1689" s="4" t="str">
        <f>"fat-1"</f>
        <v>fat-1</v>
      </c>
      <c r="X1689" s="4">
        <v>14.086690553146999</v>
      </c>
      <c r="Y1689" s="4">
        <v>14.033685233113699</v>
      </c>
      <c r="Z1689" s="4">
        <v>13.993890235959199</v>
      </c>
      <c r="AA1689" s="4">
        <f t="shared" si="107"/>
        <v>14.038088674073299</v>
      </c>
    </row>
    <row r="1690" spans="2:27" x14ac:dyDescent="0.2">
      <c r="B1690" s="4" t="s">
        <v>4370</v>
      </c>
      <c r="C1690" s="4">
        <v>14.2659</v>
      </c>
      <c r="D1690" s="4">
        <v>14.572100000000001</v>
      </c>
      <c r="E1690" s="4">
        <v>14.2356</v>
      </c>
      <c r="F1690" s="4">
        <f t="shared" si="104"/>
        <v>14.357866666666666</v>
      </c>
      <c r="I1690" s="4" t="s">
        <v>3960</v>
      </c>
      <c r="J1690" s="4">
        <v>14.2331</v>
      </c>
      <c r="K1690" s="4">
        <v>14.3759</v>
      </c>
      <c r="L1690" s="4">
        <v>14.4236</v>
      </c>
      <c r="M1690" s="4">
        <f t="shared" si="105"/>
        <v>14.344200000000001</v>
      </c>
      <c r="P1690" s="4" t="str">
        <f>"acly-1"</f>
        <v>acly-1</v>
      </c>
      <c r="Q1690" s="4">
        <v>13.7121568745738</v>
      </c>
      <c r="R1690" s="4">
        <v>14.0164166895725</v>
      </c>
      <c r="S1690" s="4">
        <v>14.049411822345499</v>
      </c>
      <c r="T1690" s="4">
        <f t="shared" si="106"/>
        <v>13.9259951288306</v>
      </c>
      <c r="W1690" s="4" t="str">
        <f>"ugt-23"</f>
        <v>ugt-23</v>
      </c>
      <c r="X1690" s="4">
        <v>14.1502123083845</v>
      </c>
      <c r="Y1690" s="4">
        <v>14.1450451478376</v>
      </c>
      <c r="Z1690" s="4">
        <v>13.815690937290199</v>
      </c>
      <c r="AA1690" s="4">
        <f t="shared" si="107"/>
        <v>14.036982797837434</v>
      </c>
    </row>
    <row r="1691" spans="2:27" x14ac:dyDescent="0.2">
      <c r="B1691" s="4" t="s">
        <v>1177</v>
      </c>
      <c r="C1691" s="4">
        <v>14.1838</v>
      </c>
      <c r="D1691" s="4">
        <v>14.5761</v>
      </c>
      <c r="E1691" s="4">
        <v>14.311400000000001</v>
      </c>
      <c r="F1691" s="4">
        <f t="shared" si="104"/>
        <v>14.357100000000001</v>
      </c>
      <c r="I1691" s="4" t="s">
        <v>4258</v>
      </c>
      <c r="J1691" s="4">
        <v>14.216200000000001</v>
      </c>
      <c r="K1691" s="4">
        <v>14.668699999999999</v>
      </c>
      <c r="L1691" s="4">
        <v>14.1409</v>
      </c>
      <c r="M1691" s="4">
        <f t="shared" si="105"/>
        <v>14.341933333333335</v>
      </c>
      <c r="P1691" s="4" t="str">
        <f>"K05C4.5"</f>
        <v>K05C4.5</v>
      </c>
      <c r="Q1691" s="4">
        <v>13.9648904021325</v>
      </c>
      <c r="R1691" s="4">
        <v>13.888279391690199</v>
      </c>
      <c r="S1691" s="4">
        <v>13.924071070397</v>
      </c>
      <c r="T1691" s="4">
        <f t="shared" si="106"/>
        <v>13.9257469547399</v>
      </c>
      <c r="W1691" s="4" t="str">
        <f>"kin-4"</f>
        <v>kin-4</v>
      </c>
      <c r="X1691" s="4">
        <v>13.991908174040899</v>
      </c>
      <c r="Y1691" s="4">
        <v>14.0009615222455</v>
      </c>
      <c r="Z1691" s="4">
        <v>14.117025056329</v>
      </c>
      <c r="AA1691" s="4">
        <f t="shared" si="107"/>
        <v>14.036631584205132</v>
      </c>
    </row>
    <row r="1692" spans="2:27" x14ac:dyDescent="0.2">
      <c r="B1692" s="4" t="s">
        <v>1926</v>
      </c>
      <c r="C1692" s="4">
        <v>14.048999999999999</v>
      </c>
      <c r="D1692" s="4">
        <v>14.253399999999999</v>
      </c>
      <c r="E1692" s="4">
        <v>14.765499999999999</v>
      </c>
      <c r="F1692" s="4">
        <f t="shared" si="104"/>
        <v>14.355966666666665</v>
      </c>
      <c r="I1692" s="4" t="s">
        <v>4702</v>
      </c>
      <c r="J1692" s="4">
        <v>14.164</v>
      </c>
      <c r="K1692" s="4">
        <v>14.397399999999999</v>
      </c>
      <c r="L1692" s="4">
        <v>14.4643</v>
      </c>
      <c r="M1692" s="4">
        <f t="shared" si="105"/>
        <v>14.341900000000001</v>
      </c>
      <c r="P1692" s="4" t="str">
        <f>"K10B4.3"</f>
        <v>K10B4.3</v>
      </c>
      <c r="Q1692" s="4">
        <v>14.334737518684101</v>
      </c>
      <c r="R1692" s="4">
        <v>13.771538033916</v>
      </c>
      <c r="S1692" s="4">
        <v>13.6602157217586</v>
      </c>
      <c r="T1692" s="4">
        <f t="shared" si="106"/>
        <v>13.922163758119567</v>
      </c>
      <c r="W1692" s="4" t="str">
        <f>"epg-4"</f>
        <v>epg-4</v>
      </c>
      <c r="X1692" s="4">
        <v>14.1706244846886</v>
      </c>
      <c r="Y1692" s="4">
        <v>14.0757221709011</v>
      </c>
      <c r="Z1692" s="4">
        <v>13.862035455946099</v>
      </c>
      <c r="AA1692" s="4">
        <f t="shared" si="107"/>
        <v>14.036127370511934</v>
      </c>
    </row>
    <row r="1693" spans="2:27" x14ac:dyDescent="0.2">
      <c r="B1693" s="4" t="s">
        <v>443</v>
      </c>
      <c r="C1693" s="4">
        <v>14.3187</v>
      </c>
      <c r="D1693" s="4">
        <v>14.249000000000001</v>
      </c>
      <c r="E1693" s="4">
        <v>14.4954</v>
      </c>
      <c r="F1693" s="4">
        <f t="shared" si="104"/>
        <v>14.354366666666669</v>
      </c>
      <c r="I1693" s="4" t="s">
        <v>2772</v>
      </c>
      <c r="J1693" s="4">
        <v>14.3416</v>
      </c>
      <c r="K1693" s="4">
        <v>14.434100000000001</v>
      </c>
      <c r="L1693" s="4">
        <v>14.2483</v>
      </c>
      <c r="M1693" s="4">
        <f t="shared" si="105"/>
        <v>14.341333333333333</v>
      </c>
      <c r="P1693" s="4" t="str">
        <f>"Y73C8B.1"</f>
        <v>Y73C8B.1</v>
      </c>
      <c r="Q1693" s="4">
        <v>14.213961228086699</v>
      </c>
      <c r="R1693" s="4">
        <v>13.817834910070699</v>
      </c>
      <c r="S1693" s="4">
        <v>13.733693980296501</v>
      </c>
      <c r="T1693" s="4">
        <f t="shared" si="106"/>
        <v>13.921830039484632</v>
      </c>
      <c r="W1693" s="4" t="str">
        <f>"adr-2"</f>
        <v>adr-2</v>
      </c>
      <c r="X1693" s="4">
        <v>14.129421066756599</v>
      </c>
      <c r="Y1693" s="4">
        <v>14.0090038323226</v>
      </c>
      <c r="Z1693" s="4">
        <v>13.968706702475201</v>
      </c>
      <c r="AA1693" s="4">
        <f t="shared" si="107"/>
        <v>14.035710533851466</v>
      </c>
    </row>
    <row r="1694" spans="2:27" x14ac:dyDescent="0.2">
      <c r="B1694" s="4" t="s">
        <v>2649</v>
      </c>
      <c r="C1694" s="4">
        <v>14.113</v>
      </c>
      <c r="D1694" s="4">
        <v>14.4918</v>
      </c>
      <c r="E1694" s="4">
        <v>14.4572</v>
      </c>
      <c r="F1694" s="4">
        <f t="shared" si="104"/>
        <v>14.353999999999999</v>
      </c>
      <c r="I1694" s="4" t="s">
        <v>386</v>
      </c>
      <c r="J1694" s="4">
        <v>14.8073</v>
      </c>
      <c r="K1694" s="4">
        <v>14.405900000000001</v>
      </c>
      <c r="L1694" s="4">
        <v>13.8026</v>
      </c>
      <c r="M1694" s="4">
        <f t="shared" si="105"/>
        <v>14.3386</v>
      </c>
      <c r="P1694" s="4" t="str">
        <f>"fbxc-52"</f>
        <v>fbxc-52</v>
      </c>
      <c r="Q1694" s="4">
        <v>13.999919177878001</v>
      </c>
      <c r="R1694" s="4">
        <v>13.791025177868001</v>
      </c>
      <c r="S1694" s="4">
        <v>13.971149780506099</v>
      </c>
      <c r="T1694" s="4">
        <f t="shared" si="106"/>
        <v>13.920698045417367</v>
      </c>
      <c r="W1694" s="4" t="str">
        <f>"H40L08.1"</f>
        <v>H40L08.1</v>
      </c>
      <c r="X1694" s="4">
        <v>14.4372929396731</v>
      </c>
      <c r="Y1694" s="4">
        <v>13.8756079003892</v>
      </c>
      <c r="Z1694" s="4">
        <v>13.7929591651023</v>
      </c>
      <c r="AA1694" s="4">
        <f t="shared" si="107"/>
        <v>14.035286668388201</v>
      </c>
    </row>
    <row r="1695" spans="2:27" x14ac:dyDescent="0.2">
      <c r="B1695" s="4" t="s">
        <v>1564</v>
      </c>
      <c r="C1695" s="4">
        <v>14.581</v>
      </c>
      <c r="D1695" s="4">
        <v>14.283099999999999</v>
      </c>
      <c r="E1695" s="4">
        <v>14.190300000000001</v>
      </c>
      <c r="F1695" s="4">
        <f t="shared" si="104"/>
        <v>14.351466666666667</v>
      </c>
      <c r="I1695" s="4" t="s">
        <v>2580</v>
      </c>
      <c r="J1695" s="4">
        <v>14.289099999999999</v>
      </c>
      <c r="K1695" s="4">
        <v>14.419</v>
      </c>
      <c r="L1695" s="4">
        <v>14.3047</v>
      </c>
      <c r="M1695" s="4">
        <f t="shared" si="105"/>
        <v>14.3376</v>
      </c>
      <c r="P1695" s="4" t="str">
        <f>"ire-1"</f>
        <v>ire-1</v>
      </c>
      <c r="Q1695" s="4">
        <v>13.880647715180899</v>
      </c>
      <c r="R1695" s="4">
        <v>13.8752358447438</v>
      </c>
      <c r="S1695" s="4">
        <v>13.9912179974359</v>
      </c>
      <c r="T1695" s="4">
        <f t="shared" si="106"/>
        <v>13.915700519120199</v>
      </c>
      <c r="W1695" s="4" t="str">
        <f>"D1054.8"</f>
        <v>D1054.8</v>
      </c>
      <c r="X1695" s="4">
        <v>14.0305754640024</v>
      </c>
      <c r="Y1695" s="4">
        <v>14.1224436791599</v>
      </c>
      <c r="Z1695" s="4">
        <v>13.946622024719201</v>
      </c>
      <c r="AA1695" s="4">
        <f t="shared" si="107"/>
        <v>14.033213722627167</v>
      </c>
    </row>
    <row r="1696" spans="2:27" x14ac:dyDescent="0.2">
      <c r="B1696" s="4" t="s">
        <v>3040</v>
      </c>
      <c r="C1696" s="4">
        <v>14.3057</v>
      </c>
      <c r="D1696" s="4">
        <v>14.484</v>
      </c>
      <c r="E1696" s="4">
        <v>14.250999999999999</v>
      </c>
      <c r="F1696" s="4">
        <f t="shared" si="104"/>
        <v>14.3469</v>
      </c>
      <c r="I1696" s="4" t="s">
        <v>1439</v>
      </c>
      <c r="J1696" s="4">
        <v>14.1762</v>
      </c>
      <c r="K1696" s="4">
        <v>14.013500000000001</v>
      </c>
      <c r="L1696" s="4">
        <v>14.8172</v>
      </c>
      <c r="M1696" s="4">
        <f t="shared" si="105"/>
        <v>14.335633333333334</v>
      </c>
      <c r="P1696" s="4" t="str">
        <f>"sago-1"</f>
        <v>sago-1</v>
      </c>
      <c r="Q1696" s="4">
        <v>13.9107328918417</v>
      </c>
      <c r="R1696" s="4">
        <v>13.937136102595099</v>
      </c>
      <c r="S1696" s="4">
        <v>13.8953066974924</v>
      </c>
      <c r="T1696" s="4">
        <f t="shared" si="106"/>
        <v>13.914391897309734</v>
      </c>
      <c r="W1696" s="4" t="str">
        <f>"ugt-46"</f>
        <v>ugt-46</v>
      </c>
      <c r="X1696" s="4">
        <v>14.1644079623668</v>
      </c>
      <c r="Y1696" s="4">
        <v>14.1692721760366</v>
      </c>
      <c r="Z1696" s="4">
        <v>13.7622475955559</v>
      </c>
      <c r="AA1696" s="4">
        <f t="shared" si="107"/>
        <v>14.031975911319767</v>
      </c>
    </row>
    <row r="1697" spans="2:27" x14ac:dyDescent="0.2">
      <c r="B1697" s="4" t="s">
        <v>1968</v>
      </c>
      <c r="C1697" s="4">
        <v>14.5237</v>
      </c>
      <c r="D1697" s="4">
        <v>14.0227</v>
      </c>
      <c r="E1697" s="4">
        <v>14.4869</v>
      </c>
      <c r="F1697" s="4">
        <f t="shared" si="104"/>
        <v>14.344433333333333</v>
      </c>
      <c r="I1697" s="4" t="s">
        <v>277</v>
      </c>
      <c r="J1697" s="4">
        <v>14.468</v>
      </c>
      <c r="K1697" s="4">
        <v>14.664300000000001</v>
      </c>
      <c r="L1697" s="4">
        <v>13.8742</v>
      </c>
      <c r="M1697" s="4">
        <f t="shared" si="105"/>
        <v>14.335500000000001</v>
      </c>
      <c r="P1697" s="4" t="str">
        <f>"T28B4.1"</f>
        <v>T28B4.1</v>
      </c>
      <c r="Q1697" s="4">
        <v>14.1368552915501</v>
      </c>
      <c r="R1697" s="4">
        <v>13.763555288135599</v>
      </c>
      <c r="S1697" s="4">
        <v>13.836266120243399</v>
      </c>
      <c r="T1697" s="4">
        <f t="shared" si="106"/>
        <v>13.912225566643032</v>
      </c>
      <c r="W1697" s="4" t="str">
        <f>"C36A4.4"</f>
        <v>C36A4.4</v>
      </c>
      <c r="X1697" s="4">
        <v>13.9052323334184</v>
      </c>
      <c r="Y1697" s="4">
        <v>13.9608704646677</v>
      </c>
      <c r="Z1697" s="4">
        <v>14.2234143519018</v>
      </c>
      <c r="AA1697" s="4">
        <f t="shared" si="107"/>
        <v>14.029839049995966</v>
      </c>
    </row>
    <row r="1698" spans="2:27" x14ac:dyDescent="0.2">
      <c r="B1698" s="4" t="s">
        <v>2588</v>
      </c>
      <c r="C1698" s="4">
        <v>14.379300000000001</v>
      </c>
      <c r="D1698" s="4">
        <v>14.576700000000001</v>
      </c>
      <c r="E1698" s="4">
        <v>14.0733</v>
      </c>
      <c r="F1698" s="4">
        <f t="shared" si="104"/>
        <v>14.343100000000002</v>
      </c>
      <c r="I1698" s="4" t="s">
        <v>4346</v>
      </c>
      <c r="J1698" s="4">
        <v>12.9819</v>
      </c>
      <c r="K1698" s="4">
        <v>14.672599999999999</v>
      </c>
      <c r="L1698" s="4">
        <v>15.3508</v>
      </c>
      <c r="M1698" s="4">
        <f t="shared" si="105"/>
        <v>14.335099999999999</v>
      </c>
      <c r="P1698" s="4" t="str">
        <f>"Y38C1AA.1"</f>
        <v>Y38C1AA.1</v>
      </c>
      <c r="Q1698" s="4">
        <v>13.9133979280468</v>
      </c>
      <c r="R1698" s="4">
        <v>14.054224505370501</v>
      </c>
      <c r="S1698" s="4">
        <v>13.767491019794599</v>
      </c>
      <c r="T1698" s="4">
        <f t="shared" si="106"/>
        <v>13.911704484403968</v>
      </c>
      <c r="W1698" s="4" t="str">
        <f>"lea-1"</f>
        <v>lea-1</v>
      </c>
      <c r="X1698" s="4">
        <v>14.263314901006201</v>
      </c>
      <c r="Y1698" s="4">
        <v>13.8081312709868</v>
      </c>
      <c r="Z1698" s="4">
        <v>14.011216183898499</v>
      </c>
      <c r="AA1698" s="4">
        <f t="shared" si="107"/>
        <v>14.0275541186305</v>
      </c>
    </row>
    <row r="1699" spans="2:27" x14ac:dyDescent="0.2">
      <c r="B1699" s="4" t="s">
        <v>2659</v>
      </c>
      <c r="C1699" s="4">
        <v>14.279199999999999</v>
      </c>
      <c r="D1699" s="4">
        <v>14.3514</v>
      </c>
      <c r="E1699" s="4">
        <v>14.398099999999999</v>
      </c>
      <c r="F1699" s="4">
        <f t="shared" si="104"/>
        <v>14.3429</v>
      </c>
      <c r="I1699" s="4" t="s">
        <v>4703</v>
      </c>
      <c r="J1699" s="4">
        <v>14.563499999999999</v>
      </c>
      <c r="K1699" s="4">
        <v>14.8253</v>
      </c>
      <c r="L1699" s="4">
        <v>13.616099999999999</v>
      </c>
      <c r="M1699" s="4">
        <f t="shared" si="105"/>
        <v>14.334966666666666</v>
      </c>
      <c r="P1699" s="4" t="str">
        <f>"eat-16"</f>
        <v>eat-16</v>
      </c>
      <c r="Q1699" s="4">
        <v>13.9265985175374</v>
      </c>
      <c r="R1699" s="4">
        <v>13.8689142638418</v>
      </c>
      <c r="S1699" s="4">
        <v>13.9360033714011</v>
      </c>
      <c r="T1699" s="4">
        <f t="shared" si="106"/>
        <v>13.9105053842601</v>
      </c>
      <c r="W1699" s="4" t="str">
        <f>"K05C4.5"</f>
        <v>K05C4.5</v>
      </c>
      <c r="X1699" s="4">
        <v>14.165896860553699</v>
      </c>
      <c r="Y1699" s="4">
        <v>14.074172307436999</v>
      </c>
      <c r="Z1699" s="4">
        <v>13.842344845799101</v>
      </c>
      <c r="AA1699" s="4">
        <f t="shared" si="107"/>
        <v>14.027471337929933</v>
      </c>
    </row>
    <row r="1700" spans="2:27" x14ac:dyDescent="0.2">
      <c r="B1700" s="4" t="s">
        <v>3980</v>
      </c>
      <c r="C1700" s="4">
        <v>14.554</v>
      </c>
      <c r="D1700" s="4">
        <v>14.470700000000001</v>
      </c>
      <c r="E1700" s="4">
        <v>14.0024</v>
      </c>
      <c r="F1700" s="4">
        <f t="shared" si="104"/>
        <v>14.342366666666669</v>
      </c>
      <c r="I1700" s="4" t="s">
        <v>346</v>
      </c>
      <c r="J1700" s="4">
        <v>14.2951</v>
      </c>
      <c r="K1700" s="4">
        <v>14.3782</v>
      </c>
      <c r="L1700" s="4">
        <v>14.3307</v>
      </c>
      <c r="M1700" s="4">
        <f t="shared" si="105"/>
        <v>14.334666666666665</v>
      </c>
      <c r="P1700" s="4" t="str">
        <f>"T21C9.6"</f>
        <v>T21C9.6</v>
      </c>
      <c r="Q1700" s="4">
        <v>13.953767141228701</v>
      </c>
      <c r="R1700" s="4">
        <v>13.8980995313853</v>
      </c>
      <c r="S1700" s="4">
        <v>13.8782371986821</v>
      </c>
      <c r="T1700" s="4">
        <f t="shared" si="106"/>
        <v>13.910034623765368</v>
      </c>
      <c r="W1700" s="4" t="str">
        <f>"frl-1"</f>
        <v>frl-1</v>
      </c>
      <c r="X1700" s="4">
        <v>14.2169248574326</v>
      </c>
      <c r="Y1700" s="4">
        <v>14.009576876265101</v>
      </c>
      <c r="Z1700" s="4">
        <v>13.8502546530344</v>
      </c>
      <c r="AA1700" s="4">
        <f t="shared" si="107"/>
        <v>14.025585462244033</v>
      </c>
    </row>
    <row r="1701" spans="2:27" x14ac:dyDescent="0.2">
      <c r="B1701" s="4" t="s">
        <v>3394</v>
      </c>
      <c r="C1701" s="4">
        <v>14.5108</v>
      </c>
      <c r="D1701" s="4">
        <v>14.104699999999999</v>
      </c>
      <c r="E1701" s="4">
        <v>14.4053</v>
      </c>
      <c r="F1701" s="4">
        <f t="shared" si="104"/>
        <v>14.340266666666665</v>
      </c>
      <c r="I1701" s="4" t="s">
        <v>1701</v>
      </c>
      <c r="J1701" s="4">
        <v>14.4024</v>
      </c>
      <c r="K1701" s="4">
        <v>14.297700000000001</v>
      </c>
      <c r="L1701" s="4">
        <v>14.3035</v>
      </c>
      <c r="M1701" s="4">
        <f t="shared" si="105"/>
        <v>14.334533333333333</v>
      </c>
      <c r="P1701" s="4" t="str">
        <f>"F46H5.7"</f>
        <v>F46H5.7</v>
      </c>
      <c r="Q1701" s="4">
        <v>13.796626059476701</v>
      </c>
      <c r="R1701" s="4">
        <v>13.676868049250301</v>
      </c>
      <c r="S1701" s="4">
        <v>14.2566086437095</v>
      </c>
      <c r="T1701" s="4">
        <f t="shared" si="106"/>
        <v>13.910034250812167</v>
      </c>
      <c r="W1701" s="4" t="str">
        <f>"uev-1"</f>
        <v>uev-1</v>
      </c>
      <c r="X1701" s="4">
        <v>13.936464237432499</v>
      </c>
      <c r="Y1701" s="4">
        <v>13.837605343431299</v>
      </c>
      <c r="Z1701" s="4">
        <v>14.301543281089</v>
      </c>
      <c r="AA1701" s="4">
        <f t="shared" si="107"/>
        <v>14.025204287317599</v>
      </c>
    </row>
    <row r="1702" spans="2:27" x14ac:dyDescent="0.2">
      <c r="B1702" s="4" t="s">
        <v>2823</v>
      </c>
      <c r="C1702" s="4">
        <v>14.4259</v>
      </c>
      <c r="D1702" s="4">
        <v>14.6836</v>
      </c>
      <c r="E1702" s="4">
        <v>13.8957</v>
      </c>
      <c r="F1702" s="4">
        <f t="shared" si="104"/>
        <v>14.335066666666668</v>
      </c>
      <c r="I1702" s="4" t="s">
        <v>4092</v>
      </c>
      <c r="J1702" s="4">
        <v>14.355399999999999</v>
      </c>
      <c r="K1702" s="4">
        <v>14.383900000000001</v>
      </c>
      <c r="L1702" s="4">
        <v>14.249700000000001</v>
      </c>
      <c r="M1702" s="4">
        <f t="shared" si="105"/>
        <v>14.329666666666668</v>
      </c>
      <c r="P1702" s="4" t="str">
        <f>"hpo-34"</f>
        <v>hpo-34</v>
      </c>
      <c r="Q1702" s="4">
        <v>14.109136446240299</v>
      </c>
      <c r="R1702" s="4">
        <v>13.712820005811899</v>
      </c>
      <c r="S1702" s="4">
        <v>13.904836193250199</v>
      </c>
      <c r="T1702" s="4">
        <f t="shared" si="106"/>
        <v>13.908930881767466</v>
      </c>
      <c r="W1702" s="4" t="str">
        <f>"pkn-1"</f>
        <v>pkn-1</v>
      </c>
      <c r="X1702" s="4">
        <v>14.019996899370399</v>
      </c>
      <c r="Y1702" s="4">
        <v>14.004796779962</v>
      </c>
      <c r="Z1702" s="4">
        <v>14.0480168582283</v>
      </c>
      <c r="AA1702" s="4">
        <f t="shared" si="107"/>
        <v>14.0242701791869</v>
      </c>
    </row>
    <row r="1703" spans="2:27" x14ac:dyDescent="0.2">
      <c r="B1703" s="4" t="s">
        <v>4240</v>
      </c>
      <c r="C1703" s="4">
        <v>14.372999999999999</v>
      </c>
      <c r="D1703" s="4">
        <v>14.434200000000001</v>
      </c>
      <c r="E1703" s="4">
        <v>14.180400000000001</v>
      </c>
      <c r="F1703" s="4">
        <f t="shared" si="104"/>
        <v>14.3292</v>
      </c>
      <c r="I1703" s="4" t="s">
        <v>3537</v>
      </c>
      <c r="J1703" s="4">
        <v>14.0022</v>
      </c>
      <c r="K1703" s="4">
        <v>14.445399999999999</v>
      </c>
      <c r="L1703" s="4">
        <v>14.5379</v>
      </c>
      <c r="M1703" s="4">
        <f t="shared" si="105"/>
        <v>14.3285</v>
      </c>
      <c r="P1703" s="4" t="str">
        <f>"cids-1"</f>
        <v>cids-1</v>
      </c>
      <c r="Q1703" s="4">
        <v>13.9349408838965</v>
      </c>
      <c r="R1703" s="4">
        <v>13.864439633453699</v>
      </c>
      <c r="S1703" s="4">
        <v>13.9261279038419</v>
      </c>
      <c r="T1703" s="4">
        <f t="shared" si="106"/>
        <v>13.908502807064034</v>
      </c>
      <c r="W1703" s="4" t="str">
        <f>"cyp-35a2"</f>
        <v>cyp-35a2</v>
      </c>
      <c r="X1703" s="4">
        <v>13.7869948769691</v>
      </c>
      <c r="Y1703" s="4">
        <v>13.937486156901</v>
      </c>
      <c r="Z1703" s="4">
        <v>14.342897902471</v>
      </c>
      <c r="AA1703" s="4">
        <f t="shared" si="107"/>
        <v>14.022459645447034</v>
      </c>
    </row>
    <row r="1704" spans="2:27" x14ac:dyDescent="0.2">
      <c r="B1704" s="4" t="s">
        <v>2505</v>
      </c>
      <c r="C1704" s="4">
        <v>14.2806</v>
      </c>
      <c r="D1704" s="4">
        <v>14.5702</v>
      </c>
      <c r="E1704" s="4">
        <v>14.1342</v>
      </c>
      <c r="F1704" s="4">
        <f t="shared" si="104"/>
        <v>14.328333333333333</v>
      </c>
      <c r="I1704" s="4" t="s">
        <v>1680</v>
      </c>
      <c r="J1704" s="4">
        <v>14.761900000000001</v>
      </c>
      <c r="K1704" s="4">
        <v>13.9047</v>
      </c>
      <c r="L1704" s="4">
        <v>14.315200000000001</v>
      </c>
      <c r="M1704" s="4">
        <f t="shared" si="105"/>
        <v>14.327266666666668</v>
      </c>
      <c r="P1704" s="4" t="str">
        <f>"R13D11.4"</f>
        <v>R13D11.4</v>
      </c>
      <c r="Q1704" s="4">
        <v>13.800184075819301</v>
      </c>
      <c r="R1704" s="4">
        <v>14.0525932685534</v>
      </c>
      <c r="S1704" s="4">
        <v>13.870059159957499</v>
      </c>
      <c r="T1704" s="4">
        <f t="shared" si="106"/>
        <v>13.907612168110068</v>
      </c>
      <c r="W1704" s="4" t="str">
        <f>"atat-2"</f>
        <v>atat-2</v>
      </c>
      <c r="X1704" s="4">
        <v>13.819327749346</v>
      </c>
      <c r="Y1704" s="4">
        <v>14.162567695695399</v>
      </c>
      <c r="Z1704" s="4">
        <v>14.0831423417615</v>
      </c>
      <c r="AA1704" s="4">
        <f t="shared" si="107"/>
        <v>14.021679262267632</v>
      </c>
    </row>
    <row r="1705" spans="2:27" x14ac:dyDescent="0.2">
      <c r="B1705" s="4" t="s">
        <v>1758</v>
      </c>
      <c r="C1705" s="4">
        <v>14.4527</v>
      </c>
      <c r="D1705" s="4">
        <v>14.227399999999999</v>
      </c>
      <c r="E1705" s="4">
        <v>14.303900000000001</v>
      </c>
      <c r="F1705" s="4">
        <f t="shared" si="104"/>
        <v>14.328000000000001</v>
      </c>
      <c r="I1705" s="4" t="s">
        <v>3016</v>
      </c>
      <c r="J1705" s="4">
        <v>14.439399999999999</v>
      </c>
      <c r="K1705" s="4">
        <v>14.4961</v>
      </c>
      <c r="L1705" s="4">
        <v>14.0459</v>
      </c>
      <c r="M1705" s="4">
        <f t="shared" si="105"/>
        <v>14.327133333333331</v>
      </c>
      <c r="P1705" s="4" t="str">
        <f>"gad-3"</f>
        <v>gad-3</v>
      </c>
      <c r="Q1705" s="4">
        <v>13.8757542477125</v>
      </c>
      <c r="R1705" s="4">
        <v>13.8912859826853</v>
      </c>
      <c r="S1705" s="4">
        <v>13.953763653926901</v>
      </c>
      <c r="T1705" s="4">
        <f t="shared" si="106"/>
        <v>13.906934628108234</v>
      </c>
      <c r="W1705" s="4" t="str">
        <f>"soap-1"</f>
        <v>soap-1</v>
      </c>
      <c r="X1705" s="4">
        <v>13.9591597221764</v>
      </c>
      <c r="Y1705" s="4">
        <v>14.040769507379499</v>
      </c>
      <c r="Z1705" s="4">
        <v>14.059149592613499</v>
      </c>
      <c r="AA1705" s="4">
        <f t="shared" si="107"/>
        <v>14.019692940723132</v>
      </c>
    </row>
    <row r="1706" spans="2:27" x14ac:dyDescent="0.2">
      <c r="B1706" s="4" t="s">
        <v>1870</v>
      </c>
      <c r="C1706" s="4">
        <v>14.2516</v>
      </c>
      <c r="D1706" s="4">
        <v>14.7448</v>
      </c>
      <c r="E1706" s="4">
        <v>13.986700000000001</v>
      </c>
      <c r="F1706" s="4">
        <f t="shared" si="104"/>
        <v>14.3277</v>
      </c>
      <c r="I1706" s="4" t="s">
        <v>2649</v>
      </c>
      <c r="J1706" s="4">
        <v>14.399800000000001</v>
      </c>
      <c r="K1706" s="4">
        <v>14.5365</v>
      </c>
      <c r="L1706" s="4">
        <v>14.042899999999999</v>
      </c>
      <c r="M1706" s="4">
        <f t="shared" si="105"/>
        <v>14.326400000000001</v>
      </c>
      <c r="P1706" s="4" t="str">
        <f>"T22B7.3"</f>
        <v>T22B7.3</v>
      </c>
      <c r="Q1706" s="4">
        <v>14.1058736828675</v>
      </c>
      <c r="R1706" s="4">
        <v>13.834043372599799</v>
      </c>
      <c r="S1706" s="4">
        <v>13.7736410988731</v>
      </c>
      <c r="T1706" s="4">
        <f t="shared" si="106"/>
        <v>13.904519384780132</v>
      </c>
      <c r="W1706" s="4" t="str">
        <f>"cest-34"</f>
        <v>cest-34</v>
      </c>
      <c r="X1706" s="4">
        <v>14.368032466794499</v>
      </c>
      <c r="Y1706" s="4">
        <v>13.457770532620801</v>
      </c>
      <c r="Z1706" s="4">
        <v>14.230660013730001</v>
      </c>
      <c r="AA1706" s="4">
        <f t="shared" si="107"/>
        <v>14.018821004381769</v>
      </c>
    </row>
    <row r="1707" spans="2:27" x14ac:dyDescent="0.2">
      <c r="B1707" s="4" t="s">
        <v>1775</v>
      </c>
      <c r="C1707" s="4">
        <v>14.212400000000001</v>
      </c>
      <c r="D1707" s="4">
        <v>14.618</v>
      </c>
      <c r="E1707" s="4">
        <v>14.146000000000001</v>
      </c>
      <c r="F1707" s="4">
        <f t="shared" si="104"/>
        <v>14.325466666666665</v>
      </c>
      <c r="I1707" s="4" t="s">
        <v>48</v>
      </c>
      <c r="J1707" s="4">
        <v>13.9863</v>
      </c>
      <c r="K1707" s="4">
        <v>14.589700000000001</v>
      </c>
      <c r="L1707" s="4">
        <v>14.4031</v>
      </c>
      <c r="M1707" s="4">
        <f t="shared" si="105"/>
        <v>14.326366666666667</v>
      </c>
      <c r="P1707" s="4" t="str">
        <f>"dhs-20"</f>
        <v>dhs-20</v>
      </c>
      <c r="Q1707" s="4">
        <v>13.6957394586105</v>
      </c>
      <c r="R1707" s="4">
        <v>14.0048357940017</v>
      </c>
      <c r="S1707" s="4">
        <v>14.010188129002801</v>
      </c>
      <c r="T1707" s="4">
        <f t="shared" si="106"/>
        <v>13.903587793871667</v>
      </c>
      <c r="W1707" s="4" t="str">
        <f>"mrps-16"</f>
        <v>mrps-16</v>
      </c>
      <c r="X1707" s="4">
        <v>13.684784695369199</v>
      </c>
      <c r="Y1707" s="4">
        <v>14.397361777968801</v>
      </c>
      <c r="Z1707" s="4">
        <v>13.965951302828</v>
      </c>
      <c r="AA1707" s="4">
        <f t="shared" si="107"/>
        <v>14.016032592055334</v>
      </c>
    </row>
    <row r="1708" spans="2:27" x14ac:dyDescent="0.2">
      <c r="B1708" s="4" t="s">
        <v>1831</v>
      </c>
      <c r="C1708" s="4">
        <v>15.318099999999999</v>
      </c>
      <c r="D1708" s="4">
        <v>13.493</v>
      </c>
      <c r="E1708" s="4">
        <v>14.1622</v>
      </c>
      <c r="F1708" s="4">
        <f t="shared" si="104"/>
        <v>14.324433333333333</v>
      </c>
      <c r="I1708" s="4" t="s">
        <v>2159</v>
      </c>
      <c r="J1708" s="4">
        <v>13.931100000000001</v>
      </c>
      <c r="K1708" s="4">
        <v>14.141400000000001</v>
      </c>
      <c r="L1708" s="4">
        <v>14.899900000000001</v>
      </c>
      <c r="M1708" s="4">
        <f t="shared" si="105"/>
        <v>14.324133333333334</v>
      </c>
      <c r="P1708" s="4" t="str">
        <f>"chd-7"</f>
        <v>chd-7</v>
      </c>
      <c r="Q1708" s="4">
        <v>13.8585708435337</v>
      </c>
      <c r="R1708" s="4">
        <v>13.868809441105199</v>
      </c>
      <c r="S1708" s="4">
        <v>13.983187902857599</v>
      </c>
      <c r="T1708" s="4">
        <f t="shared" si="106"/>
        <v>13.9035227291655</v>
      </c>
      <c r="W1708" s="4" t="str">
        <f>"sdz-8"</f>
        <v>sdz-8</v>
      </c>
      <c r="X1708" s="4">
        <v>13.6903029973627</v>
      </c>
      <c r="Y1708" s="4">
        <v>14.3583927013312</v>
      </c>
      <c r="Z1708" s="4">
        <v>13.996211303963999</v>
      </c>
      <c r="AA1708" s="4">
        <f t="shared" si="107"/>
        <v>14.014969000885964</v>
      </c>
    </row>
    <row r="1709" spans="2:27" x14ac:dyDescent="0.2">
      <c r="B1709" s="4" t="s">
        <v>3528</v>
      </c>
      <c r="C1709" s="4">
        <v>14.3939</v>
      </c>
      <c r="D1709" s="4">
        <v>14.346500000000001</v>
      </c>
      <c r="E1709" s="4">
        <v>14.228300000000001</v>
      </c>
      <c r="F1709" s="4">
        <f t="shared" si="104"/>
        <v>14.322899999999999</v>
      </c>
      <c r="I1709" s="4" t="s">
        <v>2607</v>
      </c>
      <c r="J1709" s="4">
        <v>14.1541</v>
      </c>
      <c r="K1709" s="4">
        <v>14.614800000000001</v>
      </c>
      <c r="L1709" s="4">
        <v>14.2003</v>
      </c>
      <c r="M1709" s="4">
        <f t="shared" si="105"/>
        <v>14.323066666666668</v>
      </c>
      <c r="P1709" s="4" t="str">
        <f>"ajm-1"</f>
        <v>ajm-1</v>
      </c>
      <c r="Q1709" s="4">
        <v>14.408373345397001</v>
      </c>
      <c r="R1709" s="4">
        <v>13.373364591167499</v>
      </c>
      <c r="S1709" s="4">
        <v>13.9285297845942</v>
      </c>
      <c r="T1709" s="4">
        <f t="shared" si="106"/>
        <v>13.903422573719567</v>
      </c>
      <c r="W1709" s="4" t="str">
        <f>"F44G4.1"</f>
        <v>F44G4.1</v>
      </c>
      <c r="X1709" s="4">
        <v>13.919724854500799</v>
      </c>
      <c r="Y1709" s="4">
        <v>13.952575056833</v>
      </c>
      <c r="Z1709" s="4">
        <v>14.170458166748601</v>
      </c>
      <c r="AA1709" s="4">
        <f t="shared" si="107"/>
        <v>14.014252692694134</v>
      </c>
    </row>
    <row r="1710" spans="2:27" x14ac:dyDescent="0.2">
      <c r="B1710" s="4" t="s">
        <v>1221</v>
      </c>
      <c r="C1710" s="4">
        <v>14.326700000000001</v>
      </c>
      <c r="D1710" s="4">
        <v>14.4404</v>
      </c>
      <c r="E1710" s="4">
        <v>14.1995</v>
      </c>
      <c r="F1710" s="4">
        <f t="shared" si="104"/>
        <v>14.3222</v>
      </c>
      <c r="I1710" s="4" t="s">
        <v>294</v>
      </c>
      <c r="J1710" s="4">
        <v>14.0998</v>
      </c>
      <c r="K1710" s="4">
        <v>14.4674</v>
      </c>
      <c r="L1710" s="4">
        <v>14.4008</v>
      </c>
      <c r="M1710" s="4">
        <f t="shared" si="105"/>
        <v>14.322666666666668</v>
      </c>
      <c r="P1710" s="4" t="str">
        <f>"acly-2"</f>
        <v>acly-2</v>
      </c>
      <c r="Q1710" s="4">
        <v>13.7568629645631</v>
      </c>
      <c r="R1710" s="4">
        <v>13.9453374684355</v>
      </c>
      <c r="S1710" s="4">
        <v>14.006311691377</v>
      </c>
      <c r="T1710" s="4">
        <f t="shared" si="106"/>
        <v>13.902837374791867</v>
      </c>
      <c r="W1710" s="4" t="str">
        <f>"ech-9"</f>
        <v>ech-9</v>
      </c>
      <c r="X1710" s="4">
        <v>13.9308578137544</v>
      </c>
      <c r="Y1710" s="4">
        <v>14.0202161227272</v>
      </c>
      <c r="Z1710" s="4">
        <v>14.088624674229401</v>
      </c>
      <c r="AA1710" s="4">
        <f t="shared" si="107"/>
        <v>14.013232870236999</v>
      </c>
    </row>
    <row r="1711" spans="2:27" x14ac:dyDescent="0.2">
      <c r="B1711" s="4" t="s">
        <v>4102</v>
      </c>
      <c r="C1711" s="4">
        <v>14.484999999999999</v>
      </c>
      <c r="D1711" s="4">
        <v>14.0692</v>
      </c>
      <c r="E1711" s="4">
        <v>14.409700000000001</v>
      </c>
      <c r="F1711" s="4">
        <f t="shared" si="104"/>
        <v>14.321300000000001</v>
      </c>
      <c r="I1711" s="4" t="s">
        <v>3090</v>
      </c>
      <c r="J1711" s="4">
        <v>14.399800000000001</v>
      </c>
      <c r="K1711" s="4">
        <v>13.928800000000001</v>
      </c>
      <c r="L1711" s="4">
        <v>14.6374</v>
      </c>
      <c r="M1711" s="4">
        <f t="shared" si="105"/>
        <v>14.322000000000001</v>
      </c>
      <c r="P1711" s="4" t="str">
        <f>"unc-96"</f>
        <v>unc-96</v>
      </c>
      <c r="Q1711" s="4">
        <v>14.611516959720699</v>
      </c>
      <c r="R1711" s="4">
        <v>13.4273899735737</v>
      </c>
      <c r="S1711" s="4">
        <v>13.662867530895999</v>
      </c>
      <c r="T1711" s="4">
        <f t="shared" si="106"/>
        <v>13.900591488063467</v>
      </c>
      <c r="W1711" s="4" t="str">
        <f>"F44E7.4"</f>
        <v>F44E7.4</v>
      </c>
      <c r="X1711" s="4">
        <v>13.990255755471701</v>
      </c>
      <c r="Y1711" s="4">
        <v>13.7994325963446</v>
      </c>
      <c r="Z1711" s="4">
        <v>14.2499595949258</v>
      </c>
      <c r="AA1711" s="4">
        <f t="shared" si="107"/>
        <v>14.013215982247367</v>
      </c>
    </row>
    <row r="1712" spans="2:27" x14ac:dyDescent="0.2">
      <c r="B1712" s="4" t="s">
        <v>1344</v>
      </c>
      <c r="C1712" s="4">
        <v>14.3254</v>
      </c>
      <c r="D1712" s="4">
        <v>14.380100000000001</v>
      </c>
      <c r="E1712" s="4">
        <v>14.2553</v>
      </c>
      <c r="F1712" s="4">
        <f t="shared" si="104"/>
        <v>14.320266666666667</v>
      </c>
      <c r="I1712" s="4" t="s">
        <v>1520</v>
      </c>
      <c r="J1712" s="4">
        <v>13.527799999999999</v>
      </c>
      <c r="K1712" s="4">
        <v>14.178100000000001</v>
      </c>
      <c r="L1712" s="4">
        <v>15.2601</v>
      </c>
      <c r="M1712" s="4">
        <f t="shared" si="105"/>
        <v>14.322000000000001</v>
      </c>
      <c r="P1712" s="4" t="str">
        <f>"let-502"</f>
        <v>let-502</v>
      </c>
      <c r="Q1712" s="4">
        <v>13.748898147621899</v>
      </c>
      <c r="R1712" s="4">
        <v>13.967966268085799</v>
      </c>
      <c r="S1712" s="4">
        <v>13.972745384471899</v>
      </c>
      <c r="T1712" s="4">
        <f t="shared" si="106"/>
        <v>13.896536600059866</v>
      </c>
      <c r="W1712" s="4" t="str">
        <f>"vps-39"</f>
        <v>vps-39</v>
      </c>
      <c r="X1712" s="4">
        <v>14.101857234689801</v>
      </c>
      <c r="Y1712" s="4">
        <v>14.0444888024543</v>
      </c>
      <c r="Z1712" s="4">
        <v>13.892662938086801</v>
      </c>
      <c r="AA1712" s="4">
        <f t="shared" si="107"/>
        <v>14.013002991743633</v>
      </c>
    </row>
    <row r="1713" spans="2:27" x14ac:dyDescent="0.2">
      <c r="B1713" s="4" t="s">
        <v>3653</v>
      </c>
      <c r="C1713" s="4">
        <v>14.4716</v>
      </c>
      <c r="D1713" s="4">
        <v>14.328900000000001</v>
      </c>
      <c r="E1713" s="4">
        <v>14.1601</v>
      </c>
      <c r="F1713" s="4">
        <f t="shared" si="104"/>
        <v>14.3202</v>
      </c>
      <c r="I1713" s="4" t="s">
        <v>4704</v>
      </c>
      <c r="J1713" s="4">
        <v>14.3497</v>
      </c>
      <c r="K1713" s="4">
        <v>14.8261</v>
      </c>
      <c r="L1713" s="4">
        <v>13.7895</v>
      </c>
      <c r="M1713" s="4">
        <f t="shared" si="105"/>
        <v>14.321766666666667</v>
      </c>
      <c r="P1713" s="4" t="str">
        <f>"enol-1"</f>
        <v>enol-1</v>
      </c>
      <c r="Q1713" s="4">
        <v>13.9782697921516</v>
      </c>
      <c r="R1713" s="4">
        <v>13.842368916823901</v>
      </c>
      <c r="S1713" s="4">
        <v>13.867555502838901</v>
      </c>
      <c r="T1713" s="4">
        <f t="shared" si="106"/>
        <v>13.896064737271468</v>
      </c>
      <c r="W1713" s="4" t="str">
        <f>"serr-1"</f>
        <v>serr-1</v>
      </c>
      <c r="X1713" s="4">
        <v>13.7192596488863</v>
      </c>
      <c r="Y1713" s="4">
        <v>14.117771752891199</v>
      </c>
      <c r="Z1713" s="4">
        <v>14.1900818360684</v>
      </c>
      <c r="AA1713" s="4">
        <f t="shared" si="107"/>
        <v>14.009037745948634</v>
      </c>
    </row>
    <row r="1714" spans="2:27" x14ac:dyDescent="0.2">
      <c r="B1714" s="4" t="s">
        <v>4705</v>
      </c>
      <c r="C1714" s="4">
        <v>14.69</v>
      </c>
      <c r="D1714" s="4">
        <v>14.4664</v>
      </c>
      <c r="E1714" s="4">
        <v>13.7996</v>
      </c>
      <c r="F1714" s="4">
        <f t="shared" si="104"/>
        <v>14.318666666666665</v>
      </c>
      <c r="I1714" s="4" t="s">
        <v>524</v>
      </c>
      <c r="J1714" s="4">
        <v>14.2529</v>
      </c>
      <c r="K1714" s="4">
        <v>14.2204</v>
      </c>
      <c r="L1714" s="4">
        <v>14.491400000000001</v>
      </c>
      <c r="M1714" s="4">
        <f t="shared" si="105"/>
        <v>14.321566666666667</v>
      </c>
      <c r="P1714" s="4" t="str">
        <f>"mrpl-19"</f>
        <v>mrpl-19</v>
      </c>
      <c r="Q1714" s="4">
        <v>13.8840947056916</v>
      </c>
      <c r="R1714" s="4">
        <v>13.7404364071985</v>
      </c>
      <c r="S1714" s="4">
        <v>14.0634572888265</v>
      </c>
      <c r="T1714" s="4">
        <f t="shared" si="106"/>
        <v>13.895996133905534</v>
      </c>
      <c r="W1714" s="4" t="str">
        <f>"ZC373.2"</f>
        <v>ZC373.2</v>
      </c>
      <c r="X1714" s="4">
        <v>14.2141891196004</v>
      </c>
      <c r="Y1714" s="4">
        <v>13.967721345205801</v>
      </c>
      <c r="Z1714" s="4">
        <v>13.834098915583301</v>
      </c>
      <c r="AA1714" s="4">
        <f t="shared" si="107"/>
        <v>14.005336460129834</v>
      </c>
    </row>
    <row r="1715" spans="2:27" x14ac:dyDescent="0.2">
      <c r="B1715" s="4" t="s">
        <v>3037</v>
      </c>
      <c r="C1715" s="4">
        <v>13.935700000000001</v>
      </c>
      <c r="D1715" s="4">
        <v>14.4354</v>
      </c>
      <c r="E1715" s="4">
        <v>14.584</v>
      </c>
      <c r="F1715" s="4">
        <f t="shared" si="104"/>
        <v>14.318366666666668</v>
      </c>
      <c r="I1715" s="4" t="s">
        <v>4114</v>
      </c>
      <c r="J1715" s="4">
        <v>14.5474</v>
      </c>
      <c r="K1715" s="4">
        <v>13.694900000000001</v>
      </c>
      <c r="L1715" s="4">
        <v>14.721399999999999</v>
      </c>
      <c r="M1715" s="4">
        <f t="shared" si="105"/>
        <v>14.321233333333334</v>
      </c>
      <c r="P1715" s="4" t="str">
        <f>"Y50D4B.1"</f>
        <v>Y50D4B.1</v>
      </c>
      <c r="Q1715" s="4">
        <v>14.105357677240701</v>
      </c>
      <c r="R1715" s="4">
        <v>14.0648536671542</v>
      </c>
      <c r="S1715" s="4">
        <v>13.5144091404271</v>
      </c>
      <c r="T1715" s="4">
        <f t="shared" si="106"/>
        <v>13.894873494940667</v>
      </c>
      <c r="W1715" s="4" t="str">
        <f>"acs-13"</f>
        <v>acs-13</v>
      </c>
      <c r="X1715" s="4">
        <v>14.020085332851099</v>
      </c>
      <c r="Y1715" s="4">
        <v>13.833595392150601</v>
      </c>
      <c r="Z1715" s="4">
        <v>14.160354880733101</v>
      </c>
      <c r="AA1715" s="4">
        <f t="shared" si="107"/>
        <v>14.004678535244935</v>
      </c>
    </row>
    <row r="1716" spans="2:27" x14ac:dyDescent="0.2">
      <c r="B1716" s="4" t="s">
        <v>1751</v>
      </c>
      <c r="C1716" s="4">
        <v>14.3371</v>
      </c>
      <c r="D1716" s="4">
        <v>14.413399999999999</v>
      </c>
      <c r="E1716" s="4">
        <v>14.2033</v>
      </c>
      <c r="F1716" s="4">
        <f t="shared" si="104"/>
        <v>14.317933333333334</v>
      </c>
      <c r="I1716" s="4" t="s">
        <v>2193</v>
      </c>
      <c r="J1716" s="4">
        <v>14.594099999999999</v>
      </c>
      <c r="K1716" s="4">
        <v>14.549799999999999</v>
      </c>
      <c r="L1716" s="4">
        <v>13.818300000000001</v>
      </c>
      <c r="M1716" s="4">
        <f t="shared" si="105"/>
        <v>14.320733333333331</v>
      </c>
      <c r="P1716" s="4" t="str">
        <f>"gldr-2"</f>
        <v>gldr-2</v>
      </c>
      <c r="Q1716" s="4">
        <v>13.958723909269899</v>
      </c>
      <c r="R1716" s="4">
        <v>13.9783078280262</v>
      </c>
      <c r="S1716" s="4">
        <v>13.746606344251999</v>
      </c>
      <c r="T1716" s="4">
        <f t="shared" si="106"/>
        <v>13.894546027182699</v>
      </c>
      <c r="W1716" s="4" t="str">
        <f>"Y42H9AR.1"</f>
        <v>Y42H9AR.1</v>
      </c>
      <c r="X1716" s="4">
        <v>13.6087060831538</v>
      </c>
      <c r="Y1716" s="4">
        <v>14.399172910898301</v>
      </c>
      <c r="Z1716" s="4">
        <v>14.0019660957529</v>
      </c>
      <c r="AA1716" s="4">
        <f t="shared" si="107"/>
        <v>14.003281696601666</v>
      </c>
    </row>
    <row r="1717" spans="2:27" x14ac:dyDescent="0.2">
      <c r="B1717" s="4" t="s">
        <v>2900</v>
      </c>
      <c r="C1717" s="4">
        <v>14.478400000000001</v>
      </c>
      <c r="D1717" s="4">
        <v>13.890700000000001</v>
      </c>
      <c r="E1717" s="4">
        <v>14.5837</v>
      </c>
      <c r="F1717" s="4">
        <f t="shared" si="104"/>
        <v>14.317600000000001</v>
      </c>
      <c r="I1717" s="4" t="s">
        <v>1221</v>
      </c>
      <c r="J1717" s="4">
        <v>14.375999999999999</v>
      </c>
      <c r="K1717" s="4">
        <v>14.503500000000001</v>
      </c>
      <c r="L1717" s="4">
        <v>14.08</v>
      </c>
      <c r="M1717" s="4">
        <f t="shared" si="105"/>
        <v>14.319833333333333</v>
      </c>
      <c r="P1717" s="4" t="str">
        <f>"nrde-2"</f>
        <v>nrde-2</v>
      </c>
      <c r="Q1717" s="4">
        <v>14.0213810266539</v>
      </c>
      <c r="R1717" s="4">
        <v>13.891598346128999</v>
      </c>
      <c r="S1717" s="4">
        <v>13.7704415310005</v>
      </c>
      <c r="T1717" s="4">
        <f t="shared" si="106"/>
        <v>13.894473634594467</v>
      </c>
      <c r="W1717" s="4" t="str">
        <f>"mop-25.1"</f>
        <v>mop-25.1</v>
      </c>
      <c r="X1717" s="4">
        <v>13.835391039583801</v>
      </c>
      <c r="Y1717" s="4">
        <v>14.0789856890756</v>
      </c>
      <c r="Z1717" s="4">
        <v>14.091723256204</v>
      </c>
      <c r="AA1717" s="4">
        <f t="shared" si="107"/>
        <v>14.0020333282878</v>
      </c>
    </row>
    <row r="1718" spans="2:27" x14ac:dyDescent="0.2">
      <c r="B1718" s="4" t="s">
        <v>3714</v>
      </c>
      <c r="C1718" s="4">
        <v>14.5814</v>
      </c>
      <c r="D1718" s="4">
        <v>14.3851</v>
      </c>
      <c r="E1718" s="4">
        <v>13.983700000000001</v>
      </c>
      <c r="F1718" s="4">
        <f t="shared" si="104"/>
        <v>14.316733333333334</v>
      </c>
      <c r="I1718" s="4" t="s">
        <v>2502</v>
      </c>
      <c r="J1718" s="4">
        <v>14.489699999999999</v>
      </c>
      <c r="K1718" s="4">
        <v>14.139200000000001</v>
      </c>
      <c r="L1718" s="4">
        <v>14.328900000000001</v>
      </c>
      <c r="M1718" s="4">
        <f t="shared" si="105"/>
        <v>14.319266666666669</v>
      </c>
      <c r="P1718" s="4" t="str">
        <f>"mct-4"</f>
        <v>mct-4</v>
      </c>
      <c r="Q1718" s="4">
        <v>13.844448427095699</v>
      </c>
      <c r="R1718" s="4">
        <v>13.7792558376988</v>
      </c>
      <c r="S1718" s="4">
        <v>14.047763704459699</v>
      </c>
      <c r="T1718" s="4">
        <f t="shared" si="106"/>
        <v>13.890489323084731</v>
      </c>
      <c r="W1718" s="4" t="str">
        <f>"esyt-2"</f>
        <v>esyt-2</v>
      </c>
      <c r="X1718" s="4">
        <v>14.192560890825799</v>
      </c>
      <c r="Y1718" s="4">
        <v>13.8837142343978</v>
      </c>
      <c r="Z1718" s="4">
        <v>13.9275439168582</v>
      </c>
      <c r="AA1718" s="4">
        <f t="shared" si="107"/>
        <v>14.001273014027268</v>
      </c>
    </row>
    <row r="1719" spans="2:27" x14ac:dyDescent="0.2">
      <c r="B1719" s="4" t="s">
        <v>1653</v>
      </c>
      <c r="C1719" s="4">
        <v>14.332100000000001</v>
      </c>
      <c r="D1719" s="4">
        <v>14.537800000000001</v>
      </c>
      <c r="E1719" s="4">
        <v>14.0792</v>
      </c>
      <c r="F1719" s="4">
        <f t="shared" si="104"/>
        <v>14.316366666666667</v>
      </c>
      <c r="I1719" s="4" t="s">
        <v>3135</v>
      </c>
      <c r="J1719" s="4">
        <v>14.386200000000001</v>
      </c>
      <c r="K1719" s="4">
        <v>14.241300000000001</v>
      </c>
      <c r="L1719" s="4">
        <v>14.324199999999999</v>
      </c>
      <c r="M1719" s="4">
        <f t="shared" si="105"/>
        <v>14.317233333333334</v>
      </c>
      <c r="P1719" s="4" t="str">
        <f>"klp-4"</f>
        <v>klp-4</v>
      </c>
      <c r="Q1719" s="4">
        <v>14.047704745227101</v>
      </c>
      <c r="R1719" s="4">
        <v>13.8745554880116</v>
      </c>
      <c r="S1719" s="4">
        <v>13.7480234683003</v>
      </c>
      <c r="T1719" s="4">
        <f t="shared" si="106"/>
        <v>13.890094567179668</v>
      </c>
      <c r="W1719" s="4" t="str">
        <f>"ani-1"</f>
        <v>ani-1</v>
      </c>
      <c r="X1719" s="4">
        <v>14.0475632043276</v>
      </c>
      <c r="Y1719" s="4">
        <v>13.983923143978201</v>
      </c>
      <c r="Z1719" s="4">
        <v>13.968027464538901</v>
      </c>
      <c r="AA1719" s="4">
        <f t="shared" si="107"/>
        <v>13.999837937614901</v>
      </c>
    </row>
    <row r="1720" spans="2:27" x14ac:dyDescent="0.2">
      <c r="B1720" s="4" t="s">
        <v>4706</v>
      </c>
      <c r="C1720" s="4">
        <v>14.3926</v>
      </c>
      <c r="D1720" s="4">
        <v>13.896000000000001</v>
      </c>
      <c r="E1720" s="4">
        <v>14.6547</v>
      </c>
      <c r="F1720" s="4">
        <f t="shared" si="104"/>
        <v>14.314433333333334</v>
      </c>
      <c r="I1720" s="4" t="s">
        <v>3246</v>
      </c>
      <c r="J1720" s="4">
        <v>14.600099999999999</v>
      </c>
      <c r="K1720" s="4">
        <v>14.2462</v>
      </c>
      <c r="L1720" s="4">
        <v>14.100099999999999</v>
      </c>
      <c r="M1720" s="4">
        <f t="shared" si="105"/>
        <v>14.315466666666666</v>
      </c>
      <c r="P1720" s="4" t="str">
        <f>"F44E7.9"</f>
        <v>F44E7.9</v>
      </c>
      <c r="Q1720" s="4">
        <v>13.795475963584201</v>
      </c>
      <c r="R1720" s="4">
        <v>13.946198691413301</v>
      </c>
      <c r="S1720" s="4">
        <v>13.924741710665799</v>
      </c>
      <c r="T1720" s="4">
        <f t="shared" si="106"/>
        <v>13.888805455221101</v>
      </c>
      <c r="W1720" s="4" t="str">
        <f>"F41E6.5"</f>
        <v>F41E6.5</v>
      </c>
      <c r="X1720" s="4">
        <v>14.015389227886899</v>
      </c>
      <c r="Y1720" s="4">
        <v>13.8187142679036</v>
      </c>
      <c r="Z1720" s="4">
        <v>14.1638910635454</v>
      </c>
      <c r="AA1720" s="4">
        <f t="shared" si="107"/>
        <v>13.999331519778634</v>
      </c>
    </row>
    <row r="1721" spans="2:27" x14ac:dyDescent="0.2">
      <c r="B1721" s="4" t="s">
        <v>3331</v>
      </c>
      <c r="C1721" s="4">
        <v>14.321300000000001</v>
      </c>
      <c r="D1721" s="4">
        <v>14.2685</v>
      </c>
      <c r="E1721" s="4">
        <v>14.35</v>
      </c>
      <c r="F1721" s="4">
        <f t="shared" si="104"/>
        <v>14.313266666666665</v>
      </c>
      <c r="I1721" s="4" t="s">
        <v>447</v>
      </c>
      <c r="J1721" s="4">
        <v>14.270899999999999</v>
      </c>
      <c r="K1721" s="4">
        <v>14.198399999999999</v>
      </c>
      <c r="L1721" s="4">
        <v>14.474299999999999</v>
      </c>
      <c r="M1721" s="4">
        <f t="shared" si="105"/>
        <v>14.314533333333332</v>
      </c>
      <c r="P1721" s="4" t="str">
        <f>"ttr-51"</f>
        <v>ttr-51</v>
      </c>
      <c r="Q1721" s="4">
        <v>13.703404562501699</v>
      </c>
      <c r="R1721" s="4">
        <v>13.4413362336908</v>
      </c>
      <c r="S1721" s="4">
        <v>14.5174661132388</v>
      </c>
      <c r="T1721" s="4">
        <f t="shared" si="106"/>
        <v>13.887402303143768</v>
      </c>
      <c r="W1721" s="4" t="str">
        <f>"ntl-11"</f>
        <v>ntl-11</v>
      </c>
      <c r="X1721" s="4">
        <v>14.0015754092252</v>
      </c>
      <c r="Y1721" s="4">
        <v>14.003109752568699</v>
      </c>
      <c r="Z1721" s="4">
        <v>13.984592525011101</v>
      </c>
      <c r="AA1721" s="4">
        <f t="shared" si="107"/>
        <v>13.996425895601668</v>
      </c>
    </row>
    <row r="1722" spans="2:27" x14ac:dyDescent="0.2">
      <c r="B1722" s="4" t="s">
        <v>584</v>
      </c>
      <c r="C1722" s="4">
        <v>14.140499999999999</v>
      </c>
      <c r="D1722" s="4">
        <v>14.569599999999999</v>
      </c>
      <c r="E1722" s="4">
        <v>14.228300000000001</v>
      </c>
      <c r="F1722" s="4">
        <f t="shared" si="104"/>
        <v>14.312800000000001</v>
      </c>
      <c r="I1722" s="4" t="s">
        <v>2745</v>
      </c>
      <c r="J1722" s="4">
        <v>14.392799999999999</v>
      </c>
      <c r="K1722" s="4">
        <v>14.551600000000001</v>
      </c>
      <c r="L1722" s="4">
        <v>13.997999999999999</v>
      </c>
      <c r="M1722" s="4">
        <f t="shared" si="105"/>
        <v>14.314133333333332</v>
      </c>
      <c r="P1722" s="4" t="str">
        <f>"rme-6"</f>
        <v>rme-6</v>
      </c>
      <c r="Q1722" s="4">
        <v>13.9389614991507</v>
      </c>
      <c r="R1722" s="4">
        <v>13.906540058874601</v>
      </c>
      <c r="S1722" s="4">
        <v>13.8163186774902</v>
      </c>
      <c r="T1722" s="4">
        <f t="shared" si="106"/>
        <v>13.8872734118385</v>
      </c>
      <c r="W1722" s="4" t="str">
        <f>"C25G4.3"</f>
        <v>C25G4.3</v>
      </c>
      <c r="X1722" s="4">
        <v>13.7950295679295</v>
      </c>
      <c r="Y1722" s="4">
        <v>13.8543916549797</v>
      </c>
      <c r="Z1722" s="4">
        <v>14.3282225579532</v>
      </c>
      <c r="AA1722" s="4">
        <f t="shared" si="107"/>
        <v>13.992547926954133</v>
      </c>
    </row>
    <row r="1723" spans="2:27" x14ac:dyDescent="0.2">
      <c r="B1723" s="4" t="s">
        <v>3773</v>
      </c>
      <c r="C1723" s="4">
        <v>14.382300000000001</v>
      </c>
      <c r="D1723" s="4">
        <v>14.4428</v>
      </c>
      <c r="E1723" s="4">
        <v>14.1112</v>
      </c>
      <c r="F1723" s="4">
        <f t="shared" si="104"/>
        <v>14.312100000000001</v>
      </c>
      <c r="I1723" s="4" t="s">
        <v>2656</v>
      </c>
      <c r="J1723" s="4">
        <v>14.3665</v>
      </c>
      <c r="K1723" s="4">
        <v>14.5603</v>
      </c>
      <c r="L1723" s="4">
        <v>14.014099999999999</v>
      </c>
      <c r="M1723" s="4">
        <f t="shared" si="105"/>
        <v>14.313633333333334</v>
      </c>
      <c r="P1723" s="4" t="str">
        <f>"abce-1"</f>
        <v>abce-1</v>
      </c>
      <c r="Q1723" s="4">
        <v>14.1302020654536</v>
      </c>
      <c r="R1723" s="4">
        <v>13.4904701208691</v>
      </c>
      <c r="S1723" s="4">
        <v>14.035933866729801</v>
      </c>
      <c r="T1723" s="4">
        <f t="shared" si="106"/>
        <v>13.8855353510175</v>
      </c>
      <c r="W1723" s="4" t="str">
        <f>"rpn-13"</f>
        <v>rpn-13</v>
      </c>
      <c r="X1723" s="4">
        <v>14.0910717808814</v>
      </c>
      <c r="Y1723" s="4">
        <v>14.0222123105239</v>
      </c>
      <c r="Z1723" s="4">
        <v>13.8628193181067</v>
      </c>
      <c r="AA1723" s="4">
        <f t="shared" si="107"/>
        <v>13.992034469837334</v>
      </c>
    </row>
    <row r="1724" spans="2:27" x14ac:dyDescent="0.2">
      <c r="B1724" s="4" t="s">
        <v>2794</v>
      </c>
      <c r="C1724" s="4">
        <v>14.0024</v>
      </c>
      <c r="D1724" s="4">
        <v>14.6594</v>
      </c>
      <c r="E1724" s="4">
        <v>14.2698</v>
      </c>
      <c r="F1724" s="4">
        <f t="shared" si="104"/>
        <v>14.310533333333334</v>
      </c>
      <c r="I1724" s="4" t="s">
        <v>1443</v>
      </c>
      <c r="J1724" s="4">
        <v>14.627000000000001</v>
      </c>
      <c r="K1724" s="4">
        <v>14.001200000000001</v>
      </c>
      <c r="L1724" s="4">
        <v>14.3088</v>
      </c>
      <c r="M1724" s="4">
        <f t="shared" si="105"/>
        <v>14.312333333333333</v>
      </c>
      <c r="P1724" s="4" t="str">
        <f>"pisy-1"</f>
        <v>pisy-1</v>
      </c>
      <c r="Q1724" s="4">
        <v>13.933236887469</v>
      </c>
      <c r="R1724" s="4">
        <v>14.047293288522599</v>
      </c>
      <c r="S1724" s="4">
        <v>13.673458298697501</v>
      </c>
      <c r="T1724" s="4">
        <f t="shared" si="106"/>
        <v>13.884662824896367</v>
      </c>
      <c r="W1724" s="4" t="str">
        <f>"ntl-9"</f>
        <v>ntl-9</v>
      </c>
      <c r="X1724" s="4">
        <v>14.086660289740699</v>
      </c>
      <c r="Y1724" s="4">
        <v>14.1046134440162</v>
      </c>
      <c r="Z1724" s="4">
        <v>13.781317648685601</v>
      </c>
      <c r="AA1724" s="4">
        <f t="shared" si="107"/>
        <v>13.990863794147501</v>
      </c>
    </row>
    <row r="1725" spans="2:27" x14ac:dyDescent="0.2">
      <c r="B1725" s="4" t="s">
        <v>1338</v>
      </c>
      <c r="C1725" s="4">
        <v>14.382199999999999</v>
      </c>
      <c r="D1725" s="4">
        <v>14.7073</v>
      </c>
      <c r="E1725" s="4">
        <v>13.840400000000001</v>
      </c>
      <c r="F1725" s="4">
        <f t="shared" si="104"/>
        <v>14.309966666666668</v>
      </c>
      <c r="I1725" s="4" t="s">
        <v>3571</v>
      </c>
      <c r="J1725" s="4">
        <v>14.385</v>
      </c>
      <c r="K1725" s="4">
        <v>14.5875</v>
      </c>
      <c r="L1725" s="4">
        <v>13.9618</v>
      </c>
      <c r="M1725" s="4">
        <f t="shared" si="105"/>
        <v>14.311433333333333</v>
      </c>
      <c r="P1725" s="4" t="str">
        <f>"F44B9.8"</f>
        <v>F44B9.8</v>
      </c>
      <c r="Q1725" s="4">
        <v>13.7317007150242</v>
      </c>
      <c r="R1725" s="4">
        <v>14.0018279095137</v>
      </c>
      <c r="S1725" s="4">
        <v>13.9175783213815</v>
      </c>
      <c r="T1725" s="4">
        <f t="shared" si="106"/>
        <v>13.883702315306467</v>
      </c>
      <c r="W1725" s="4" t="str">
        <f>"nstp-10"</f>
        <v>nstp-10</v>
      </c>
      <c r="X1725" s="4">
        <v>14.173635124017499</v>
      </c>
      <c r="Y1725" s="4">
        <v>13.661096723273801</v>
      </c>
      <c r="Z1725" s="4">
        <v>14.126055158300399</v>
      </c>
      <c r="AA1725" s="4">
        <f t="shared" si="107"/>
        <v>13.986929001863899</v>
      </c>
    </row>
    <row r="1726" spans="2:27" x14ac:dyDescent="0.2">
      <c r="B1726" s="4" t="s">
        <v>3162</v>
      </c>
      <c r="C1726" s="4">
        <v>14.1784</v>
      </c>
      <c r="D1726" s="4">
        <v>14.308400000000001</v>
      </c>
      <c r="E1726" s="4">
        <v>14.442299999999999</v>
      </c>
      <c r="F1726" s="4">
        <f t="shared" si="104"/>
        <v>14.309700000000001</v>
      </c>
      <c r="I1726" s="4" t="s">
        <v>431</v>
      </c>
      <c r="J1726" s="4">
        <v>14.853999999999999</v>
      </c>
      <c r="K1726" s="4">
        <v>14.2348</v>
      </c>
      <c r="L1726" s="4">
        <v>13.8399</v>
      </c>
      <c r="M1726" s="4">
        <f t="shared" si="105"/>
        <v>14.309566666666667</v>
      </c>
      <c r="P1726" s="4" t="str">
        <f>"lst-6"</f>
        <v>lst-6</v>
      </c>
      <c r="Q1726" s="4">
        <v>14.0622374542282</v>
      </c>
      <c r="R1726" s="4">
        <v>13.7902680131349</v>
      </c>
      <c r="S1726" s="4">
        <v>13.788188218276099</v>
      </c>
      <c r="T1726" s="4">
        <f t="shared" si="106"/>
        <v>13.8802312285464</v>
      </c>
      <c r="W1726" s="4" t="str">
        <f>"mev-1"</f>
        <v>mev-1</v>
      </c>
      <c r="X1726" s="4">
        <v>13.6134414258385</v>
      </c>
      <c r="Y1726" s="4">
        <v>14.0749700639994</v>
      </c>
      <c r="Z1726" s="4">
        <v>14.266617682450599</v>
      </c>
      <c r="AA1726" s="4">
        <f t="shared" si="107"/>
        <v>13.985009724096166</v>
      </c>
    </row>
    <row r="1727" spans="2:27" x14ac:dyDescent="0.2">
      <c r="B1727" s="4" t="s">
        <v>2288</v>
      </c>
      <c r="C1727" s="4">
        <v>14.225199999999999</v>
      </c>
      <c r="D1727" s="4">
        <v>14.490399999999999</v>
      </c>
      <c r="E1727" s="4">
        <v>14.2135</v>
      </c>
      <c r="F1727" s="4">
        <f t="shared" si="104"/>
        <v>14.309699999999999</v>
      </c>
      <c r="I1727" s="4" t="s">
        <v>3062</v>
      </c>
      <c r="J1727" s="4">
        <v>14.3233</v>
      </c>
      <c r="K1727" s="4">
        <v>14.265599999999999</v>
      </c>
      <c r="L1727" s="4">
        <v>14.3323</v>
      </c>
      <c r="M1727" s="4">
        <f t="shared" si="105"/>
        <v>14.307066666666666</v>
      </c>
      <c r="P1727" s="4" t="str">
        <f>"Y92H12A.2"</f>
        <v>Y92H12A.2</v>
      </c>
      <c r="Q1727" s="4">
        <v>13.7723762171914</v>
      </c>
      <c r="R1727" s="4">
        <v>13.963219199393601</v>
      </c>
      <c r="S1727" s="4">
        <v>13.8993155784968</v>
      </c>
      <c r="T1727" s="4">
        <f t="shared" si="106"/>
        <v>13.878303665027266</v>
      </c>
      <c r="W1727" s="4" t="str">
        <f>"Y61A9LA.10"</f>
        <v>Y61A9LA.10</v>
      </c>
      <c r="X1727" s="4">
        <v>14.1253377370431</v>
      </c>
      <c r="Y1727" s="4">
        <v>13.903243153241901</v>
      </c>
      <c r="Z1727" s="4">
        <v>13.924759892033901</v>
      </c>
      <c r="AA1727" s="4">
        <f t="shared" si="107"/>
        <v>13.984446927439635</v>
      </c>
    </row>
    <row r="1728" spans="2:27" x14ac:dyDescent="0.2">
      <c r="B1728" s="4" t="s">
        <v>4702</v>
      </c>
      <c r="C1728" s="4">
        <v>14.0091</v>
      </c>
      <c r="D1728" s="4">
        <v>14.4133</v>
      </c>
      <c r="E1728" s="4">
        <v>14.506600000000001</v>
      </c>
      <c r="F1728" s="4">
        <f t="shared" si="104"/>
        <v>14.309666666666667</v>
      </c>
      <c r="I1728" s="4" t="s">
        <v>2179</v>
      </c>
      <c r="J1728" s="4">
        <v>14.134600000000001</v>
      </c>
      <c r="K1728" s="4">
        <v>13.9979</v>
      </c>
      <c r="L1728" s="4">
        <v>14.787599999999999</v>
      </c>
      <c r="M1728" s="4">
        <f t="shared" si="105"/>
        <v>14.306699999999999</v>
      </c>
      <c r="P1728" s="4" t="str">
        <f>"pigt-1"</f>
        <v>pigt-1</v>
      </c>
      <c r="Q1728" s="4">
        <v>13.6725722581734</v>
      </c>
      <c r="R1728" s="4">
        <v>13.9239177193866</v>
      </c>
      <c r="S1728" s="4">
        <v>14.0370127686384</v>
      </c>
      <c r="T1728" s="4">
        <f t="shared" si="106"/>
        <v>13.877834248732798</v>
      </c>
      <c r="W1728" s="4" t="str">
        <f>"tba-5"</f>
        <v>tba-5</v>
      </c>
      <c r="X1728" s="4">
        <v>14.06141980754</v>
      </c>
      <c r="Y1728" s="4">
        <v>13.8804339370223</v>
      </c>
      <c r="Z1728" s="4">
        <v>14.008303830471499</v>
      </c>
      <c r="AA1728" s="4">
        <f t="shared" si="107"/>
        <v>13.983385858344599</v>
      </c>
    </row>
    <row r="1729" spans="2:27" x14ac:dyDescent="0.2">
      <c r="B1729" s="4" t="s">
        <v>1317</v>
      </c>
      <c r="C1729" s="4">
        <v>14.2918</v>
      </c>
      <c r="D1729" s="4">
        <v>14.1417</v>
      </c>
      <c r="E1729" s="4">
        <v>14.4923</v>
      </c>
      <c r="F1729" s="4">
        <f t="shared" si="104"/>
        <v>14.3086</v>
      </c>
      <c r="I1729" s="4" t="s">
        <v>2536</v>
      </c>
      <c r="J1729" s="4">
        <v>14.081</v>
      </c>
      <c r="K1729" s="4">
        <v>14.3642</v>
      </c>
      <c r="L1729" s="4">
        <v>14.4712</v>
      </c>
      <c r="M1729" s="4">
        <f t="shared" si="105"/>
        <v>14.305466666666666</v>
      </c>
      <c r="P1729" s="4" t="str">
        <f>"dapk-1"</f>
        <v>dapk-1</v>
      </c>
      <c r="Q1729" s="4">
        <v>14.1171298791542</v>
      </c>
      <c r="R1729" s="4">
        <v>13.8710142452044</v>
      </c>
      <c r="S1729" s="4">
        <v>13.6366727995707</v>
      </c>
      <c r="T1729" s="4">
        <f t="shared" si="106"/>
        <v>13.874938974643101</v>
      </c>
      <c r="W1729" s="4" t="str">
        <f>"T09F3.5"</f>
        <v>T09F3.5</v>
      </c>
      <c r="X1729" s="4">
        <v>13.7995896674121</v>
      </c>
      <c r="Y1729" s="4">
        <v>14.011677513851801</v>
      </c>
      <c r="Z1729" s="4">
        <v>14.1371041296838</v>
      </c>
      <c r="AA1729" s="4">
        <f t="shared" si="107"/>
        <v>13.982790436982567</v>
      </c>
    </row>
    <row r="1730" spans="2:27" x14ac:dyDescent="0.2">
      <c r="B1730" s="4" t="s">
        <v>915</v>
      </c>
      <c r="C1730" s="4">
        <v>14.3047</v>
      </c>
      <c r="D1730" s="4">
        <v>14.3329</v>
      </c>
      <c r="E1730" s="4">
        <v>14.285</v>
      </c>
      <c r="F1730" s="4">
        <f t="shared" ref="F1730:F1793" si="108">(C1730+D1730+E1730)/3</f>
        <v>14.307533333333334</v>
      </c>
      <c r="I1730" s="4" t="s">
        <v>351</v>
      </c>
      <c r="J1730" s="4">
        <v>14.5801</v>
      </c>
      <c r="K1730" s="4">
        <v>14.3286</v>
      </c>
      <c r="L1730" s="4">
        <v>14.0061</v>
      </c>
      <c r="M1730" s="4">
        <f t="shared" ref="M1730:M1793" si="109">(J1730+K1730+L1730)/3</f>
        <v>14.304933333333333</v>
      </c>
      <c r="P1730" s="4" t="str">
        <f>"ZK1321.4"</f>
        <v>ZK1321.4</v>
      </c>
      <c r="Q1730" s="4">
        <v>14.341635890586</v>
      </c>
      <c r="R1730" s="4">
        <v>12.983547035228501</v>
      </c>
      <c r="S1730" s="4">
        <v>14.2991466817726</v>
      </c>
      <c r="T1730" s="4">
        <f t="shared" ref="T1730:T1793" si="110">(Q1730+R1730+S1730)/3</f>
        <v>13.874776535862367</v>
      </c>
      <c r="W1730" s="4" t="str">
        <f>"ttr-42"</f>
        <v>ttr-42</v>
      </c>
      <c r="X1730" s="4">
        <v>14.200303954118599</v>
      </c>
      <c r="Y1730" s="4">
        <v>13.9529809131128</v>
      </c>
      <c r="Z1730" s="4">
        <v>13.790658038784001</v>
      </c>
      <c r="AA1730" s="4">
        <f t="shared" ref="AA1730:AA1793" si="111">(X1730+Y1730+Z1730)/3</f>
        <v>13.981314302005133</v>
      </c>
    </row>
    <row r="1731" spans="2:27" x14ac:dyDescent="0.2">
      <c r="B1731" s="4" t="s">
        <v>3030</v>
      </c>
      <c r="C1731" s="4">
        <v>13.775499999999999</v>
      </c>
      <c r="D1731" s="4">
        <v>14.411799999999999</v>
      </c>
      <c r="E1731" s="4">
        <v>14.7346</v>
      </c>
      <c r="F1731" s="4">
        <f t="shared" si="108"/>
        <v>14.3073</v>
      </c>
      <c r="I1731" s="4" t="s">
        <v>962</v>
      </c>
      <c r="J1731" s="4">
        <v>14.4458</v>
      </c>
      <c r="K1731" s="4">
        <v>13.904400000000001</v>
      </c>
      <c r="L1731" s="4">
        <v>14.5549</v>
      </c>
      <c r="M1731" s="4">
        <f t="shared" si="109"/>
        <v>14.301700000000002</v>
      </c>
      <c r="P1731" s="4" t="str">
        <f>"prp-39"</f>
        <v>prp-39</v>
      </c>
      <c r="Q1731" s="4">
        <v>13.9138581142932</v>
      </c>
      <c r="R1731" s="4">
        <v>13.920172230296901</v>
      </c>
      <c r="S1731" s="4">
        <v>13.7887196653288</v>
      </c>
      <c r="T1731" s="4">
        <f t="shared" si="110"/>
        <v>13.874250003306301</v>
      </c>
      <c r="W1731" s="4" t="str">
        <f>"pkhm-2"</f>
        <v>pkhm-2</v>
      </c>
      <c r="X1731" s="4">
        <v>13.9234346178007</v>
      </c>
      <c r="Y1731" s="4">
        <v>14.1486860459525</v>
      </c>
      <c r="Z1731" s="4">
        <v>13.8705131143834</v>
      </c>
      <c r="AA1731" s="4">
        <f t="shared" si="111"/>
        <v>13.980877926045531</v>
      </c>
    </row>
    <row r="1732" spans="2:27" x14ac:dyDescent="0.2">
      <c r="B1732" s="4" t="s">
        <v>2141</v>
      </c>
      <c r="C1732" s="4">
        <v>13.9513</v>
      </c>
      <c r="D1732" s="4">
        <v>14.7447</v>
      </c>
      <c r="E1732" s="4">
        <v>14.217599999999999</v>
      </c>
      <c r="F1732" s="4">
        <f t="shared" si="108"/>
        <v>14.304533333333332</v>
      </c>
      <c r="I1732" s="4" t="s">
        <v>1353</v>
      </c>
      <c r="J1732" s="4">
        <v>14.3652</v>
      </c>
      <c r="K1732" s="4">
        <v>14.1151</v>
      </c>
      <c r="L1732" s="4">
        <v>14.424300000000001</v>
      </c>
      <c r="M1732" s="4">
        <f t="shared" si="109"/>
        <v>14.301533333333333</v>
      </c>
      <c r="P1732" s="4" t="str">
        <f>"haf-6"</f>
        <v>haf-6</v>
      </c>
      <c r="Q1732" s="4">
        <v>13.6651437630156</v>
      </c>
      <c r="R1732" s="4">
        <v>13.905817159152701</v>
      </c>
      <c r="S1732" s="4">
        <v>14.0454087722031</v>
      </c>
      <c r="T1732" s="4">
        <f t="shared" si="110"/>
        <v>13.872123231457133</v>
      </c>
      <c r="W1732" s="4" t="str">
        <f>"fbf-2"</f>
        <v>fbf-2</v>
      </c>
      <c r="X1732" s="4">
        <v>13.8169722394794</v>
      </c>
      <c r="Y1732" s="4">
        <v>14.1971522983517</v>
      </c>
      <c r="Z1732" s="4">
        <v>13.9221513744512</v>
      </c>
      <c r="AA1732" s="4">
        <f t="shared" si="111"/>
        <v>13.978758637427433</v>
      </c>
    </row>
    <row r="1733" spans="2:27" x14ac:dyDescent="0.2">
      <c r="B1733" s="4" t="s">
        <v>4676</v>
      </c>
      <c r="C1733" s="4">
        <v>13.893000000000001</v>
      </c>
      <c r="D1733" s="4">
        <v>13.961600000000001</v>
      </c>
      <c r="E1733" s="4">
        <v>15.052300000000001</v>
      </c>
      <c r="F1733" s="4">
        <f t="shared" si="108"/>
        <v>14.302300000000001</v>
      </c>
      <c r="I1733" s="4" t="s">
        <v>703</v>
      </c>
      <c r="J1733" s="4">
        <v>14.231299999999999</v>
      </c>
      <c r="K1733" s="4">
        <v>13.7232</v>
      </c>
      <c r="L1733" s="4">
        <v>14.9298</v>
      </c>
      <c r="M1733" s="4">
        <f t="shared" si="109"/>
        <v>14.294766666666666</v>
      </c>
      <c r="P1733" s="4" t="str">
        <f>"ocrl-1"</f>
        <v>ocrl-1</v>
      </c>
      <c r="Q1733" s="4">
        <v>13.7552496019274</v>
      </c>
      <c r="R1733" s="4">
        <v>13.7900632801499</v>
      </c>
      <c r="S1733" s="4">
        <v>14.0682891668626</v>
      </c>
      <c r="T1733" s="4">
        <f t="shared" si="110"/>
        <v>13.871200682979966</v>
      </c>
      <c r="W1733" s="4" t="str">
        <f>"C54G4.7"</f>
        <v>C54G4.7</v>
      </c>
      <c r="X1733" s="4">
        <v>13.7428679862841</v>
      </c>
      <c r="Y1733" s="4">
        <v>14.0457822426484</v>
      </c>
      <c r="Z1733" s="4">
        <v>14.143702992850899</v>
      </c>
      <c r="AA1733" s="4">
        <f t="shared" si="111"/>
        <v>13.977451073927801</v>
      </c>
    </row>
    <row r="1734" spans="2:27" x14ac:dyDescent="0.2">
      <c r="B1734" s="4" t="s">
        <v>3708</v>
      </c>
      <c r="C1734" s="4">
        <v>14.0923</v>
      </c>
      <c r="D1734" s="4">
        <v>14.718500000000001</v>
      </c>
      <c r="E1734" s="4">
        <v>14.094799999999999</v>
      </c>
      <c r="F1734" s="4">
        <f t="shared" si="108"/>
        <v>14.301866666666667</v>
      </c>
      <c r="I1734" s="4" t="s">
        <v>38</v>
      </c>
      <c r="J1734" s="4">
        <v>14.487</v>
      </c>
      <c r="K1734" s="4">
        <v>14.353199999999999</v>
      </c>
      <c r="L1734" s="4">
        <v>14.0434</v>
      </c>
      <c r="M1734" s="4">
        <f t="shared" si="109"/>
        <v>14.294533333333334</v>
      </c>
      <c r="P1734" s="4" t="str">
        <f>"ufd-2"</f>
        <v>ufd-2</v>
      </c>
      <c r="Q1734" s="4">
        <v>13.643237788176201</v>
      </c>
      <c r="R1734" s="4">
        <v>14.061517465895401</v>
      </c>
      <c r="S1734" s="4">
        <v>13.9081714175539</v>
      </c>
      <c r="T1734" s="4">
        <f t="shared" si="110"/>
        <v>13.870975557208501</v>
      </c>
      <c r="W1734" s="4" t="str">
        <f>"pes-4"</f>
        <v>pes-4</v>
      </c>
      <c r="X1734" s="4">
        <v>14.2783789806815</v>
      </c>
      <c r="Y1734" s="4">
        <v>13.6886894512201</v>
      </c>
      <c r="Z1734" s="4">
        <v>13.964407638611799</v>
      </c>
      <c r="AA1734" s="4">
        <f t="shared" si="111"/>
        <v>13.977158690171132</v>
      </c>
    </row>
    <row r="1735" spans="2:27" x14ac:dyDescent="0.2">
      <c r="B1735" s="4" t="s">
        <v>4707</v>
      </c>
      <c r="C1735" s="4">
        <v>14.407999999999999</v>
      </c>
      <c r="D1735" s="4">
        <v>14.1251</v>
      </c>
      <c r="E1735" s="4">
        <v>14.3719</v>
      </c>
      <c r="F1735" s="4">
        <f t="shared" si="108"/>
        <v>14.301666666666668</v>
      </c>
      <c r="I1735" s="4" t="s">
        <v>1013</v>
      </c>
      <c r="J1735" s="4">
        <v>14.168200000000001</v>
      </c>
      <c r="K1735" s="4">
        <v>14.5002</v>
      </c>
      <c r="L1735" s="4">
        <v>14.2096</v>
      </c>
      <c r="M1735" s="4">
        <f t="shared" si="109"/>
        <v>14.292666666666667</v>
      </c>
      <c r="P1735" s="4" t="str">
        <f>"rcor-1"</f>
        <v>rcor-1</v>
      </c>
      <c r="Q1735" s="4">
        <v>13.6038164039</v>
      </c>
      <c r="R1735" s="4">
        <v>14.0821169911744</v>
      </c>
      <c r="S1735" s="4">
        <v>13.9262370463947</v>
      </c>
      <c r="T1735" s="4">
        <f t="shared" si="110"/>
        <v>13.870723480489701</v>
      </c>
      <c r="W1735" s="4" t="str">
        <f>"Y41D4A.6"</f>
        <v>Y41D4A.6</v>
      </c>
      <c r="X1735" s="4">
        <v>13.6603499893004</v>
      </c>
      <c r="Y1735" s="4">
        <v>14.021424105121501</v>
      </c>
      <c r="Z1735" s="4">
        <v>14.249262401818401</v>
      </c>
      <c r="AA1735" s="4">
        <f t="shared" si="111"/>
        <v>13.977012165413434</v>
      </c>
    </row>
    <row r="1736" spans="2:27" x14ac:dyDescent="0.2">
      <c r="B1736" s="4" t="s">
        <v>2674</v>
      </c>
      <c r="C1736" s="4">
        <v>14.6271</v>
      </c>
      <c r="D1736" s="4">
        <v>14.0151</v>
      </c>
      <c r="E1736" s="4">
        <v>14.258900000000001</v>
      </c>
      <c r="F1736" s="4">
        <f t="shared" si="108"/>
        <v>14.300366666666667</v>
      </c>
      <c r="I1736" s="4" t="s">
        <v>4112</v>
      </c>
      <c r="J1736" s="4">
        <v>14.6569</v>
      </c>
      <c r="K1736" s="4">
        <v>13.875999999999999</v>
      </c>
      <c r="L1736" s="4">
        <v>14.3422</v>
      </c>
      <c r="M1736" s="4">
        <f t="shared" si="109"/>
        <v>14.291699999999999</v>
      </c>
      <c r="P1736" s="4" t="str">
        <f>"vps-39"</f>
        <v>vps-39</v>
      </c>
      <c r="Q1736" s="4">
        <v>13.9978442465447</v>
      </c>
      <c r="R1736" s="4">
        <v>13.7946456726704</v>
      </c>
      <c r="S1736" s="4">
        <v>13.815597504737299</v>
      </c>
      <c r="T1736" s="4">
        <f t="shared" si="110"/>
        <v>13.869362474650799</v>
      </c>
      <c r="W1736" s="4" t="str">
        <f>"C01H6.4"</f>
        <v>C01H6.4</v>
      </c>
      <c r="X1736" s="4">
        <v>13.8347010833686</v>
      </c>
      <c r="Y1736" s="4">
        <v>13.7641476599018</v>
      </c>
      <c r="Z1736" s="4">
        <v>14.331051105051699</v>
      </c>
      <c r="AA1736" s="4">
        <f t="shared" si="111"/>
        <v>13.976633282774033</v>
      </c>
    </row>
    <row r="1737" spans="2:27" x14ac:dyDescent="0.2">
      <c r="B1737" s="4" t="s">
        <v>2012</v>
      </c>
      <c r="C1737" s="4">
        <v>14.4452</v>
      </c>
      <c r="D1737" s="4">
        <v>14.129</v>
      </c>
      <c r="E1737" s="4">
        <v>14.3261</v>
      </c>
      <c r="F1737" s="4">
        <f t="shared" si="108"/>
        <v>14.3001</v>
      </c>
      <c r="I1737" s="4" t="s">
        <v>1684</v>
      </c>
      <c r="J1737" s="4">
        <v>14.144600000000001</v>
      </c>
      <c r="K1737" s="4">
        <v>14.490399999999999</v>
      </c>
      <c r="L1737" s="4">
        <v>14.230700000000001</v>
      </c>
      <c r="M1737" s="4">
        <f t="shared" si="109"/>
        <v>14.288566666666666</v>
      </c>
      <c r="P1737" s="4" t="str">
        <f>"nhr-70"</f>
        <v>nhr-70</v>
      </c>
      <c r="Q1737" s="4">
        <v>14.4653154190548</v>
      </c>
      <c r="R1737" s="4">
        <v>13.771417655524401</v>
      </c>
      <c r="S1737" s="4">
        <v>13.369763219734899</v>
      </c>
      <c r="T1737" s="4">
        <f t="shared" si="110"/>
        <v>13.868832098104699</v>
      </c>
      <c r="W1737" s="4" t="str">
        <f>"rpn-8"</f>
        <v>rpn-8</v>
      </c>
      <c r="X1737" s="4">
        <v>14.1917525667333</v>
      </c>
      <c r="Y1737" s="4">
        <v>13.880091883720601</v>
      </c>
      <c r="Z1737" s="4">
        <v>13.8566583921037</v>
      </c>
      <c r="AA1737" s="4">
        <f t="shared" si="111"/>
        <v>13.976167614185869</v>
      </c>
    </row>
    <row r="1738" spans="2:27" x14ac:dyDescent="0.2">
      <c r="B1738" s="4" t="s">
        <v>1707</v>
      </c>
      <c r="C1738" s="4">
        <v>14.2136</v>
      </c>
      <c r="D1738" s="4">
        <v>14.240600000000001</v>
      </c>
      <c r="E1738" s="4">
        <v>14.439399999999999</v>
      </c>
      <c r="F1738" s="4">
        <f t="shared" si="108"/>
        <v>14.297866666666666</v>
      </c>
      <c r="I1738" s="4" t="s">
        <v>1602</v>
      </c>
      <c r="J1738" s="4">
        <v>14.745200000000001</v>
      </c>
      <c r="K1738" s="4">
        <v>14.2758</v>
      </c>
      <c r="L1738" s="4">
        <v>13.842499999999999</v>
      </c>
      <c r="M1738" s="4">
        <f t="shared" si="109"/>
        <v>14.287833333333333</v>
      </c>
      <c r="P1738" s="4" t="str">
        <f>"ddx-15"</f>
        <v>ddx-15</v>
      </c>
      <c r="Q1738" s="4">
        <v>13.8706145452818</v>
      </c>
      <c r="R1738" s="4">
        <v>13.845616182018601</v>
      </c>
      <c r="S1738" s="4">
        <v>13.8809995269</v>
      </c>
      <c r="T1738" s="4">
        <f t="shared" si="110"/>
        <v>13.865743418066799</v>
      </c>
      <c r="W1738" s="4" t="str">
        <f>"mlc-4"</f>
        <v>mlc-4</v>
      </c>
      <c r="X1738" s="4">
        <v>13.885390664349201</v>
      </c>
      <c r="Y1738" s="4">
        <v>13.8722385049105</v>
      </c>
      <c r="Z1738" s="4">
        <v>14.168675534388001</v>
      </c>
      <c r="AA1738" s="4">
        <f t="shared" si="111"/>
        <v>13.9754349012159</v>
      </c>
    </row>
    <row r="1739" spans="2:27" x14ac:dyDescent="0.2">
      <c r="B1739" s="4" t="s">
        <v>727</v>
      </c>
      <c r="C1739" s="4">
        <v>14.4575</v>
      </c>
      <c r="D1739" s="4">
        <v>14.0153</v>
      </c>
      <c r="E1739" s="4">
        <v>14.416399999999999</v>
      </c>
      <c r="F1739" s="4">
        <f t="shared" si="108"/>
        <v>14.2964</v>
      </c>
      <c r="I1739" s="4" t="s">
        <v>1333</v>
      </c>
      <c r="J1739" s="4">
        <v>14.616899999999999</v>
      </c>
      <c r="K1739" s="4">
        <v>14.291700000000001</v>
      </c>
      <c r="L1739" s="4">
        <v>13.954800000000001</v>
      </c>
      <c r="M1739" s="4">
        <f t="shared" si="109"/>
        <v>14.287799999999999</v>
      </c>
      <c r="P1739" s="4" t="str">
        <f>"gst-26"</f>
        <v>gst-26</v>
      </c>
      <c r="Q1739" s="4">
        <v>13.73759013111</v>
      </c>
      <c r="R1739" s="4">
        <v>13.81510332167</v>
      </c>
      <c r="S1739" s="4">
        <v>14.0320334094096</v>
      </c>
      <c r="T1739" s="4">
        <f t="shared" si="110"/>
        <v>13.861575620729866</v>
      </c>
      <c r="W1739" s="4" t="str">
        <f>"prp-3"</f>
        <v>prp-3</v>
      </c>
      <c r="X1739" s="4">
        <v>13.8658687440698</v>
      </c>
      <c r="Y1739" s="4">
        <v>14.026050568823299</v>
      </c>
      <c r="Z1739" s="4">
        <v>14.031513184268601</v>
      </c>
      <c r="AA1739" s="4">
        <f t="shared" si="111"/>
        <v>13.974477499053899</v>
      </c>
    </row>
    <row r="1740" spans="2:27" x14ac:dyDescent="0.2">
      <c r="B1740" s="4" t="s">
        <v>2470</v>
      </c>
      <c r="C1740" s="4">
        <v>14.1105</v>
      </c>
      <c r="D1740" s="4">
        <v>14.358599999999999</v>
      </c>
      <c r="E1740" s="4">
        <v>14.4183</v>
      </c>
      <c r="F1740" s="4">
        <f t="shared" si="108"/>
        <v>14.2958</v>
      </c>
      <c r="I1740" s="4" t="s">
        <v>3922</v>
      </c>
      <c r="J1740" s="4">
        <v>14.2652</v>
      </c>
      <c r="K1740" s="4">
        <v>14.088100000000001</v>
      </c>
      <c r="L1740" s="4">
        <v>14.5055</v>
      </c>
      <c r="M1740" s="4">
        <f t="shared" si="109"/>
        <v>14.286266666666668</v>
      </c>
      <c r="P1740" s="4" t="str">
        <f>"F35D11.4"</f>
        <v>F35D11.4</v>
      </c>
      <c r="Q1740" s="4">
        <v>13.078023440731499</v>
      </c>
      <c r="R1740" s="4">
        <v>13.5851522685549</v>
      </c>
      <c r="S1740" s="4">
        <v>14.920439881368599</v>
      </c>
      <c r="T1740" s="4">
        <f t="shared" si="110"/>
        <v>13.861205196885001</v>
      </c>
      <c r="W1740" s="4" t="str">
        <f>"Y39B6A.10"</f>
        <v>Y39B6A.10</v>
      </c>
      <c r="X1740" s="4">
        <v>14.1458180900024</v>
      </c>
      <c r="Y1740" s="4">
        <v>14.0092230083867</v>
      </c>
      <c r="Z1740" s="4">
        <v>13.764819480304</v>
      </c>
      <c r="AA1740" s="4">
        <f t="shared" si="111"/>
        <v>13.973286859564366</v>
      </c>
    </row>
    <row r="1741" spans="2:27" x14ac:dyDescent="0.2">
      <c r="B1741" s="4" t="s">
        <v>314</v>
      </c>
      <c r="C1741" s="4">
        <v>14.3271</v>
      </c>
      <c r="D1741" s="4">
        <v>14.303000000000001</v>
      </c>
      <c r="E1741" s="4">
        <v>14.2562</v>
      </c>
      <c r="F1741" s="4">
        <f t="shared" si="108"/>
        <v>14.295433333333333</v>
      </c>
      <c r="I1741" s="4" t="s">
        <v>3167</v>
      </c>
      <c r="J1741" s="4">
        <v>14.1257</v>
      </c>
      <c r="K1741" s="4">
        <v>14.576599999999999</v>
      </c>
      <c r="L1741" s="4">
        <v>14.1557</v>
      </c>
      <c r="M1741" s="4">
        <f t="shared" si="109"/>
        <v>14.286000000000001</v>
      </c>
      <c r="P1741" s="4" t="str">
        <f>"C29F5.1"</f>
        <v>C29F5.1</v>
      </c>
      <c r="Q1741" s="4">
        <v>13.658639206809299</v>
      </c>
      <c r="R1741" s="4">
        <v>13.8672060001481</v>
      </c>
      <c r="S1741" s="4">
        <v>14.056971828875501</v>
      </c>
      <c r="T1741" s="4">
        <f t="shared" si="110"/>
        <v>13.860939011944302</v>
      </c>
      <c r="W1741" s="4" t="str">
        <f>"gcs-1"</f>
        <v>gcs-1</v>
      </c>
      <c r="X1741" s="4">
        <v>14.1257862185071</v>
      </c>
      <c r="Y1741" s="4">
        <v>13.8051402174655</v>
      </c>
      <c r="Z1741" s="4">
        <v>13.988508335699001</v>
      </c>
      <c r="AA1741" s="4">
        <f t="shared" si="111"/>
        <v>13.973144923890535</v>
      </c>
    </row>
    <row r="1742" spans="2:27" x14ac:dyDescent="0.2">
      <c r="B1742" s="4" t="s">
        <v>4708</v>
      </c>
      <c r="C1742" s="4">
        <v>13.155099999999999</v>
      </c>
      <c r="D1742" s="4">
        <v>14.5068</v>
      </c>
      <c r="E1742" s="4">
        <v>15.222899999999999</v>
      </c>
      <c r="F1742" s="4">
        <f t="shared" si="108"/>
        <v>14.294933333333333</v>
      </c>
      <c r="I1742" s="4" t="s">
        <v>1541</v>
      </c>
      <c r="J1742" s="4">
        <v>13.9542</v>
      </c>
      <c r="K1742" s="4">
        <v>14.0312</v>
      </c>
      <c r="L1742" s="4">
        <v>14.868600000000001</v>
      </c>
      <c r="M1742" s="4">
        <f t="shared" si="109"/>
        <v>14.284666666666666</v>
      </c>
      <c r="P1742" s="4" t="str">
        <f>"R06F6.8"</f>
        <v>R06F6.8</v>
      </c>
      <c r="Q1742" s="4">
        <v>13.9573766882718</v>
      </c>
      <c r="R1742" s="4">
        <v>13.9173966343544</v>
      </c>
      <c r="S1742" s="4">
        <v>13.7077679077554</v>
      </c>
      <c r="T1742" s="4">
        <f t="shared" si="110"/>
        <v>13.860847076793867</v>
      </c>
      <c r="W1742" s="4" t="str">
        <f>"nlp-31"</f>
        <v>nlp-31</v>
      </c>
      <c r="X1742" s="4">
        <v>13.4833791945562</v>
      </c>
      <c r="Y1742" s="4">
        <v>14.033841211103599</v>
      </c>
      <c r="Z1742" s="4">
        <v>14.3963381706526</v>
      </c>
      <c r="AA1742" s="4">
        <f t="shared" si="111"/>
        <v>13.971186192104133</v>
      </c>
    </row>
    <row r="1743" spans="2:27" x14ac:dyDescent="0.2">
      <c r="B1743" s="4" t="s">
        <v>2660</v>
      </c>
      <c r="C1743" s="4">
        <v>14.450200000000001</v>
      </c>
      <c r="D1743" s="4">
        <v>14.0021</v>
      </c>
      <c r="E1743" s="4">
        <v>14.4315</v>
      </c>
      <c r="F1743" s="4">
        <f t="shared" si="108"/>
        <v>14.294600000000001</v>
      </c>
      <c r="I1743" s="4" t="s">
        <v>3935</v>
      </c>
      <c r="J1743" s="4">
        <v>14.318199999999999</v>
      </c>
      <c r="K1743" s="4">
        <v>14.4886</v>
      </c>
      <c r="L1743" s="4">
        <v>14.0434</v>
      </c>
      <c r="M1743" s="4">
        <f t="shared" si="109"/>
        <v>14.2834</v>
      </c>
      <c r="P1743" s="4" t="str">
        <f>"clpp-1"</f>
        <v>clpp-1</v>
      </c>
      <c r="Q1743" s="4">
        <v>14.2744693699181</v>
      </c>
      <c r="R1743" s="4">
        <v>13.786636501896201</v>
      </c>
      <c r="S1743" s="4">
        <v>13.521289394441499</v>
      </c>
      <c r="T1743" s="4">
        <f t="shared" si="110"/>
        <v>13.860798422085267</v>
      </c>
      <c r="W1743" s="4" t="str">
        <f>"hrpf-1"</f>
        <v>hrpf-1</v>
      </c>
      <c r="X1743" s="4">
        <v>13.6703952646102</v>
      </c>
      <c r="Y1743" s="4">
        <v>13.9274085231939</v>
      </c>
      <c r="Z1743" s="4">
        <v>14.315498365195999</v>
      </c>
      <c r="AA1743" s="4">
        <f t="shared" si="111"/>
        <v>13.971100717666701</v>
      </c>
    </row>
    <row r="1744" spans="2:27" x14ac:dyDescent="0.2">
      <c r="B1744" s="4" t="s">
        <v>3855</v>
      </c>
      <c r="C1744" s="4">
        <v>14.1332</v>
      </c>
      <c r="D1744" s="4">
        <v>14.4251</v>
      </c>
      <c r="E1744" s="4">
        <v>14.3239</v>
      </c>
      <c r="F1744" s="4">
        <f t="shared" si="108"/>
        <v>14.294066666666668</v>
      </c>
      <c r="I1744" s="4" t="s">
        <v>2012</v>
      </c>
      <c r="J1744" s="4">
        <v>14.521100000000001</v>
      </c>
      <c r="K1744" s="4">
        <v>14.1084</v>
      </c>
      <c r="L1744" s="4">
        <v>14.214600000000001</v>
      </c>
      <c r="M1744" s="4">
        <f t="shared" si="109"/>
        <v>14.281366666666665</v>
      </c>
      <c r="P1744" s="4" t="str">
        <f>"cnep-1"</f>
        <v>cnep-1</v>
      </c>
      <c r="Q1744" s="4">
        <v>13.773743596734001</v>
      </c>
      <c r="R1744" s="4">
        <v>14.141708239780099</v>
      </c>
      <c r="S1744" s="4">
        <v>13.6669154990685</v>
      </c>
      <c r="T1744" s="4">
        <f t="shared" si="110"/>
        <v>13.860789111860868</v>
      </c>
      <c r="W1744" s="4" t="str">
        <f>"mek-1"</f>
        <v>mek-1</v>
      </c>
      <c r="X1744" s="4">
        <v>14.0061099136616</v>
      </c>
      <c r="Y1744" s="4">
        <v>13.9292137202613</v>
      </c>
      <c r="Z1744" s="4">
        <v>13.966964894795099</v>
      </c>
      <c r="AA1744" s="4">
        <f t="shared" si="111"/>
        <v>13.967429509572666</v>
      </c>
    </row>
    <row r="1745" spans="2:27" x14ac:dyDescent="0.2">
      <c r="B1745" s="4" t="s">
        <v>638</v>
      </c>
      <c r="C1745" s="4">
        <v>14.2128</v>
      </c>
      <c r="D1745" s="4">
        <v>14.231299999999999</v>
      </c>
      <c r="E1745" s="4">
        <v>14.437799999999999</v>
      </c>
      <c r="F1745" s="4">
        <f t="shared" si="108"/>
        <v>14.293966666666668</v>
      </c>
      <c r="I1745" s="4" t="s">
        <v>252</v>
      </c>
      <c r="J1745" s="4">
        <v>14.344900000000001</v>
      </c>
      <c r="K1745" s="4">
        <v>14.014099999999999</v>
      </c>
      <c r="L1745" s="4">
        <v>14.4824</v>
      </c>
      <c r="M1745" s="4">
        <f t="shared" si="109"/>
        <v>14.280466666666667</v>
      </c>
      <c r="P1745" s="4" t="str">
        <f>"Y111B2A.3"</f>
        <v>Y111B2A.3</v>
      </c>
      <c r="Q1745" s="4">
        <v>13.520567157533</v>
      </c>
      <c r="R1745" s="4">
        <v>14.014191184723201</v>
      </c>
      <c r="S1745" s="4">
        <v>14.0472898898126</v>
      </c>
      <c r="T1745" s="4">
        <f t="shared" si="110"/>
        <v>13.860682744022933</v>
      </c>
      <c r="W1745" s="4" t="str">
        <f>"Y54F10AL.1"</f>
        <v>Y54F10AL.1</v>
      </c>
      <c r="X1745" s="4">
        <v>14.150245261940301</v>
      </c>
      <c r="Y1745" s="4">
        <v>13.784607936116901</v>
      </c>
      <c r="Z1745" s="4">
        <v>13.963715605005</v>
      </c>
      <c r="AA1745" s="4">
        <f t="shared" si="111"/>
        <v>13.966189601020735</v>
      </c>
    </row>
    <row r="1746" spans="2:27" x14ac:dyDescent="0.2">
      <c r="B1746" s="4" t="s">
        <v>3550</v>
      </c>
      <c r="C1746" s="4">
        <v>14.21</v>
      </c>
      <c r="D1746" s="4">
        <v>14.4125</v>
      </c>
      <c r="E1746" s="4">
        <v>14.257400000000001</v>
      </c>
      <c r="F1746" s="4">
        <f t="shared" si="108"/>
        <v>14.293300000000002</v>
      </c>
      <c r="I1746" s="4" t="s">
        <v>3220</v>
      </c>
      <c r="J1746" s="4">
        <v>13.918100000000001</v>
      </c>
      <c r="K1746" s="4">
        <v>14.658799999999999</v>
      </c>
      <c r="L1746" s="4">
        <v>14.2615</v>
      </c>
      <c r="M1746" s="4">
        <f t="shared" si="109"/>
        <v>14.279466666666666</v>
      </c>
      <c r="P1746" s="4" t="str">
        <f>"pbs-5"</f>
        <v>pbs-5</v>
      </c>
      <c r="Q1746" s="4">
        <v>13.879490814790399</v>
      </c>
      <c r="R1746" s="4">
        <v>13.836041920203</v>
      </c>
      <c r="S1746" s="4">
        <v>13.8642924344459</v>
      </c>
      <c r="T1746" s="4">
        <f t="shared" si="110"/>
        <v>13.859941723146434</v>
      </c>
      <c r="W1746" s="4" t="str">
        <f>"tbb-4"</f>
        <v>tbb-4</v>
      </c>
      <c r="X1746" s="4">
        <v>14.2211278592564</v>
      </c>
      <c r="Y1746" s="4">
        <v>13.7890076080655</v>
      </c>
      <c r="Z1746" s="4">
        <v>13.884000446401201</v>
      </c>
      <c r="AA1746" s="4">
        <f t="shared" si="111"/>
        <v>13.964711971241035</v>
      </c>
    </row>
    <row r="1747" spans="2:27" x14ac:dyDescent="0.2">
      <c r="B1747" s="4" t="s">
        <v>962</v>
      </c>
      <c r="C1747" s="4">
        <v>13.906700000000001</v>
      </c>
      <c r="D1747" s="4">
        <v>14.723800000000001</v>
      </c>
      <c r="E1747" s="4">
        <v>14.2476</v>
      </c>
      <c r="F1747" s="4">
        <f t="shared" si="108"/>
        <v>14.292700000000002</v>
      </c>
      <c r="I1747" s="4" t="s">
        <v>3828</v>
      </c>
      <c r="J1747" s="4">
        <v>14.0349</v>
      </c>
      <c r="K1747" s="4">
        <v>14.349299999999999</v>
      </c>
      <c r="L1747" s="4">
        <v>14.4513</v>
      </c>
      <c r="M1747" s="4">
        <f t="shared" si="109"/>
        <v>14.278499999999999</v>
      </c>
      <c r="P1747" s="4" t="str">
        <f>"rap-2"</f>
        <v>rap-2</v>
      </c>
      <c r="Q1747" s="4">
        <v>13.9111817054736</v>
      </c>
      <c r="R1747" s="4">
        <v>13.871397885824599</v>
      </c>
      <c r="S1747" s="4">
        <v>13.7954006226151</v>
      </c>
      <c r="T1747" s="4">
        <f t="shared" si="110"/>
        <v>13.8593267379711</v>
      </c>
      <c r="W1747" s="4" t="str">
        <f>"T05H10.1"</f>
        <v>T05H10.1</v>
      </c>
      <c r="X1747" s="4">
        <v>14.074157881485499</v>
      </c>
      <c r="Y1747" s="4">
        <v>13.9861476812415</v>
      </c>
      <c r="Z1747" s="4">
        <v>13.829841727605</v>
      </c>
      <c r="AA1747" s="4">
        <f t="shared" si="111"/>
        <v>13.963382430110665</v>
      </c>
    </row>
    <row r="1748" spans="2:27" x14ac:dyDescent="0.2">
      <c r="B1748" s="4" t="s">
        <v>4513</v>
      </c>
      <c r="C1748" s="4">
        <v>14.129200000000001</v>
      </c>
      <c r="D1748" s="4">
        <v>14.306900000000001</v>
      </c>
      <c r="E1748" s="4">
        <v>14.441599999999999</v>
      </c>
      <c r="F1748" s="4">
        <f t="shared" si="108"/>
        <v>14.292566666666668</v>
      </c>
      <c r="I1748" s="4" t="s">
        <v>3162</v>
      </c>
      <c r="J1748" s="4">
        <v>14.273400000000001</v>
      </c>
      <c r="K1748" s="4">
        <v>14.2966</v>
      </c>
      <c r="L1748" s="4">
        <v>14.2638</v>
      </c>
      <c r="M1748" s="4">
        <f t="shared" si="109"/>
        <v>14.277933333333332</v>
      </c>
      <c r="P1748" s="4" t="str">
        <f>"hsp-12.3"</f>
        <v>hsp-12.3</v>
      </c>
      <c r="Q1748" s="4">
        <v>13.630854157448301</v>
      </c>
      <c r="R1748" s="4">
        <v>13.7047580253801</v>
      </c>
      <c r="S1748" s="4">
        <v>14.241239820166401</v>
      </c>
      <c r="T1748" s="4">
        <f t="shared" si="110"/>
        <v>13.858950667664933</v>
      </c>
      <c r="W1748" s="4" t="str">
        <f>"dnc-1"</f>
        <v>dnc-1</v>
      </c>
      <c r="X1748" s="4">
        <v>13.808305234427699</v>
      </c>
      <c r="Y1748" s="4">
        <v>14.211825947245901</v>
      </c>
      <c r="Z1748" s="4">
        <v>13.867114328201099</v>
      </c>
      <c r="AA1748" s="4">
        <f t="shared" si="111"/>
        <v>13.962415169958232</v>
      </c>
    </row>
    <row r="1749" spans="2:27" x14ac:dyDescent="0.2">
      <c r="B1749" s="4" t="s">
        <v>3360</v>
      </c>
      <c r="C1749" s="4">
        <v>14.4438</v>
      </c>
      <c r="D1749" s="4">
        <v>14.3543</v>
      </c>
      <c r="E1749" s="4">
        <v>14.0793</v>
      </c>
      <c r="F1749" s="4">
        <f t="shared" si="108"/>
        <v>14.292466666666664</v>
      </c>
      <c r="I1749" s="4" t="s">
        <v>3583</v>
      </c>
      <c r="J1749" s="4">
        <v>14.250299999999999</v>
      </c>
      <c r="K1749" s="4">
        <v>14.1912</v>
      </c>
      <c r="L1749" s="4">
        <v>14.3916</v>
      </c>
      <c r="M1749" s="4">
        <f t="shared" si="109"/>
        <v>14.277700000000001</v>
      </c>
      <c r="P1749" s="4" t="str">
        <f>"rad-50"</f>
        <v>rad-50</v>
      </c>
      <c r="Q1749" s="4">
        <v>13.7359162256712</v>
      </c>
      <c r="R1749" s="4">
        <v>13.920691186415</v>
      </c>
      <c r="S1749" s="4">
        <v>13.916581241645</v>
      </c>
      <c r="T1749" s="4">
        <f t="shared" si="110"/>
        <v>13.857729551243734</v>
      </c>
      <c r="W1749" s="4" t="str">
        <f>"asp-1"</f>
        <v>asp-1</v>
      </c>
      <c r="X1749" s="4">
        <v>13.9603919186845</v>
      </c>
      <c r="Y1749" s="4">
        <v>13.893431413828001</v>
      </c>
      <c r="Z1749" s="4">
        <v>14.0325257234687</v>
      </c>
      <c r="AA1749" s="4">
        <f t="shared" si="111"/>
        <v>13.962116351993734</v>
      </c>
    </row>
    <row r="1750" spans="2:27" x14ac:dyDescent="0.2">
      <c r="B1750" s="4" t="s">
        <v>3537</v>
      </c>
      <c r="C1750" s="4">
        <v>14.339399999999999</v>
      </c>
      <c r="D1750" s="4">
        <v>14.1495</v>
      </c>
      <c r="E1750" s="4">
        <v>14.388199999999999</v>
      </c>
      <c r="F1750" s="4">
        <f t="shared" si="108"/>
        <v>14.292366666666666</v>
      </c>
      <c r="I1750" s="4" t="s">
        <v>3092</v>
      </c>
      <c r="J1750" s="4">
        <v>14.2796</v>
      </c>
      <c r="K1750" s="4">
        <v>14.4796</v>
      </c>
      <c r="L1750" s="4">
        <v>14.072100000000001</v>
      </c>
      <c r="M1750" s="4">
        <f t="shared" si="109"/>
        <v>14.277099999999999</v>
      </c>
      <c r="P1750" s="4" t="str">
        <f>"swsn-1"</f>
        <v>swsn-1</v>
      </c>
      <c r="Q1750" s="4">
        <v>14.0695951454164</v>
      </c>
      <c r="R1750" s="4">
        <v>13.6119742861493</v>
      </c>
      <c r="S1750" s="4">
        <v>13.891306174081</v>
      </c>
      <c r="T1750" s="4">
        <f t="shared" si="110"/>
        <v>13.857625201882234</v>
      </c>
      <c r="W1750" s="4" t="str">
        <f>"ctg-1"</f>
        <v>ctg-1</v>
      </c>
      <c r="X1750" s="4">
        <v>14.2701096476159</v>
      </c>
      <c r="Y1750" s="4">
        <v>13.7129380519556</v>
      </c>
      <c r="Z1750" s="4">
        <v>13.900080167813501</v>
      </c>
      <c r="AA1750" s="4">
        <f t="shared" si="111"/>
        <v>13.961042622461667</v>
      </c>
    </row>
    <row r="1751" spans="2:27" x14ac:dyDescent="0.2">
      <c r="B1751" s="4" t="s">
        <v>2765</v>
      </c>
      <c r="C1751" s="4">
        <v>14.2997</v>
      </c>
      <c r="D1751" s="4">
        <v>14.6526</v>
      </c>
      <c r="E1751" s="4">
        <v>13.921799999999999</v>
      </c>
      <c r="F1751" s="4">
        <f t="shared" si="108"/>
        <v>14.291366666666667</v>
      </c>
      <c r="I1751" s="4" t="s">
        <v>250</v>
      </c>
      <c r="J1751" s="4">
        <v>14.4009</v>
      </c>
      <c r="K1751" s="4">
        <v>14.4498</v>
      </c>
      <c r="L1751" s="4">
        <v>13.9762</v>
      </c>
      <c r="M1751" s="4">
        <f t="shared" si="109"/>
        <v>14.275633333333333</v>
      </c>
      <c r="P1751" s="4" t="str">
        <f>"rbm-3.2"</f>
        <v>rbm-3.2</v>
      </c>
      <c r="Q1751" s="4">
        <v>13.730743373303101</v>
      </c>
      <c r="R1751" s="4">
        <v>13.8812186027641</v>
      </c>
      <c r="S1751" s="4">
        <v>13.960592270716299</v>
      </c>
      <c r="T1751" s="4">
        <f t="shared" si="110"/>
        <v>13.857518082261166</v>
      </c>
      <c r="W1751" s="4" t="str">
        <f>"Y71G12B.10"</f>
        <v>Y71G12B.10</v>
      </c>
      <c r="X1751" s="4">
        <v>13.9805000382534</v>
      </c>
      <c r="Y1751" s="4">
        <v>13.943625427142299</v>
      </c>
      <c r="Z1751" s="4">
        <v>13.953408114277799</v>
      </c>
      <c r="AA1751" s="4">
        <f t="shared" si="111"/>
        <v>13.959177859891165</v>
      </c>
    </row>
    <row r="1752" spans="2:27" x14ac:dyDescent="0.2">
      <c r="B1752" s="4" t="s">
        <v>3884</v>
      </c>
      <c r="C1752" s="4">
        <v>14.3317</v>
      </c>
      <c r="D1752" s="4">
        <v>14.849399999999999</v>
      </c>
      <c r="E1752" s="4">
        <v>13.6889</v>
      </c>
      <c r="F1752" s="4">
        <f t="shared" si="108"/>
        <v>14.290000000000001</v>
      </c>
      <c r="I1752" s="4" t="s">
        <v>577</v>
      </c>
      <c r="J1752" s="4">
        <v>14.1332</v>
      </c>
      <c r="K1752" s="4">
        <v>14.4628</v>
      </c>
      <c r="L1752" s="4">
        <v>14.2233</v>
      </c>
      <c r="M1752" s="4">
        <f t="shared" si="109"/>
        <v>14.273099999999999</v>
      </c>
      <c r="P1752" s="4" t="str">
        <f>"F54C8.4"</f>
        <v>F54C8.4</v>
      </c>
      <c r="Q1752" s="4">
        <v>14.0211997274127</v>
      </c>
      <c r="R1752" s="4">
        <v>13.736153366070999</v>
      </c>
      <c r="S1752" s="4">
        <v>13.8136891340143</v>
      </c>
      <c r="T1752" s="4">
        <f t="shared" si="110"/>
        <v>13.857014075832666</v>
      </c>
      <c r="W1752" s="4" t="str">
        <f>"max-2"</f>
        <v>max-2</v>
      </c>
      <c r="X1752" s="4">
        <v>14.088938965201701</v>
      </c>
      <c r="Y1752" s="4">
        <v>13.9036343028408</v>
      </c>
      <c r="Z1752" s="4">
        <v>13.8841399163282</v>
      </c>
      <c r="AA1752" s="4">
        <f t="shared" si="111"/>
        <v>13.958904394790233</v>
      </c>
    </row>
    <row r="1753" spans="2:27" x14ac:dyDescent="0.2">
      <c r="B1753" s="4" t="s">
        <v>4689</v>
      </c>
      <c r="C1753" s="4">
        <v>13.8424</v>
      </c>
      <c r="D1753" s="4">
        <v>14.8527</v>
      </c>
      <c r="E1753" s="4">
        <v>14.164</v>
      </c>
      <c r="F1753" s="4">
        <f t="shared" si="108"/>
        <v>14.286366666666666</v>
      </c>
      <c r="I1753" s="4" t="s">
        <v>274</v>
      </c>
      <c r="J1753" s="4">
        <v>14.497400000000001</v>
      </c>
      <c r="K1753" s="4">
        <v>14.7102</v>
      </c>
      <c r="L1753" s="4">
        <v>13.607900000000001</v>
      </c>
      <c r="M1753" s="4">
        <f t="shared" si="109"/>
        <v>14.271833333333333</v>
      </c>
      <c r="P1753" s="4" t="str">
        <f>"rla-1"</f>
        <v>rla-1</v>
      </c>
      <c r="Q1753" s="4">
        <v>13.796428103222</v>
      </c>
      <c r="R1753" s="4">
        <v>13.8730505367226</v>
      </c>
      <c r="S1753" s="4">
        <v>13.900111499021101</v>
      </c>
      <c r="T1753" s="4">
        <f t="shared" si="110"/>
        <v>13.8565300463219</v>
      </c>
      <c r="W1753" s="4" t="str">
        <f>"cogc-5"</f>
        <v>cogc-5</v>
      </c>
      <c r="X1753" s="4">
        <v>13.924795766171099</v>
      </c>
      <c r="Y1753" s="4">
        <v>14.036345900057499</v>
      </c>
      <c r="Z1753" s="4">
        <v>13.9137752829807</v>
      </c>
      <c r="AA1753" s="4">
        <f t="shared" si="111"/>
        <v>13.958305649736433</v>
      </c>
    </row>
    <row r="1754" spans="2:27" x14ac:dyDescent="0.2">
      <c r="B1754" s="4" t="s">
        <v>1920</v>
      </c>
      <c r="C1754" s="4">
        <v>14.4856</v>
      </c>
      <c r="D1754" s="4">
        <v>14.4117</v>
      </c>
      <c r="E1754" s="4">
        <v>13.961399999999999</v>
      </c>
      <c r="F1754" s="4">
        <f t="shared" si="108"/>
        <v>14.286233333333334</v>
      </c>
      <c r="I1754" s="4" t="s">
        <v>4370</v>
      </c>
      <c r="J1754" s="4">
        <v>14.2003</v>
      </c>
      <c r="K1754" s="4">
        <v>14.4236</v>
      </c>
      <c r="L1754" s="4">
        <v>14.1836</v>
      </c>
      <c r="M1754" s="4">
        <f t="shared" si="109"/>
        <v>14.269166666666665</v>
      </c>
      <c r="P1754" s="4" t="str">
        <f>"cpna-1"</f>
        <v>cpna-1</v>
      </c>
      <c r="Q1754" s="4">
        <v>13.7804084711111</v>
      </c>
      <c r="R1754" s="4">
        <v>13.769958315453801</v>
      </c>
      <c r="S1754" s="4">
        <v>14.0184394806383</v>
      </c>
      <c r="T1754" s="4">
        <f t="shared" si="110"/>
        <v>13.8562687557344</v>
      </c>
      <c r="W1754" s="4" t="str">
        <f>"F49C12.9"</f>
        <v>F49C12.9</v>
      </c>
      <c r="X1754" s="4">
        <v>14.0430911868965</v>
      </c>
      <c r="Y1754" s="4">
        <v>14.126944520649699</v>
      </c>
      <c r="Z1754" s="4">
        <v>13.7041683016022</v>
      </c>
      <c r="AA1754" s="4">
        <f t="shared" si="111"/>
        <v>13.958068003049467</v>
      </c>
    </row>
    <row r="1755" spans="2:27" x14ac:dyDescent="0.2">
      <c r="B1755" s="4" t="s">
        <v>1104</v>
      </c>
      <c r="C1755" s="4">
        <v>14.3436</v>
      </c>
      <c r="D1755" s="4">
        <v>14.196999999999999</v>
      </c>
      <c r="E1755" s="4">
        <v>14.3126</v>
      </c>
      <c r="F1755" s="4">
        <f t="shared" si="108"/>
        <v>14.2844</v>
      </c>
      <c r="I1755" s="4" t="s">
        <v>3484</v>
      </c>
      <c r="J1755" s="4">
        <v>14.2745</v>
      </c>
      <c r="K1755" s="4">
        <v>14.141500000000001</v>
      </c>
      <c r="L1755" s="4">
        <v>14.387</v>
      </c>
      <c r="M1755" s="4">
        <f t="shared" si="109"/>
        <v>14.267666666666665</v>
      </c>
      <c r="P1755" s="4" t="str">
        <f>"ints-5"</f>
        <v>ints-5</v>
      </c>
      <c r="Q1755" s="4">
        <v>13.8649644261489</v>
      </c>
      <c r="R1755" s="4">
        <v>14.024397274703301</v>
      </c>
      <c r="S1755" s="4">
        <v>13.6793673845364</v>
      </c>
      <c r="T1755" s="4">
        <f t="shared" si="110"/>
        <v>13.856243028462865</v>
      </c>
      <c r="W1755" s="4" t="str">
        <f>"Y9C9A.8"</f>
        <v>Y9C9A.8</v>
      </c>
      <c r="X1755" s="4">
        <v>13.9341407101172</v>
      </c>
      <c r="Y1755" s="4">
        <v>13.9590350107423</v>
      </c>
      <c r="Z1755" s="4">
        <v>13.966275740767101</v>
      </c>
      <c r="AA1755" s="4">
        <f t="shared" si="111"/>
        <v>13.953150487208866</v>
      </c>
    </row>
    <row r="1756" spans="2:27" x14ac:dyDescent="0.2">
      <c r="B1756" s="4" t="s">
        <v>4709</v>
      </c>
      <c r="C1756" s="4">
        <v>14.252599999999999</v>
      </c>
      <c r="D1756" s="4">
        <v>14.673500000000001</v>
      </c>
      <c r="E1756" s="4">
        <v>13.925700000000001</v>
      </c>
      <c r="F1756" s="4">
        <f t="shared" si="108"/>
        <v>14.283933333333332</v>
      </c>
      <c r="I1756" s="4" t="s">
        <v>973</v>
      </c>
      <c r="J1756" s="4">
        <v>14.097300000000001</v>
      </c>
      <c r="K1756" s="4">
        <v>14.456300000000001</v>
      </c>
      <c r="L1756" s="4">
        <v>14.2454</v>
      </c>
      <c r="M1756" s="4">
        <f t="shared" si="109"/>
        <v>14.266333333333336</v>
      </c>
      <c r="P1756" s="4" t="str">
        <f>"cpin-1"</f>
        <v>cpin-1</v>
      </c>
      <c r="Q1756" s="4">
        <v>13.957637707180499</v>
      </c>
      <c r="R1756" s="4">
        <v>13.877100484833701</v>
      </c>
      <c r="S1756" s="4">
        <v>13.7326368208853</v>
      </c>
      <c r="T1756" s="4">
        <f t="shared" si="110"/>
        <v>13.855791670966502</v>
      </c>
      <c r="W1756" s="4" t="str">
        <f>"cash-1"</f>
        <v>cash-1</v>
      </c>
      <c r="X1756" s="4">
        <v>14.139382847037799</v>
      </c>
      <c r="Y1756" s="4">
        <v>13.6127475642257</v>
      </c>
      <c r="Z1756" s="4">
        <v>14.1063663530875</v>
      </c>
      <c r="AA1756" s="4">
        <f t="shared" si="111"/>
        <v>13.952832254783667</v>
      </c>
    </row>
    <row r="1757" spans="2:27" x14ac:dyDescent="0.2">
      <c r="B1757" s="4" t="s">
        <v>4677</v>
      </c>
      <c r="C1757" s="4">
        <v>14.7822</v>
      </c>
      <c r="D1757" s="4">
        <v>13.7277</v>
      </c>
      <c r="E1757" s="4">
        <v>14.338800000000001</v>
      </c>
      <c r="F1757" s="4">
        <f t="shared" si="108"/>
        <v>14.2829</v>
      </c>
      <c r="I1757" s="4" t="s">
        <v>2509</v>
      </c>
      <c r="J1757" s="4">
        <v>14.594200000000001</v>
      </c>
      <c r="K1757" s="4">
        <v>14.5655</v>
      </c>
      <c r="L1757" s="4">
        <v>13.615600000000001</v>
      </c>
      <c r="M1757" s="4">
        <f t="shared" si="109"/>
        <v>14.258433333333334</v>
      </c>
      <c r="P1757" s="4" t="str">
        <f>"alh-10"</f>
        <v>alh-10</v>
      </c>
      <c r="Q1757" s="4">
        <v>13.8979881383412</v>
      </c>
      <c r="R1757" s="4">
        <v>13.987170948207501</v>
      </c>
      <c r="S1757" s="4">
        <v>13.677597103139099</v>
      </c>
      <c r="T1757" s="4">
        <f t="shared" si="110"/>
        <v>13.854252063229268</v>
      </c>
      <c r="W1757" s="4" t="str">
        <f>"nol-9"</f>
        <v>nol-9</v>
      </c>
      <c r="X1757" s="4">
        <v>14.093015480977099</v>
      </c>
      <c r="Y1757" s="4">
        <v>13.8597247183008</v>
      </c>
      <c r="Z1757" s="4">
        <v>13.904020236843801</v>
      </c>
      <c r="AA1757" s="4">
        <f t="shared" si="111"/>
        <v>13.952253478707233</v>
      </c>
    </row>
    <row r="1758" spans="2:27" x14ac:dyDescent="0.2">
      <c r="B1758" s="4" t="s">
        <v>4049</v>
      </c>
      <c r="C1758" s="4">
        <v>14.249700000000001</v>
      </c>
      <c r="D1758" s="4">
        <v>14.24</v>
      </c>
      <c r="E1758" s="4">
        <v>14.3582</v>
      </c>
      <c r="F1758" s="4">
        <f t="shared" si="108"/>
        <v>14.282633333333331</v>
      </c>
      <c r="I1758" s="4" t="s">
        <v>828</v>
      </c>
      <c r="J1758" s="4">
        <v>14.3903</v>
      </c>
      <c r="K1758" s="4">
        <v>14.0801</v>
      </c>
      <c r="L1758" s="4">
        <v>14.303599999999999</v>
      </c>
      <c r="M1758" s="4">
        <f t="shared" si="109"/>
        <v>14.258000000000001</v>
      </c>
      <c r="P1758" s="4" t="str">
        <f>"myo-6"</f>
        <v>myo-6</v>
      </c>
      <c r="Q1758" s="4">
        <v>13.916804685117</v>
      </c>
      <c r="R1758" s="4">
        <v>13.6822844993644</v>
      </c>
      <c r="S1758" s="4">
        <v>13.953736036469101</v>
      </c>
      <c r="T1758" s="4">
        <f t="shared" si="110"/>
        <v>13.850941740316834</v>
      </c>
      <c r="W1758" s="4" t="str">
        <f>"F33C8.4"</f>
        <v>F33C8.4</v>
      </c>
      <c r="X1758" s="4">
        <v>13.618675236512599</v>
      </c>
      <c r="Y1758" s="4">
        <v>14.109869661899401</v>
      </c>
      <c r="Z1758" s="4">
        <v>14.126932358493301</v>
      </c>
      <c r="AA1758" s="4">
        <f t="shared" si="111"/>
        <v>13.951825752301767</v>
      </c>
    </row>
    <row r="1759" spans="2:27" x14ac:dyDescent="0.2">
      <c r="B1759" s="4" t="s">
        <v>1528</v>
      </c>
      <c r="C1759" s="4">
        <v>14.080399999999999</v>
      </c>
      <c r="D1759" s="4">
        <v>14.431699999999999</v>
      </c>
      <c r="E1759" s="4">
        <v>14.3307</v>
      </c>
      <c r="F1759" s="4">
        <f t="shared" si="108"/>
        <v>14.280933333333332</v>
      </c>
      <c r="I1759" s="4" t="s">
        <v>101</v>
      </c>
      <c r="J1759" s="4">
        <v>14.4863</v>
      </c>
      <c r="K1759" s="4">
        <v>14.4442</v>
      </c>
      <c r="L1759" s="4">
        <v>13.8399</v>
      </c>
      <c r="M1759" s="4">
        <f t="shared" si="109"/>
        <v>14.2568</v>
      </c>
      <c r="P1759" s="4" t="str">
        <f>"symk-1"</f>
        <v>symk-1</v>
      </c>
      <c r="Q1759" s="4">
        <v>13.814431615889299</v>
      </c>
      <c r="R1759" s="4">
        <v>13.9118129320435</v>
      </c>
      <c r="S1759" s="4">
        <v>13.8249699405541</v>
      </c>
      <c r="T1759" s="4">
        <f t="shared" si="110"/>
        <v>13.850404829495632</v>
      </c>
      <c r="W1759" s="4" t="str">
        <f>"lrk-1"</f>
        <v>lrk-1</v>
      </c>
      <c r="X1759" s="4">
        <v>14.0134754276816</v>
      </c>
      <c r="Y1759" s="4">
        <v>13.879272848563399</v>
      </c>
      <c r="Z1759" s="4">
        <v>13.9625583918074</v>
      </c>
      <c r="AA1759" s="4">
        <f t="shared" si="111"/>
        <v>13.951768889350801</v>
      </c>
    </row>
    <row r="1760" spans="2:27" x14ac:dyDescent="0.2">
      <c r="B1760" s="4" t="s">
        <v>506</v>
      </c>
      <c r="C1760" s="4">
        <v>14.093299999999999</v>
      </c>
      <c r="D1760" s="4">
        <v>14.4475</v>
      </c>
      <c r="E1760" s="4">
        <v>14.293200000000001</v>
      </c>
      <c r="F1760" s="4">
        <f t="shared" si="108"/>
        <v>14.277999999999999</v>
      </c>
      <c r="I1760" s="4" t="s">
        <v>1369</v>
      </c>
      <c r="J1760" s="4">
        <v>14.012499999999999</v>
      </c>
      <c r="K1760" s="4">
        <v>13.827400000000001</v>
      </c>
      <c r="L1760" s="4">
        <v>14.924899999999999</v>
      </c>
      <c r="M1760" s="4">
        <f t="shared" si="109"/>
        <v>14.254933333333334</v>
      </c>
      <c r="P1760" s="4" t="str">
        <f>"hsp-43"</f>
        <v>hsp-43</v>
      </c>
      <c r="Q1760" s="4">
        <v>13.953314784015999</v>
      </c>
      <c r="R1760" s="4">
        <v>13.6074975816729</v>
      </c>
      <c r="S1760" s="4">
        <v>13.989087811966799</v>
      </c>
      <c r="T1760" s="4">
        <f t="shared" si="110"/>
        <v>13.849966725885233</v>
      </c>
      <c r="W1760" s="4" t="str">
        <f>"ascc-1"</f>
        <v>ascc-1</v>
      </c>
      <c r="X1760" s="4">
        <v>13.8644239370972</v>
      </c>
      <c r="Y1760" s="4">
        <v>14.052527959407801</v>
      </c>
      <c r="Z1760" s="4">
        <v>13.931838912186899</v>
      </c>
      <c r="AA1760" s="4">
        <f t="shared" si="111"/>
        <v>13.949596936230634</v>
      </c>
    </row>
    <row r="1761" spans="2:27" x14ac:dyDescent="0.2">
      <c r="B1761" s="4" t="s">
        <v>885</v>
      </c>
      <c r="C1761" s="4">
        <v>14.4011</v>
      </c>
      <c r="D1761" s="4">
        <v>14.3322</v>
      </c>
      <c r="E1761" s="4">
        <v>14.098599999999999</v>
      </c>
      <c r="F1761" s="4">
        <f t="shared" si="108"/>
        <v>14.277299999999999</v>
      </c>
      <c r="I1761" s="4" t="s">
        <v>1327</v>
      </c>
      <c r="J1761" s="4">
        <v>14.3536</v>
      </c>
      <c r="K1761" s="4">
        <v>14.186999999999999</v>
      </c>
      <c r="L1761" s="4">
        <v>14.220599999999999</v>
      </c>
      <c r="M1761" s="4">
        <f t="shared" si="109"/>
        <v>14.253733333333331</v>
      </c>
      <c r="P1761" s="4" t="str">
        <f>"lip-1"</f>
        <v>lip-1</v>
      </c>
      <c r="Q1761" s="4">
        <v>13.9818261237188</v>
      </c>
      <c r="R1761" s="4">
        <v>13.7921953600086</v>
      </c>
      <c r="S1761" s="4">
        <v>13.775465745039799</v>
      </c>
      <c r="T1761" s="4">
        <f t="shared" si="110"/>
        <v>13.849829076255736</v>
      </c>
      <c r="W1761" s="4" t="str">
        <f>"C50F4.1"</f>
        <v>C50F4.1</v>
      </c>
      <c r="X1761" s="4">
        <v>13.941628697006101</v>
      </c>
      <c r="Y1761" s="4">
        <v>13.783246074799999</v>
      </c>
      <c r="Z1761" s="4">
        <v>14.1235465293153</v>
      </c>
      <c r="AA1761" s="4">
        <f t="shared" si="111"/>
        <v>13.949473767040466</v>
      </c>
    </row>
    <row r="1762" spans="2:27" x14ac:dyDescent="0.2">
      <c r="B1762" s="4" t="s">
        <v>1645</v>
      </c>
      <c r="C1762" s="4">
        <v>14.206799999999999</v>
      </c>
      <c r="D1762" s="4">
        <v>14.22</v>
      </c>
      <c r="E1762" s="4">
        <v>14.404500000000001</v>
      </c>
      <c r="F1762" s="4">
        <f t="shared" si="108"/>
        <v>14.277099999999999</v>
      </c>
      <c r="I1762" s="4" t="s">
        <v>2739</v>
      </c>
      <c r="J1762" s="4">
        <v>14.3344</v>
      </c>
      <c r="K1762" s="4">
        <v>14.134399999999999</v>
      </c>
      <c r="L1762" s="4">
        <v>14.289400000000001</v>
      </c>
      <c r="M1762" s="4">
        <f t="shared" si="109"/>
        <v>14.252733333333333</v>
      </c>
      <c r="P1762" s="4" t="str">
        <f>"hpo-10"</f>
        <v>hpo-10</v>
      </c>
      <c r="Q1762" s="4">
        <v>13.8325512841741</v>
      </c>
      <c r="R1762" s="4">
        <v>13.930718508221901</v>
      </c>
      <c r="S1762" s="4">
        <v>13.7841827119918</v>
      </c>
      <c r="T1762" s="4">
        <f t="shared" si="110"/>
        <v>13.849150834795935</v>
      </c>
      <c r="W1762" s="4" t="str">
        <f>"F43H9.4"</f>
        <v>F43H9.4</v>
      </c>
      <c r="X1762" s="4">
        <v>13.782806699886001</v>
      </c>
      <c r="Y1762" s="4">
        <v>13.923141139198</v>
      </c>
      <c r="Z1762" s="4">
        <v>14.1393182292849</v>
      </c>
      <c r="AA1762" s="4">
        <f t="shared" si="111"/>
        <v>13.948422022789634</v>
      </c>
    </row>
    <row r="1763" spans="2:27" x14ac:dyDescent="0.2">
      <c r="B1763" s="4" t="s">
        <v>577</v>
      </c>
      <c r="C1763" s="4">
        <v>13.9457</v>
      </c>
      <c r="D1763" s="4">
        <v>14.5792</v>
      </c>
      <c r="E1763" s="4">
        <v>14.3049</v>
      </c>
      <c r="F1763" s="4">
        <f t="shared" si="108"/>
        <v>14.276600000000002</v>
      </c>
      <c r="I1763" s="4" t="s">
        <v>2593</v>
      </c>
      <c r="J1763" s="4">
        <v>14.425800000000001</v>
      </c>
      <c r="K1763" s="4">
        <v>14.0465</v>
      </c>
      <c r="L1763" s="4">
        <v>14.2842</v>
      </c>
      <c r="M1763" s="4">
        <f t="shared" si="109"/>
        <v>14.252166666666668</v>
      </c>
      <c r="P1763" s="4" t="str">
        <f>"sel-5"</f>
        <v>sel-5</v>
      </c>
      <c r="Q1763" s="4">
        <v>13.690762204988699</v>
      </c>
      <c r="R1763" s="4">
        <v>14.014116706177299</v>
      </c>
      <c r="S1763" s="4">
        <v>13.833448533918</v>
      </c>
      <c r="T1763" s="4">
        <f t="shared" si="110"/>
        <v>13.846109148361334</v>
      </c>
      <c r="W1763" s="4" t="str">
        <f>"F32D1.5"</f>
        <v>F32D1.5</v>
      </c>
      <c r="X1763" s="4">
        <v>13.813853128053699</v>
      </c>
      <c r="Y1763" s="4">
        <v>14.0299595714636</v>
      </c>
      <c r="Z1763" s="4">
        <v>13.999206471794601</v>
      </c>
      <c r="AA1763" s="4">
        <f t="shared" si="111"/>
        <v>13.947673057103968</v>
      </c>
    </row>
    <row r="1764" spans="2:27" x14ac:dyDescent="0.2">
      <c r="B1764" s="4" t="s">
        <v>3033</v>
      </c>
      <c r="C1764" s="4">
        <v>14.2361</v>
      </c>
      <c r="D1764" s="4">
        <v>14.274800000000001</v>
      </c>
      <c r="E1764" s="4">
        <v>14.3179</v>
      </c>
      <c r="F1764" s="4">
        <f t="shared" si="108"/>
        <v>14.276266666666666</v>
      </c>
      <c r="I1764" s="4" t="s">
        <v>1430</v>
      </c>
      <c r="J1764" s="4">
        <v>14.483700000000001</v>
      </c>
      <c r="K1764" s="4">
        <v>14.416600000000001</v>
      </c>
      <c r="L1764" s="4">
        <v>13.844900000000001</v>
      </c>
      <c r="M1764" s="4">
        <f t="shared" si="109"/>
        <v>14.248400000000002</v>
      </c>
      <c r="P1764" s="4" t="str">
        <f>"rbd-1"</f>
        <v>rbd-1</v>
      </c>
      <c r="Q1764" s="4">
        <v>13.788317522824199</v>
      </c>
      <c r="R1764" s="4">
        <v>13.8717426270183</v>
      </c>
      <c r="S1764" s="4">
        <v>13.878073306394199</v>
      </c>
      <c r="T1764" s="4">
        <f t="shared" si="110"/>
        <v>13.846044485412234</v>
      </c>
      <c r="W1764" s="4" t="str">
        <f>"mlcd-1"</f>
        <v>mlcd-1</v>
      </c>
      <c r="X1764" s="4">
        <v>14.1433462380464</v>
      </c>
      <c r="Y1764" s="4">
        <v>14.0207664036138</v>
      </c>
      <c r="Z1764" s="4">
        <v>13.6774467976546</v>
      </c>
      <c r="AA1764" s="4">
        <f t="shared" si="111"/>
        <v>13.947186479771601</v>
      </c>
    </row>
    <row r="1765" spans="2:27" x14ac:dyDescent="0.2">
      <c r="B1765" s="4" t="s">
        <v>3269</v>
      </c>
      <c r="C1765" s="4">
        <v>14.117800000000001</v>
      </c>
      <c r="D1765" s="4">
        <v>14.4594</v>
      </c>
      <c r="E1765" s="4">
        <v>14.248699999999999</v>
      </c>
      <c r="F1765" s="4">
        <f t="shared" si="108"/>
        <v>14.275300000000001</v>
      </c>
      <c r="I1765" s="4" t="s">
        <v>2045</v>
      </c>
      <c r="J1765" s="4">
        <v>14.2461</v>
      </c>
      <c r="K1765" s="4">
        <v>14.1441</v>
      </c>
      <c r="L1765" s="4">
        <v>14.3536</v>
      </c>
      <c r="M1765" s="4">
        <f t="shared" si="109"/>
        <v>14.247933333333334</v>
      </c>
      <c r="P1765" s="4" t="str">
        <f>"mrps-31"</f>
        <v>mrps-31</v>
      </c>
      <c r="Q1765" s="4">
        <v>13.950106898192599</v>
      </c>
      <c r="R1765" s="4">
        <v>13.879976520268601</v>
      </c>
      <c r="S1765" s="4">
        <v>13.7036800642817</v>
      </c>
      <c r="T1765" s="4">
        <f t="shared" si="110"/>
        <v>13.844587827580966</v>
      </c>
      <c r="W1765" s="4" t="str">
        <f>"F53E10.1"</f>
        <v>F53E10.1</v>
      </c>
      <c r="X1765" s="4">
        <v>13.938026507282199</v>
      </c>
      <c r="Y1765" s="4">
        <v>13.9366530547472</v>
      </c>
      <c r="Z1765" s="4">
        <v>13.966609887940299</v>
      </c>
      <c r="AA1765" s="4">
        <f t="shared" si="111"/>
        <v>13.947096483323234</v>
      </c>
    </row>
    <row r="1766" spans="2:27" x14ac:dyDescent="0.2">
      <c r="B1766" s="4" t="s">
        <v>1350</v>
      </c>
      <c r="C1766" s="4">
        <v>14.0746</v>
      </c>
      <c r="D1766" s="4">
        <v>14.506500000000001</v>
      </c>
      <c r="E1766" s="4">
        <v>14.2395</v>
      </c>
      <c r="F1766" s="4">
        <f t="shared" si="108"/>
        <v>14.273533333333333</v>
      </c>
      <c r="I1766" s="4" t="s">
        <v>1837</v>
      </c>
      <c r="J1766" s="4">
        <v>14.027799999999999</v>
      </c>
      <c r="K1766" s="4">
        <v>13.931900000000001</v>
      </c>
      <c r="L1766" s="4">
        <v>14.78</v>
      </c>
      <c r="M1766" s="4">
        <f t="shared" si="109"/>
        <v>14.246566666666666</v>
      </c>
      <c r="P1766" s="4" t="str">
        <f>"ifg-1"</f>
        <v>ifg-1</v>
      </c>
      <c r="Q1766" s="4">
        <v>13.789205071455299</v>
      </c>
      <c r="R1766" s="4">
        <v>13.9435134580777</v>
      </c>
      <c r="S1766" s="4">
        <v>13.7956962130442</v>
      </c>
      <c r="T1766" s="4">
        <f t="shared" si="110"/>
        <v>13.842804914192399</v>
      </c>
      <c r="W1766" s="4" t="str">
        <f>"Y111B2A.3"</f>
        <v>Y111B2A.3</v>
      </c>
      <c r="X1766" s="4">
        <v>13.900239822037401</v>
      </c>
      <c r="Y1766" s="4">
        <v>13.962137383484601</v>
      </c>
      <c r="Z1766" s="4">
        <v>13.975246145558099</v>
      </c>
      <c r="AA1766" s="4">
        <f t="shared" si="111"/>
        <v>13.945874450360032</v>
      </c>
    </row>
    <row r="1767" spans="2:27" x14ac:dyDescent="0.2">
      <c r="B1767" s="4" t="s">
        <v>4058</v>
      </c>
      <c r="C1767" s="4">
        <v>14.398899999999999</v>
      </c>
      <c r="D1767" s="4">
        <v>14.266500000000001</v>
      </c>
      <c r="E1767" s="4">
        <v>14.148899999999999</v>
      </c>
      <c r="F1767" s="4">
        <f t="shared" si="108"/>
        <v>14.271433333333333</v>
      </c>
      <c r="I1767" s="4" t="s">
        <v>2074</v>
      </c>
      <c r="J1767" s="4">
        <v>14.7441</v>
      </c>
      <c r="K1767" s="4">
        <v>13.9458</v>
      </c>
      <c r="L1767" s="4">
        <v>14.0495</v>
      </c>
      <c r="M1767" s="4">
        <f t="shared" si="109"/>
        <v>14.246466666666668</v>
      </c>
      <c r="P1767" s="4" t="str">
        <f>"pgap-1"</f>
        <v>pgap-1</v>
      </c>
      <c r="Q1767" s="4">
        <v>13.8934071518837</v>
      </c>
      <c r="R1767" s="4">
        <v>13.756275441982</v>
      </c>
      <c r="S1767" s="4">
        <v>13.870007900117001</v>
      </c>
      <c r="T1767" s="4">
        <f t="shared" si="110"/>
        <v>13.839896831327566</v>
      </c>
      <c r="W1767" s="4" t="str">
        <f>"ttr-47"</f>
        <v>ttr-47</v>
      </c>
      <c r="X1767" s="4">
        <v>13.561513622837801</v>
      </c>
      <c r="Y1767" s="4">
        <v>14.2454628915917</v>
      </c>
      <c r="Z1767" s="4">
        <v>14.0283172508195</v>
      </c>
      <c r="AA1767" s="4">
        <f t="shared" si="111"/>
        <v>13.945097921749666</v>
      </c>
    </row>
    <row r="1768" spans="2:27" x14ac:dyDescent="0.2">
      <c r="B1768" s="4" t="s">
        <v>3879</v>
      </c>
      <c r="C1768" s="4">
        <v>13.829599999999999</v>
      </c>
      <c r="D1768" s="4">
        <v>14.084199999999999</v>
      </c>
      <c r="E1768" s="4">
        <v>14.897600000000001</v>
      </c>
      <c r="F1768" s="4">
        <f t="shared" si="108"/>
        <v>14.270466666666666</v>
      </c>
      <c r="I1768" s="4" t="s">
        <v>1865</v>
      </c>
      <c r="J1768" s="4">
        <v>14.7766</v>
      </c>
      <c r="K1768" s="4">
        <v>14.6745</v>
      </c>
      <c r="L1768" s="4">
        <v>13.2864</v>
      </c>
      <c r="M1768" s="4">
        <f t="shared" si="109"/>
        <v>14.245833333333332</v>
      </c>
      <c r="P1768" s="4" t="str">
        <f>"acox-3"</f>
        <v>acox-3</v>
      </c>
      <c r="Q1768" s="4">
        <v>13.944349694721399</v>
      </c>
      <c r="R1768" s="4">
        <v>13.8022918223581</v>
      </c>
      <c r="S1768" s="4">
        <v>13.771694727429599</v>
      </c>
      <c r="T1768" s="4">
        <f t="shared" si="110"/>
        <v>13.839445414836367</v>
      </c>
      <c r="W1768" s="4" t="str">
        <f>"Y92H12A.5"</f>
        <v>Y92H12A.5</v>
      </c>
      <c r="X1768" s="4">
        <v>13.979081313891101</v>
      </c>
      <c r="Y1768" s="4">
        <v>14.0380731926499</v>
      </c>
      <c r="Z1768" s="4">
        <v>13.814135462736401</v>
      </c>
      <c r="AA1768" s="4">
        <f t="shared" si="111"/>
        <v>13.943763323092467</v>
      </c>
    </row>
    <row r="1769" spans="2:27" x14ac:dyDescent="0.2">
      <c r="B1769" s="4" t="s">
        <v>2502</v>
      </c>
      <c r="C1769" s="4">
        <v>14.5314</v>
      </c>
      <c r="D1769" s="4">
        <v>14.4991</v>
      </c>
      <c r="E1769" s="4">
        <v>13.780099999999999</v>
      </c>
      <c r="F1769" s="4">
        <f t="shared" si="108"/>
        <v>14.270200000000001</v>
      </c>
      <c r="I1769" s="4" t="s">
        <v>4200</v>
      </c>
      <c r="J1769" s="4">
        <v>13.2357</v>
      </c>
      <c r="K1769" s="4">
        <v>14.535</v>
      </c>
      <c r="L1769" s="4">
        <v>14.962899999999999</v>
      </c>
      <c r="M1769" s="4">
        <f t="shared" si="109"/>
        <v>14.244533333333331</v>
      </c>
      <c r="P1769" s="4" t="str">
        <f>"let-355"</f>
        <v>let-355</v>
      </c>
      <c r="Q1769" s="4">
        <v>13.6698226459353</v>
      </c>
      <c r="R1769" s="4">
        <v>13.9688580263874</v>
      </c>
      <c r="S1769" s="4">
        <v>13.8788600024762</v>
      </c>
      <c r="T1769" s="4">
        <f t="shared" si="110"/>
        <v>13.839180224932967</v>
      </c>
      <c r="W1769" s="4" t="str">
        <f>"deb-1"</f>
        <v>deb-1</v>
      </c>
      <c r="X1769" s="4">
        <v>13.4688075309873</v>
      </c>
      <c r="Y1769" s="4">
        <v>13.830730163766599</v>
      </c>
      <c r="Z1769" s="4">
        <v>14.525339152591</v>
      </c>
      <c r="AA1769" s="4">
        <f t="shared" si="111"/>
        <v>13.941625615781634</v>
      </c>
    </row>
    <row r="1770" spans="2:27" x14ac:dyDescent="0.2">
      <c r="B1770" s="4" t="s">
        <v>679</v>
      </c>
      <c r="C1770" s="4">
        <v>14.457100000000001</v>
      </c>
      <c r="D1770" s="4">
        <v>13.7445</v>
      </c>
      <c r="E1770" s="4">
        <v>14.6022</v>
      </c>
      <c r="F1770" s="4">
        <f t="shared" si="108"/>
        <v>14.267933333333332</v>
      </c>
      <c r="I1770" s="4" t="s">
        <v>1759</v>
      </c>
      <c r="J1770" s="4">
        <v>14.114100000000001</v>
      </c>
      <c r="K1770" s="4">
        <v>14.6045</v>
      </c>
      <c r="L1770" s="4">
        <v>14.012</v>
      </c>
      <c r="M1770" s="4">
        <f t="shared" si="109"/>
        <v>14.243533333333334</v>
      </c>
      <c r="P1770" s="4" t="str">
        <f>"rmd-2"</f>
        <v>rmd-2</v>
      </c>
      <c r="Q1770" s="4">
        <v>13.675964122023901</v>
      </c>
      <c r="R1770" s="4">
        <v>13.7901016274536</v>
      </c>
      <c r="S1770" s="4">
        <v>14.0439479199531</v>
      </c>
      <c r="T1770" s="4">
        <f t="shared" si="110"/>
        <v>13.836671223143533</v>
      </c>
      <c r="W1770" s="4" t="str">
        <f>"F53F4.10"</f>
        <v>F53F4.10</v>
      </c>
      <c r="X1770" s="4">
        <v>13.8810562442745</v>
      </c>
      <c r="Y1770" s="4">
        <v>13.698005248729199</v>
      </c>
      <c r="Z1770" s="4">
        <v>14.245776482635801</v>
      </c>
      <c r="AA1770" s="4">
        <f t="shared" si="111"/>
        <v>13.941612658546498</v>
      </c>
    </row>
    <row r="1771" spans="2:27" x14ac:dyDescent="0.2">
      <c r="B1771" s="4" t="s">
        <v>3694</v>
      </c>
      <c r="C1771" s="4">
        <v>14.4184</v>
      </c>
      <c r="D1771" s="4">
        <v>14.202500000000001</v>
      </c>
      <c r="E1771" s="4">
        <v>14.1752</v>
      </c>
      <c r="F1771" s="4">
        <f t="shared" si="108"/>
        <v>14.265366666666665</v>
      </c>
      <c r="I1771" s="4" t="s">
        <v>2301</v>
      </c>
      <c r="J1771" s="4">
        <v>14.271100000000001</v>
      </c>
      <c r="K1771" s="4">
        <v>14.2773</v>
      </c>
      <c r="L1771" s="4">
        <v>14.1812</v>
      </c>
      <c r="M1771" s="4">
        <f t="shared" si="109"/>
        <v>14.243200000000002</v>
      </c>
      <c r="P1771" s="4" t="str">
        <f>"deb-1"</f>
        <v>deb-1</v>
      </c>
      <c r="Q1771" s="4">
        <v>13.8083201817806</v>
      </c>
      <c r="R1771" s="4">
        <v>13.8009666838828</v>
      </c>
      <c r="S1771" s="4">
        <v>13.8987888466466</v>
      </c>
      <c r="T1771" s="4">
        <f t="shared" si="110"/>
        <v>13.836025237436667</v>
      </c>
      <c r="W1771" s="4" t="str">
        <f>"ZK792.5"</f>
        <v>ZK792.5</v>
      </c>
      <c r="X1771" s="4">
        <v>13.6534255370483</v>
      </c>
      <c r="Y1771" s="4">
        <v>13.9618833727883</v>
      </c>
      <c r="Z1771" s="4">
        <v>14.2087244056115</v>
      </c>
      <c r="AA1771" s="4">
        <f t="shared" si="111"/>
        <v>13.9413444384827</v>
      </c>
    </row>
    <row r="1772" spans="2:27" x14ac:dyDescent="0.2">
      <c r="B1772" s="4" t="s">
        <v>1365</v>
      </c>
      <c r="C1772" s="4">
        <v>14.1844</v>
      </c>
      <c r="D1772" s="4">
        <v>14.3391</v>
      </c>
      <c r="E1772" s="4">
        <v>14.272500000000001</v>
      </c>
      <c r="F1772" s="4">
        <f t="shared" si="108"/>
        <v>14.265333333333333</v>
      </c>
      <c r="I1772" s="4" t="s">
        <v>1455</v>
      </c>
      <c r="J1772" s="4">
        <v>14.2135</v>
      </c>
      <c r="K1772" s="4">
        <v>14.030200000000001</v>
      </c>
      <c r="L1772" s="4">
        <v>14.4834</v>
      </c>
      <c r="M1772" s="4">
        <f t="shared" si="109"/>
        <v>14.242366666666667</v>
      </c>
      <c r="P1772" s="4" t="str">
        <f>"klp-19"</f>
        <v>klp-19</v>
      </c>
      <c r="Q1772" s="4">
        <v>13.8768623801161</v>
      </c>
      <c r="R1772" s="4">
        <v>13.885525402246699</v>
      </c>
      <c r="S1772" s="4">
        <v>13.7453302427911</v>
      </c>
      <c r="T1772" s="4">
        <f t="shared" si="110"/>
        <v>13.835906008384633</v>
      </c>
      <c r="W1772" s="4" t="str">
        <f>"grl-25"</f>
        <v>grl-25</v>
      </c>
      <c r="X1772" s="4">
        <v>13.5542577798339</v>
      </c>
      <c r="Y1772" s="4">
        <v>13.9074855837098</v>
      </c>
      <c r="Z1772" s="4">
        <v>14.357720403975801</v>
      </c>
      <c r="AA1772" s="4">
        <f t="shared" si="111"/>
        <v>13.939821255839833</v>
      </c>
    </row>
    <row r="1773" spans="2:27" x14ac:dyDescent="0.2">
      <c r="B1773" s="4" t="s">
        <v>4052</v>
      </c>
      <c r="C1773" s="4">
        <v>14.4306</v>
      </c>
      <c r="D1773" s="4">
        <v>14.4945</v>
      </c>
      <c r="E1773" s="4">
        <v>13.867000000000001</v>
      </c>
      <c r="F1773" s="4">
        <f t="shared" si="108"/>
        <v>14.264033333333336</v>
      </c>
      <c r="I1773" s="4" t="s">
        <v>3462</v>
      </c>
      <c r="J1773" s="4">
        <v>14.013400000000001</v>
      </c>
      <c r="K1773" s="4">
        <v>14.273999999999999</v>
      </c>
      <c r="L1773" s="4">
        <v>14.439299999999999</v>
      </c>
      <c r="M1773" s="4">
        <f t="shared" si="109"/>
        <v>14.242233333333331</v>
      </c>
      <c r="P1773" s="4" t="str">
        <f>"Y71G12B.10"</f>
        <v>Y71G12B.10</v>
      </c>
      <c r="Q1773" s="4">
        <v>13.9282346155928</v>
      </c>
      <c r="R1773" s="4">
        <v>13.777255747325301</v>
      </c>
      <c r="S1773" s="4">
        <v>13.8014543367002</v>
      </c>
      <c r="T1773" s="4">
        <f t="shared" si="110"/>
        <v>13.835648233206101</v>
      </c>
      <c r="W1773" s="4" t="str">
        <f>"skpo-1"</f>
        <v>skpo-1</v>
      </c>
      <c r="X1773" s="4">
        <v>14.0672855670784</v>
      </c>
      <c r="Y1773" s="4">
        <v>13.6809658468405</v>
      </c>
      <c r="Z1773" s="4">
        <v>14.060276051268501</v>
      </c>
      <c r="AA1773" s="4">
        <f t="shared" si="111"/>
        <v>13.936175821729135</v>
      </c>
    </row>
    <row r="1774" spans="2:27" x14ac:dyDescent="0.2">
      <c r="B1774" s="4" t="s">
        <v>2776</v>
      </c>
      <c r="C1774" s="4">
        <v>14.1648</v>
      </c>
      <c r="D1774" s="4">
        <v>14.223100000000001</v>
      </c>
      <c r="E1774" s="4">
        <v>14.403600000000001</v>
      </c>
      <c r="F1774" s="4">
        <f t="shared" si="108"/>
        <v>14.263833333333332</v>
      </c>
      <c r="I1774" s="4" t="s">
        <v>4681</v>
      </c>
      <c r="J1774" s="4">
        <v>14.272500000000001</v>
      </c>
      <c r="K1774" s="4">
        <v>14.534700000000001</v>
      </c>
      <c r="L1774" s="4">
        <v>13.9162</v>
      </c>
      <c r="M1774" s="4">
        <f t="shared" si="109"/>
        <v>14.241133333333332</v>
      </c>
      <c r="P1774" s="4" t="str">
        <f>"ubxn-3"</f>
        <v>ubxn-3</v>
      </c>
      <c r="Q1774" s="4">
        <v>13.840866234236399</v>
      </c>
      <c r="R1774" s="4">
        <v>13.8587486883143</v>
      </c>
      <c r="S1774" s="4">
        <v>13.806122788537101</v>
      </c>
      <c r="T1774" s="4">
        <f t="shared" si="110"/>
        <v>13.835245903695935</v>
      </c>
      <c r="W1774" s="4" t="str">
        <f>"F55A12.5"</f>
        <v>F55A12.5</v>
      </c>
      <c r="X1774" s="4">
        <v>14.1505712618653</v>
      </c>
      <c r="Y1774" s="4">
        <v>13.8099605816549</v>
      </c>
      <c r="Z1774" s="4">
        <v>13.8410525045722</v>
      </c>
      <c r="AA1774" s="4">
        <f t="shared" si="111"/>
        <v>13.933861449364136</v>
      </c>
    </row>
    <row r="1775" spans="2:27" x14ac:dyDescent="0.2">
      <c r="B1775" s="4" t="s">
        <v>425</v>
      </c>
      <c r="C1775" s="4">
        <v>14.551600000000001</v>
      </c>
      <c r="D1775" s="4">
        <v>14.0992</v>
      </c>
      <c r="E1775" s="4">
        <v>14.1402</v>
      </c>
      <c r="F1775" s="4">
        <f t="shared" si="108"/>
        <v>14.263666666666666</v>
      </c>
      <c r="I1775" s="4" t="s">
        <v>4687</v>
      </c>
      <c r="J1775" s="4">
        <v>14.489699999999999</v>
      </c>
      <c r="K1775" s="4">
        <v>14.576599999999999</v>
      </c>
      <c r="L1775" s="4">
        <v>13.6533</v>
      </c>
      <c r="M1775" s="4">
        <f t="shared" si="109"/>
        <v>14.239866666666666</v>
      </c>
      <c r="P1775" s="4" t="str">
        <f>"nhr-40"</f>
        <v>nhr-40</v>
      </c>
      <c r="Q1775" s="4">
        <v>14.001171211908201</v>
      </c>
      <c r="R1775" s="4">
        <v>13.8570883592668</v>
      </c>
      <c r="S1775" s="4">
        <v>13.6474084013139</v>
      </c>
      <c r="T1775" s="4">
        <f t="shared" si="110"/>
        <v>13.835222657496301</v>
      </c>
      <c r="W1775" s="4" t="str">
        <f>"sams-4"</f>
        <v>sams-4</v>
      </c>
      <c r="X1775" s="4">
        <v>14.2267829607047</v>
      </c>
      <c r="Y1775" s="4">
        <v>14.3030648920021</v>
      </c>
      <c r="Z1775" s="4">
        <v>13.2703370153889</v>
      </c>
      <c r="AA1775" s="4">
        <f t="shared" si="111"/>
        <v>13.933394956031899</v>
      </c>
    </row>
    <row r="1776" spans="2:27" x14ac:dyDescent="0.2">
      <c r="B1776" s="4" t="s">
        <v>703</v>
      </c>
      <c r="C1776" s="4">
        <v>14.082100000000001</v>
      </c>
      <c r="D1776" s="4">
        <v>14.2827</v>
      </c>
      <c r="E1776" s="4">
        <v>14.423</v>
      </c>
      <c r="F1776" s="4">
        <f t="shared" si="108"/>
        <v>14.262600000000001</v>
      </c>
      <c r="I1776" s="4" t="s">
        <v>3576</v>
      </c>
      <c r="J1776" s="4">
        <v>14.384</v>
      </c>
      <c r="K1776" s="4">
        <v>14.4428</v>
      </c>
      <c r="L1776" s="4">
        <v>13.890599999999999</v>
      </c>
      <c r="M1776" s="4">
        <f t="shared" si="109"/>
        <v>14.239133333333333</v>
      </c>
      <c r="P1776" s="4" t="str">
        <f>"rpn-10"</f>
        <v>rpn-10</v>
      </c>
      <c r="Q1776" s="4">
        <v>13.8794810729897</v>
      </c>
      <c r="R1776" s="4">
        <v>13.7755686806114</v>
      </c>
      <c r="S1776" s="4">
        <v>13.8446301834656</v>
      </c>
      <c r="T1776" s="4">
        <f t="shared" si="110"/>
        <v>13.833226645688901</v>
      </c>
      <c r="W1776" s="4" t="str">
        <f>"gad-3"</f>
        <v>gad-3</v>
      </c>
      <c r="X1776" s="4">
        <v>13.7515289473089</v>
      </c>
      <c r="Y1776" s="4">
        <v>14.0199570067262</v>
      </c>
      <c r="Z1776" s="4">
        <v>14.023453943648899</v>
      </c>
      <c r="AA1776" s="4">
        <f t="shared" si="111"/>
        <v>13.931646632561334</v>
      </c>
    </row>
    <row r="1777" spans="2:27" x14ac:dyDescent="0.2">
      <c r="B1777" s="4" t="s">
        <v>2273</v>
      </c>
      <c r="C1777" s="4">
        <v>14.3078</v>
      </c>
      <c r="D1777" s="4">
        <v>13.7659</v>
      </c>
      <c r="E1777" s="4">
        <v>14.7103</v>
      </c>
      <c r="F1777" s="4">
        <f t="shared" si="108"/>
        <v>14.261333333333335</v>
      </c>
      <c r="I1777" s="4" t="s">
        <v>1026</v>
      </c>
      <c r="J1777" s="4">
        <v>14.228999999999999</v>
      </c>
      <c r="K1777" s="4">
        <v>14.472200000000001</v>
      </c>
      <c r="L1777" s="4">
        <v>14.0151</v>
      </c>
      <c r="M1777" s="4">
        <f t="shared" si="109"/>
        <v>14.238766666666669</v>
      </c>
      <c r="P1777" s="4" t="str">
        <f>"alh-9"</f>
        <v>alh-9</v>
      </c>
      <c r="Q1777" s="4">
        <v>13.985866096597499</v>
      </c>
      <c r="R1777" s="4">
        <v>13.6917033679727</v>
      </c>
      <c r="S1777" s="4">
        <v>13.8089240583753</v>
      </c>
      <c r="T1777" s="4">
        <f t="shared" si="110"/>
        <v>13.828831174315164</v>
      </c>
      <c r="W1777" s="4" t="str">
        <f>"dnj-11"</f>
        <v>dnj-11</v>
      </c>
      <c r="X1777" s="4">
        <v>14.062787893337999</v>
      </c>
      <c r="Y1777" s="4">
        <v>13.8424855752521</v>
      </c>
      <c r="Z1777" s="4">
        <v>13.8793376668142</v>
      </c>
      <c r="AA1777" s="4">
        <f t="shared" si="111"/>
        <v>13.928203711801432</v>
      </c>
    </row>
    <row r="1778" spans="2:27" x14ac:dyDescent="0.2">
      <c r="B1778" s="4" t="s">
        <v>2911</v>
      </c>
      <c r="C1778" s="4">
        <v>14.500999999999999</v>
      </c>
      <c r="D1778" s="4">
        <v>14.0936</v>
      </c>
      <c r="E1778" s="4">
        <v>14.1882</v>
      </c>
      <c r="F1778" s="4">
        <f t="shared" si="108"/>
        <v>14.260933333333334</v>
      </c>
      <c r="I1778" s="4" t="s">
        <v>4082</v>
      </c>
      <c r="J1778" s="4">
        <v>14.895300000000001</v>
      </c>
      <c r="K1778" s="4">
        <v>13.779199999999999</v>
      </c>
      <c r="L1778" s="4">
        <v>14.0411</v>
      </c>
      <c r="M1778" s="4">
        <f t="shared" si="109"/>
        <v>14.238533333333335</v>
      </c>
      <c r="P1778" s="4" t="str">
        <f>"F32D1.5"</f>
        <v>F32D1.5</v>
      </c>
      <c r="Q1778" s="4">
        <v>12.717548032340799</v>
      </c>
      <c r="R1778" s="4">
        <v>14.2429872878614</v>
      </c>
      <c r="S1778" s="4">
        <v>14.522736795047599</v>
      </c>
      <c r="T1778" s="4">
        <f t="shared" si="110"/>
        <v>13.827757371749932</v>
      </c>
      <c r="W1778" s="4" t="str">
        <f>"W02D7.5"</f>
        <v>W02D7.5</v>
      </c>
      <c r="X1778" s="4">
        <v>13.8446247523051</v>
      </c>
      <c r="Y1778" s="4">
        <v>13.768337334977099</v>
      </c>
      <c r="Z1778" s="4">
        <v>14.16976490994</v>
      </c>
      <c r="AA1778" s="4">
        <f t="shared" si="111"/>
        <v>13.927575665740733</v>
      </c>
    </row>
    <row r="1779" spans="2:27" x14ac:dyDescent="0.2">
      <c r="B1779" s="4" t="s">
        <v>2294</v>
      </c>
      <c r="C1779" s="4">
        <v>14.366400000000001</v>
      </c>
      <c r="D1779" s="4">
        <v>14.0778</v>
      </c>
      <c r="E1779" s="4">
        <v>14.3345</v>
      </c>
      <c r="F1779" s="4">
        <f t="shared" si="108"/>
        <v>14.259566666666666</v>
      </c>
      <c r="I1779" s="4" t="s">
        <v>4710</v>
      </c>
      <c r="J1779" s="4">
        <v>14.0669</v>
      </c>
      <c r="K1779" s="4">
        <v>14.4079</v>
      </c>
      <c r="L1779" s="4">
        <v>14.236000000000001</v>
      </c>
      <c r="M1779" s="4">
        <f t="shared" si="109"/>
        <v>14.236933333333335</v>
      </c>
      <c r="P1779" s="4" t="str">
        <f>"pdi-6"</f>
        <v>pdi-6</v>
      </c>
      <c r="Q1779" s="4">
        <v>13.731584689656399</v>
      </c>
      <c r="R1779" s="4">
        <v>13.8448061269756</v>
      </c>
      <c r="S1779" s="4">
        <v>13.906773805748401</v>
      </c>
      <c r="T1779" s="4">
        <f t="shared" si="110"/>
        <v>13.827721540793467</v>
      </c>
      <c r="W1779" s="4" t="str">
        <f>"Y71G12B.25"</f>
        <v>Y71G12B.25</v>
      </c>
      <c r="X1779" s="4">
        <v>13.7285738914821</v>
      </c>
      <c r="Y1779" s="4">
        <v>14.0043082699361</v>
      </c>
      <c r="Z1779" s="4">
        <v>14.048220113644099</v>
      </c>
      <c r="AA1779" s="4">
        <f t="shared" si="111"/>
        <v>13.927034091687432</v>
      </c>
    </row>
    <row r="1780" spans="2:27" x14ac:dyDescent="0.2">
      <c r="B1780" s="4" t="s">
        <v>3606</v>
      </c>
      <c r="C1780" s="4">
        <v>14.500400000000001</v>
      </c>
      <c r="D1780" s="4">
        <v>14.055999999999999</v>
      </c>
      <c r="E1780" s="4">
        <v>14.222300000000001</v>
      </c>
      <c r="F1780" s="4">
        <f t="shared" si="108"/>
        <v>14.259566666666666</v>
      </c>
      <c r="I1780" s="4" t="s">
        <v>474</v>
      </c>
      <c r="J1780" s="4">
        <v>14.3186</v>
      </c>
      <c r="K1780" s="4">
        <v>14.206200000000001</v>
      </c>
      <c r="L1780" s="4">
        <v>14.183400000000001</v>
      </c>
      <c r="M1780" s="4">
        <f t="shared" si="109"/>
        <v>14.236066666666666</v>
      </c>
      <c r="P1780" s="4" t="str">
        <f>"hil-4"</f>
        <v>hil-4</v>
      </c>
      <c r="Q1780" s="4">
        <v>13.6952606965298</v>
      </c>
      <c r="R1780" s="4">
        <v>14.220669020727399</v>
      </c>
      <c r="S1780" s="4">
        <v>13.558989813474099</v>
      </c>
      <c r="T1780" s="4">
        <f t="shared" si="110"/>
        <v>13.824973176910433</v>
      </c>
      <c r="W1780" s="4" t="str">
        <f>"set-26"</f>
        <v>set-26</v>
      </c>
      <c r="X1780" s="4">
        <v>13.7923183761124</v>
      </c>
      <c r="Y1780" s="4">
        <v>13.937230195796699</v>
      </c>
      <c r="Z1780" s="4">
        <v>14.050529952035999</v>
      </c>
      <c r="AA1780" s="4">
        <f t="shared" si="111"/>
        <v>13.926692841315033</v>
      </c>
    </row>
    <row r="1781" spans="2:27" x14ac:dyDescent="0.2">
      <c r="B1781" s="4" t="s">
        <v>1827</v>
      </c>
      <c r="C1781" s="4">
        <v>14.019299999999999</v>
      </c>
      <c r="D1781" s="4">
        <v>14.761200000000001</v>
      </c>
      <c r="E1781" s="4">
        <v>13.9924</v>
      </c>
      <c r="F1781" s="4">
        <f t="shared" si="108"/>
        <v>14.257633333333333</v>
      </c>
      <c r="I1781" s="4" t="s">
        <v>4694</v>
      </c>
      <c r="J1781" s="4">
        <v>14.593400000000001</v>
      </c>
      <c r="K1781" s="4">
        <v>13.992000000000001</v>
      </c>
      <c r="L1781" s="4">
        <v>14.1221</v>
      </c>
      <c r="M1781" s="4">
        <f t="shared" si="109"/>
        <v>14.235833333333332</v>
      </c>
      <c r="P1781" s="4" t="str">
        <f>"mtx-2"</f>
        <v>mtx-2</v>
      </c>
      <c r="Q1781" s="4">
        <v>13.867250923068401</v>
      </c>
      <c r="R1781" s="4">
        <v>13.948791297338101</v>
      </c>
      <c r="S1781" s="4">
        <v>13.657647971446</v>
      </c>
      <c r="T1781" s="4">
        <f t="shared" si="110"/>
        <v>13.824563397284166</v>
      </c>
      <c r="W1781" s="4" t="str">
        <f>"C26E6.12"</f>
        <v>C26E6.12</v>
      </c>
      <c r="X1781" s="4">
        <v>13.4685102957617</v>
      </c>
      <c r="Y1781" s="4">
        <v>13.947360224614799</v>
      </c>
      <c r="Z1781" s="4">
        <v>14.3592889458141</v>
      </c>
      <c r="AA1781" s="4">
        <f t="shared" si="111"/>
        <v>13.925053155396867</v>
      </c>
    </row>
    <row r="1782" spans="2:27" x14ac:dyDescent="0.2">
      <c r="B1782" s="4" t="s">
        <v>162</v>
      </c>
      <c r="C1782" s="4">
        <v>13.9527</v>
      </c>
      <c r="D1782" s="4">
        <v>14.5006</v>
      </c>
      <c r="E1782" s="4">
        <v>14.318899999999999</v>
      </c>
      <c r="F1782" s="4">
        <f t="shared" si="108"/>
        <v>14.257399999999999</v>
      </c>
      <c r="I1782" s="4" t="s">
        <v>3018</v>
      </c>
      <c r="J1782" s="4">
        <v>14.4054</v>
      </c>
      <c r="K1782" s="4">
        <v>13.9941</v>
      </c>
      <c r="L1782" s="4">
        <v>14.308</v>
      </c>
      <c r="M1782" s="4">
        <f t="shared" si="109"/>
        <v>14.235833333333332</v>
      </c>
      <c r="P1782" s="4" t="str">
        <f>"F22B8.7"</f>
        <v>F22B8.7</v>
      </c>
      <c r="Q1782" s="4">
        <v>13.7228931471255</v>
      </c>
      <c r="R1782" s="4">
        <v>13.852835426988101</v>
      </c>
      <c r="S1782" s="4">
        <v>13.8906790766229</v>
      </c>
      <c r="T1782" s="4">
        <f t="shared" si="110"/>
        <v>13.822135883578833</v>
      </c>
      <c r="W1782" s="4" t="str">
        <f>"cnnm-1"</f>
        <v>cnnm-1</v>
      </c>
      <c r="X1782" s="4">
        <v>13.847571060044499</v>
      </c>
      <c r="Y1782" s="4">
        <v>14.280034930211899</v>
      </c>
      <c r="Z1782" s="4">
        <v>13.6398861330406</v>
      </c>
      <c r="AA1782" s="4">
        <f t="shared" si="111"/>
        <v>13.922497374432332</v>
      </c>
    </row>
    <row r="1783" spans="2:27" x14ac:dyDescent="0.2">
      <c r="B1783" s="4" t="s">
        <v>3661</v>
      </c>
      <c r="C1783" s="4">
        <v>13.9312</v>
      </c>
      <c r="D1783" s="4">
        <v>14.678800000000001</v>
      </c>
      <c r="E1783" s="4">
        <v>14.161</v>
      </c>
      <c r="F1783" s="4">
        <f t="shared" si="108"/>
        <v>14.257</v>
      </c>
      <c r="I1783" s="4" t="s">
        <v>1356</v>
      </c>
      <c r="J1783" s="4">
        <v>14.282</v>
      </c>
      <c r="K1783" s="4">
        <v>13.9384</v>
      </c>
      <c r="L1783" s="4">
        <v>14.478999999999999</v>
      </c>
      <c r="M1783" s="4">
        <f t="shared" si="109"/>
        <v>14.233133333333333</v>
      </c>
      <c r="P1783" s="4" t="str">
        <f>"npp-25"</f>
        <v>npp-25</v>
      </c>
      <c r="Q1783" s="4">
        <v>13.8313830662638</v>
      </c>
      <c r="R1783" s="4">
        <v>13.689950495329199</v>
      </c>
      <c r="S1783" s="4">
        <v>13.943641243142199</v>
      </c>
      <c r="T1783" s="4">
        <f t="shared" si="110"/>
        <v>13.821658268245066</v>
      </c>
      <c r="W1783" s="4" t="str">
        <f>"W08E12.7"</f>
        <v>W08E12.7</v>
      </c>
      <c r="X1783" s="4">
        <v>13.8206735839091</v>
      </c>
      <c r="Y1783" s="4">
        <v>13.748286299528999</v>
      </c>
      <c r="Z1783" s="4">
        <v>14.1975297600641</v>
      </c>
      <c r="AA1783" s="4">
        <f t="shared" si="111"/>
        <v>13.922163214500733</v>
      </c>
    </row>
    <row r="1784" spans="2:27" x14ac:dyDescent="0.2">
      <c r="B1784" s="4" t="s">
        <v>3892</v>
      </c>
      <c r="C1784" s="4">
        <v>14.6035</v>
      </c>
      <c r="D1784" s="4">
        <v>14.2127</v>
      </c>
      <c r="E1784" s="4">
        <v>13.9527</v>
      </c>
      <c r="F1784" s="4">
        <f t="shared" si="108"/>
        <v>14.256300000000001</v>
      </c>
      <c r="I1784" s="4" t="s">
        <v>2606</v>
      </c>
      <c r="J1784" s="4">
        <v>14.093299999999999</v>
      </c>
      <c r="K1784" s="4">
        <v>14.354200000000001</v>
      </c>
      <c r="L1784" s="4">
        <v>14.250500000000001</v>
      </c>
      <c r="M1784" s="4">
        <f t="shared" si="109"/>
        <v>14.232666666666667</v>
      </c>
      <c r="P1784" s="4" t="str">
        <f>"ash-2"</f>
        <v>ash-2</v>
      </c>
      <c r="Q1784" s="4">
        <v>13.802244862416201</v>
      </c>
      <c r="R1784" s="4">
        <v>13.876511239736301</v>
      </c>
      <c r="S1784" s="4">
        <v>13.7844198281825</v>
      </c>
      <c r="T1784" s="4">
        <f t="shared" si="110"/>
        <v>13.821058643444999</v>
      </c>
      <c r="W1784" s="4" t="str">
        <f>"glt-3"</f>
        <v>glt-3</v>
      </c>
      <c r="X1784" s="4">
        <v>14.448487457022001</v>
      </c>
      <c r="Y1784" s="4">
        <v>13.620732561258199</v>
      </c>
      <c r="Z1784" s="4">
        <v>13.6967083618646</v>
      </c>
      <c r="AA1784" s="4">
        <f t="shared" si="111"/>
        <v>13.921976126714933</v>
      </c>
    </row>
    <row r="1785" spans="2:27" x14ac:dyDescent="0.2">
      <c r="B1785" s="4" t="s">
        <v>3583</v>
      </c>
      <c r="C1785" s="4">
        <v>14.116899999999999</v>
      </c>
      <c r="D1785" s="4">
        <v>14.4451</v>
      </c>
      <c r="E1785" s="4">
        <v>14.2005</v>
      </c>
      <c r="F1785" s="4">
        <f t="shared" si="108"/>
        <v>14.254166666666665</v>
      </c>
      <c r="I1785" s="4" t="s">
        <v>4711</v>
      </c>
      <c r="J1785" s="4">
        <v>14.4336</v>
      </c>
      <c r="K1785" s="4">
        <v>13.8614</v>
      </c>
      <c r="L1785" s="4">
        <v>14.402799999999999</v>
      </c>
      <c r="M1785" s="4">
        <f t="shared" si="109"/>
        <v>14.2326</v>
      </c>
      <c r="P1785" s="4" t="str">
        <f>"cla-1"</f>
        <v>cla-1</v>
      </c>
      <c r="Q1785" s="4">
        <v>14.0894965910308</v>
      </c>
      <c r="R1785" s="4">
        <v>13.594039860129101</v>
      </c>
      <c r="S1785" s="4">
        <v>13.777594899875901</v>
      </c>
      <c r="T1785" s="4">
        <f t="shared" si="110"/>
        <v>13.820377117011935</v>
      </c>
      <c r="W1785" s="4" t="str">
        <f>"ego-1"</f>
        <v>ego-1</v>
      </c>
      <c r="X1785" s="4">
        <v>13.8882456854812</v>
      </c>
      <c r="Y1785" s="4">
        <v>13.9663633328767</v>
      </c>
      <c r="Z1785" s="4">
        <v>13.8894734111355</v>
      </c>
      <c r="AA1785" s="4">
        <f t="shared" si="111"/>
        <v>13.914694143164466</v>
      </c>
    </row>
    <row r="1786" spans="2:27" x14ac:dyDescent="0.2">
      <c r="B1786" s="4" t="s">
        <v>1518</v>
      </c>
      <c r="C1786" s="4">
        <v>14.058400000000001</v>
      </c>
      <c r="D1786" s="4">
        <v>14.3604</v>
      </c>
      <c r="E1786" s="4">
        <v>14.332800000000001</v>
      </c>
      <c r="F1786" s="4">
        <f t="shared" si="108"/>
        <v>14.250533333333335</v>
      </c>
      <c r="I1786" s="4" t="s">
        <v>3572</v>
      </c>
      <c r="J1786" s="4">
        <v>14.436999999999999</v>
      </c>
      <c r="K1786" s="4">
        <v>14.3231</v>
      </c>
      <c r="L1786" s="4">
        <v>13.9338</v>
      </c>
      <c r="M1786" s="4">
        <f t="shared" si="109"/>
        <v>14.231299999999999</v>
      </c>
      <c r="P1786" s="4" t="str">
        <f>"syd-2"</f>
        <v>syd-2</v>
      </c>
      <c r="Q1786" s="4">
        <v>13.935173901593901</v>
      </c>
      <c r="R1786" s="4">
        <v>13.665265405744501</v>
      </c>
      <c r="S1786" s="4">
        <v>13.857428787961201</v>
      </c>
      <c r="T1786" s="4">
        <f t="shared" si="110"/>
        <v>13.819289365099868</v>
      </c>
      <c r="W1786" s="4" t="str">
        <f>"uaf-1"</f>
        <v>uaf-1</v>
      </c>
      <c r="X1786" s="4">
        <v>13.8647408254329</v>
      </c>
      <c r="Y1786" s="4">
        <v>13.9123748948274</v>
      </c>
      <c r="Z1786" s="4">
        <v>13.9580045062367</v>
      </c>
      <c r="AA1786" s="4">
        <f t="shared" si="111"/>
        <v>13.911706742165665</v>
      </c>
    </row>
    <row r="1787" spans="2:27" x14ac:dyDescent="0.2">
      <c r="B1787" s="4" t="s">
        <v>4614</v>
      </c>
      <c r="C1787" s="4">
        <v>13.9689</v>
      </c>
      <c r="D1787" s="4">
        <v>14.3058</v>
      </c>
      <c r="E1787" s="4">
        <v>14.471399999999999</v>
      </c>
      <c r="F1787" s="4">
        <f t="shared" si="108"/>
        <v>14.248699999999999</v>
      </c>
      <c r="I1787" s="4" t="s">
        <v>1524</v>
      </c>
      <c r="J1787" s="4">
        <v>14.045299999999999</v>
      </c>
      <c r="K1787" s="4">
        <v>13.893800000000001</v>
      </c>
      <c r="L1787" s="4">
        <v>14.754</v>
      </c>
      <c r="M1787" s="4">
        <f t="shared" si="109"/>
        <v>14.231033333333334</v>
      </c>
      <c r="P1787" s="4" t="str">
        <f>"R107.2"</f>
        <v>R107.2</v>
      </c>
      <c r="Q1787" s="4">
        <v>13.902350255651999</v>
      </c>
      <c r="R1787" s="4">
        <v>13.7312904461466</v>
      </c>
      <c r="S1787" s="4">
        <v>13.8213556070748</v>
      </c>
      <c r="T1787" s="4">
        <f t="shared" si="110"/>
        <v>13.818332102957799</v>
      </c>
      <c r="W1787" s="4" t="str">
        <f>"ubc-3"</f>
        <v>ubc-3</v>
      </c>
      <c r="X1787" s="4">
        <v>13.890137594246999</v>
      </c>
      <c r="Y1787" s="4">
        <v>14.121956375031701</v>
      </c>
      <c r="Z1787" s="4">
        <v>13.716033103387399</v>
      </c>
      <c r="AA1787" s="4">
        <f t="shared" si="111"/>
        <v>13.9093756908887</v>
      </c>
    </row>
    <row r="1788" spans="2:27" x14ac:dyDescent="0.2">
      <c r="B1788" s="4" t="s">
        <v>1016</v>
      </c>
      <c r="C1788" s="4">
        <v>14.3683</v>
      </c>
      <c r="D1788" s="4">
        <v>14.352399999999999</v>
      </c>
      <c r="E1788" s="4">
        <v>14.024900000000001</v>
      </c>
      <c r="F1788" s="4">
        <f t="shared" si="108"/>
        <v>14.248533333333334</v>
      </c>
      <c r="I1788" s="4" t="s">
        <v>885</v>
      </c>
      <c r="J1788" s="4">
        <v>14.528700000000001</v>
      </c>
      <c r="K1788" s="4">
        <v>14.164099999999999</v>
      </c>
      <c r="L1788" s="4">
        <v>13.992699999999999</v>
      </c>
      <c r="M1788" s="4">
        <f t="shared" si="109"/>
        <v>14.228499999999999</v>
      </c>
      <c r="P1788" s="4" t="str">
        <f>"aly-1"</f>
        <v>aly-1</v>
      </c>
      <c r="Q1788" s="4">
        <v>13.862786353572501</v>
      </c>
      <c r="R1788" s="4">
        <v>13.7421789042403</v>
      </c>
      <c r="S1788" s="4">
        <v>13.8486708344689</v>
      </c>
      <c r="T1788" s="4">
        <f t="shared" si="110"/>
        <v>13.817878697427233</v>
      </c>
      <c r="W1788" s="4" t="str">
        <f>"nhl-1"</f>
        <v>nhl-1</v>
      </c>
      <c r="X1788" s="4">
        <v>13.838633056603101</v>
      </c>
      <c r="Y1788" s="4">
        <v>13.8805844198363</v>
      </c>
      <c r="Z1788" s="4">
        <v>14.0077340441667</v>
      </c>
      <c r="AA1788" s="4">
        <f t="shared" si="111"/>
        <v>13.908983840202033</v>
      </c>
    </row>
    <row r="1789" spans="2:27" x14ac:dyDescent="0.2">
      <c r="B1789" s="4" t="s">
        <v>4712</v>
      </c>
      <c r="C1789" s="4">
        <v>14.551600000000001</v>
      </c>
      <c r="D1789" s="4">
        <v>14.471</v>
      </c>
      <c r="E1789" s="4">
        <v>13.722300000000001</v>
      </c>
      <c r="F1789" s="4">
        <f t="shared" si="108"/>
        <v>14.2483</v>
      </c>
      <c r="I1789" s="4" t="s">
        <v>3601</v>
      </c>
      <c r="J1789" s="4">
        <v>14.2973</v>
      </c>
      <c r="K1789" s="4">
        <v>14.046799999999999</v>
      </c>
      <c r="L1789" s="4">
        <v>14.3367</v>
      </c>
      <c r="M1789" s="4">
        <f t="shared" si="109"/>
        <v>14.226933333333333</v>
      </c>
      <c r="P1789" s="4" t="str">
        <f>"dys-1"</f>
        <v>dys-1</v>
      </c>
      <c r="Q1789" s="4">
        <v>14.096466854184101</v>
      </c>
      <c r="R1789" s="4">
        <v>13.710791300890699</v>
      </c>
      <c r="S1789" s="4">
        <v>13.6447267266831</v>
      </c>
      <c r="T1789" s="4">
        <f t="shared" si="110"/>
        <v>13.817328293919298</v>
      </c>
      <c r="W1789" s="4" t="str">
        <f>"acox-1.4"</f>
        <v>acox-1.4</v>
      </c>
      <c r="X1789" s="4">
        <v>13.8852995758809</v>
      </c>
      <c r="Y1789" s="4">
        <v>13.941812292268899</v>
      </c>
      <c r="Z1789" s="4">
        <v>13.891210965458701</v>
      </c>
      <c r="AA1789" s="4">
        <f t="shared" si="111"/>
        <v>13.906107611202833</v>
      </c>
    </row>
    <row r="1790" spans="2:27" x14ac:dyDescent="0.2">
      <c r="B1790" s="4" t="s">
        <v>1192</v>
      </c>
      <c r="C1790" s="4">
        <v>14.151899999999999</v>
      </c>
      <c r="D1790" s="4">
        <v>14.476100000000001</v>
      </c>
      <c r="E1790" s="4">
        <v>14.115500000000001</v>
      </c>
      <c r="F1790" s="4">
        <f t="shared" si="108"/>
        <v>14.247833333333332</v>
      </c>
      <c r="I1790" s="4" t="s">
        <v>3669</v>
      </c>
      <c r="J1790" s="4">
        <v>14.0549</v>
      </c>
      <c r="K1790" s="4">
        <v>13.6671</v>
      </c>
      <c r="L1790" s="4">
        <v>14.958299999999999</v>
      </c>
      <c r="M1790" s="4">
        <f t="shared" si="109"/>
        <v>14.226766666666668</v>
      </c>
      <c r="P1790" s="4" t="str">
        <f>"pezo-1"</f>
        <v>pezo-1</v>
      </c>
      <c r="Q1790" s="4">
        <v>13.775720840340099</v>
      </c>
      <c r="R1790" s="4">
        <v>13.907632098058301</v>
      </c>
      <c r="S1790" s="4">
        <v>13.76636247841</v>
      </c>
      <c r="T1790" s="4">
        <f t="shared" si="110"/>
        <v>13.8165718056028</v>
      </c>
      <c r="W1790" s="4" t="str">
        <f>"nap-1"</f>
        <v>nap-1</v>
      </c>
      <c r="X1790" s="4">
        <v>13.950410611314799</v>
      </c>
      <c r="Y1790" s="4">
        <v>13.652236323141601</v>
      </c>
      <c r="Z1790" s="4">
        <v>14.106488777811601</v>
      </c>
      <c r="AA1790" s="4">
        <f t="shared" si="111"/>
        <v>13.903045237422667</v>
      </c>
    </row>
    <row r="1791" spans="2:27" x14ac:dyDescent="0.2">
      <c r="B1791" s="4" t="s">
        <v>2985</v>
      </c>
      <c r="C1791" s="4">
        <v>14.5236</v>
      </c>
      <c r="D1791" s="4">
        <v>14.305199999999999</v>
      </c>
      <c r="E1791" s="4">
        <v>13.906599999999999</v>
      </c>
      <c r="F1791" s="4">
        <f t="shared" si="108"/>
        <v>14.245133333333333</v>
      </c>
      <c r="I1791" s="4" t="s">
        <v>2035</v>
      </c>
      <c r="J1791" s="4">
        <v>14.509600000000001</v>
      </c>
      <c r="K1791" s="4">
        <v>14.454599999999999</v>
      </c>
      <c r="L1791" s="4">
        <v>13.714399999999999</v>
      </c>
      <c r="M1791" s="4">
        <f t="shared" si="109"/>
        <v>14.226199999999999</v>
      </c>
      <c r="P1791" s="4" t="str">
        <f>"rga-1"</f>
        <v>rga-1</v>
      </c>
      <c r="Q1791" s="4">
        <v>13.7021853286984</v>
      </c>
      <c r="R1791" s="4">
        <v>13.968245218839201</v>
      </c>
      <c r="S1791" s="4">
        <v>13.778113062286</v>
      </c>
      <c r="T1791" s="4">
        <f t="shared" si="110"/>
        <v>13.816181203274533</v>
      </c>
      <c r="W1791" s="4" t="str">
        <f>"ttc-7"</f>
        <v>ttc-7</v>
      </c>
      <c r="X1791" s="4">
        <v>13.8167115835159</v>
      </c>
      <c r="Y1791" s="4">
        <v>13.970125345497401</v>
      </c>
      <c r="Z1791" s="4">
        <v>13.918536521377501</v>
      </c>
      <c r="AA1791" s="4">
        <f t="shared" si="111"/>
        <v>13.901791150130267</v>
      </c>
    </row>
    <row r="1792" spans="2:27" x14ac:dyDescent="0.2">
      <c r="B1792" s="4" t="s">
        <v>4713</v>
      </c>
      <c r="C1792" s="4">
        <v>15.2189</v>
      </c>
      <c r="D1792" s="4">
        <v>13.804399999999999</v>
      </c>
      <c r="E1792" s="4">
        <v>13.711499999999999</v>
      </c>
      <c r="F1792" s="4">
        <f t="shared" si="108"/>
        <v>14.244933333333334</v>
      </c>
      <c r="I1792" s="4" t="s">
        <v>1020</v>
      </c>
      <c r="J1792" s="4">
        <v>14.339</v>
      </c>
      <c r="K1792" s="4">
        <v>14.5581</v>
      </c>
      <c r="L1792" s="4">
        <v>13.7807</v>
      </c>
      <c r="M1792" s="4">
        <f t="shared" si="109"/>
        <v>14.225933333333336</v>
      </c>
      <c r="P1792" s="4" t="str">
        <f>"prx-3"</f>
        <v>prx-3</v>
      </c>
      <c r="Q1792" s="4">
        <v>13.550707928541</v>
      </c>
      <c r="R1792" s="4">
        <v>14.022526537963801</v>
      </c>
      <c r="S1792" s="4">
        <v>13.8747352017323</v>
      </c>
      <c r="T1792" s="4">
        <f t="shared" si="110"/>
        <v>13.815989889412366</v>
      </c>
      <c r="W1792" s="4" t="str">
        <f>"lotr-1"</f>
        <v>lotr-1</v>
      </c>
      <c r="X1792" s="4">
        <v>13.9282282621087</v>
      </c>
      <c r="Y1792" s="4">
        <v>13.9749923082026</v>
      </c>
      <c r="Z1792" s="4">
        <v>13.798359591826101</v>
      </c>
      <c r="AA1792" s="4">
        <f t="shared" si="111"/>
        <v>13.900526720712465</v>
      </c>
    </row>
    <row r="1793" spans="2:27" x14ac:dyDescent="0.2">
      <c r="B1793" s="4" t="s">
        <v>3120</v>
      </c>
      <c r="C1793" s="4">
        <v>13.9764</v>
      </c>
      <c r="D1793" s="4">
        <v>14.8569</v>
      </c>
      <c r="E1793" s="4">
        <v>13.898300000000001</v>
      </c>
      <c r="F1793" s="4">
        <f t="shared" si="108"/>
        <v>14.243866666666667</v>
      </c>
      <c r="I1793" s="4" t="s">
        <v>714</v>
      </c>
      <c r="J1793" s="4">
        <v>14.3979</v>
      </c>
      <c r="K1793" s="4">
        <v>14.1594</v>
      </c>
      <c r="L1793" s="4">
        <v>14.1174</v>
      </c>
      <c r="M1793" s="4">
        <f t="shared" si="109"/>
        <v>14.2249</v>
      </c>
      <c r="P1793" s="4" t="str">
        <f>"Y54E10A.6"</f>
        <v>Y54E10A.6</v>
      </c>
      <c r="Q1793" s="4">
        <v>13.4823226065427</v>
      </c>
      <c r="R1793" s="4">
        <v>13.819336403247201</v>
      </c>
      <c r="S1793" s="4">
        <v>14.1460978085744</v>
      </c>
      <c r="T1793" s="4">
        <f t="shared" si="110"/>
        <v>13.815918939454766</v>
      </c>
      <c r="W1793" s="4" t="str">
        <f>"attf-6"</f>
        <v>attf-6</v>
      </c>
      <c r="X1793" s="4">
        <v>14.2234919081453</v>
      </c>
      <c r="Y1793" s="4">
        <v>13.7370149421682</v>
      </c>
      <c r="Z1793" s="4">
        <v>13.737506559613699</v>
      </c>
      <c r="AA1793" s="4">
        <f t="shared" si="111"/>
        <v>13.899337803309066</v>
      </c>
    </row>
    <row r="1794" spans="2:27" x14ac:dyDescent="0.2">
      <c r="B1794" s="4" t="s">
        <v>4714</v>
      </c>
      <c r="C1794" s="4">
        <v>14.0862</v>
      </c>
      <c r="D1794" s="4">
        <v>14.7241</v>
      </c>
      <c r="E1794" s="4">
        <v>13.9184</v>
      </c>
      <c r="F1794" s="4">
        <f t="shared" ref="F1794:F1857" si="112">(C1794+D1794+E1794)/3</f>
        <v>14.242899999999999</v>
      </c>
      <c r="I1794" s="4" t="s">
        <v>3119</v>
      </c>
      <c r="J1794" s="4">
        <v>14.5785</v>
      </c>
      <c r="K1794" s="4">
        <v>14.052</v>
      </c>
      <c r="L1794" s="4">
        <v>14.0426</v>
      </c>
      <c r="M1794" s="4">
        <f t="shared" ref="M1794:M1857" si="113">(J1794+K1794+L1794)/3</f>
        <v>14.224366666666667</v>
      </c>
      <c r="P1794" s="4" t="str">
        <f>"cogc-8"</f>
        <v>cogc-8</v>
      </c>
      <c r="Q1794" s="4">
        <v>13.642077961361901</v>
      </c>
      <c r="R1794" s="4">
        <v>14.0343727835339</v>
      </c>
      <c r="S1794" s="4">
        <v>13.7656870870389</v>
      </c>
      <c r="T1794" s="4">
        <f t="shared" ref="T1794:T1857" si="114">(Q1794+R1794+S1794)/3</f>
        <v>13.814045943978234</v>
      </c>
      <c r="W1794" s="4" t="str">
        <f>"mtch-1"</f>
        <v>mtch-1</v>
      </c>
      <c r="X1794" s="4">
        <v>13.5441545362967</v>
      </c>
      <c r="Y1794" s="4">
        <v>13.216230493250199</v>
      </c>
      <c r="Z1794" s="4">
        <v>14.9347096843678</v>
      </c>
      <c r="AA1794" s="4">
        <f t="shared" ref="AA1794:AA1857" si="115">(X1794+Y1794+Z1794)/3</f>
        <v>13.898364904638234</v>
      </c>
    </row>
    <row r="1795" spans="2:27" x14ac:dyDescent="0.2">
      <c r="B1795" s="4" t="s">
        <v>3479</v>
      </c>
      <c r="C1795" s="4">
        <v>14.1829</v>
      </c>
      <c r="D1795" s="4">
        <v>13.929</v>
      </c>
      <c r="E1795" s="4">
        <v>14.616400000000001</v>
      </c>
      <c r="F1795" s="4">
        <f t="shared" si="112"/>
        <v>14.242766666666666</v>
      </c>
      <c r="I1795" s="4" t="s">
        <v>759</v>
      </c>
      <c r="J1795" s="4">
        <v>14.6045</v>
      </c>
      <c r="K1795" s="4">
        <v>13.8401</v>
      </c>
      <c r="L1795" s="4">
        <v>14.226000000000001</v>
      </c>
      <c r="M1795" s="4">
        <f t="shared" si="113"/>
        <v>14.223533333333334</v>
      </c>
      <c r="P1795" s="4" t="str">
        <f>"age-1"</f>
        <v>age-1</v>
      </c>
      <c r="Q1795" s="4">
        <v>13.652054364562099</v>
      </c>
      <c r="R1795" s="4">
        <v>13.8124494066062</v>
      </c>
      <c r="S1795" s="4">
        <v>13.9509292411124</v>
      </c>
      <c r="T1795" s="4">
        <f t="shared" si="114"/>
        <v>13.805144337426901</v>
      </c>
      <c r="W1795" s="4" t="str">
        <f>"rap-1"</f>
        <v>rap-1</v>
      </c>
      <c r="X1795" s="4">
        <v>14.2470042387015</v>
      </c>
      <c r="Y1795" s="4">
        <v>13.5240640530478</v>
      </c>
      <c r="Z1795" s="4">
        <v>13.921803357605301</v>
      </c>
      <c r="AA1795" s="4">
        <f t="shared" si="115"/>
        <v>13.8976238831182</v>
      </c>
    </row>
    <row r="1796" spans="2:27" x14ac:dyDescent="0.2">
      <c r="B1796" s="4" t="s">
        <v>4715</v>
      </c>
      <c r="C1796" s="4">
        <v>14.225899999999999</v>
      </c>
      <c r="D1796" s="4">
        <v>13.922499999999999</v>
      </c>
      <c r="E1796" s="4">
        <v>14.577400000000001</v>
      </c>
      <c r="F1796" s="4">
        <f t="shared" si="112"/>
        <v>14.241933333333334</v>
      </c>
      <c r="I1796" s="4" t="s">
        <v>1344</v>
      </c>
      <c r="J1796" s="4">
        <v>14.4534</v>
      </c>
      <c r="K1796" s="4">
        <v>13.8797</v>
      </c>
      <c r="L1796" s="4">
        <v>14.332800000000001</v>
      </c>
      <c r="M1796" s="4">
        <f t="shared" si="113"/>
        <v>14.221966666666667</v>
      </c>
      <c r="P1796" s="4" t="str">
        <f>"plk-1"</f>
        <v>plk-1</v>
      </c>
      <c r="Q1796" s="4">
        <v>13.3698532663709</v>
      </c>
      <c r="R1796" s="4">
        <v>13.929277936920201</v>
      </c>
      <c r="S1796" s="4">
        <v>14.114844793571599</v>
      </c>
      <c r="T1796" s="4">
        <f t="shared" si="114"/>
        <v>13.8046586656209</v>
      </c>
      <c r="W1796" s="4" t="str">
        <f>"tsr-1"</f>
        <v>tsr-1</v>
      </c>
      <c r="X1796" s="4">
        <v>13.935895026234601</v>
      </c>
      <c r="Y1796" s="4">
        <v>13.854693073743601</v>
      </c>
      <c r="Z1796" s="4">
        <v>13.902253680288601</v>
      </c>
      <c r="AA1796" s="4">
        <f t="shared" si="115"/>
        <v>13.897613926755602</v>
      </c>
    </row>
    <row r="1797" spans="2:27" x14ac:dyDescent="0.2">
      <c r="B1797" s="4" t="s">
        <v>3926</v>
      </c>
      <c r="C1797" s="4">
        <v>14.1358</v>
      </c>
      <c r="D1797" s="4">
        <v>14.3432</v>
      </c>
      <c r="E1797" s="4">
        <v>14.2433</v>
      </c>
      <c r="F1797" s="4">
        <f t="shared" si="112"/>
        <v>14.240766666666666</v>
      </c>
      <c r="I1797" s="4" t="s">
        <v>3879</v>
      </c>
      <c r="J1797" s="4">
        <v>14.819599999999999</v>
      </c>
      <c r="K1797" s="4">
        <v>13.94</v>
      </c>
      <c r="L1797" s="4">
        <v>13.901899999999999</v>
      </c>
      <c r="M1797" s="4">
        <f t="shared" si="113"/>
        <v>14.220499999999999</v>
      </c>
      <c r="P1797" s="4" t="str">
        <f>"sec-6"</f>
        <v>sec-6</v>
      </c>
      <c r="Q1797" s="4">
        <v>13.7670847633532</v>
      </c>
      <c r="R1797" s="4">
        <v>14.053392691029201</v>
      </c>
      <c r="S1797" s="4">
        <v>13.5856031278465</v>
      </c>
      <c r="T1797" s="4">
        <f t="shared" si="114"/>
        <v>13.802026860742965</v>
      </c>
      <c r="W1797" s="4" t="str">
        <f>"uba-5"</f>
        <v>uba-5</v>
      </c>
      <c r="X1797" s="4">
        <v>14.1267665004693</v>
      </c>
      <c r="Y1797" s="4">
        <v>13.881985605371</v>
      </c>
      <c r="Z1797" s="4">
        <v>13.672513101237399</v>
      </c>
      <c r="AA1797" s="4">
        <f t="shared" si="115"/>
        <v>13.8937550690259</v>
      </c>
    </row>
    <row r="1798" spans="2:27" x14ac:dyDescent="0.2">
      <c r="B1798" s="4" t="s">
        <v>2654</v>
      </c>
      <c r="C1798" s="4">
        <v>14.216100000000001</v>
      </c>
      <c r="D1798" s="4">
        <v>14.218400000000001</v>
      </c>
      <c r="E1798" s="4">
        <v>14.2875</v>
      </c>
      <c r="F1798" s="4">
        <f t="shared" si="112"/>
        <v>14.240666666666668</v>
      </c>
      <c r="I1798" s="4" t="s">
        <v>3010</v>
      </c>
      <c r="J1798" s="4">
        <v>14.2568</v>
      </c>
      <c r="K1798" s="4">
        <v>14.0349</v>
      </c>
      <c r="L1798" s="4">
        <v>14.3696</v>
      </c>
      <c r="M1798" s="4">
        <f t="shared" si="113"/>
        <v>14.220433333333332</v>
      </c>
      <c r="P1798" s="4" t="str">
        <f>"ugt-46"</f>
        <v>ugt-46</v>
      </c>
      <c r="Q1798" s="4">
        <v>14.2696807771681</v>
      </c>
      <c r="R1798" s="4">
        <v>13.6599055748949</v>
      </c>
      <c r="S1798" s="4">
        <v>13.4686465207109</v>
      </c>
      <c r="T1798" s="4">
        <f t="shared" si="114"/>
        <v>13.799410957591299</v>
      </c>
      <c r="W1798" s="4" t="str">
        <f>"deps-1"</f>
        <v>deps-1</v>
      </c>
      <c r="X1798" s="4">
        <v>13.952093524202301</v>
      </c>
      <c r="Y1798" s="4">
        <v>13.788000178198599</v>
      </c>
      <c r="Z1798" s="4">
        <v>13.935365298179001</v>
      </c>
      <c r="AA1798" s="4">
        <f t="shared" si="115"/>
        <v>13.891819666859966</v>
      </c>
    </row>
    <row r="1799" spans="2:27" x14ac:dyDescent="0.2">
      <c r="B1799" s="4" t="s">
        <v>1623</v>
      </c>
      <c r="C1799" s="4">
        <v>14.448700000000001</v>
      </c>
      <c r="D1799" s="4">
        <v>14.263400000000001</v>
      </c>
      <c r="E1799" s="4">
        <v>14.0029</v>
      </c>
      <c r="F1799" s="4">
        <f t="shared" si="112"/>
        <v>14.238333333333335</v>
      </c>
      <c r="I1799" s="4" t="s">
        <v>601</v>
      </c>
      <c r="J1799" s="4">
        <v>13.980600000000001</v>
      </c>
      <c r="K1799" s="4">
        <v>14.1548</v>
      </c>
      <c r="L1799" s="4">
        <v>14.525600000000001</v>
      </c>
      <c r="M1799" s="4">
        <f t="shared" si="113"/>
        <v>14.220333333333334</v>
      </c>
      <c r="P1799" s="4" t="str">
        <f>"F46B6.4"</f>
        <v>F46B6.4</v>
      </c>
      <c r="Q1799" s="4">
        <v>14.011917038515501</v>
      </c>
      <c r="R1799" s="4">
        <v>13.769574351407501</v>
      </c>
      <c r="S1799" s="4">
        <v>13.6132720242807</v>
      </c>
      <c r="T1799" s="4">
        <f t="shared" si="114"/>
        <v>13.798254471401235</v>
      </c>
      <c r="W1799" s="4" t="str">
        <f>"F22B8.7"</f>
        <v>F22B8.7</v>
      </c>
      <c r="X1799" s="4">
        <v>14.0002262073194</v>
      </c>
      <c r="Y1799" s="4">
        <v>13.9838761386585</v>
      </c>
      <c r="Z1799" s="4">
        <v>13.689320939674801</v>
      </c>
      <c r="AA1799" s="4">
        <f t="shared" si="115"/>
        <v>13.891141095217568</v>
      </c>
    </row>
    <row r="1800" spans="2:27" x14ac:dyDescent="0.2">
      <c r="B1800" s="4" t="s">
        <v>15</v>
      </c>
      <c r="C1800" s="4">
        <v>14.256500000000001</v>
      </c>
      <c r="D1800" s="4">
        <v>14.3712</v>
      </c>
      <c r="E1800" s="4">
        <v>14.082700000000001</v>
      </c>
      <c r="F1800" s="4">
        <f t="shared" si="112"/>
        <v>14.236800000000001</v>
      </c>
      <c r="I1800" s="4" t="s">
        <v>3613</v>
      </c>
      <c r="J1800" s="4">
        <v>14.115</v>
      </c>
      <c r="K1800" s="4">
        <v>14.118</v>
      </c>
      <c r="L1800" s="4">
        <v>14.426399999999999</v>
      </c>
      <c r="M1800" s="4">
        <f t="shared" si="113"/>
        <v>14.219799999999999</v>
      </c>
      <c r="P1800" s="4" t="str">
        <f>"ttr-14"</f>
        <v>ttr-14</v>
      </c>
      <c r="Q1800" s="4">
        <v>13.631502912454501</v>
      </c>
      <c r="R1800" s="4">
        <v>13.500519399645199</v>
      </c>
      <c r="S1800" s="4">
        <v>14.2613756590266</v>
      </c>
      <c r="T1800" s="4">
        <f t="shared" si="114"/>
        <v>13.797799323708766</v>
      </c>
      <c r="W1800" s="4" t="str">
        <f>"mppb-1"</f>
        <v>mppb-1</v>
      </c>
      <c r="X1800" s="4">
        <v>13.9305639398798</v>
      </c>
      <c r="Y1800" s="4">
        <v>13.7276941544084</v>
      </c>
      <c r="Z1800" s="4">
        <v>14.014085875132499</v>
      </c>
      <c r="AA1800" s="4">
        <f t="shared" si="115"/>
        <v>13.890781323140233</v>
      </c>
    </row>
    <row r="1801" spans="2:27" x14ac:dyDescent="0.2">
      <c r="B1801" s="4" t="s">
        <v>207</v>
      </c>
      <c r="C1801" s="4">
        <v>13.9877</v>
      </c>
      <c r="D1801" s="4">
        <v>14.498699999999999</v>
      </c>
      <c r="E1801" s="4">
        <v>14.222799999999999</v>
      </c>
      <c r="F1801" s="4">
        <f t="shared" si="112"/>
        <v>14.236399999999998</v>
      </c>
      <c r="I1801" s="4" t="s">
        <v>4716</v>
      </c>
      <c r="J1801" s="4">
        <v>14.2402</v>
      </c>
      <c r="K1801" s="4">
        <v>14.275399999999999</v>
      </c>
      <c r="L1801" s="4">
        <v>14.1417</v>
      </c>
      <c r="M1801" s="4">
        <f t="shared" si="113"/>
        <v>14.219099999999999</v>
      </c>
      <c r="P1801" s="4" t="str">
        <f>"inx-16"</f>
        <v>inx-16</v>
      </c>
      <c r="Q1801" s="4">
        <v>13.653920758533699</v>
      </c>
      <c r="R1801" s="4">
        <v>13.7008991343525</v>
      </c>
      <c r="S1801" s="4">
        <v>14.0367557830356</v>
      </c>
      <c r="T1801" s="4">
        <f t="shared" si="114"/>
        <v>13.797191891973933</v>
      </c>
      <c r="W1801" s="4" t="str">
        <f>"F10E7.5"</f>
        <v>F10E7.5</v>
      </c>
      <c r="X1801" s="4">
        <v>14.0716462436279</v>
      </c>
      <c r="Y1801" s="4">
        <v>13.7030520593145</v>
      </c>
      <c r="Z1801" s="4">
        <v>13.8971591695024</v>
      </c>
      <c r="AA1801" s="4">
        <f t="shared" si="115"/>
        <v>13.8906191574816</v>
      </c>
    </row>
    <row r="1802" spans="2:27" x14ac:dyDescent="0.2">
      <c r="B1802" s="4" t="s">
        <v>1637</v>
      </c>
      <c r="C1802" s="4">
        <v>14.2967</v>
      </c>
      <c r="D1802" s="4">
        <v>14.423299999999999</v>
      </c>
      <c r="E1802" s="4">
        <v>13.989000000000001</v>
      </c>
      <c r="F1802" s="4">
        <f t="shared" si="112"/>
        <v>14.236333333333334</v>
      </c>
      <c r="I1802" s="4" t="s">
        <v>1503</v>
      </c>
      <c r="J1802" s="4">
        <v>14.148999999999999</v>
      </c>
      <c r="K1802" s="4">
        <v>14.232900000000001</v>
      </c>
      <c r="L1802" s="4">
        <v>14.273999999999999</v>
      </c>
      <c r="M1802" s="4">
        <f t="shared" si="113"/>
        <v>14.218633333333335</v>
      </c>
      <c r="P1802" s="4" t="str">
        <f>"T03F1.11"</f>
        <v>T03F1.11</v>
      </c>
      <c r="Q1802" s="4">
        <v>13.813947123325001</v>
      </c>
      <c r="R1802" s="4">
        <v>13.688065334998001</v>
      </c>
      <c r="S1802" s="4">
        <v>13.884061936725899</v>
      </c>
      <c r="T1802" s="4">
        <f t="shared" si="114"/>
        <v>13.795358131682967</v>
      </c>
      <c r="W1802" s="4" t="str">
        <f>"enol-1"</f>
        <v>enol-1</v>
      </c>
      <c r="X1802" s="4">
        <v>13.8160064440613</v>
      </c>
      <c r="Y1802" s="4">
        <v>13.612579605535499</v>
      </c>
      <c r="Z1802" s="4">
        <v>14.241142406507</v>
      </c>
      <c r="AA1802" s="4">
        <f t="shared" si="115"/>
        <v>13.889909485367932</v>
      </c>
    </row>
    <row r="1803" spans="2:27" x14ac:dyDescent="0.2">
      <c r="B1803" s="4" t="s">
        <v>723</v>
      </c>
      <c r="C1803" s="4">
        <v>13.989000000000001</v>
      </c>
      <c r="D1803" s="4">
        <v>14.600099999999999</v>
      </c>
      <c r="E1803" s="4">
        <v>14.115600000000001</v>
      </c>
      <c r="F1803" s="4">
        <f t="shared" si="112"/>
        <v>14.234900000000001</v>
      </c>
      <c r="I1803" s="4" t="s">
        <v>2124</v>
      </c>
      <c r="J1803" s="4">
        <v>14.055999999999999</v>
      </c>
      <c r="K1803" s="4">
        <v>14.0428</v>
      </c>
      <c r="L1803" s="4">
        <v>14.5549</v>
      </c>
      <c r="M1803" s="4">
        <f t="shared" si="113"/>
        <v>14.2179</v>
      </c>
      <c r="P1803" s="4" t="str">
        <f>"Y38F1A.1"</f>
        <v>Y38F1A.1</v>
      </c>
      <c r="Q1803" s="4">
        <v>13.8955439145388</v>
      </c>
      <c r="R1803" s="4">
        <v>13.5872460445068</v>
      </c>
      <c r="S1803" s="4">
        <v>13.8979453638023</v>
      </c>
      <c r="T1803" s="4">
        <f t="shared" si="114"/>
        <v>13.793578440949299</v>
      </c>
      <c r="W1803" s="4" t="str">
        <f>"mrps-17"</f>
        <v>mrps-17</v>
      </c>
      <c r="X1803" s="4">
        <v>13.831845398881001</v>
      </c>
      <c r="Y1803" s="4">
        <v>13.599622988418099</v>
      </c>
      <c r="Z1803" s="4">
        <v>14.2292925503672</v>
      </c>
      <c r="AA1803" s="4">
        <f t="shared" si="115"/>
        <v>13.886920312555432</v>
      </c>
    </row>
    <row r="1804" spans="2:27" x14ac:dyDescent="0.2">
      <c r="B1804" s="4" t="s">
        <v>1274</v>
      </c>
      <c r="C1804" s="4">
        <v>13.9575</v>
      </c>
      <c r="D1804" s="4">
        <v>14.0131</v>
      </c>
      <c r="E1804" s="4">
        <v>14.7339</v>
      </c>
      <c r="F1804" s="4">
        <f t="shared" si="112"/>
        <v>14.234833333333333</v>
      </c>
      <c r="I1804" s="4" t="s">
        <v>2930</v>
      </c>
      <c r="J1804" s="4">
        <v>14.402100000000001</v>
      </c>
      <c r="K1804" s="4">
        <v>13.8649</v>
      </c>
      <c r="L1804" s="4">
        <v>14.381399999999999</v>
      </c>
      <c r="M1804" s="4">
        <f t="shared" si="113"/>
        <v>14.216133333333334</v>
      </c>
      <c r="P1804" s="4" t="str">
        <f>"let-526"</f>
        <v>let-526</v>
      </c>
      <c r="Q1804" s="4">
        <v>13.7777200353244</v>
      </c>
      <c r="R1804" s="4">
        <v>13.7351022238637</v>
      </c>
      <c r="S1804" s="4">
        <v>13.861307866132501</v>
      </c>
      <c r="T1804" s="4">
        <f t="shared" si="114"/>
        <v>13.791376708440199</v>
      </c>
      <c r="W1804" s="4" t="str">
        <f>"mct-2"</f>
        <v>mct-2</v>
      </c>
      <c r="X1804" s="4">
        <v>14.352014089705399</v>
      </c>
      <c r="Y1804" s="4">
        <v>13.737294644150399</v>
      </c>
      <c r="Z1804" s="4">
        <v>13.570998968532701</v>
      </c>
      <c r="AA1804" s="4">
        <f t="shared" si="115"/>
        <v>13.886769234129501</v>
      </c>
    </row>
    <row r="1805" spans="2:27" x14ac:dyDescent="0.2">
      <c r="B1805" s="4" t="s">
        <v>3946</v>
      </c>
      <c r="C1805" s="4">
        <v>14.308400000000001</v>
      </c>
      <c r="D1805" s="4">
        <v>14.351900000000001</v>
      </c>
      <c r="E1805" s="4">
        <v>14.043699999999999</v>
      </c>
      <c r="F1805" s="4">
        <f t="shared" si="112"/>
        <v>14.234666666666667</v>
      </c>
      <c r="I1805" s="4" t="s">
        <v>442</v>
      </c>
      <c r="J1805" s="4">
        <v>14.167</v>
      </c>
      <c r="K1805" s="4">
        <v>14.387</v>
      </c>
      <c r="L1805" s="4">
        <v>14.090199999999999</v>
      </c>
      <c r="M1805" s="4">
        <f t="shared" si="113"/>
        <v>14.214733333333333</v>
      </c>
      <c r="P1805" s="4" t="str">
        <f>"R144.12"</f>
        <v>R144.12</v>
      </c>
      <c r="Q1805" s="4">
        <v>13.5542338721853</v>
      </c>
      <c r="R1805" s="4">
        <v>13.9343126749039</v>
      </c>
      <c r="S1805" s="4">
        <v>13.881787864146499</v>
      </c>
      <c r="T1805" s="4">
        <f t="shared" si="114"/>
        <v>13.790111470411901</v>
      </c>
      <c r="W1805" s="4" t="str">
        <f>"T05E12.3"</f>
        <v>T05E12.3</v>
      </c>
      <c r="X1805" s="4">
        <v>14.0135254718817</v>
      </c>
      <c r="Y1805" s="4">
        <v>13.8329759104065</v>
      </c>
      <c r="Z1805" s="4">
        <v>13.807731857555799</v>
      </c>
      <c r="AA1805" s="4">
        <f t="shared" si="115"/>
        <v>13.884744413281332</v>
      </c>
    </row>
    <row r="1806" spans="2:27" x14ac:dyDescent="0.2">
      <c r="B1806" s="4" t="s">
        <v>1417</v>
      </c>
      <c r="C1806" s="4">
        <v>14.254</v>
      </c>
      <c r="D1806" s="4">
        <v>14.3424</v>
      </c>
      <c r="E1806" s="4">
        <v>14.0998</v>
      </c>
      <c r="F1806" s="4">
        <f t="shared" si="112"/>
        <v>14.232066666666666</v>
      </c>
      <c r="I1806" s="4" t="s">
        <v>3133</v>
      </c>
      <c r="J1806" s="4">
        <v>14.235900000000001</v>
      </c>
      <c r="K1806" s="4">
        <v>14.2355</v>
      </c>
      <c r="L1806" s="4">
        <v>14.170500000000001</v>
      </c>
      <c r="M1806" s="4">
        <f t="shared" si="113"/>
        <v>14.21396666666667</v>
      </c>
      <c r="P1806" s="4" t="str">
        <f>"lmn-1"</f>
        <v>lmn-1</v>
      </c>
      <c r="Q1806" s="4">
        <v>13.838667458782099</v>
      </c>
      <c r="R1806" s="4">
        <v>13.8400805977645</v>
      </c>
      <c r="S1806" s="4">
        <v>13.6915561073689</v>
      </c>
      <c r="T1806" s="4">
        <f t="shared" si="114"/>
        <v>13.790101387971832</v>
      </c>
      <c r="W1806" s="4" t="str">
        <f>"cyn-4"</f>
        <v>cyn-4</v>
      </c>
      <c r="X1806" s="4">
        <v>13.988490485096699</v>
      </c>
      <c r="Y1806" s="4">
        <v>13.8807029518739</v>
      </c>
      <c r="Z1806" s="4">
        <v>13.782685882624101</v>
      </c>
      <c r="AA1806" s="4">
        <f t="shared" si="115"/>
        <v>13.883959773198233</v>
      </c>
    </row>
    <row r="1807" spans="2:27" x14ac:dyDescent="0.2">
      <c r="B1807" s="4" t="s">
        <v>2533</v>
      </c>
      <c r="C1807" s="4">
        <v>14.162699999999999</v>
      </c>
      <c r="D1807" s="4">
        <v>13.978300000000001</v>
      </c>
      <c r="E1807" s="4">
        <v>14.555099999999999</v>
      </c>
      <c r="F1807" s="4">
        <f t="shared" si="112"/>
        <v>14.232033333333334</v>
      </c>
      <c r="I1807" s="4" t="s">
        <v>1772</v>
      </c>
      <c r="J1807" s="4">
        <v>14.0853</v>
      </c>
      <c r="K1807" s="4">
        <v>14.3728</v>
      </c>
      <c r="L1807" s="4">
        <v>14.183299999999999</v>
      </c>
      <c r="M1807" s="4">
        <f t="shared" si="113"/>
        <v>14.213800000000001</v>
      </c>
      <c r="P1807" s="4" t="str">
        <f>"lgmn-1"</f>
        <v>lgmn-1</v>
      </c>
      <c r="Q1807" s="4">
        <v>13.779814272502099</v>
      </c>
      <c r="R1807" s="4">
        <v>13.8637661394086</v>
      </c>
      <c r="S1807" s="4">
        <v>13.7247255089262</v>
      </c>
      <c r="T1807" s="4">
        <f t="shared" si="114"/>
        <v>13.789435306945633</v>
      </c>
      <c r="W1807" s="4" t="str">
        <f>"rpa-2"</f>
        <v>rpa-2</v>
      </c>
      <c r="X1807" s="4">
        <v>14.103004559530101</v>
      </c>
      <c r="Y1807" s="4">
        <v>13.7588258213906</v>
      </c>
      <c r="Z1807" s="4">
        <v>13.788089435274101</v>
      </c>
      <c r="AA1807" s="4">
        <f t="shared" si="115"/>
        <v>13.883306605398268</v>
      </c>
    </row>
    <row r="1808" spans="2:27" x14ac:dyDescent="0.2">
      <c r="B1808" s="4" t="s">
        <v>3829</v>
      </c>
      <c r="C1808" s="4">
        <v>14.309200000000001</v>
      </c>
      <c r="D1808" s="4">
        <v>14.225899999999999</v>
      </c>
      <c r="E1808" s="4">
        <v>14.1607</v>
      </c>
      <c r="F1808" s="4">
        <f t="shared" si="112"/>
        <v>14.231933333333332</v>
      </c>
      <c r="I1808" s="4" t="s">
        <v>2548</v>
      </c>
      <c r="J1808" s="4">
        <v>14.3805</v>
      </c>
      <c r="K1808" s="4">
        <v>14.0083</v>
      </c>
      <c r="L1808" s="4">
        <v>14.2425</v>
      </c>
      <c r="M1808" s="4">
        <f t="shared" si="113"/>
        <v>14.210433333333333</v>
      </c>
      <c r="P1808" s="4" t="str">
        <f>"xrn-2"</f>
        <v>xrn-2</v>
      </c>
      <c r="Q1808" s="4">
        <v>13.6292986240638</v>
      </c>
      <c r="R1808" s="4">
        <v>14.213535556809999</v>
      </c>
      <c r="S1808" s="4">
        <v>13.5223910143611</v>
      </c>
      <c r="T1808" s="4">
        <f t="shared" si="114"/>
        <v>13.788408398411633</v>
      </c>
      <c r="W1808" s="4" t="str">
        <f>"eif-3.E"</f>
        <v>eif-3.E</v>
      </c>
      <c r="X1808" s="4">
        <v>14.0408001905144</v>
      </c>
      <c r="Y1808" s="4">
        <v>13.932610486277699</v>
      </c>
      <c r="Z1808" s="4">
        <v>13.673825346545</v>
      </c>
      <c r="AA1808" s="4">
        <f t="shared" si="115"/>
        <v>13.882412007779033</v>
      </c>
    </row>
    <row r="1809" spans="2:27" x14ac:dyDescent="0.2">
      <c r="B1809" s="4" t="s">
        <v>4220</v>
      </c>
      <c r="C1809" s="4">
        <v>14.199199999999999</v>
      </c>
      <c r="D1809" s="4">
        <v>14.6363</v>
      </c>
      <c r="E1809" s="4">
        <v>13.860099999999999</v>
      </c>
      <c r="F1809" s="4">
        <f t="shared" si="112"/>
        <v>14.231866666666667</v>
      </c>
      <c r="I1809" s="4" t="s">
        <v>382</v>
      </c>
      <c r="J1809" s="4">
        <v>14.2159</v>
      </c>
      <c r="K1809" s="4">
        <v>14.429600000000001</v>
      </c>
      <c r="L1809" s="4">
        <v>13.984</v>
      </c>
      <c r="M1809" s="4">
        <f t="shared" si="113"/>
        <v>14.209833333333334</v>
      </c>
      <c r="P1809" s="4" t="str">
        <f>"snx-1"</f>
        <v>snx-1</v>
      </c>
      <c r="Q1809" s="4">
        <v>13.7468434918179</v>
      </c>
      <c r="R1809" s="4">
        <v>13.8485740841933</v>
      </c>
      <c r="S1809" s="4">
        <v>13.765467910091701</v>
      </c>
      <c r="T1809" s="4">
        <f t="shared" si="114"/>
        <v>13.786961828700967</v>
      </c>
      <c r="W1809" s="4" t="str">
        <f>"abce-1"</f>
        <v>abce-1</v>
      </c>
      <c r="X1809" s="4">
        <v>13.7726340525232</v>
      </c>
      <c r="Y1809" s="4">
        <v>13.953907470484999</v>
      </c>
      <c r="Z1809" s="4">
        <v>13.920014343556399</v>
      </c>
      <c r="AA1809" s="4">
        <f t="shared" si="115"/>
        <v>13.882185288854865</v>
      </c>
    </row>
    <row r="1810" spans="2:27" x14ac:dyDescent="0.2">
      <c r="B1810" s="4" t="s">
        <v>4717</v>
      </c>
      <c r="C1810" s="4">
        <v>14.312799999999999</v>
      </c>
      <c r="D1810" s="4">
        <v>14.033899999999999</v>
      </c>
      <c r="E1810" s="4">
        <v>14.3405</v>
      </c>
      <c r="F1810" s="4">
        <f t="shared" si="112"/>
        <v>14.229066666666666</v>
      </c>
      <c r="I1810" s="4" t="s">
        <v>4718</v>
      </c>
      <c r="J1810" s="4">
        <v>14.1304</v>
      </c>
      <c r="K1810" s="4">
        <v>14.3041</v>
      </c>
      <c r="L1810" s="4">
        <v>14.1944</v>
      </c>
      <c r="M1810" s="4">
        <f t="shared" si="113"/>
        <v>14.209633333333334</v>
      </c>
      <c r="P1810" s="4" t="str">
        <f>"aqp-8"</f>
        <v>aqp-8</v>
      </c>
      <c r="Q1810" s="4">
        <v>14.037708796050101</v>
      </c>
      <c r="R1810" s="4">
        <v>13.5181208692312</v>
      </c>
      <c r="S1810" s="4">
        <v>13.8018715160601</v>
      </c>
      <c r="T1810" s="4">
        <f t="shared" si="114"/>
        <v>13.785900393780466</v>
      </c>
      <c r="W1810" s="4" t="str">
        <f>"F53B6.4"</f>
        <v>F53B6.4</v>
      </c>
      <c r="X1810" s="4">
        <v>14.2120381186584</v>
      </c>
      <c r="Y1810" s="4">
        <v>13.889412904709101</v>
      </c>
      <c r="Z1810" s="4">
        <v>13.539930357598999</v>
      </c>
      <c r="AA1810" s="4">
        <f t="shared" si="115"/>
        <v>13.880460460322167</v>
      </c>
    </row>
    <row r="1811" spans="2:27" x14ac:dyDescent="0.2">
      <c r="B1811" s="4" t="s">
        <v>3435</v>
      </c>
      <c r="C1811" s="4">
        <v>14.2585</v>
      </c>
      <c r="D1811" s="4">
        <v>14.161799999999999</v>
      </c>
      <c r="E1811" s="4">
        <v>14.2651</v>
      </c>
      <c r="F1811" s="4">
        <f t="shared" si="112"/>
        <v>14.228466666666668</v>
      </c>
      <c r="I1811" s="4" t="s">
        <v>1631</v>
      </c>
      <c r="J1811" s="4">
        <v>13.984999999999999</v>
      </c>
      <c r="K1811" s="4">
        <v>14.4518</v>
      </c>
      <c r="L1811" s="4">
        <v>14.1921</v>
      </c>
      <c r="M1811" s="4">
        <f t="shared" si="113"/>
        <v>14.209633333333334</v>
      </c>
      <c r="P1811" s="4" t="str">
        <f>"ida-1"</f>
        <v>ida-1</v>
      </c>
      <c r="Q1811" s="4">
        <v>13.761655257825</v>
      </c>
      <c r="R1811" s="4">
        <v>13.796228287636501</v>
      </c>
      <c r="S1811" s="4">
        <v>13.798569624470099</v>
      </c>
      <c r="T1811" s="4">
        <f t="shared" si="114"/>
        <v>13.785484389977199</v>
      </c>
      <c r="W1811" s="4" t="str">
        <f>"mrp-2"</f>
        <v>mrp-2</v>
      </c>
      <c r="X1811" s="4">
        <v>14.061172075917099</v>
      </c>
      <c r="Y1811" s="4">
        <v>14.0411814542828</v>
      </c>
      <c r="Z1811" s="4">
        <v>13.536562998014301</v>
      </c>
      <c r="AA1811" s="4">
        <f t="shared" si="115"/>
        <v>13.879638842738066</v>
      </c>
    </row>
    <row r="1812" spans="2:27" x14ac:dyDescent="0.2">
      <c r="B1812" s="4" t="s">
        <v>3969</v>
      </c>
      <c r="C1812" s="4">
        <v>14.2585</v>
      </c>
      <c r="D1812" s="4">
        <v>13.8028</v>
      </c>
      <c r="E1812" s="4">
        <v>14.6233</v>
      </c>
      <c r="F1812" s="4">
        <f t="shared" si="112"/>
        <v>14.228200000000001</v>
      </c>
      <c r="I1812" s="4" t="s">
        <v>1401</v>
      </c>
      <c r="J1812" s="4">
        <v>14.245900000000001</v>
      </c>
      <c r="K1812" s="4">
        <v>13.996700000000001</v>
      </c>
      <c r="L1812" s="4">
        <v>14.382899999999999</v>
      </c>
      <c r="M1812" s="4">
        <f t="shared" si="113"/>
        <v>14.208500000000001</v>
      </c>
      <c r="P1812" s="4" t="str">
        <f>"acl-1"</f>
        <v>acl-1</v>
      </c>
      <c r="Q1812" s="4">
        <v>13.527141532253101</v>
      </c>
      <c r="R1812" s="4">
        <v>13.690332575463</v>
      </c>
      <c r="S1812" s="4">
        <v>14.1346264225763</v>
      </c>
      <c r="T1812" s="4">
        <f t="shared" si="114"/>
        <v>13.784033510097467</v>
      </c>
      <c r="W1812" s="4" t="str">
        <f>"W03F9.1"</f>
        <v>W03F9.1</v>
      </c>
      <c r="X1812" s="4">
        <v>13.9685952863876</v>
      </c>
      <c r="Y1812" s="4">
        <v>13.834891021475601</v>
      </c>
      <c r="Z1812" s="4">
        <v>13.832882000407499</v>
      </c>
      <c r="AA1812" s="4">
        <f t="shared" si="115"/>
        <v>13.878789436090235</v>
      </c>
    </row>
    <row r="1813" spans="2:27" x14ac:dyDescent="0.2">
      <c r="B1813" s="4" t="s">
        <v>964</v>
      </c>
      <c r="C1813" s="4">
        <v>14.8027</v>
      </c>
      <c r="D1813" s="4">
        <v>14.4566</v>
      </c>
      <c r="E1813" s="4">
        <v>13.422700000000001</v>
      </c>
      <c r="F1813" s="4">
        <f t="shared" si="112"/>
        <v>14.227333333333334</v>
      </c>
      <c r="I1813" s="4" t="s">
        <v>2083</v>
      </c>
      <c r="J1813" s="4">
        <v>14.2537</v>
      </c>
      <c r="K1813" s="4">
        <v>14.238</v>
      </c>
      <c r="L1813" s="4">
        <v>14.130100000000001</v>
      </c>
      <c r="M1813" s="4">
        <f t="shared" si="113"/>
        <v>14.207266666666667</v>
      </c>
      <c r="P1813" s="4" t="str">
        <f>"kcc-2"</f>
        <v>kcc-2</v>
      </c>
      <c r="Q1813" s="4">
        <v>13.642335587100501</v>
      </c>
      <c r="R1813" s="4">
        <v>13.7313116168178</v>
      </c>
      <c r="S1813" s="4">
        <v>13.972638068886701</v>
      </c>
      <c r="T1813" s="4">
        <f t="shared" si="114"/>
        <v>13.782095090935002</v>
      </c>
      <c r="W1813" s="4" t="str">
        <f>"ifg-1"</f>
        <v>ifg-1</v>
      </c>
      <c r="X1813" s="4">
        <v>13.7976939184702</v>
      </c>
      <c r="Y1813" s="4">
        <v>13.938174684095401</v>
      </c>
      <c r="Z1813" s="4">
        <v>13.899134541806999</v>
      </c>
      <c r="AA1813" s="4">
        <f t="shared" si="115"/>
        <v>13.878334381457535</v>
      </c>
    </row>
    <row r="1814" spans="2:27" x14ac:dyDescent="0.2">
      <c r="B1814" s="4" t="s">
        <v>974</v>
      </c>
      <c r="C1814" s="4">
        <v>14.0815</v>
      </c>
      <c r="D1814" s="4">
        <v>14.293100000000001</v>
      </c>
      <c r="E1814" s="4">
        <v>14.3028</v>
      </c>
      <c r="F1814" s="4">
        <f t="shared" si="112"/>
        <v>14.2258</v>
      </c>
      <c r="I1814" s="4" t="s">
        <v>861</v>
      </c>
      <c r="J1814" s="4">
        <v>13.8766</v>
      </c>
      <c r="K1814" s="4">
        <v>13.796099999999999</v>
      </c>
      <c r="L1814" s="4">
        <v>14.944800000000001</v>
      </c>
      <c r="M1814" s="4">
        <f t="shared" si="113"/>
        <v>14.205833333333333</v>
      </c>
      <c r="P1814" s="4" t="str">
        <f>"T23G5.2"</f>
        <v>T23G5.2</v>
      </c>
      <c r="Q1814" s="4">
        <v>13.9103479944418</v>
      </c>
      <c r="R1814" s="4">
        <v>13.7717458242894</v>
      </c>
      <c r="S1814" s="4">
        <v>13.6627364318734</v>
      </c>
      <c r="T1814" s="4">
        <f t="shared" si="114"/>
        <v>13.781610083534867</v>
      </c>
      <c r="W1814" s="4" t="str">
        <f>"C49A9.5"</f>
        <v>C49A9.5</v>
      </c>
      <c r="X1814" s="4">
        <v>13.9775499541384</v>
      </c>
      <c r="Y1814" s="4">
        <v>14.033542068166099</v>
      </c>
      <c r="Z1814" s="4">
        <v>13.623451637613501</v>
      </c>
      <c r="AA1814" s="4">
        <f t="shared" si="115"/>
        <v>13.878181219972667</v>
      </c>
    </row>
    <row r="1815" spans="2:27" x14ac:dyDescent="0.2">
      <c r="B1815" s="4" t="s">
        <v>519</v>
      </c>
      <c r="C1815" s="4">
        <v>13.9361</v>
      </c>
      <c r="D1815" s="4">
        <v>15.001799999999999</v>
      </c>
      <c r="E1815" s="4">
        <v>13.739000000000001</v>
      </c>
      <c r="F1815" s="4">
        <f t="shared" si="112"/>
        <v>14.225633333333334</v>
      </c>
      <c r="I1815" s="4" t="s">
        <v>2568</v>
      </c>
      <c r="J1815" s="4">
        <v>14.016500000000001</v>
      </c>
      <c r="K1815" s="4">
        <v>14.494400000000001</v>
      </c>
      <c r="L1815" s="4">
        <v>14.1043</v>
      </c>
      <c r="M1815" s="4">
        <f t="shared" si="113"/>
        <v>14.205066666666667</v>
      </c>
      <c r="P1815" s="4" t="str">
        <f>"nep-17"</f>
        <v>nep-17</v>
      </c>
      <c r="Q1815" s="4">
        <v>13.507168716237199</v>
      </c>
      <c r="R1815" s="4">
        <v>13.819914689555199</v>
      </c>
      <c r="S1815" s="4">
        <v>14.0104570218686</v>
      </c>
      <c r="T1815" s="4">
        <f t="shared" si="114"/>
        <v>13.779180142553665</v>
      </c>
      <c r="W1815" s="4" t="str">
        <f>"zig-11"</f>
        <v>zig-11</v>
      </c>
      <c r="X1815" s="4">
        <v>13.7897911883113</v>
      </c>
      <c r="Y1815" s="4">
        <v>14.004582606576699</v>
      </c>
      <c r="Z1815" s="4">
        <v>13.8381404218608</v>
      </c>
      <c r="AA1815" s="4">
        <f t="shared" si="115"/>
        <v>13.877504738916267</v>
      </c>
    </row>
    <row r="1816" spans="2:27" x14ac:dyDescent="0.2">
      <c r="B1816" s="4" t="s">
        <v>3386</v>
      </c>
      <c r="C1816" s="4">
        <v>14.744899999999999</v>
      </c>
      <c r="D1816" s="4">
        <v>13.8971</v>
      </c>
      <c r="E1816" s="4">
        <v>14.0307</v>
      </c>
      <c r="F1816" s="4">
        <f t="shared" si="112"/>
        <v>14.224233333333332</v>
      </c>
      <c r="I1816" s="4" t="s">
        <v>3855</v>
      </c>
      <c r="J1816" s="4">
        <v>14.1586</v>
      </c>
      <c r="K1816" s="4">
        <v>14.155799999999999</v>
      </c>
      <c r="L1816" s="4">
        <v>14.3001</v>
      </c>
      <c r="M1816" s="4">
        <f t="shared" si="113"/>
        <v>14.204833333333333</v>
      </c>
      <c r="P1816" s="4" t="str">
        <f>"ints-7"</f>
        <v>ints-7</v>
      </c>
      <c r="Q1816" s="4">
        <v>13.7543931074682</v>
      </c>
      <c r="R1816" s="4">
        <v>13.6661968787276</v>
      </c>
      <c r="S1816" s="4">
        <v>13.9033361488419</v>
      </c>
      <c r="T1816" s="4">
        <f t="shared" si="114"/>
        <v>13.774642045012568</v>
      </c>
      <c r="W1816" s="4" t="str">
        <f>"dlc-1"</f>
        <v>dlc-1</v>
      </c>
      <c r="X1816" s="4">
        <v>14.3438395515299</v>
      </c>
      <c r="Y1816" s="4">
        <v>13.8097374477366</v>
      </c>
      <c r="Z1816" s="4">
        <v>13.474034817301501</v>
      </c>
      <c r="AA1816" s="4">
        <f t="shared" si="115"/>
        <v>13.875870605522666</v>
      </c>
    </row>
    <row r="1817" spans="2:27" x14ac:dyDescent="0.2">
      <c r="B1817" s="4" t="s">
        <v>3935</v>
      </c>
      <c r="C1817" s="4">
        <v>14.2807</v>
      </c>
      <c r="D1817" s="4">
        <v>14.1846</v>
      </c>
      <c r="E1817" s="4">
        <v>14.205500000000001</v>
      </c>
      <c r="F1817" s="4">
        <f t="shared" si="112"/>
        <v>14.223599999999999</v>
      </c>
      <c r="I1817" s="4" t="s">
        <v>751</v>
      </c>
      <c r="J1817" s="4">
        <v>14.3582</v>
      </c>
      <c r="K1817" s="4">
        <v>14.061400000000001</v>
      </c>
      <c r="L1817" s="4">
        <v>14.1884</v>
      </c>
      <c r="M1817" s="4">
        <f t="shared" si="113"/>
        <v>14.202666666666667</v>
      </c>
      <c r="P1817" s="4" t="str">
        <f>"ctn-1"</f>
        <v>ctn-1</v>
      </c>
      <c r="Q1817" s="4">
        <v>13.9558168134682</v>
      </c>
      <c r="R1817" s="4">
        <v>13.833564471213</v>
      </c>
      <c r="S1817" s="4">
        <v>13.522455920781599</v>
      </c>
      <c r="T1817" s="4">
        <f t="shared" si="114"/>
        <v>13.770612401820932</v>
      </c>
      <c r="W1817" s="4" t="str">
        <f>"mrps-31"</f>
        <v>mrps-31</v>
      </c>
      <c r="X1817" s="4">
        <v>13.7865161088221</v>
      </c>
      <c r="Y1817" s="4">
        <v>13.927776805076601</v>
      </c>
      <c r="Z1817" s="4">
        <v>13.909321874038399</v>
      </c>
      <c r="AA1817" s="4">
        <f t="shared" si="115"/>
        <v>13.8745382626457</v>
      </c>
    </row>
    <row r="1818" spans="2:27" x14ac:dyDescent="0.2">
      <c r="B1818" s="4" t="s">
        <v>3554</v>
      </c>
      <c r="C1818" s="4">
        <v>14.2799</v>
      </c>
      <c r="D1818" s="4">
        <v>14.0328</v>
      </c>
      <c r="E1818" s="4">
        <v>14.3573</v>
      </c>
      <c r="F1818" s="4">
        <f t="shared" si="112"/>
        <v>14.223333333333334</v>
      </c>
      <c r="I1818" s="4" t="s">
        <v>3603</v>
      </c>
      <c r="J1818" s="4">
        <v>14.2644</v>
      </c>
      <c r="K1818" s="4">
        <v>14.177899999999999</v>
      </c>
      <c r="L1818" s="4">
        <v>14.165699999999999</v>
      </c>
      <c r="M1818" s="4">
        <f t="shared" si="113"/>
        <v>14.202666666666666</v>
      </c>
      <c r="P1818" s="4" t="str">
        <f>"dsc-4"</f>
        <v>dsc-4</v>
      </c>
      <c r="Q1818" s="4">
        <v>13.506431934904001</v>
      </c>
      <c r="R1818" s="4">
        <v>13.7327476741994</v>
      </c>
      <c r="S1818" s="4">
        <v>14.0712033555772</v>
      </c>
      <c r="T1818" s="4">
        <f t="shared" si="114"/>
        <v>13.770127654893534</v>
      </c>
      <c r="W1818" s="4" t="str">
        <f>"ZK973.11"</f>
        <v>ZK973.11</v>
      </c>
      <c r="X1818" s="4">
        <v>14.009424237086</v>
      </c>
      <c r="Y1818" s="4">
        <v>13.615526151178999</v>
      </c>
      <c r="Z1818" s="4">
        <v>13.996086308388101</v>
      </c>
      <c r="AA1818" s="4">
        <f t="shared" si="115"/>
        <v>13.873678898884366</v>
      </c>
    </row>
    <row r="1819" spans="2:27" x14ac:dyDescent="0.2">
      <c r="B1819" s="4" t="s">
        <v>3405</v>
      </c>
      <c r="C1819" s="4">
        <v>14.326000000000001</v>
      </c>
      <c r="D1819" s="4">
        <v>14.222</v>
      </c>
      <c r="E1819" s="4">
        <v>14.1213</v>
      </c>
      <c r="F1819" s="4">
        <f t="shared" si="112"/>
        <v>14.223100000000001</v>
      </c>
      <c r="I1819" s="4" t="s">
        <v>234</v>
      </c>
      <c r="J1819" s="4">
        <v>14.4032</v>
      </c>
      <c r="K1819" s="4">
        <v>14.605399999999999</v>
      </c>
      <c r="L1819" s="4">
        <v>13.595800000000001</v>
      </c>
      <c r="M1819" s="4">
        <f t="shared" si="113"/>
        <v>14.201466666666667</v>
      </c>
      <c r="P1819" s="4" t="str">
        <f>"obr-3"</f>
        <v>obr-3</v>
      </c>
      <c r="Q1819" s="4">
        <v>13.9248039805038</v>
      </c>
      <c r="R1819" s="4">
        <v>13.561099087216901</v>
      </c>
      <c r="S1819" s="4">
        <v>13.822216799100101</v>
      </c>
      <c r="T1819" s="4">
        <f t="shared" si="114"/>
        <v>13.769373288940267</v>
      </c>
      <c r="W1819" s="4" t="str">
        <f>"pqn-15"</f>
        <v>pqn-15</v>
      </c>
      <c r="X1819" s="4">
        <v>13.7033510033528</v>
      </c>
      <c r="Y1819" s="4">
        <v>13.6093215975035</v>
      </c>
      <c r="Z1819" s="4">
        <v>14.3067883509775</v>
      </c>
      <c r="AA1819" s="4">
        <f t="shared" si="115"/>
        <v>13.873153650611266</v>
      </c>
    </row>
    <row r="1820" spans="2:27" x14ac:dyDescent="0.2">
      <c r="B1820" s="4" t="s">
        <v>2447</v>
      </c>
      <c r="C1820" s="4">
        <v>14.131500000000001</v>
      </c>
      <c r="D1820" s="4">
        <v>14.3017</v>
      </c>
      <c r="E1820" s="4">
        <v>14.230600000000001</v>
      </c>
      <c r="F1820" s="4">
        <f t="shared" si="112"/>
        <v>14.221266666666667</v>
      </c>
      <c r="I1820" s="4" t="s">
        <v>2846</v>
      </c>
      <c r="J1820" s="4">
        <v>13.981400000000001</v>
      </c>
      <c r="K1820" s="4">
        <v>14.446300000000001</v>
      </c>
      <c r="L1820" s="4">
        <v>14.168100000000001</v>
      </c>
      <c r="M1820" s="4">
        <f t="shared" si="113"/>
        <v>14.198600000000001</v>
      </c>
      <c r="P1820" s="4" t="str">
        <f>"F33H2.2"</f>
        <v>F33H2.2</v>
      </c>
      <c r="Q1820" s="4">
        <v>13.763019286238301</v>
      </c>
      <c r="R1820" s="4">
        <v>13.7258410998445</v>
      </c>
      <c r="S1820" s="4">
        <v>13.8133027558313</v>
      </c>
      <c r="T1820" s="4">
        <f t="shared" si="114"/>
        <v>13.767387713971367</v>
      </c>
      <c r="W1820" s="4" t="str">
        <f>"rrp-1"</f>
        <v>rrp-1</v>
      </c>
      <c r="X1820" s="4">
        <v>13.4986143108303</v>
      </c>
      <c r="Y1820" s="4">
        <v>14.036975357849601</v>
      </c>
      <c r="Z1820" s="4">
        <v>14.074546520181199</v>
      </c>
      <c r="AA1820" s="4">
        <f t="shared" si="115"/>
        <v>13.870045396287033</v>
      </c>
    </row>
    <row r="1821" spans="2:27" x14ac:dyDescent="0.2">
      <c r="B1821" s="4" t="s">
        <v>3293</v>
      </c>
      <c r="C1821" s="4">
        <v>13.4245</v>
      </c>
      <c r="D1821" s="4">
        <v>14.7812</v>
      </c>
      <c r="E1821" s="4">
        <v>14.448399999999999</v>
      </c>
      <c r="F1821" s="4">
        <f t="shared" si="112"/>
        <v>14.218033333333333</v>
      </c>
      <c r="I1821" s="4" t="s">
        <v>4584</v>
      </c>
      <c r="J1821" s="4">
        <v>14.1601</v>
      </c>
      <c r="K1821" s="4">
        <v>14.289899999999999</v>
      </c>
      <c r="L1821" s="4">
        <v>14.138500000000001</v>
      </c>
      <c r="M1821" s="4">
        <f t="shared" si="113"/>
        <v>14.196166666666665</v>
      </c>
      <c r="P1821" s="4" t="str">
        <f>"B0495.5"</f>
        <v>B0495.5</v>
      </c>
      <c r="Q1821" s="4">
        <v>13.8271149506862</v>
      </c>
      <c r="R1821" s="4">
        <v>13.661416459991599</v>
      </c>
      <c r="S1821" s="4">
        <v>13.807550169357</v>
      </c>
      <c r="T1821" s="4">
        <f t="shared" si="114"/>
        <v>13.765360526678267</v>
      </c>
      <c r="W1821" s="4" t="str">
        <f>"fitm-2"</f>
        <v>fitm-2</v>
      </c>
      <c r="X1821" s="4">
        <v>13.7115595016292</v>
      </c>
      <c r="Y1821" s="4">
        <v>14.0204502153899</v>
      </c>
      <c r="Z1821" s="4">
        <v>13.876356430937999</v>
      </c>
      <c r="AA1821" s="4">
        <f t="shared" si="115"/>
        <v>13.869455382652367</v>
      </c>
    </row>
    <row r="1822" spans="2:27" x14ac:dyDescent="0.2">
      <c r="B1822" s="4" t="s">
        <v>4229</v>
      </c>
      <c r="C1822" s="4">
        <v>14.297800000000001</v>
      </c>
      <c r="D1822" s="4">
        <v>13.793900000000001</v>
      </c>
      <c r="E1822" s="4">
        <v>14.562200000000001</v>
      </c>
      <c r="F1822" s="4">
        <f t="shared" si="112"/>
        <v>14.217966666666669</v>
      </c>
      <c r="I1822" s="4" t="s">
        <v>3489</v>
      </c>
      <c r="J1822" s="4">
        <v>14.3698</v>
      </c>
      <c r="K1822" s="4">
        <v>14.229100000000001</v>
      </c>
      <c r="L1822" s="4">
        <v>13.9876</v>
      </c>
      <c r="M1822" s="4">
        <f t="shared" si="113"/>
        <v>14.195500000000001</v>
      </c>
      <c r="P1822" s="4" t="str">
        <f>"mec-8"</f>
        <v>mec-8</v>
      </c>
      <c r="Q1822" s="4">
        <v>13.9938560158357</v>
      </c>
      <c r="R1822" s="4">
        <v>13.686812334591799</v>
      </c>
      <c r="S1822" s="4">
        <v>13.612510407898601</v>
      </c>
      <c r="T1822" s="4">
        <f t="shared" si="114"/>
        <v>13.764392919442033</v>
      </c>
      <c r="W1822" s="4" t="str">
        <f>"K12C11.1"</f>
        <v>K12C11.1</v>
      </c>
      <c r="X1822" s="4">
        <v>13.583860991095101</v>
      </c>
      <c r="Y1822" s="4">
        <v>13.891640736632</v>
      </c>
      <c r="Z1822" s="4">
        <v>14.1306196892046</v>
      </c>
      <c r="AA1822" s="4">
        <f t="shared" si="115"/>
        <v>13.868707138977234</v>
      </c>
    </row>
    <row r="1823" spans="2:27" x14ac:dyDescent="0.2">
      <c r="B1823" s="4" t="s">
        <v>233</v>
      </c>
      <c r="C1823" s="4">
        <v>14.2287</v>
      </c>
      <c r="D1823" s="4">
        <v>14.124599999999999</v>
      </c>
      <c r="E1823" s="4">
        <v>14.2967</v>
      </c>
      <c r="F1823" s="4">
        <f t="shared" si="112"/>
        <v>14.216666666666667</v>
      </c>
      <c r="I1823" s="4" t="s">
        <v>1417</v>
      </c>
      <c r="J1823" s="4">
        <v>14.409000000000001</v>
      </c>
      <c r="K1823" s="4">
        <v>13.9314</v>
      </c>
      <c r="L1823" s="4">
        <v>14.244999999999999</v>
      </c>
      <c r="M1823" s="4">
        <f t="shared" si="113"/>
        <v>14.195133333333333</v>
      </c>
      <c r="P1823" s="4" t="str">
        <f>"T05E7.1"</f>
        <v>T05E7.1</v>
      </c>
      <c r="Q1823" s="4">
        <v>13.8628078849249</v>
      </c>
      <c r="R1823" s="4">
        <v>13.8534774734094</v>
      </c>
      <c r="S1823" s="4">
        <v>13.574864464271201</v>
      </c>
      <c r="T1823" s="4">
        <f t="shared" si="114"/>
        <v>13.763716607535168</v>
      </c>
      <c r="W1823" s="4" t="str">
        <f>"popl-5"</f>
        <v>popl-5</v>
      </c>
      <c r="X1823" s="4">
        <v>13.763997772062201</v>
      </c>
      <c r="Y1823" s="4">
        <v>14.0599024106948</v>
      </c>
      <c r="Z1823" s="4">
        <v>13.7802065113476</v>
      </c>
      <c r="AA1823" s="4">
        <f t="shared" si="115"/>
        <v>13.868035564701534</v>
      </c>
    </row>
    <row r="1824" spans="2:27" x14ac:dyDescent="0.2">
      <c r="B1824" s="4" t="s">
        <v>2704</v>
      </c>
      <c r="C1824" s="4">
        <v>14.0123</v>
      </c>
      <c r="D1824" s="4">
        <v>14.556800000000001</v>
      </c>
      <c r="E1824" s="4">
        <v>14.074</v>
      </c>
      <c r="F1824" s="4">
        <f t="shared" si="112"/>
        <v>14.214366666666665</v>
      </c>
      <c r="I1824" s="4" t="s">
        <v>232</v>
      </c>
      <c r="J1824" s="4">
        <v>14.1549</v>
      </c>
      <c r="K1824" s="4">
        <v>14.218299999999999</v>
      </c>
      <c r="L1824" s="4">
        <v>14.206</v>
      </c>
      <c r="M1824" s="4">
        <f t="shared" si="113"/>
        <v>14.193066666666667</v>
      </c>
      <c r="P1824" s="4" t="str">
        <f>"mppa-1"</f>
        <v>mppa-1</v>
      </c>
      <c r="Q1824" s="4">
        <v>13.8255522579821</v>
      </c>
      <c r="R1824" s="4">
        <v>13.612095624182601</v>
      </c>
      <c r="S1824" s="4">
        <v>13.8489557954437</v>
      </c>
      <c r="T1824" s="4">
        <f t="shared" si="114"/>
        <v>13.762201225869466</v>
      </c>
      <c r="W1824" s="4" t="str">
        <f>"H20J04.6"</f>
        <v>H20J04.6</v>
      </c>
      <c r="X1824" s="4">
        <v>14.092035814006801</v>
      </c>
      <c r="Y1824" s="4">
        <v>13.9273801711226</v>
      </c>
      <c r="Z1824" s="4">
        <v>13.5841785460095</v>
      </c>
      <c r="AA1824" s="4">
        <f t="shared" si="115"/>
        <v>13.867864843712965</v>
      </c>
    </row>
    <row r="1825" spans="2:27" x14ac:dyDescent="0.2">
      <c r="B1825" s="4" t="s">
        <v>1860</v>
      </c>
      <c r="C1825" s="4">
        <v>14.7399</v>
      </c>
      <c r="D1825" s="4">
        <v>13.891299999999999</v>
      </c>
      <c r="E1825" s="4">
        <v>14.011100000000001</v>
      </c>
      <c r="F1825" s="4">
        <f t="shared" si="112"/>
        <v>14.2141</v>
      </c>
      <c r="I1825" s="4" t="s">
        <v>4707</v>
      </c>
      <c r="J1825" s="4">
        <v>14.105</v>
      </c>
      <c r="K1825" s="4">
        <v>14.2666</v>
      </c>
      <c r="L1825" s="4">
        <v>14.200699999999999</v>
      </c>
      <c r="M1825" s="4">
        <f t="shared" si="113"/>
        <v>14.190766666666667</v>
      </c>
      <c r="P1825" s="4" t="str">
        <f>"mrps-17"</f>
        <v>mrps-17</v>
      </c>
      <c r="Q1825" s="4">
        <v>13.756688761698801</v>
      </c>
      <c r="R1825" s="4">
        <v>13.803787558802</v>
      </c>
      <c r="S1825" s="4">
        <v>13.7237484720868</v>
      </c>
      <c r="T1825" s="4">
        <f t="shared" si="114"/>
        <v>13.761408264195866</v>
      </c>
      <c r="W1825" s="4" t="str">
        <f>"C36B7.6"</f>
        <v>C36B7.6</v>
      </c>
      <c r="X1825" s="4">
        <v>13.7504099579863</v>
      </c>
      <c r="Y1825" s="4">
        <v>13.8731389474754</v>
      </c>
      <c r="Z1825" s="4">
        <v>13.9769450228767</v>
      </c>
      <c r="AA1825" s="4">
        <f t="shared" si="115"/>
        <v>13.866831309446134</v>
      </c>
    </row>
    <row r="1826" spans="2:27" x14ac:dyDescent="0.2">
      <c r="B1826" s="4" t="s">
        <v>2292</v>
      </c>
      <c r="C1826" s="4">
        <v>14.317299999999999</v>
      </c>
      <c r="D1826" s="4">
        <v>14.061</v>
      </c>
      <c r="E1826" s="4">
        <v>14.2631</v>
      </c>
      <c r="F1826" s="4">
        <f t="shared" si="112"/>
        <v>14.213799999999999</v>
      </c>
      <c r="I1826" s="4" t="s">
        <v>1491</v>
      </c>
      <c r="J1826" s="4">
        <v>14.2088</v>
      </c>
      <c r="K1826" s="4">
        <v>13.9777</v>
      </c>
      <c r="L1826" s="4">
        <v>14.3765</v>
      </c>
      <c r="M1826" s="4">
        <f t="shared" si="113"/>
        <v>14.187666666666667</v>
      </c>
      <c r="P1826" s="4" t="str">
        <f>"mrpl-38"</f>
        <v>mrpl-38</v>
      </c>
      <c r="Q1826" s="4">
        <v>13.901909736933799</v>
      </c>
      <c r="R1826" s="4">
        <v>13.8216269475849</v>
      </c>
      <c r="S1826" s="4">
        <v>13.560381864040099</v>
      </c>
      <c r="T1826" s="4">
        <f t="shared" si="114"/>
        <v>13.761306182852934</v>
      </c>
      <c r="W1826" s="4" t="str">
        <f>"emc-3"</f>
        <v>emc-3</v>
      </c>
      <c r="X1826" s="4">
        <v>14.080263090675</v>
      </c>
      <c r="Y1826" s="4">
        <v>13.691403986826501</v>
      </c>
      <c r="Z1826" s="4">
        <v>13.8277159984905</v>
      </c>
      <c r="AA1826" s="4">
        <f t="shared" si="115"/>
        <v>13.866461025330667</v>
      </c>
    </row>
    <row r="1827" spans="2:27" x14ac:dyDescent="0.2">
      <c r="B1827" s="4" t="s">
        <v>2580</v>
      </c>
      <c r="C1827" s="4">
        <v>14.200100000000001</v>
      </c>
      <c r="D1827" s="4">
        <v>14.154500000000001</v>
      </c>
      <c r="E1827" s="4">
        <v>14.2844</v>
      </c>
      <c r="F1827" s="4">
        <f t="shared" si="112"/>
        <v>14.213000000000001</v>
      </c>
      <c r="I1827" s="4" t="s">
        <v>142</v>
      </c>
      <c r="J1827" s="4">
        <v>14.296200000000001</v>
      </c>
      <c r="K1827" s="4">
        <v>14.3376</v>
      </c>
      <c r="L1827" s="4">
        <v>13.9224</v>
      </c>
      <c r="M1827" s="4">
        <f t="shared" si="113"/>
        <v>14.185400000000001</v>
      </c>
      <c r="P1827" s="4" t="str">
        <f>"mpst-1"</f>
        <v>mpst-1</v>
      </c>
      <c r="Q1827" s="4">
        <v>13.783406810697199</v>
      </c>
      <c r="R1827" s="4">
        <v>13.7900588084898</v>
      </c>
      <c r="S1827" s="4">
        <v>13.7081100739112</v>
      </c>
      <c r="T1827" s="4">
        <f t="shared" si="114"/>
        <v>13.760525231032732</v>
      </c>
      <c r="W1827" s="4" t="str">
        <f>"ife-3"</f>
        <v>ife-3</v>
      </c>
      <c r="X1827" s="4">
        <v>14.0372130519319</v>
      </c>
      <c r="Y1827" s="4">
        <v>13.5989163518626</v>
      </c>
      <c r="Z1827" s="4">
        <v>13.9562282120945</v>
      </c>
      <c r="AA1827" s="4">
        <f t="shared" si="115"/>
        <v>13.864119205296333</v>
      </c>
    </row>
    <row r="1828" spans="2:27" x14ac:dyDescent="0.2">
      <c r="B1828" s="4" t="s">
        <v>572</v>
      </c>
      <c r="C1828" s="4">
        <v>14.6302</v>
      </c>
      <c r="D1828" s="4">
        <v>14.413500000000001</v>
      </c>
      <c r="E1828" s="4">
        <v>13.5928</v>
      </c>
      <c r="F1828" s="4">
        <f t="shared" si="112"/>
        <v>14.212166666666667</v>
      </c>
      <c r="I1828" s="4" t="s">
        <v>2490</v>
      </c>
      <c r="J1828" s="4">
        <v>14.4634</v>
      </c>
      <c r="K1828" s="4">
        <v>14.216100000000001</v>
      </c>
      <c r="L1828" s="4">
        <v>13.8725</v>
      </c>
      <c r="M1828" s="4">
        <f t="shared" si="113"/>
        <v>14.183999999999999</v>
      </c>
      <c r="P1828" s="4" t="str">
        <f>"rfc-1"</f>
        <v>rfc-1</v>
      </c>
      <c r="Q1828" s="4">
        <v>13.921218380130201</v>
      </c>
      <c r="R1828" s="4">
        <v>13.7135083245347</v>
      </c>
      <c r="S1828" s="4">
        <v>13.6450824148323</v>
      </c>
      <c r="T1828" s="4">
        <f t="shared" si="114"/>
        <v>13.759936373165734</v>
      </c>
      <c r="W1828" s="4" t="str">
        <f>"C47D12.2"</f>
        <v>C47D12.2</v>
      </c>
      <c r="X1828" s="4">
        <v>14.054296708163999</v>
      </c>
      <c r="Y1828" s="4">
        <v>13.679611042910601</v>
      </c>
      <c r="Z1828" s="4">
        <v>13.8581193988661</v>
      </c>
      <c r="AA1828" s="4">
        <f t="shared" si="115"/>
        <v>13.864009049980233</v>
      </c>
    </row>
    <row r="1829" spans="2:27" x14ac:dyDescent="0.2">
      <c r="B1829" s="4" t="s">
        <v>3407</v>
      </c>
      <c r="C1829" s="4">
        <v>14.2447</v>
      </c>
      <c r="D1829" s="4">
        <v>14.300800000000001</v>
      </c>
      <c r="E1829" s="4">
        <v>14.0898</v>
      </c>
      <c r="F1829" s="4">
        <f t="shared" si="112"/>
        <v>14.211766666666668</v>
      </c>
      <c r="I1829" s="4" t="s">
        <v>3606</v>
      </c>
      <c r="J1829" s="4">
        <v>14.1919</v>
      </c>
      <c r="K1829" s="4">
        <v>13.621600000000001</v>
      </c>
      <c r="L1829" s="4">
        <v>14.735900000000001</v>
      </c>
      <c r="M1829" s="4">
        <f t="shared" si="113"/>
        <v>14.183133333333336</v>
      </c>
      <c r="P1829" s="4" t="str">
        <f>"Y47G6A.15"</f>
        <v>Y47G6A.15</v>
      </c>
      <c r="Q1829" s="4">
        <v>13.9062494287412</v>
      </c>
      <c r="R1829" s="4">
        <v>13.296210136121299</v>
      </c>
      <c r="S1829" s="4">
        <v>14.076461704895999</v>
      </c>
      <c r="T1829" s="4">
        <f t="shared" si="114"/>
        <v>13.759640423252833</v>
      </c>
      <c r="W1829" s="4" t="str">
        <f>"pisy-1"</f>
        <v>pisy-1</v>
      </c>
      <c r="X1829" s="4">
        <v>13.731451827628099</v>
      </c>
      <c r="Y1829" s="4">
        <v>13.8252302588057</v>
      </c>
      <c r="Z1829" s="4">
        <v>14.0333145900497</v>
      </c>
      <c r="AA1829" s="4">
        <f t="shared" si="115"/>
        <v>13.863332225494501</v>
      </c>
    </row>
    <row r="1830" spans="2:27" x14ac:dyDescent="0.2">
      <c r="B1830" s="4" t="s">
        <v>3965</v>
      </c>
      <c r="C1830" s="4">
        <v>14.277799999999999</v>
      </c>
      <c r="D1830" s="4">
        <v>14.533099999999999</v>
      </c>
      <c r="E1830" s="4">
        <v>13.824400000000001</v>
      </c>
      <c r="F1830" s="4">
        <f t="shared" si="112"/>
        <v>14.211766666666668</v>
      </c>
      <c r="I1830" s="4" t="s">
        <v>3820</v>
      </c>
      <c r="J1830" s="4">
        <v>13.898300000000001</v>
      </c>
      <c r="K1830" s="4">
        <v>14.1157</v>
      </c>
      <c r="L1830" s="4">
        <v>14.5342</v>
      </c>
      <c r="M1830" s="4">
        <f t="shared" si="113"/>
        <v>14.182733333333333</v>
      </c>
      <c r="P1830" s="4" t="str">
        <f>"C56G2.3"</f>
        <v>C56G2.3</v>
      </c>
      <c r="Q1830" s="4">
        <v>13.9487703745632</v>
      </c>
      <c r="R1830" s="4">
        <v>13.742041341444001</v>
      </c>
      <c r="S1830" s="4">
        <v>13.5824275774282</v>
      </c>
      <c r="T1830" s="4">
        <f t="shared" si="114"/>
        <v>13.757746431145135</v>
      </c>
      <c r="W1830" s="4" t="str">
        <f>"eif-3.H"</f>
        <v>eif-3.H</v>
      </c>
      <c r="X1830" s="4">
        <v>14.5873718299848</v>
      </c>
      <c r="Y1830" s="4">
        <v>13.2263684662133</v>
      </c>
      <c r="Z1830" s="4">
        <v>13.776207962960299</v>
      </c>
      <c r="AA1830" s="4">
        <f t="shared" si="115"/>
        <v>13.863316086386133</v>
      </c>
    </row>
    <row r="1831" spans="2:27" x14ac:dyDescent="0.2">
      <c r="B1831" s="4" t="s">
        <v>1390</v>
      </c>
      <c r="C1831" s="4">
        <v>14.072800000000001</v>
      </c>
      <c r="D1831" s="4">
        <v>14.224299999999999</v>
      </c>
      <c r="E1831" s="4">
        <v>14.3369</v>
      </c>
      <c r="F1831" s="4">
        <f t="shared" si="112"/>
        <v>14.211333333333334</v>
      </c>
      <c r="I1831" s="4" t="s">
        <v>2229</v>
      </c>
      <c r="J1831" s="4">
        <v>14.2738</v>
      </c>
      <c r="K1831" s="4">
        <v>14.2437</v>
      </c>
      <c r="L1831" s="4">
        <v>14.0304</v>
      </c>
      <c r="M1831" s="4">
        <f t="shared" si="113"/>
        <v>14.182633333333333</v>
      </c>
      <c r="P1831" s="4" t="str">
        <f>"cnnm-1"</f>
        <v>cnnm-1</v>
      </c>
      <c r="Q1831" s="4">
        <v>13.561549375747299</v>
      </c>
      <c r="R1831" s="4">
        <v>13.7554064044556</v>
      </c>
      <c r="S1831" s="4">
        <v>13.953901259894</v>
      </c>
      <c r="T1831" s="4">
        <f t="shared" si="114"/>
        <v>13.756952346698966</v>
      </c>
      <c r="W1831" s="4" t="str">
        <f>"Y92H12A.2"</f>
        <v>Y92H12A.2</v>
      </c>
      <c r="X1831" s="4">
        <v>14.1011401450516</v>
      </c>
      <c r="Y1831" s="4">
        <v>13.808658281319699</v>
      </c>
      <c r="Z1831" s="4">
        <v>13.6791763517706</v>
      </c>
      <c r="AA1831" s="4">
        <f t="shared" si="115"/>
        <v>13.862991592713968</v>
      </c>
    </row>
    <row r="1832" spans="2:27" x14ac:dyDescent="0.2">
      <c r="B1832" s="4" t="s">
        <v>3212</v>
      </c>
      <c r="C1832" s="4">
        <v>14.0398</v>
      </c>
      <c r="D1832" s="4">
        <v>14.355399999999999</v>
      </c>
      <c r="E1832" s="4">
        <v>14.238300000000001</v>
      </c>
      <c r="F1832" s="4">
        <f t="shared" si="112"/>
        <v>14.211166666666665</v>
      </c>
      <c r="I1832" s="4" t="s">
        <v>656</v>
      </c>
      <c r="J1832" s="4">
        <v>14.1751</v>
      </c>
      <c r="K1832" s="4">
        <v>13.870799999999999</v>
      </c>
      <c r="L1832" s="4">
        <v>14.5</v>
      </c>
      <c r="M1832" s="4">
        <f t="shared" si="113"/>
        <v>14.181966666666668</v>
      </c>
      <c r="P1832" s="4" t="str">
        <f>"mct-3"</f>
        <v>mct-3</v>
      </c>
      <c r="Q1832" s="4">
        <v>13.633475558284699</v>
      </c>
      <c r="R1832" s="4">
        <v>13.6765706388589</v>
      </c>
      <c r="S1832" s="4">
        <v>13.9584448193354</v>
      </c>
      <c r="T1832" s="4">
        <f t="shared" si="114"/>
        <v>13.756163672159666</v>
      </c>
      <c r="W1832" s="4" t="str">
        <f>"perm-2"</f>
        <v>perm-2</v>
      </c>
      <c r="X1832" s="4">
        <v>13.830230953297599</v>
      </c>
      <c r="Y1832" s="4">
        <v>13.4316129234988</v>
      </c>
      <c r="Z1832" s="4">
        <v>14.323386825294399</v>
      </c>
      <c r="AA1832" s="4">
        <f t="shared" si="115"/>
        <v>13.861743567363598</v>
      </c>
    </row>
    <row r="1833" spans="2:27" x14ac:dyDescent="0.2">
      <c r="B1833" s="4" t="s">
        <v>704</v>
      </c>
      <c r="C1833" s="4">
        <v>14.1089</v>
      </c>
      <c r="D1833" s="4">
        <v>14.3353</v>
      </c>
      <c r="E1833" s="4">
        <v>14.1889</v>
      </c>
      <c r="F1833" s="4">
        <f t="shared" si="112"/>
        <v>14.211033333333333</v>
      </c>
      <c r="I1833" s="4" t="s">
        <v>3249</v>
      </c>
      <c r="J1833" s="4">
        <v>14.433</v>
      </c>
      <c r="K1833" s="4">
        <v>14.049200000000001</v>
      </c>
      <c r="L1833" s="4">
        <v>14.06</v>
      </c>
      <c r="M1833" s="4">
        <f t="shared" si="113"/>
        <v>14.180733333333334</v>
      </c>
      <c r="P1833" s="4" t="str">
        <f>"ubc-3"</f>
        <v>ubc-3</v>
      </c>
      <c r="Q1833" s="4">
        <v>13.883617323242399</v>
      </c>
      <c r="R1833" s="4">
        <v>13.6911663814832</v>
      </c>
      <c r="S1833" s="4">
        <v>13.6934145481748</v>
      </c>
      <c r="T1833" s="4">
        <f t="shared" si="114"/>
        <v>13.756066084300132</v>
      </c>
      <c r="W1833" s="4" t="str">
        <f>"uncp-18"</f>
        <v>uncp-18</v>
      </c>
      <c r="X1833" s="4">
        <v>13.602435575293001</v>
      </c>
      <c r="Y1833" s="4">
        <v>14.017931181280201</v>
      </c>
      <c r="Z1833" s="4">
        <v>13.964052415915599</v>
      </c>
      <c r="AA1833" s="4">
        <f t="shared" si="115"/>
        <v>13.861473057496267</v>
      </c>
    </row>
    <row r="1834" spans="2:27" x14ac:dyDescent="0.2">
      <c r="B1834" s="4" t="s">
        <v>4412</v>
      </c>
      <c r="C1834" s="4">
        <v>14.423400000000001</v>
      </c>
      <c r="D1834" s="4">
        <v>13.378500000000001</v>
      </c>
      <c r="E1834" s="4">
        <v>14.8232</v>
      </c>
      <c r="F1834" s="4">
        <f t="shared" si="112"/>
        <v>14.208366666666668</v>
      </c>
      <c r="I1834" s="4" t="s">
        <v>327</v>
      </c>
      <c r="J1834" s="4">
        <v>14.2681</v>
      </c>
      <c r="K1834" s="4">
        <v>14.328200000000001</v>
      </c>
      <c r="L1834" s="4">
        <v>13.937799999999999</v>
      </c>
      <c r="M1834" s="4">
        <f t="shared" si="113"/>
        <v>14.178033333333332</v>
      </c>
      <c r="P1834" s="4" t="str">
        <f>"rpa-2"</f>
        <v>rpa-2</v>
      </c>
      <c r="Q1834" s="4">
        <v>13.9529743915406</v>
      </c>
      <c r="R1834" s="4">
        <v>13.659794791972599</v>
      </c>
      <c r="S1834" s="4">
        <v>13.6551941441978</v>
      </c>
      <c r="T1834" s="4">
        <f t="shared" si="114"/>
        <v>13.755987775903668</v>
      </c>
      <c r="W1834" s="4" t="str">
        <f>"F42G10.1"</f>
        <v>F42G10.1</v>
      </c>
      <c r="X1834" s="4">
        <v>13.6470851298395</v>
      </c>
      <c r="Y1834" s="4">
        <v>14.0028467337408</v>
      </c>
      <c r="Z1834" s="4">
        <v>13.9279218284059</v>
      </c>
      <c r="AA1834" s="4">
        <f t="shared" si="115"/>
        <v>13.8592845639954</v>
      </c>
    </row>
    <row r="1835" spans="2:27" x14ac:dyDescent="0.2">
      <c r="B1835" s="4" t="s">
        <v>4073</v>
      </c>
      <c r="C1835" s="4">
        <v>14.1014</v>
      </c>
      <c r="D1835" s="4">
        <v>14.532400000000001</v>
      </c>
      <c r="E1835" s="4">
        <v>13.986000000000001</v>
      </c>
      <c r="F1835" s="4">
        <f t="shared" si="112"/>
        <v>14.2066</v>
      </c>
      <c r="I1835" s="4" t="s">
        <v>3391</v>
      </c>
      <c r="J1835" s="4">
        <v>14.0557</v>
      </c>
      <c r="K1835" s="4">
        <v>13.857200000000001</v>
      </c>
      <c r="L1835" s="4">
        <v>14.618399999999999</v>
      </c>
      <c r="M1835" s="4">
        <f t="shared" si="113"/>
        <v>14.177100000000001</v>
      </c>
      <c r="P1835" s="4" t="str">
        <f>"F44E7.4"</f>
        <v>F44E7.4</v>
      </c>
      <c r="Q1835" s="4">
        <v>13.7624511839142</v>
      </c>
      <c r="R1835" s="4">
        <v>13.792038533530199</v>
      </c>
      <c r="S1835" s="4">
        <v>13.7119822026702</v>
      </c>
      <c r="T1835" s="4">
        <f t="shared" si="114"/>
        <v>13.755490640038198</v>
      </c>
      <c r="W1835" s="4" t="str">
        <f>"ints-2"</f>
        <v>ints-2</v>
      </c>
      <c r="X1835" s="4">
        <v>13.8890883360566</v>
      </c>
      <c r="Y1835" s="4">
        <v>13.941009287065601</v>
      </c>
      <c r="Z1835" s="4">
        <v>13.7408690361115</v>
      </c>
      <c r="AA1835" s="4">
        <f t="shared" si="115"/>
        <v>13.856988886411232</v>
      </c>
    </row>
    <row r="1836" spans="2:27" x14ac:dyDescent="0.2">
      <c r="B1836" s="4" t="s">
        <v>1356</v>
      </c>
      <c r="C1836" s="4">
        <v>13.956300000000001</v>
      </c>
      <c r="D1836" s="4">
        <v>14.4251</v>
      </c>
      <c r="E1836" s="4">
        <v>14.234</v>
      </c>
      <c r="F1836" s="4">
        <f t="shared" si="112"/>
        <v>14.205133333333334</v>
      </c>
      <c r="I1836" s="4" t="s">
        <v>493</v>
      </c>
      <c r="J1836" s="4">
        <v>14.595499999999999</v>
      </c>
      <c r="K1836" s="4">
        <v>14.3188</v>
      </c>
      <c r="L1836" s="4">
        <v>13.614000000000001</v>
      </c>
      <c r="M1836" s="4">
        <f t="shared" si="113"/>
        <v>14.1761</v>
      </c>
      <c r="P1836" s="4" t="str">
        <f>"mrpl-47"</f>
        <v>mrpl-47</v>
      </c>
      <c r="Q1836" s="4">
        <v>14.3700426687231</v>
      </c>
      <c r="R1836" s="4">
        <v>13.444342830061499</v>
      </c>
      <c r="S1836" s="4">
        <v>13.4493621741564</v>
      </c>
      <c r="T1836" s="4">
        <f t="shared" si="114"/>
        <v>13.754582557647</v>
      </c>
      <c r="W1836" s="4" t="str">
        <f>"F52B5.2"</f>
        <v>F52B5.2</v>
      </c>
      <c r="X1836" s="4">
        <v>13.9545750495469</v>
      </c>
      <c r="Y1836" s="4">
        <v>13.8152478802205</v>
      </c>
      <c r="Z1836" s="4">
        <v>13.787171524679099</v>
      </c>
      <c r="AA1836" s="4">
        <f t="shared" si="115"/>
        <v>13.852331484815499</v>
      </c>
    </row>
    <row r="1837" spans="2:27" x14ac:dyDescent="0.2">
      <c r="B1837" s="4" t="s">
        <v>4678</v>
      </c>
      <c r="C1837" s="4">
        <v>14.6508</v>
      </c>
      <c r="D1837" s="4">
        <v>14.057600000000001</v>
      </c>
      <c r="E1837" s="4">
        <v>13.9063</v>
      </c>
      <c r="F1837" s="4">
        <f t="shared" si="112"/>
        <v>14.2049</v>
      </c>
      <c r="I1837" s="4" t="s">
        <v>3518</v>
      </c>
      <c r="J1837" s="4">
        <v>14.3965</v>
      </c>
      <c r="K1837" s="4">
        <v>13.8681</v>
      </c>
      <c r="L1837" s="4">
        <v>14.2591</v>
      </c>
      <c r="M1837" s="4">
        <f t="shared" si="113"/>
        <v>14.174566666666669</v>
      </c>
      <c r="P1837" s="4" t="str">
        <f>"smgl-1"</f>
        <v>smgl-1</v>
      </c>
      <c r="Q1837" s="4">
        <v>13.7333165916839</v>
      </c>
      <c r="R1837" s="4">
        <v>13.809900869415401</v>
      </c>
      <c r="S1837" s="4">
        <v>13.715728389614201</v>
      </c>
      <c r="T1837" s="4">
        <f t="shared" si="114"/>
        <v>13.752981950237833</v>
      </c>
      <c r="W1837" s="4" t="str">
        <f>"disl-2"</f>
        <v>disl-2</v>
      </c>
      <c r="X1837" s="4">
        <v>14.0201214879242</v>
      </c>
      <c r="Y1837" s="4">
        <v>13.833278314386</v>
      </c>
      <c r="Z1837" s="4">
        <v>13.699145703803699</v>
      </c>
      <c r="AA1837" s="4">
        <f t="shared" si="115"/>
        <v>13.850848502037968</v>
      </c>
    </row>
    <row r="1838" spans="2:27" x14ac:dyDescent="0.2">
      <c r="B1838" s="4" t="s">
        <v>177</v>
      </c>
      <c r="C1838" s="4">
        <v>14.020200000000001</v>
      </c>
      <c r="D1838" s="4">
        <v>14.1135</v>
      </c>
      <c r="E1838" s="4">
        <v>14.477</v>
      </c>
      <c r="F1838" s="4">
        <f t="shared" si="112"/>
        <v>14.203566666666667</v>
      </c>
      <c r="I1838" s="4" t="s">
        <v>1700</v>
      </c>
      <c r="J1838" s="4">
        <v>14.4534</v>
      </c>
      <c r="K1838" s="4">
        <v>13.950799999999999</v>
      </c>
      <c r="L1838" s="4">
        <v>14.118600000000001</v>
      </c>
      <c r="M1838" s="4">
        <f t="shared" si="113"/>
        <v>14.174266666666668</v>
      </c>
      <c r="P1838" s="4" t="str">
        <f>"ric-8"</f>
        <v>ric-8</v>
      </c>
      <c r="Q1838" s="4">
        <v>13.814437154538901</v>
      </c>
      <c r="R1838" s="4">
        <v>13.788233892159701</v>
      </c>
      <c r="S1838" s="4">
        <v>13.6550659371247</v>
      </c>
      <c r="T1838" s="4">
        <f t="shared" si="114"/>
        <v>13.752578994607768</v>
      </c>
      <c r="W1838" s="4" t="str">
        <f>"hpo-34"</f>
        <v>hpo-34</v>
      </c>
      <c r="X1838" s="4">
        <v>12.8133617286515</v>
      </c>
      <c r="Y1838" s="4">
        <v>14.0400660906207</v>
      </c>
      <c r="Z1838" s="4">
        <v>14.698737338119299</v>
      </c>
      <c r="AA1838" s="4">
        <f t="shared" si="115"/>
        <v>13.850721719130499</v>
      </c>
    </row>
    <row r="1839" spans="2:27" x14ac:dyDescent="0.2">
      <c r="B1839" s="4" t="s">
        <v>465</v>
      </c>
      <c r="C1839" s="4">
        <v>14.1965</v>
      </c>
      <c r="D1839" s="4">
        <v>14.306100000000001</v>
      </c>
      <c r="E1839" s="4">
        <v>14.1074</v>
      </c>
      <c r="F1839" s="4">
        <f t="shared" si="112"/>
        <v>14.203333333333333</v>
      </c>
      <c r="I1839" s="4" t="s">
        <v>106</v>
      </c>
      <c r="J1839" s="4">
        <v>13.5844</v>
      </c>
      <c r="K1839" s="4">
        <v>13.9839</v>
      </c>
      <c r="L1839" s="4">
        <v>14.952500000000001</v>
      </c>
      <c r="M1839" s="4">
        <f t="shared" si="113"/>
        <v>14.1736</v>
      </c>
      <c r="P1839" s="4" t="str">
        <f>"F20H11.1"</f>
        <v>F20H11.1</v>
      </c>
      <c r="Q1839" s="4">
        <v>13.959119162861199</v>
      </c>
      <c r="R1839" s="4">
        <v>13.712802564900899</v>
      </c>
      <c r="S1839" s="4">
        <v>13.581353920187601</v>
      </c>
      <c r="T1839" s="4">
        <f t="shared" si="114"/>
        <v>13.7510918826499</v>
      </c>
      <c r="W1839" s="4" t="str">
        <f>"uggt-1"</f>
        <v>uggt-1</v>
      </c>
      <c r="X1839" s="4">
        <v>14.1480403749449</v>
      </c>
      <c r="Y1839" s="4">
        <v>13.721301805836999</v>
      </c>
      <c r="Z1839" s="4">
        <v>13.681351102293901</v>
      </c>
      <c r="AA1839" s="4">
        <f t="shared" si="115"/>
        <v>13.8502310943586</v>
      </c>
    </row>
    <row r="1840" spans="2:27" x14ac:dyDescent="0.2">
      <c r="B1840" s="4" t="s">
        <v>2604</v>
      </c>
      <c r="C1840" s="4">
        <v>14.5038</v>
      </c>
      <c r="D1840" s="4">
        <v>14.158799999999999</v>
      </c>
      <c r="E1840" s="4">
        <v>13.9474</v>
      </c>
      <c r="F1840" s="4">
        <f t="shared" si="112"/>
        <v>14.203333333333333</v>
      </c>
      <c r="I1840" s="4" t="s">
        <v>2741</v>
      </c>
      <c r="J1840" s="4">
        <v>14.3512</v>
      </c>
      <c r="K1840" s="4">
        <v>14.124499999999999</v>
      </c>
      <c r="L1840" s="4">
        <v>14.043699999999999</v>
      </c>
      <c r="M1840" s="4">
        <f t="shared" si="113"/>
        <v>14.173133333333332</v>
      </c>
      <c r="P1840" s="4" t="str">
        <f>"frl-1"</f>
        <v>frl-1</v>
      </c>
      <c r="Q1840" s="4">
        <v>13.6029440996895</v>
      </c>
      <c r="R1840" s="4">
        <v>13.6452760449479</v>
      </c>
      <c r="S1840" s="4">
        <v>13.9959464553953</v>
      </c>
      <c r="T1840" s="4">
        <f t="shared" si="114"/>
        <v>13.748055533344234</v>
      </c>
      <c r="W1840" s="4" t="str">
        <f>"coh-1"</f>
        <v>coh-1</v>
      </c>
      <c r="X1840" s="4">
        <v>13.846701951706301</v>
      </c>
      <c r="Y1840" s="4">
        <v>13.835606840163599</v>
      </c>
      <c r="Z1840" s="4">
        <v>13.8680348492266</v>
      </c>
      <c r="AA1840" s="4">
        <f t="shared" si="115"/>
        <v>13.850114547032168</v>
      </c>
    </row>
    <row r="1841" spans="2:27" x14ac:dyDescent="0.2">
      <c r="B1841" s="4" t="s">
        <v>1326</v>
      </c>
      <c r="C1841" s="4">
        <v>13.8095</v>
      </c>
      <c r="D1841" s="4">
        <v>14.545500000000001</v>
      </c>
      <c r="E1841" s="4">
        <v>14.247400000000001</v>
      </c>
      <c r="F1841" s="4">
        <f t="shared" si="112"/>
        <v>14.200800000000001</v>
      </c>
      <c r="I1841" s="4" t="s">
        <v>2869</v>
      </c>
      <c r="J1841" s="4">
        <v>14.1126</v>
      </c>
      <c r="K1841" s="4">
        <v>14.330500000000001</v>
      </c>
      <c r="L1841" s="4">
        <v>14.0722</v>
      </c>
      <c r="M1841" s="4">
        <f t="shared" si="113"/>
        <v>14.171766666666668</v>
      </c>
      <c r="P1841" s="4" t="str">
        <f>"F33H1.4"</f>
        <v>F33H1.4</v>
      </c>
      <c r="Q1841" s="4">
        <v>13.9754307860211</v>
      </c>
      <c r="R1841" s="4">
        <v>13.742162935301399</v>
      </c>
      <c r="S1841" s="4">
        <v>13.516929064571601</v>
      </c>
      <c r="T1841" s="4">
        <f t="shared" si="114"/>
        <v>13.744840928631367</v>
      </c>
      <c r="W1841" s="4" t="str">
        <f>"tag-225"</f>
        <v>tag-225</v>
      </c>
      <c r="X1841" s="4">
        <v>13.585350634856701</v>
      </c>
      <c r="Y1841" s="4">
        <v>13.9997482486029</v>
      </c>
      <c r="Z1841" s="4">
        <v>13.9548798312925</v>
      </c>
      <c r="AA1841" s="4">
        <f t="shared" si="115"/>
        <v>13.846659571584034</v>
      </c>
    </row>
    <row r="1842" spans="2:27" x14ac:dyDescent="0.2">
      <c r="B1842" s="4" t="s">
        <v>436</v>
      </c>
      <c r="C1842" s="4">
        <v>14.324299999999999</v>
      </c>
      <c r="D1842" s="4">
        <v>13.992100000000001</v>
      </c>
      <c r="E1842" s="4">
        <v>14.2797</v>
      </c>
      <c r="F1842" s="4">
        <f t="shared" si="112"/>
        <v>14.198700000000001</v>
      </c>
      <c r="I1842" s="4" t="s">
        <v>2316</v>
      </c>
      <c r="J1842" s="4">
        <v>14.3962</v>
      </c>
      <c r="K1842" s="4">
        <v>14.103899999999999</v>
      </c>
      <c r="L1842" s="4">
        <v>14.0146</v>
      </c>
      <c r="M1842" s="4">
        <f t="shared" si="113"/>
        <v>14.171566666666665</v>
      </c>
      <c r="P1842" s="4" t="str">
        <f>"F43H9.3"</f>
        <v>F43H9.3</v>
      </c>
      <c r="Q1842" s="4">
        <v>13.8256466784227</v>
      </c>
      <c r="R1842" s="4">
        <v>13.7330345732531</v>
      </c>
      <c r="S1842" s="4">
        <v>13.6723454038775</v>
      </c>
      <c r="T1842" s="4">
        <f t="shared" si="114"/>
        <v>13.7436755518511</v>
      </c>
      <c r="W1842" s="4" t="str">
        <f>"cpsf-2"</f>
        <v>cpsf-2</v>
      </c>
      <c r="X1842" s="4">
        <v>13.8430293914766</v>
      </c>
      <c r="Y1842" s="4">
        <v>13.959338651475999</v>
      </c>
      <c r="Z1842" s="4">
        <v>13.735569815519799</v>
      </c>
      <c r="AA1842" s="4">
        <f t="shared" si="115"/>
        <v>13.845979286157467</v>
      </c>
    </row>
    <row r="1843" spans="2:27" x14ac:dyDescent="0.2">
      <c r="B1843" s="4" t="s">
        <v>1690</v>
      </c>
      <c r="C1843" s="4">
        <v>14.146699999999999</v>
      </c>
      <c r="D1843" s="4">
        <v>14.213100000000001</v>
      </c>
      <c r="E1843" s="4">
        <v>14.234299999999999</v>
      </c>
      <c r="F1843" s="4">
        <f t="shared" si="112"/>
        <v>14.198033333333333</v>
      </c>
      <c r="I1843" s="4" t="s">
        <v>1691</v>
      </c>
      <c r="J1843" s="4">
        <v>14.2425</v>
      </c>
      <c r="K1843" s="4">
        <v>14.007199999999999</v>
      </c>
      <c r="L1843" s="4">
        <v>14.263199999999999</v>
      </c>
      <c r="M1843" s="4">
        <f t="shared" si="113"/>
        <v>14.170966666666665</v>
      </c>
      <c r="P1843" s="4" t="str">
        <f>"ebp-3"</f>
        <v>ebp-3</v>
      </c>
      <c r="Q1843" s="4">
        <v>13.7246977512141</v>
      </c>
      <c r="R1843" s="4">
        <v>13.7313972842952</v>
      </c>
      <c r="S1843" s="4">
        <v>13.7737775156511</v>
      </c>
      <c r="T1843" s="4">
        <f t="shared" si="114"/>
        <v>13.743290850386799</v>
      </c>
      <c r="W1843" s="4" t="str">
        <f>"nhr-46"</f>
        <v>nhr-46</v>
      </c>
      <c r="X1843" s="4">
        <v>14.011659579871001</v>
      </c>
      <c r="Y1843" s="4">
        <v>13.814280159054601</v>
      </c>
      <c r="Z1843" s="4">
        <v>13.694570380979</v>
      </c>
      <c r="AA1843" s="4">
        <f t="shared" si="115"/>
        <v>13.8401700399682</v>
      </c>
    </row>
    <row r="1844" spans="2:27" x14ac:dyDescent="0.2">
      <c r="B1844" s="4" t="s">
        <v>611</v>
      </c>
      <c r="C1844" s="4">
        <v>13.993</v>
      </c>
      <c r="D1844" s="4">
        <v>14.1624</v>
      </c>
      <c r="E1844" s="4">
        <v>14.436199999999999</v>
      </c>
      <c r="F1844" s="4">
        <f t="shared" si="112"/>
        <v>14.1972</v>
      </c>
      <c r="I1844" s="4" t="s">
        <v>2807</v>
      </c>
      <c r="J1844" s="4">
        <v>13.9465</v>
      </c>
      <c r="K1844" s="4">
        <v>14.255100000000001</v>
      </c>
      <c r="L1844" s="4">
        <v>14.308999999999999</v>
      </c>
      <c r="M1844" s="4">
        <f t="shared" si="113"/>
        <v>14.170199999999999</v>
      </c>
      <c r="P1844" s="4" t="str">
        <f>"F09E5.3"</f>
        <v>F09E5.3</v>
      </c>
      <c r="Q1844" s="4">
        <v>13.5672623078977</v>
      </c>
      <c r="R1844" s="4">
        <v>13.756821323318199</v>
      </c>
      <c r="S1844" s="4">
        <v>13.905049227078999</v>
      </c>
      <c r="T1844" s="4">
        <f t="shared" si="114"/>
        <v>13.743044286098298</v>
      </c>
      <c r="W1844" s="4" t="str">
        <f>"gpb-2"</f>
        <v>gpb-2</v>
      </c>
      <c r="X1844" s="4">
        <v>13.61742021201</v>
      </c>
      <c r="Y1844" s="4">
        <v>13.835359242249201</v>
      </c>
      <c r="Z1844" s="4">
        <v>14.0672184049394</v>
      </c>
      <c r="AA1844" s="4">
        <f t="shared" si="115"/>
        <v>13.839999286399532</v>
      </c>
    </row>
    <row r="1845" spans="2:27" x14ac:dyDescent="0.2">
      <c r="B1845" s="4" t="s">
        <v>1455</v>
      </c>
      <c r="C1845" s="4">
        <v>13.8832</v>
      </c>
      <c r="D1845" s="4">
        <v>14.625500000000001</v>
      </c>
      <c r="E1845" s="4">
        <v>14.0825</v>
      </c>
      <c r="F1845" s="4">
        <f t="shared" si="112"/>
        <v>14.197066666666666</v>
      </c>
      <c r="I1845" s="4" t="s">
        <v>2985</v>
      </c>
      <c r="J1845" s="4">
        <v>14.4316</v>
      </c>
      <c r="K1845" s="4">
        <v>13.7902</v>
      </c>
      <c r="L1845" s="4">
        <v>14.276</v>
      </c>
      <c r="M1845" s="4">
        <f t="shared" si="113"/>
        <v>14.165933333333333</v>
      </c>
      <c r="P1845" s="4" t="str">
        <f>"F58B3.6"</f>
        <v>F58B3.6</v>
      </c>
      <c r="Q1845" s="4">
        <v>13.766806119124199</v>
      </c>
      <c r="R1845" s="4">
        <v>13.695699164685401</v>
      </c>
      <c r="S1845" s="4">
        <v>13.766584753661</v>
      </c>
      <c r="T1845" s="4">
        <f t="shared" si="114"/>
        <v>13.7430300124902</v>
      </c>
      <c r="W1845" s="4" t="str">
        <f>"skpo-2"</f>
        <v>skpo-2</v>
      </c>
      <c r="X1845" s="4">
        <v>13.3835301185114</v>
      </c>
      <c r="Y1845" s="4">
        <v>13.8335361817677</v>
      </c>
      <c r="Z1845" s="4">
        <v>14.3009550549135</v>
      </c>
      <c r="AA1845" s="4">
        <f t="shared" si="115"/>
        <v>13.839340451730868</v>
      </c>
    </row>
    <row r="1846" spans="2:27" x14ac:dyDescent="0.2">
      <c r="B1846" s="4" t="s">
        <v>4719</v>
      </c>
      <c r="C1846" s="4">
        <v>14.1716</v>
      </c>
      <c r="D1846" s="4">
        <v>14.4572</v>
      </c>
      <c r="E1846" s="4">
        <v>13.9617</v>
      </c>
      <c r="F1846" s="4">
        <f t="shared" si="112"/>
        <v>14.196833333333332</v>
      </c>
      <c r="I1846" s="4" t="s">
        <v>701</v>
      </c>
      <c r="J1846" s="4">
        <v>13.8765</v>
      </c>
      <c r="K1846" s="4">
        <v>14.362399999999999</v>
      </c>
      <c r="L1846" s="4">
        <v>14.2545</v>
      </c>
      <c r="M1846" s="4">
        <f t="shared" si="113"/>
        <v>14.164466666666668</v>
      </c>
      <c r="P1846" s="4" t="str">
        <f>"sdz-8"</f>
        <v>sdz-8</v>
      </c>
      <c r="Q1846" s="4">
        <v>13.666252671403599</v>
      </c>
      <c r="R1846" s="4">
        <v>13.761326380304901</v>
      </c>
      <c r="S1846" s="4">
        <v>13.7945291721879</v>
      </c>
      <c r="T1846" s="4">
        <f t="shared" si="114"/>
        <v>13.740702741298799</v>
      </c>
      <c r="W1846" s="4" t="str">
        <f>"E02H1.1"</f>
        <v>E02H1.1</v>
      </c>
      <c r="X1846" s="4">
        <v>13.8238882903138</v>
      </c>
      <c r="Y1846" s="4">
        <v>13.8741026131312</v>
      </c>
      <c r="Z1846" s="4">
        <v>13.8198521450334</v>
      </c>
      <c r="AA1846" s="4">
        <f t="shared" si="115"/>
        <v>13.839281016159466</v>
      </c>
    </row>
    <row r="1847" spans="2:27" x14ac:dyDescent="0.2">
      <c r="B1847" s="4" t="s">
        <v>2548</v>
      </c>
      <c r="C1847" s="4">
        <v>14.2408</v>
      </c>
      <c r="D1847" s="4">
        <v>14.414899999999999</v>
      </c>
      <c r="E1847" s="4">
        <v>13.929</v>
      </c>
      <c r="F1847" s="4">
        <f t="shared" si="112"/>
        <v>14.194899999999999</v>
      </c>
      <c r="I1847" s="4" t="s">
        <v>2558</v>
      </c>
      <c r="J1847" s="4">
        <v>13.9544</v>
      </c>
      <c r="K1847" s="4">
        <v>14.0626</v>
      </c>
      <c r="L1847" s="4">
        <v>14.4756</v>
      </c>
      <c r="M1847" s="4">
        <f t="shared" si="113"/>
        <v>14.164199999999999</v>
      </c>
      <c r="P1847" s="4" t="str">
        <f>"pdp-1"</f>
        <v>pdp-1</v>
      </c>
      <c r="Q1847" s="4">
        <v>13.9662697139314</v>
      </c>
      <c r="R1847" s="4">
        <v>13.451295906634799</v>
      </c>
      <c r="S1847" s="4">
        <v>13.8042872574716</v>
      </c>
      <c r="T1847" s="4">
        <f t="shared" si="114"/>
        <v>13.7406176260126</v>
      </c>
      <c r="W1847" s="4" t="str">
        <f>"suox-1"</f>
        <v>suox-1</v>
      </c>
      <c r="X1847" s="4">
        <v>13.6266915000918</v>
      </c>
      <c r="Y1847" s="4">
        <v>14.004130873332</v>
      </c>
      <c r="Z1847" s="4">
        <v>13.884093525108399</v>
      </c>
      <c r="AA1847" s="4">
        <f t="shared" si="115"/>
        <v>13.838305299510735</v>
      </c>
    </row>
    <row r="1848" spans="2:27" x14ac:dyDescent="0.2">
      <c r="B1848" s="4" t="s">
        <v>2869</v>
      </c>
      <c r="C1848" s="4">
        <v>13.993499999999999</v>
      </c>
      <c r="D1848" s="4">
        <v>14.1706</v>
      </c>
      <c r="E1848" s="4">
        <v>14.419</v>
      </c>
      <c r="F1848" s="4">
        <f t="shared" si="112"/>
        <v>14.194366666666667</v>
      </c>
      <c r="I1848" s="4" t="s">
        <v>761</v>
      </c>
      <c r="J1848" s="4">
        <v>14.1181</v>
      </c>
      <c r="K1848" s="4">
        <v>14.078799999999999</v>
      </c>
      <c r="L1848" s="4">
        <v>14.2912</v>
      </c>
      <c r="M1848" s="4">
        <f t="shared" si="113"/>
        <v>14.162700000000001</v>
      </c>
      <c r="P1848" s="4" t="str">
        <f>"C01B10.3"</f>
        <v>C01B10.3</v>
      </c>
      <c r="Q1848" s="4">
        <v>13.4721891791198</v>
      </c>
      <c r="R1848" s="4">
        <v>14.005369880885</v>
      </c>
      <c r="S1848" s="4">
        <v>13.7405385574781</v>
      </c>
      <c r="T1848" s="4">
        <f t="shared" si="114"/>
        <v>13.739365872494298</v>
      </c>
      <c r="W1848" s="4" t="str">
        <f>"tba-6"</f>
        <v>tba-6</v>
      </c>
      <c r="X1848" s="4">
        <v>13.783816533401099</v>
      </c>
      <c r="Y1848" s="4">
        <v>13.684782502140299</v>
      </c>
      <c r="Z1848" s="4">
        <v>14.043774255679899</v>
      </c>
      <c r="AA1848" s="4">
        <f t="shared" si="115"/>
        <v>13.837457763740431</v>
      </c>
    </row>
    <row r="1849" spans="2:27" x14ac:dyDescent="0.2">
      <c r="B1849" s="4" t="s">
        <v>701</v>
      </c>
      <c r="C1849" s="4">
        <v>14.3506</v>
      </c>
      <c r="D1849" s="4">
        <v>14.1601</v>
      </c>
      <c r="E1849" s="4">
        <v>14.069800000000001</v>
      </c>
      <c r="F1849" s="4">
        <f t="shared" si="112"/>
        <v>14.1935</v>
      </c>
      <c r="I1849" s="4" t="s">
        <v>1328</v>
      </c>
      <c r="J1849" s="4">
        <v>14.1396</v>
      </c>
      <c r="K1849" s="4">
        <v>14.078799999999999</v>
      </c>
      <c r="L1849" s="4">
        <v>14.269500000000001</v>
      </c>
      <c r="M1849" s="4">
        <f t="shared" si="113"/>
        <v>14.162633333333332</v>
      </c>
      <c r="P1849" s="4" t="str">
        <f>"spas-1"</f>
        <v>spas-1</v>
      </c>
      <c r="Q1849" s="4">
        <v>13.754985284655399</v>
      </c>
      <c r="R1849" s="4">
        <v>13.8025873861334</v>
      </c>
      <c r="S1849" s="4">
        <v>13.6599755670579</v>
      </c>
      <c r="T1849" s="4">
        <f t="shared" si="114"/>
        <v>13.7391827459489</v>
      </c>
      <c r="W1849" s="4" t="str">
        <f>"hpo-9"</f>
        <v>hpo-9</v>
      </c>
      <c r="X1849" s="4">
        <v>13.7567115415688</v>
      </c>
      <c r="Y1849" s="4">
        <v>13.920534337768199</v>
      </c>
      <c r="Z1849" s="4">
        <v>13.832322606441799</v>
      </c>
      <c r="AA1849" s="4">
        <f t="shared" si="115"/>
        <v>13.836522828592933</v>
      </c>
    </row>
    <row r="1850" spans="2:27" x14ac:dyDescent="0.2">
      <c r="B1850" s="4" t="s">
        <v>4720</v>
      </c>
      <c r="C1850" s="4">
        <v>13.8703</v>
      </c>
      <c r="D1850" s="4">
        <v>14.676500000000001</v>
      </c>
      <c r="E1850" s="4">
        <v>14.0311</v>
      </c>
      <c r="F1850" s="4">
        <f t="shared" si="112"/>
        <v>14.192633333333333</v>
      </c>
      <c r="I1850" s="4" t="s">
        <v>2712</v>
      </c>
      <c r="J1850" s="4">
        <v>14.4643</v>
      </c>
      <c r="K1850" s="4">
        <v>14.093500000000001</v>
      </c>
      <c r="L1850" s="4">
        <v>13.928900000000001</v>
      </c>
      <c r="M1850" s="4">
        <f t="shared" si="113"/>
        <v>14.162233333333333</v>
      </c>
      <c r="P1850" s="4" t="str">
        <f>"atn-1"</f>
        <v>atn-1</v>
      </c>
      <c r="Q1850" s="4">
        <v>14.1449155144426</v>
      </c>
      <c r="R1850" s="4">
        <v>13.120557704775401</v>
      </c>
      <c r="S1850" s="4">
        <v>13.9467102099361</v>
      </c>
      <c r="T1850" s="4">
        <f t="shared" si="114"/>
        <v>13.737394476384701</v>
      </c>
      <c r="W1850" s="4" t="str">
        <f>"Y94H6A.5"</f>
        <v>Y94H6A.5</v>
      </c>
      <c r="X1850" s="4">
        <v>13.923249385238501</v>
      </c>
      <c r="Y1850" s="4">
        <v>13.844293096970601</v>
      </c>
      <c r="Z1850" s="4">
        <v>13.7279571911677</v>
      </c>
      <c r="AA1850" s="4">
        <f t="shared" si="115"/>
        <v>13.831833224458933</v>
      </c>
    </row>
    <row r="1851" spans="2:27" x14ac:dyDescent="0.2">
      <c r="B1851" s="4" t="s">
        <v>3139</v>
      </c>
      <c r="C1851" s="4">
        <v>14.573</v>
      </c>
      <c r="D1851" s="4">
        <v>13.807399999999999</v>
      </c>
      <c r="E1851" s="4">
        <v>14.196099999999999</v>
      </c>
      <c r="F1851" s="4">
        <f t="shared" si="112"/>
        <v>14.192166666666667</v>
      </c>
      <c r="I1851" s="4" t="s">
        <v>3773</v>
      </c>
      <c r="J1851" s="4">
        <v>14.0837</v>
      </c>
      <c r="K1851" s="4">
        <v>14.1282</v>
      </c>
      <c r="L1851" s="4">
        <v>14.2674</v>
      </c>
      <c r="M1851" s="4">
        <f t="shared" si="113"/>
        <v>14.159766666666668</v>
      </c>
      <c r="P1851" s="4" t="str">
        <f>"maea-1"</f>
        <v>maea-1</v>
      </c>
      <c r="Q1851" s="4">
        <v>13.795171765823</v>
      </c>
      <c r="R1851" s="4">
        <v>13.582667574110699</v>
      </c>
      <c r="S1851" s="4">
        <v>13.8329877096737</v>
      </c>
      <c r="T1851" s="4">
        <f t="shared" si="114"/>
        <v>13.736942349869134</v>
      </c>
      <c r="W1851" s="4" t="str">
        <f>"prx-3"</f>
        <v>prx-3</v>
      </c>
      <c r="X1851" s="4">
        <v>13.961019292531599</v>
      </c>
      <c r="Y1851" s="4">
        <v>13.7218465647465</v>
      </c>
      <c r="Z1851" s="4">
        <v>13.805572042948</v>
      </c>
      <c r="AA1851" s="4">
        <f t="shared" si="115"/>
        <v>13.829479300075368</v>
      </c>
    </row>
    <row r="1852" spans="2:27" x14ac:dyDescent="0.2">
      <c r="B1852" s="4" t="s">
        <v>4703</v>
      </c>
      <c r="C1852" s="4">
        <v>13.8659</v>
      </c>
      <c r="D1852" s="4">
        <v>14.778499999999999</v>
      </c>
      <c r="E1852" s="4">
        <v>13.9321</v>
      </c>
      <c r="F1852" s="4">
        <f t="shared" si="112"/>
        <v>14.192166666666665</v>
      </c>
      <c r="I1852" s="4" t="s">
        <v>3679</v>
      </c>
      <c r="J1852" s="4">
        <v>14.0381</v>
      </c>
      <c r="K1852" s="4">
        <v>14.3445</v>
      </c>
      <c r="L1852" s="4">
        <v>14.095599999999999</v>
      </c>
      <c r="M1852" s="4">
        <f t="shared" si="113"/>
        <v>14.1594</v>
      </c>
      <c r="P1852" s="4" t="str">
        <f>"T21B10.3"</f>
        <v>T21B10.3</v>
      </c>
      <c r="Q1852" s="4">
        <v>13.737423867872501</v>
      </c>
      <c r="R1852" s="4">
        <v>13.6664356135419</v>
      </c>
      <c r="S1852" s="4">
        <v>13.8021323014774</v>
      </c>
      <c r="T1852" s="4">
        <f t="shared" si="114"/>
        <v>13.735330594297267</v>
      </c>
      <c r="W1852" s="4" t="str">
        <f>"hmg-4"</f>
        <v>hmg-4</v>
      </c>
      <c r="X1852" s="4">
        <v>13.997759239077</v>
      </c>
      <c r="Y1852" s="4">
        <v>13.6810944298065</v>
      </c>
      <c r="Z1852" s="4">
        <v>13.80395518524</v>
      </c>
      <c r="AA1852" s="4">
        <f t="shared" si="115"/>
        <v>13.8276029513745</v>
      </c>
    </row>
    <row r="1853" spans="2:27" x14ac:dyDescent="0.2">
      <c r="B1853" s="4" t="s">
        <v>4721</v>
      </c>
      <c r="C1853" s="4">
        <v>13.983700000000001</v>
      </c>
      <c r="D1853" s="4">
        <v>14.2645</v>
      </c>
      <c r="E1853" s="4">
        <v>14.327500000000001</v>
      </c>
      <c r="F1853" s="4">
        <f t="shared" si="112"/>
        <v>14.191899999999999</v>
      </c>
      <c r="I1853" s="24" t="s">
        <v>171</v>
      </c>
      <c r="J1853" s="24">
        <v>14.2319</v>
      </c>
      <c r="K1853" s="24">
        <v>14.3057</v>
      </c>
      <c r="L1853" s="24">
        <v>13.939</v>
      </c>
      <c r="M1853" s="4">
        <f t="shared" si="113"/>
        <v>14.158866666666666</v>
      </c>
      <c r="P1853" s="4" t="str">
        <f>"ZC581.9"</f>
        <v>ZC581.9</v>
      </c>
      <c r="Q1853" s="4">
        <v>13.9678457235345</v>
      </c>
      <c r="R1853" s="4">
        <v>13.637184127876001</v>
      </c>
      <c r="S1853" s="4">
        <v>13.5919649720725</v>
      </c>
      <c r="T1853" s="4">
        <f t="shared" si="114"/>
        <v>13.732331607827666</v>
      </c>
      <c r="W1853" s="4" t="str">
        <f>"rme-6"</f>
        <v>rme-6</v>
      </c>
      <c r="X1853" s="4">
        <v>13.6728870617394</v>
      </c>
      <c r="Y1853" s="4">
        <v>13.850549447849</v>
      </c>
      <c r="Z1853" s="4">
        <v>13.9541661179102</v>
      </c>
      <c r="AA1853" s="4">
        <f t="shared" si="115"/>
        <v>13.825867542499532</v>
      </c>
    </row>
    <row r="1854" spans="2:27" x14ac:dyDescent="0.2">
      <c r="B1854" s="4" t="s">
        <v>1435</v>
      </c>
      <c r="C1854" s="4">
        <v>14.1027</v>
      </c>
      <c r="D1854" s="4">
        <v>14.5473</v>
      </c>
      <c r="E1854" s="4">
        <v>13.925599999999999</v>
      </c>
      <c r="F1854" s="4">
        <f t="shared" si="112"/>
        <v>14.191866666666664</v>
      </c>
      <c r="I1854" s="4" t="s">
        <v>2292</v>
      </c>
      <c r="J1854" s="4">
        <v>13.827</v>
      </c>
      <c r="K1854" s="4">
        <v>13.9488</v>
      </c>
      <c r="L1854" s="4">
        <v>14.698</v>
      </c>
      <c r="M1854" s="4">
        <f t="shared" si="113"/>
        <v>14.157933333333332</v>
      </c>
      <c r="P1854" s="4" t="str">
        <f>"H35B03.1"</f>
        <v>H35B03.1</v>
      </c>
      <c r="Q1854" s="4">
        <v>13.727368957208901</v>
      </c>
      <c r="R1854" s="4">
        <v>13.611619564913401</v>
      </c>
      <c r="S1854" s="4">
        <v>13.8569769114554</v>
      </c>
      <c r="T1854" s="4">
        <f t="shared" si="114"/>
        <v>13.731988477859232</v>
      </c>
      <c r="W1854" s="4" t="str">
        <f>"K10C3.4"</f>
        <v>K10C3.4</v>
      </c>
      <c r="X1854" s="4">
        <v>13.7662823413617</v>
      </c>
      <c r="Y1854" s="4">
        <v>13.8690503287295</v>
      </c>
      <c r="Z1854" s="4">
        <v>13.8362725739251</v>
      </c>
      <c r="AA1854" s="4">
        <f t="shared" si="115"/>
        <v>13.8238684146721</v>
      </c>
    </row>
    <row r="1855" spans="2:27" x14ac:dyDescent="0.2">
      <c r="B1855" s="4" t="s">
        <v>826</v>
      </c>
      <c r="C1855" s="4">
        <v>14.1662</v>
      </c>
      <c r="D1855" s="4">
        <v>14.6776</v>
      </c>
      <c r="E1855" s="4">
        <v>13.724500000000001</v>
      </c>
      <c r="F1855" s="4">
        <f t="shared" si="112"/>
        <v>14.189433333333334</v>
      </c>
      <c r="I1855" s="4" t="s">
        <v>1766</v>
      </c>
      <c r="J1855" s="4">
        <v>14.1271</v>
      </c>
      <c r="K1855" s="4">
        <v>14.3222</v>
      </c>
      <c r="L1855" s="4">
        <v>14.0145</v>
      </c>
      <c r="M1855" s="4">
        <f t="shared" si="113"/>
        <v>14.1546</v>
      </c>
      <c r="P1855" s="4" t="str">
        <f>"acl-7"</f>
        <v>acl-7</v>
      </c>
      <c r="Q1855" s="4">
        <v>13.490302112578499</v>
      </c>
      <c r="R1855" s="4">
        <v>13.788173921867299</v>
      </c>
      <c r="S1855" s="4">
        <v>13.9123690590107</v>
      </c>
      <c r="T1855" s="4">
        <f t="shared" si="114"/>
        <v>13.730281697818834</v>
      </c>
      <c r="W1855" s="4" t="str">
        <f>"lec-6"</f>
        <v>lec-6</v>
      </c>
      <c r="X1855" s="4">
        <v>14.181385201345901</v>
      </c>
      <c r="Y1855" s="4">
        <v>13.6148633841955</v>
      </c>
      <c r="Z1855" s="4">
        <v>13.6752482766783</v>
      </c>
      <c r="AA1855" s="4">
        <f t="shared" si="115"/>
        <v>13.823832287406566</v>
      </c>
    </row>
    <row r="1856" spans="2:27" x14ac:dyDescent="0.2">
      <c r="B1856" s="4" t="s">
        <v>3990</v>
      </c>
      <c r="C1856" s="4">
        <v>14.162100000000001</v>
      </c>
      <c r="D1856" s="4">
        <v>14.1891</v>
      </c>
      <c r="E1856" s="4">
        <v>14.2089</v>
      </c>
      <c r="F1856" s="4">
        <f t="shared" si="112"/>
        <v>14.1867</v>
      </c>
      <c r="I1856" s="4" t="s">
        <v>2929</v>
      </c>
      <c r="J1856" s="4">
        <v>14.1035</v>
      </c>
      <c r="K1856" s="4">
        <v>13.870900000000001</v>
      </c>
      <c r="L1856" s="4">
        <v>14.485799999999999</v>
      </c>
      <c r="M1856" s="4">
        <f t="shared" si="113"/>
        <v>14.1534</v>
      </c>
      <c r="P1856" s="4" t="str">
        <f>"lin-14"</f>
        <v>lin-14</v>
      </c>
      <c r="Q1856" s="4">
        <v>14.2079810547914</v>
      </c>
      <c r="R1856" s="4">
        <v>13.5204364201371</v>
      </c>
      <c r="S1856" s="4">
        <v>13.458628802233999</v>
      </c>
      <c r="T1856" s="4">
        <f t="shared" si="114"/>
        <v>13.729015425720831</v>
      </c>
      <c r="W1856" s="4" t="str">
        <f>"swsn-1"</f>
        <v>swsn-1</v>
      </c>
      <c r="X1856" s="4">
        <v>13.807308920322599</v>
      </c>
      <c r="Y1856" s="4">
        <v>13.732675270239801</v>
      </c>
      <c r="Z1856" s="4">
        <v>13.9216710351772</v>
      </c>
      <c r="AA1856" s="4">
        <f t="shared" si="115"/>
        <v>13.820551741913199</v>
      </c>
    </row>
    <row r="1857" spans="2:27" x14ac:dyDescent="0.2">
      <c r="B1857" s="4" t="s">
        <v>28</v>
      </c>
      <c r="C1857" s="4">
        <v>14.386799999999999</v>
      </c>
      <c r="D1857" s="4">
        <v>13.9116</v>
      </c>
      <c r="E1857" s="4">
        <v>14.260400000000001</v>
      </c>
      <c r="F1857" s="4">
        <f t="shared" si="112"/>
        <v>14.186266666666668</v>
      </c>
      <c r="I1857" s="4" t="s">
        <v>3642</v>
      </c>
      <c r="J1857" s="4">
        <v>14.2636</v>
      </c>
      <c r="K1857" s="4">
        <v>13.7799</v>
      </c>
      <c r="L1857" s="4">
        <v>14.403600000000001</v>
      </c>
      <c r="M1857" s="4">
        <f t="shared" si="113"/>
        <v>14.149033333333335</v>
      </c>
      <c r="P1857" s="4" t="str">
        <f>"tbc-9"</f>
        <v>tbc-9</v>
      </c>
      <c r="Q1857" s="4">
        <v>13.8369365373653</v>
      </c>
      <c r="R1857" s="4">
        <v>13.7355006785968</v>
      </c>
      <c r="S1857" s="4">
        <v>13.6137318374972</v>
      </c>
      <c r="T1857" s="4">
        <f t="shared" si="114"/>
        <v>13.728723017819767</v>
      </c>
      <c r="W1857" s="4" t="str">
        <f>"dpf-5"</f>
        <v>dpf-5</v>
      </c>
      <c r="X1857" s="4">
        <v>13.584313034828501</v>
      </c>
      <c r="Y1857" s="4">
        <v>13.6474179918195</v>
      </c>
      <c r="Z1857" s="4">
        <v>14.227748018962499</v>
      </c>
      <c r="AA1857" s="4">
        <f t="shared" si="115"/>
        <v>13.819826348536834</v>
      </c>
    </row>
    <row r="1858" spans="2:27" x14ac:dyDescent="0.2">
      <c r="B1858" s="4" t="s">
        <v>230</v>
      </c>
      <c r="C1858" s="4">
        <v>13.971399999999999</v>
      </c>
      <c r="D1858" s="4">
        <v>14.435</v>
      </c>
      <c r="E1858" s="4">
        <v>14.1462</v>
      </c>
      <c r="F1858" s="4">
        <f t="shared" ref="F1858:F1921" si="116">(C1858+D1858+E1858)/3</f>
        <v>14.184199999999999</v>
      </c>
      <c r="I1858" s="4" t="s">
        <v>4667</v>
      </c>
      <c r="J1858" s="4">
        <v>14.5593</v>
      </c>
      <c r="K1858" s="4">
        <v>14.247</v>
      </c>
      <c r="L1858" s="4">
        <v>13.6372</v>
      </c>
      <c r="M1858" s="4">
        <f t="shared" ref="M1858:M1921" si="117">(J1858+K1858+L1858)/3</f>
        <v>14.147833333333333</v>
      </c>
      <c r="P1858" s="4" t="str">
        <f>"lpd-3"</f>
        <v>lpd-3</v>
      </c>
      <c r="Q1858" s="4">
        <v>13.729586040667099</v>
      </c>
      <c r="R1858" s="4">
        <v>13.635050068889599</v>
      </c>
      <c r="S1858" s="4">
        <v>13.817614527923199</v>
      </c>
      <c r="T1858" s="4">
        <f t="shared" ref="T1858:T1921" si="118">(Q1858+R1858+S1858)/3</f>
        <v>13.727416879159966</v>
      </c>
      <c r="W1858" s="4" t="str">
        <f>"C29F5.1"</f>
        <v>C29F5.1</v>
      </c>
      <c r="X1858" s="4">
        <v>13.8734447243404</v>
      </c>
      <c r="Y1858" s="4">
        <v>13.926515532029599</v>
      </c>
      <c r="Z1858" s="4">
        <v>13.658317704258099</v>
      </c>
      <c r="AA1858" s="4">
        <f t="shared" ref="AA1858:AA1921" si="119">(X1858+Y1858+Z1858)/3</f>
        <v>13.819425986876032</v>
      </c>
    </row>
    <row r="1859" spans="2:27" x14ac:dyDescent="0.2">
      <c r="B1859" s="4" t="s">
        <v>1511</v>
      </c>
      <c r="C1859" s="4">
        <v>14.161199999999999</v>
      </c>
      <c r="D1859" s="4">
        <v>14.156000000000001</v>
      </c>
      <c r="E1859" s="4">
        <v>14.2325</v>
      </c>
      <c r="F1859" s="4">
        <f t="shared" si="116"/>
        <v>14.183233333333334</v>
      </c>
      <c r="I1859" s="4" t="s">
        <v>4478</v>
      </c>
      <c r="J1859" s="4">
        <v>14.227399999999999</v>
      </c>
      <c r="K1859" s="4">
        <v>14.0968</v>
      </c>
      <c r="L1859" s="4">
        <v>14.1165</v>
      </c>
      <c r="M1859" s="4">
        <f t="shared" si="117"/>
        <v>14.1469</v>
      </c>
      <c r="P1859" s="4" t="str">
        <f>"Y51H7C.13"</f>
        <v>Y51H7C.13</v>
      </c>
      <c r="Q1859" s="4">
        <v>14.005954540047901</v>
      </c>
      <c r="R1859" s="4">
        <v>13.1630095315343</v>
      </c>
      <c r="S1859" s="4">
        <v>14.0116012287054</v>
      </c>
      <c r="T1859" s="4">
        <f t="shared" si="118"/>
        <v>13.726855100095868</v>
      </c>
      <c r="W1859" s="4" t="str">
        <f>"sqv-7"</f>
        <v>sqv-7</v>
      </c>
      <c r="X1859" s="4">
        <v>13.4347174350796</v>
      </c>
      <c r="Y1859" s="4">
        <v>13.6662197424162</v>
      </c>
      <c r="Z1859" s="4">
        <v>14.3523660489795</v>
      </c>
      <c r="AA1859" s="4">
        <f t="shared" si="119"/>
        <v>13.817767742158432</v>
      </c>
    </row>
    <row r="1860" spans="2:27" x14ac:dyDescent="0.2">
      <c r="B1860" s="4" t="s">
        <v>1402</v>
      </c>
      <c r="C1860" s="4">
        <v>14.052199999999999</v>
      </c>
      <c r="D1860" s="4">
        <v>14.6564</v>
      </c>
      <c r="E1860" s="4">
        <v>13.834899999999999</v>
      </c>
      <c r="F1860" s="4">
        <f t="shared" si="116"/>
        <v>14.181166666666664</v>
      </c>
      <c r="I1860" s="4" t="s">
        <v>3965</v>
      </c>
      <c r="J1860" s="4">
        <v>14.5495</v>
      </c>
      <c r="K1860" s="4">
        <v>14.519399999999999</v>
      </c>
      <c r="L1860" s="4">
        <v>13.366400000000001</v>
      </c>
      <c r="M1860" s="4">
        <f t="shared" si="117"/>
        <v>14.145099999999999</v>
      </c>
      <c r="P1860" s="4" t="str">
        <f>"feh-1"</f>
        <v>feh-1</v>
      </c>
      <c r="Q1860" s="4">
        <v>13.805443786745901</v>
      </c>
      <c r="R1860" s="4">
        <v>13.535228391804599</v>
      </c>
      <c r="S1860" s="4">
        <v>13.839666570062301</v>
      </c>
      <c r="T1860" s="4">
        <f t="shared" si="118"/>
        <v>13.726779582870932</v>
      </c>
      <c r="W1860" s="4" t="str">
        <f>"F37F2.2"</f>
        <v>F37F2.2</v>
      </c>
      <c r="X1860" s="4">
        <v>13.875667606253099</v>
      </c>
      <c r="Y1860" s="4">
        <v>13.8646758237612</v>
      </c>
      <c r="Z1860" s="4">
        <v>13.711292241669099</v>
      </c>
      <c r="AA1860" s="4">
        <f t="shared" si="119"/>
        <v>13.817211890561133</v>
      </c>
    </row>
    <row r="1861" spans="2:27" x14ac:dyDescent="0.2">
      <c r="B1861" s="4" t="s">
        <v>4006</v>
      </c>
      <c r="C1861" s="4">
        <v>14.253</v>
      </c>
      <c r="D1861" s="4">
        <v>14.2643</v>
      </c>
      <c r="E1861" s="4">
        <v>14.022600000000001</v>
      </c>
      <c r="F1861" s="4">
        <f t="shared" si="116"/>
        <v>14.179966666666667</v>
      </c>
      <c r="I1861" s="4" t="s">
        <v>237</v>
      </c>
      <c r="J1861" s="4">
        <v>14.1082</v>
      </c>
      <c r="K1861" s="4">
        <v>13.870699999999999</v>
      </c>
      <c r="L1861" s="4">
        <v>14.454800000000001</v>
      </c>
      <c r="M1861" s="4">
        <f t="shared" si="117"/>
        <v>14.144566666666668</v>
      </c>
      <c r="P1861" s="4" t="str">
        <f>"pelo-1"</f>
        <v>pelo-1</v>
      </c>
      <c r="Q1861" s="4">
        <v>13.497316559415999</v>
      </c>
      <c r="R1861" s="4">
        <v>13.7399242747887</v>
      </c>
      <c r="S1861" s="4">
        <v>13.930629267517499</v>
      </c>
      <c r="T1861" s="4">
        <f t="shared" si="118"/>
        <v>13.722623367240734</v>
      </c>
      <c r="W1861" s="4" t="str">
        <f>"W09C3.4"</f>
        <v>W09C3.4</v>
      </c>
      <c r="X1861" s="4">
        <v>13.918252386681299</v>
      </c>
      <c r="Y1861" s="4">
        <v>13.540470808953801</v>
      </c>
      <c r="Z1861" s="4">
        <v>13.9928614339355</v>
      </c>
      <c r="AA1861" s="4">
        <f t="shared" si="119"/>
        <v>13.817194876523535</v>
      </c>
    </row>
    <row r="1862" spans="2:27" x14ac:dyDescent="0.2">
      <c r="B1862" s="4" t="s">
        <v>3933</v>
      </c>
      <c r="C1862" s="4">
        <v>14.135300000000001</v>
      </c>
      <c r="D1862" s="4">
        <v>14.275399999999999</v>
      </c>
      <c r="E1862" s="4">
        <v>14.121600000000001</v>
      </c>
      <c r="F1862" s="4">
        <f t="shared" si="116"/>
        <v>14.177433333333333</v>
      </c>
      <c r="I1862" s="4" t="s">
        <v>3033</v>
      </c>
      <c r="J1862" s="4">
        <v>14.396800000000001</v>
      </c>
      <c r="K1862" s="4">
        <v>13.746499999999999</v>
      </c>
      <c r="L1862" s="4">
        <v>14.284800000000001</v>
      </c>
      <c r="M1862" s="4">
        <f t="shared" si="117"/>
        <v>14.1427</v>
      </c>
      <c r="P1862" s="4" t="str">
        <f>"Y79H2A.3"</f>
        <v>Y79H2A.3</v>
      </c>
      <c r="Q1862" s="4">
        <v>13.6878290492589</v>
      </c>
      <c r="R1862" s="4">
        <v>13.658406392380501</v>
      </c>
      <c r="S1862" s="4">
        <v>13.8189559990277</v>
      </c>
      <c r="T1862" s="4">
        <f t="shared" si="118"/>
        <v>13.721730480222368</v>
      </c>
      <c r="W1862" s="4" t="str">
        <f>"dapk-1"</f>
        <v>dapk-1</v>
      </c>
      <c r="X1862" s="4">
        <v>13.7187825517693</v>
      </c>
      <c r="Y1862" s="4">
        <v>13.820718660365999</v>
      </c>
      <c r="Z1862" s="4">
        <v>13.911348388756601</v>
      </c>
      <c r="AA1862" s="4">
        <f t="shared" si="119"/>
        <v>13.816949866963967</v>
      </c>
    </row>
    <row r="1863" spans="2:27" x14ac:dyDescent="0.2">
      <c r="B1863" s="4" t="s">
        <v>3301</v>
      </c>
      <c r="C1863" s="4">
        <v>14.467000000000001</v>
      </c>
      <c r="D1863" s="4">
        <v>14.210699999999999</v>
      </c>
      <c r="E1863" s="4">
        <v>13.8546</v>
      </c>
      <c r="F1863" s="4">
        <f t="shared" si="116"/>
        <v>14.177433333333333</v>
      </c>
      <c r="I1863" s="4" t="s">
        <v>3279</v>
      </c>
      <c r="J1863" s="4">
        <v>14.4145</v>
      </c>
      <c r="K1863" s="4">
        <v>13.8942</v>
      </c>
      <c r="L1863" s="4">
        <v>14.117900000000001</v>
      </c>
      <c r="M1863" s="4">
        <f t="shared" si="117"/>
        <v>14.142200000000001</v>
      </c>
      <c r="P1863" s="4" t="str">
        <f>"ctg-1"</f>
        <v>ctg-1</v>
      </c>
      <c r="Q1863" s="4">
        <v>13.689787322713199</v>
      </c>
      <c r="R1863" s="4">
        <v>13.704860090322599</v>
      </c>
      <c r="S1863" s="4">
        <v>13.766242252221399</v>
      </c>
      <c r="T1863" s="4">
        <f t="shared" si="118"/>
        <v>13.720296555085733</v>
      </c>
      <c r="W1863" s="4" t="str">
        <f>"T02G5.7"</f>
        <v>T02G5.7</v>
      </c>
      <c r="X1863" s="4">
        <v>14.4890239148005</v>
      </c>
      <c r="Y1863" s="4">
        <v>13.308186855965101</v>
      </c>
      <c r="Z1863" s="4">
        <v>13.648560798633</v>
      </c>
      <c r="AA1863" s="4">
        <f t="shared" si="119"/>
        <v>13.815257189799533</v>
      </c>
    </row>
    <row r="1864" spans="2:27" x14ac:dyDescent="0.2">
      <c r="B1864" s="4" t="s">
        <v>1476</v>
      </c>
      <c r="C1864" s="4">
        <v>13.980600000000001</v>
      </c>
      <c r="D1864" s="4">
        <v>14.3142</v>
      </c>
      <c r="E1864" s="4">
        <v>14.226699999999999</v>
      </c>
      <c r="F1864" s="4">
        <f t="shared" si="116"/>
        <v>14.173833333333334</v>
      </c>
      <c r="I1864" s="4" t="s">
        <v>519</v>
      </c>
      <c r="J1864" s="4">
        <v>14.3101</v>
      </c>
      <c r="K1864" s="4">
        <v>13.963100000000001</v>
      </c>
      <c r="L1864" s="4">
        <v>14.1503</v>
      </c>
      <c r="M1864" s="4">
        <f t="shared" si="117"/>
        <v>14.141166666666669</v>
      </c>
      <c r="P1864" s="4" t="str">
        <f>"sna-3"</f>
        <v>sna-3</v>
      </c>
      <c r="Q1864" s="4">
        <v>13.6483478756639</v>
      </c>
      <c r="R1864" s="4">
        <v>13.897436918392501</v>
      </c>
      <c r="S1864" s="4">
        <v>13.610398845967399</v>
      </c>
      <c r="T1864" s="4">
        <f t="shared" si="118"/>
        <v>13.718727880007933</v>
      </c>
      <c r="W1864" s="4" t="str">
        <f>"usp-46"</f>
        <v>usp-46</v>
      </c>
      <c r="X1864" s="4">
        <v>13.901534335331201</v>
      </c>
      <c r="Y1864" s="4">
        <v>13.9578907631482</v>
      </c>
      <c r="Z1864" s="4">
        <v>13.5828157491807</v>
      </c>
      <c r="AA1864" s="4">
        <f t="shared" si="119"/>
        <v>13.814080282553368</v>
      </c>
    </row>
    <row r="1865" spans="2:27" x14ac:dyDescent="0.2">
      <c r="B1865" s="4" t="s">
        <v>4112</v>
      </c>
      <c r="C1865" s="4">
        <v>14.2042</v>
      </c>
      <c r="D1865" s="4">
        <v>14.2317</v>
      </c>
      <c r="E1865" s="4">
        <v>14.0815</v>
      </c>
      <c r="F1865" s="4">
        <f t="shared" si="116"/>
        <v>14.172466666666667</v>
      </c>
      <c r="I1865" s="4" t="s">
        <v>3272</v>
      </c>
      <c r="J1865" s="4">
        <v>14.1426</v>
      </c>
      <c r="K1865" s="4">
        <v>14.125299999999999</v>
      </c>
      <c r="L1865" s="4">
        <v>14.148300000000001</v>
      </c>
      <c r="M1865" s="4">
        <f t="shared" si="117"/>
        <v>14.138733333333333</v>
      </c>
      <c r="P1865" s="4" t="str">
        <f>"F46C5.6"</f>
        <v>F46C5.6</v>
      </c>
      <c r="Q1865" s="4">
        <v>13.917563722012201</v>
      </c>
      <c r="R1865" s="4">
        <v>13.7851481584248</v>
      </c>
      <c r="S1865" s="4">
        <v>13.449240499726301</v>
      </c>
      <c r="T1865" s="4">
        <f t="shared" si="118"/>
        <v>13.717317460054433</v>
      </c>
      <c r="W1865" s="4" t="str">
        <f>"prp-38"</f>
        <v>prp-38</v>
      </c>
      <c r="X1865" s="4">
        <v>14.9294120834463</v>
      </c>
      <c r="Y1865" s="4">
        <v>12.9309930633442</v>
      </c>
      <c r="Z1865" s="4">
        <v>13.5815222872658</v>
      </c>
      <c r="AA1865" s="4">
        <f t="shared" si="119"/>
        <v>13.813975811352099</v>
      </c>
    </row>
    <row r="1866" spans="2:27" x14ac:dyDescent="0.2">
      <c r="B1866" s="4" t="s">
        <v>3576</v>
      </c>
      <c r="C1866" s="4">
        <v>14.5824</v>
      </c>
      <c r="D1866" s="4">
        <v>13.730399999999999</v>
      </c>
      <c r="E1866" s="4">
        <v>14.2026</v>
      </c>
      <c r="F1866" s="4">
        <f t="shared" si="116"/>
        <v>14.171799999999999</v>
      </c>
      <c r="I1866" s="4" t="s">
        <v>3004</v>
      </c>
      <c r="J1866" s="4">
        <v>14.3027</v>
      </c>
      <c r="K1866" s="4">
        <v>13.867100000000001</v>
      </c>
      <c r="L1866" s="4">
        <v>14.243</v>
      </c>
      <c r="M1866" s="4">
        <f t="shared" si="117"/>
        <v>14.137600000000001</v>
      </c>
      <c r="P1866" s="4" t="str">
        <f>"R02F2.7"</f>
        <v>R02F2.7</v>
      </c>
      <c r="Q1866" s="4">
        <v>13.5862373944108</v>
      </c>
      <c r="R1866" s="4">
        <v>13.8221302365429</v>
      </c>
      <c r="S1866" s="4">
        <v>13.7434404918064</v>
      </c>
      <c r="T1866" s="4">
        <f t="shared" si="118"/>
        <v>13.717269374253368</v>
      </c>
      <c r="W1866" s="4" t="str">
        <f>"K10B4.3"</f>
        <v>K10B4.3</v>
      </c>
      <c r="X1866" s="4">
        <v>13.715610875096401</v>
      </c>
      <c r="Y1866" s="4">
        <v>13.8950802804895</v>
      </c>
      <c r="Z1866" s="4">
        <v>13.8286621475203</v>
      </c>
      <c r="AA1866" s="4">
        <f t="shared" si="119"/>
        <v>13.813117767702067</v>
      </c>
    </row>
    <row r="1867" spans="2:27" x14ac:dyDescent="0.2">
      <c r="B1867" s="4" t="s">
        <v>558</v>
      </c>
      <c r="C1867" s="4">
        <v>14.3834</v>
      </c>
      <c r="D1867" s="4">
        <v>14.099</v>
      </c>
      <c r="E1867" s="4">
        <v>14.030099999999999</v>
      </c>
      <c r="F1867" s="4">
        <f t="shared" si="116"/>
        <v>14.170833333333333</v>
      </c>
      <c r="I1867" s="4" t="s">
        <v>2069</v>
      </c>
      <c r="J1867" s="4">
        <v>14.222200000000001</v>
      </c>
      <c r="K1867" s="4">
        <v>13.7582</v>
      </c>
      <c r="L1867" s="4">
        <v>14.4306</v>
      </c>
      <c r="M1867" s="4">
        <f t="shared" si="117"/>
        <v>14.137</v>
      </c>
      <c r="P1867" s="4" t="str">
        <f>"Y66D12A.24"</f>
        <v>Y66D12A.24</v>
      </c>
      <c r="Q1867" s="4">
        <v>13.958379577592099</v>
      </c>
      <c r="R1867" s="4">
        <v>13.6690130416605</v>
      </c>
      <c r="S1867" s="4">
        <v>13.5243487329848</v>
      </c>
      <c r="T1867" s="4">
        <f t="shared" si="118"/>
        <v>13.717247117412468</v>
      </c>
      <c r="W1867" s="4" t="str">
        <f>"lpd-3"</f>
        <v>lpd-3</v>
      </c>
      <c r="X1867" s="4">
        <v>14.0245711085101</v>
      </c>
      <c r="Y1867" s="4">
        <v>13.6910824219927</v>
      </c>
      <c r="Z1867" s="4">
        <v>13.7218645488154</v>
      </c>
      <c r="AA1867" s="4">
        <f t="shared" si="119"/>
        <v>13.812506026439399</v>
      </c>
    </row>
    <row r="1868" spans="2:27" x14ac:dyDescent="0.2">
      <c r="B1868" s="4" t="s">
        <v>4472</v>
      </c>
      <c r="C1868" s="4">
        <v>14.1332</v>
      </c>
      <c r="D1868" s="4">
        <v>14.1828</v>
      </c>
      <c r="E1868" s="4">
        <v>14.1937</v>
      </c>
      <c r="F1868" s="4">
        <f t="shared" si="116"/>
        <v>14.1699</v>
      </c>
      <c r="I1868" s="4" t="s">
        <v>3299</v>
      </c>
      <c r="J1868" s="4">
        <v>14.3908</v>
      </c>
      <c r="K1868" s="4">
        <v>13.798999999999999</v>
      </c>
      <c r="L1868" s="4">
        <v>14.2178</v>
      </c>
      <c r="M1868" s="4">
        <f t="shared" si="117"/>
        <v>14.135866666666667</v>
      </c>
      <c r="P1868" s="4" t="str">
        <f>"F40F8.11"</f>
        <v>F40F8.11</v>
      </c>
      <c r="Q1868" s="4">
        <v>13.975918653581701</v>
      </c>
      <c r="R1868" s="4">
        <v>13.7318434632693</v>
      </c>
      <c r="S1868" s="4">
        <v>13.4364511699017</v>
      </c>
      <c r="T1868" s="4">
        <f t="shared" si="118"/>
        <v>13.7147377622509</v>
      </c>
      <c r="W1868" s="4" t="str">
        <f>"T04A11.2"</f>
        <v>T04A11.2</v>
      </c>
      <c r="X1868" s="4">
        <v>13.6424604145885</v>
      </c>
      <c r="Y1868" s="4">
        <v>13.8710180631897</v>
      </c>
      <c r="Z1868" s="4">
        <v>13.9210883025664</v>
      </c>
      <c r="AA1868" s="4">
        <f t="shared" si="119"/>
        <v>13.811522260114865</v>
      </c>
    </row>
    <row r="1869" spans="2:27" x14ac:dyDescent="0.2">
      <c r="B1869" s="4" t="s">
        <v>2142</v>
      </c>
      <c r="C1869" s="4">
        <v>14.1683</v>
      </c>
      <c r="D1869" s="4">
        <v>14.182499999999999</v>
      </c>
      <c r="E1869" s="4">
        <v>14.1555</v>
      </c>
      <c r="F1869" s="4">
        <f t="shared" si="116"/>
        <v>14.168766666666665</v>
      </c>
      <c r="I1869" s="4" t="s">
        <v>1448</v>
      </c>
      <c r="J1869" s="4">
        <v>14.239699999999999</v>
      </c>
      <c r="K1869" s="4">
        <v>14.1936</v>
      </c>
      <c r="L1869" s="4">
        <v>13.9739</v>
      </c>
      <c r="M1869" s="4">
        <f t="shared" si="117"/>
        <v>14.135733333333334</v>
      </c>
      <c r="P1869" s="4" t="str">
        <f>"W02H5.2"</f>
        <v>W02H5.2</v>
      </c>
      <c r="Q1869" s="4">
        <v>13.9835270195249</v>
      </c>
      <c r="R1869" s="4">
        <v>13.6964609090619</v>
      </c>
      <c r="S1869" s="4">
        <v>13.464124003740499</v>
      </c>
      <c r="T1869" s="4">
        <f t="shared" si="118"/>
        <v>13.714703977442433</v>
      </c>
      <c r="W1869" s="4" t="str">
        <f>"sel-1"</f>
        <v>sel-1</v>
      </c>
      <c r="X1869" s="4">
        <v>13.8401480683358</v>
      </c>
      <c r="Y1869" s="4">
        <v>13.9088009822289</v>
      </c>
      <c r="Z1869" s="4">
        <v>13.683095856991599</v>
      </c>
      <c r="AA1869" s="4">
        <f t="shared" si="119"/>
        <v>13.810681635852101</v>
      </c>
    </row>
    <row r="1870" spans="2:27" x14ac:dyDescent="0.2">
      <c r="B1870" s="4" t="s">
        <v>4693</v>
      </c>
      <c r="C1870" s="4">
        <v>14.093400000000001</v>
      </c>
      <c r="D1870" s="4">
        <v>14.086399999999999</v>
      </c>
      <c r="E1870" s="4">
        <v>14.3201</v>
      </c>
      <c r="F1870" s="4">
        <f t="shared" si="116"/>
        <v>14.166633333333332</v>
      </c>
      <c r="I1870" s="4" t="s">
        <v>2352</v>
      </c>
      <c r="J1870" s="4">
        <v>14.629899999999999</v>
      </c>
      <c r="K1870" s="4">
        <v>14.428100000000001</v>
      </c>
      <c r="L1870" s="4">
        <v>13.3484</v>
      </c>
      <c r="M1870" s="4">
        <f t="shared" si="117"/>
        <v>14.135466666666666</v>
      </c>
      <c r="P1870" s="4" t="str">
        <f>"C14C10.2"</f>
        <v>C14C10.2</v>
      </c>
      <c r="Q1870" s="4">
        <v>13.883611199221599</v>
      </c>
      <c r="R1870" s="4">
        <v>13.622925705185001</v>
      </c>
      <c r="S1870" s="4">
        <v>13.629747492269001</v>
      </c>
      <c r="T1870" s="4">
        <f t="shared" si="118"/>
        <v>13.712094798891869</v>
      </c>
      <c r="W1870" s="4" t="str">
        <f>"pfkb-1.1"</f>
        <v>pfkb-1.1</v>
      </c>
      <c r="X1870" s="4">
        <v>13.632461469705101</v>
      </c>
      <c r="Y1870" s="4">
        <v>13.943062202752399</v>
      </c>
      <c r="Z1870" s="4">
        <v>13.8551524428519</v>
      </c>
      <c r="AA1870" s="4">
        <f t="shared" si="119"/>
        <v>13.810225371769798</v>
      </c>
    </row>
    <row r="1871" spans="2:27" x14ac:dyDescent="0.2">
      <c r="B1871" s="4" t="s">
        <v>4690</v>
      </c>
      <c r="C1871" s="4">
        <v>14.593999999999999</v>
      </c>
      <c r="D1871" s="4">
        <v>13.6915</v>
      </c>
      <c r="E1871" s="4">
        <v>14.2121</v>
      </c>
      <c r="F1871" s="4">
        <f t="shared" si="116"/>
        <v>14.165866666666666</v>
      </c>
      <c r="I1871" s="4" t="s">
        <v>2198</v>
      </c>
      <c r="J1871" s="4">
        <v>14.381399999999999</v>
      </c>
      <c r="K1871" s="4">
        <v>13.565099999999999</v>
      </c>
      <c r="L1871" s="4">
        <v>14.45</v>
      </c>
      <c r="M1871" s="4">
        <f t="shared" si="117"/>
        <v>14.132166666666668</v>
      </c>
      <c r="P1871" s="4" t="str">
        <f>"anat-1"</f>
        <v>anat-1</v>
      </c>
      <c r="Q1871" s="4">
        <v>13.658512711096201</v>
      </c>
      <c r="R1871" s="4">
        <v>13.712496456885599</v>
      </c>
      <c r="S1871" s="4">
        <v>13.760071854461399</v>
      </c>
      <c r="T1871" s="4">
        <f t="shared" si="118"/>
        <v>13.710360340814399</v>
      </c>
      <c r="W1871" s="4" t="str">
        <f>"F45G2.9"</f>
        <v>F45G2.9</v>
      </c>
      <c r="X1871" s="4">
        <v>13.651237193876501</v>
      </c>
      <c r="Y1871" s="4">
        <v>13.894688054575299</v>
      </c>
      <c r="Z1871" s="4">
        <v>13.8827871020624</v>
      </c>
      <c r="AA1871" s="4">
        <f t="shared" si="119"/>
        <v>13.809570783504734</v>
      </c>
    </row>
    <row r="1872" spans="2:27" x14ac:dyDescent="0.2">
      <c r="B1872" s="4" t="s">
        <v>1917</v>
      </c>
      <c r="C1872" s="4">
        <v>14.306100000000001</v>
      </c>
      <c r="D1872" s="4">
        <v>13.7148</v>
      </c>
      <c r="E1872" s="4">
        <v>14.468299999999999</v>
      </c>
      <c r="F1872" s="4">
        <f t="shared" si="116"/>
        <v>14.163066666666666</v>
      </c>
      <c r="I1872" s="4" t="s">
        <v>4700</v>
      </c>
      <c r="J1872" s="4">
        <v>14.1675</v>
      </c>
      <c r="K1872" s="4">
        <v>14.605</v>
      </c>
      <c r="L1872" s="4">
        <v>13.607100000000001</v>
      </c>
      <c r="M1872" s="4">
        <f t="shared" si="117"/>
        <v>14.126533333333334</v>
      </c>
      <c r="P1872" s="4" t="str">
        <f>"sft-4"</f>
        <v>sft-4</v>
      </c>
      <c r="Q1872" s="4">
        <v>13.2578496537179</v>
      </c>
      <c r="R1872" s="4">
        <v>13.9267005314671</v>
      </c>
      <c r="S1872" s="4">
        <v>13.941801243715201</v>
      </c>
      <c r="T1872" s="4">
        <f t="shared" si="118"/>
        <v>13.708783809633401</v>
      </c>
      <c r="W1872" s="4" t="str">
        <f>"guk-1"</f>
        <v>guk-1</v>
      </c>
      <c r="X1872" s="4">
        <v>13.4774614466732</v>
      </c>
      <c r="Y1872" s="4">
        <v>13.806960569024101</v>
      </c>
      <c r="Z1872" s="4">
        <v>14.143517995701201</v>
      </c>
      <c r="AA1872" s="4">
        <f t="shared" si="119"/>
        <v>13.809313337132835</v>
      </c>
    </row>
    <row r="1873" spans="2:27" x14ac:dyDescent="0.2">
      <c r="B1873" s="4" t="s">
        <v>2390</v>
      </c>
      <c r="C1873" s="4">
        <v>13.960100000000001</v>
      </c>
      <c r="D1873" s="4">
        <v>14.6515</v>
      </c>
      <c r="E1873" s="4">
        <v>13.8773</v>
      </c>
      <c r="F1873" s="4">
        <f t="shared" si="116"/>
        <v>14.162966666666668</v>
      </c>
      <c r="I1873" s="4" t="s">
        <v>4565</v>
      </c>
      <c r="J1873" s="4">
        <v>13.726000000000001</v>
      </c>
      <c r="K1873" s="4">
        <v>14.540699999999999</v>
      </c>
      <c r="L1873" s="4">
        <v>14.1084</v>
      </c>
      <c r="M1873" s="4">
        <f t="shared" si="117"/>
        <v>14.125033333333334</v>
      </c>
      <c r="P1873" s="4" t="str">
        <f>"egl-21"</f>
        <v>egl-21</v>
      </c>
      <c r="Q1873" s="4">
        <v>13.808058068407201</v>
      </c>
      <c r="R1873" s="4">
        <v>13.734660994407999</v>
      </c>
      <c r="S1873" s="4">
        <v>13.5824906548262</v>
      </c>
      <c r="T1873" s="4">
        <f t="shared" si="118"/>
        <v>13.708403239213801</v>
      </c>
      <c r="W1873" s="4" t="str">
        <f>"zen-4"</f>
        <v>zen-4</v>
      </c>
      <c r="X1873" s="4">
        <v>14.038566961874899</v>
      </c>
      <c r="Y1873" s="4">
        <v>13.556371963121</v>
      </c>
      <c r="Z1873" s="4">
        <v>13.8296790319925</v>
      </c>
      <c r="AA1873" s="4">
        <f t="shared" si="119"/>
        <v>13.8082059856628</v>
      </c>
    </row>
    <row r="1874" spans="2:27" x14ac:dyDescent="0.2">
      <c r="B1874" s="4" t="s">
        <v>2645</v>
      </c>
      <c r="C1874" s="4">
        <v>14.0253</v>
      </c>
      <c r="D1874" s="4">
        <v>14.5756</v>
      </c>
      <c r="E1874" s="4">
        <v>13.885999999999999</v>
      </c>
      <c r="F1874" s="4">
        <f t="shared" si="116"/>
        <v>14.1623</v>
      </c>
      <c r="I1874" s="4" t="s">
        <v>4549</v>
      </c>
      <c r="J1874" s="4">
        <v>13.758699999999999</v>
      </c>
      <c r="K1874" s="4">
        <v>14.3752</v>
      </c>
      <c r="L1874" s="4">
        <v>14.241199999999999</v>
      </c>
      <c r="M1874" s="4">
        <f t="shared" si="117"/>
        <v>14.125033333333333</v>
      </c>
      <c r="P1874" s="4" t="str">
        <f>"cash-1"</f>
        <v>cash-1</v>
      </c>
      <c r="Q1874" s="4">
        <v>13.9295720857258</v>
      </c>
      <c r="R1874" s="4">
        <v>13.4219441702152</v>
      </c>
      <c r="S1874" s="4">
        <v>13.7710186936387</v>
      </c>
      <c r="T1874" s="4">
        <f t="shared" si="118"/>
        <v>13.707511649859901</v>
      </c>
      <c r="W1874" s="4" t="str">
        <f>"ula-1"</f>
        <v>ula-1</v>
      </c>
      <c r="X1874" s="4">
        <v>13.8547730510483</v>
      </c>
      <c r="Y1874" s="4">
        <v>13.836520019143</v>
      </c>
      <c r="Z1874" s="4">
        <v>13.7277582023187</v>
      </c>
      <c r="AA1874" s="4">
        <f t="shared" si="119"/>
        <v>13.806350424170001</v>
      </c>
    </row>
    <row r="1875" spans="2:27" x14ac:dyDescent="0.2">
      <c r="B1875" s="4" t="s">
        <v>2418</v>
      </c>
      <c r="C1875" s="4">
        <v>14.159700000000001</v>
      </c>
      <c r="D1875" s="4">
        <v>14.002599999999999</v>
      </c>
      <c r="E1875" s="4">
        <v>14.3231</v>
      </c>
      <c r="F1875" s="4">
        <f t="shared" si="116"/>
        <v>14.161799999999999</v>
      </c>
      <c r="I1875" s="4" t="s">
        <v>2288</v>
      </c>
      <c r="J1875" s="4">
        <v>13.9674</v>
      </c>
      <c r="K1875" s="4">
        <v>13.982799999999999</v>
      </c>
      <c r="L1875" s="4">
        <v>14.4239</v>
      </c>
      <c r="M1875" s="4">
        <f t="shared" si="117"/>
        <v>14.124699999999999</v>
      </c>
      <c r="P1875" s="4" t="str">
        <f>"gcs-1"</f>
        <v>gcs-1</v>
      </c>
      <c r="Q1875" s="4">
        <v>13.844136803671001</v>
      </c>
      <c r="R1875" s="4">
        <v>13.549384401333899</v>
      </c>
      <c r="S1875" s="4">
        <v>13.7237897465668</v>
      </c>
      <c r="T1875" s="4">
        <f t="shared" si="118"/>
        <v>13.705770317190568</v>
      </c>
      <c r="W1875" s="4" t="str">
        <f>"dnj-9"</f>
        <v>dnj-9</v>
      </c>
      <c r="X1875" s="4">
        <v>13.7193965102802</v>
      </c>
      <c r="Y1875" s="4">
        <v>13.858423136415601</v>
      </c>
      <c r="Z1875" s="4">
        <v>13.838581486152901</v>
      </c>
      <c r="AA1875" s="4">
        <f t="shared" si="119"/>
        <v>13.805467044282901</v>
      </c>
    </row>
    <row r="1876" spans="2:27" x14ac:dyDescent="0.2">
      <c r="B1876" s="4" t="s">
        <v>917</v>
      </c>
      <c r="C1876" s="4">
        <v>14.0556</v>
      </c>
      <c r="D1876" s="4">
        <v>13.762700000000001</v>
      </c>
      <c r="E1876" s="4">
        <v>14.6652</v>
      </c>
      <c r="F1876" s="4">
        <f t="shared" si="116"/>
        <v>14.161166666666666</v>
      </c>
      <c r="I1876" s="4" t="s">
        <v>956</v>
      </c>
      <c r="J1876" s="4">
        <v>13.8687</v>
      </c>
      <c r="K1876" s="4">
        <v>13.965999999999999</v>
      </c>
      <c r="L1876" s="4">
        <v>14.5253</v>
      </c>
      <c r="M1876" s="4">
        <f t="shared" si="117"/>
        <v>14.12</v>
      </c>
      <c r="P1876" s="4" t="str">
        <f>"hsp-110"</f>
        <v>hsp-110</v>
      </c>
      <c r="Q1876" s="4">
        <v>13.4453024427479</v>
      </c>
      <c r="R1876" s="4">
        <v>13.8323615871897</v>
      </c>
      <c r="S1876" s="4">
        <v>13.8383596991105</v>
      </c>
      <c r="T1876" s="4">
        <f t="shared" si="118"/>
        <v>13.705341243016035</v>
      </c>
      <c r="W1876" s="4" t="str">
        <f>"lin-13"</f>
        <v>lin-13</v>
      </c>
      <c r="X1876" s="4">
        <v>13.733745052193999</v>
      </c>
      <c r="Y1876" s="4">
        <v>13.768835159937</v>
      </c>
      <c r="Z1876" s="4">
        <v>13.911090540828701</v>
      </c>
      <c r="AA1876" s="4">
        <f t="shared" si="119"/>
        <v>13.804556917653235</v>
      </c>
    </row>
    <row r="1877" spans="2:27" x14ac:dyDescent="0.2">
      <c r="B1877" s="4" t="s">
        <v>3586</v>
      </c>
      <c r="C1877" s="4">
        <v>14.3163</v>
      </c>
      <c r="D1877" s="4">
        <v>14.0121</v>
      </c>
      <c r="E1877" s="4">
        <v>14.151400000000001</v>
      </c>
      <c r="F1877" s="4">
        <f t="shared" si="116"/>
        <v>14.159933333333335</v>
      </c>
      <c r="I1877" s="4" t="s">
        <v>3365</v>
      </c>
      <c r="J1877" s="4">
        <v>14.1707</v>
      </c>
      <c r="K1877" s="4">
        <v>13.867800000000001</v>
      </c>
      <c r="L1877" s="4">
        <v>14.3179</v>
      </c>
      <c r="M1877" s="4">
        <f t="shared" si="117"/>
        <v>14.1188</v>
      </c>
      <c r="P1877" s="4" t="str">
        <f>"C27D8.4"</f>
        <v>C27D8.4</v>
      </c>
      <c r="Q1877" s="4">
        <v>13.6238807058331</v>
      </c>
      <c r="R1877" s="4">
        <v>13.6637190577244</v>
      </c>
      <c r="S1877" s="4">
        <v>13.828075065481199</v>
      </c>
      <c r="T1877" s="4">
        <f t="shared" si="118"/>
        <v>13.705224943012901</v>
      </c>
      <c r="W1877" s="4" t="str">
        <f>"C27D8.4"</f>
        <v>C27D8.4</v>
      </c>
      <c r="X1877" s="4">
        <v>13.569674254090099</v>
      </c>
      <c r="Y1877" s="4">
        <v>13.8044246881087</v>
      </c>
      <c r="Z1877" s="4">
        <v>14.0321938627057</v>
      </c>
      <c r="AA1877" s="4">
        <f t="shared" si="119"/>
        <v>13.802097601634832</v>
      </c>
    </row>
    <row r="1878" spans="2:27" x14ac:dyDescent="0.2">
      <c r="B1878" s="4" t="s">
        <v>2605</v>
      </c>
      <c r="C1878" s="4">
        <v>14.5166</v>
      </c>
      <c r="D1878" s="4">
        <v>13.898899999999999</v>
      </c>
      <c r="E1878" s="4">
        <v>14.059799999999999</v>
      </c>
      <c r="F1878" s="4">
        <f t="shared" si="116"/>
        <v>14.158433333333335</v>
      </c>
      <c r="I1878" s="4" t="s">
        <v>2333</v>
      </c>
      <c r="J1878" s="4">
        <v>14.488</v>
      </c>
      <c r="K1878" s="4">
        <v>13.925599999999999</v>
      </c>
      <c r="L1878" s="4">
        <v>13.9344</v>
      </c>
      <c r="M1878" s="4">
        <f t="shared" si="117"/>
        <v>14.116</v>
      </c>
      <c r="P1878" s="4" t="str">
        <f>"clec-7"</f>
        <v>clec-7</v>
      </c>
      <c r="Q1878" s="4">
        <v>13.8464459050616</v>
      </c>
      <c r="R1878" s="4">
        <v>13.690619613576199</v>
      </c>
      <c r="S1878" s="4">
        <v>13.5737951218206</v>
      </c>
      <c r="T1878" s="4">
        <f t="shared" si="118"/>
        <v>13.703620213486133</v>
      </c>
      <c r="W1878" s="4" t="str">
        <f>"F21C10.9"</f>
        <v>F21C10.9</v>
      </c>
      <c r="X1878" s="4">
        <v>13.88167035935</v>
      </c>
      <c r="Y1878" s="4">
        <v>13.8825608265907</v>
      </c>
      <c r="Z1878" s="4">
        <v>13.6387301946232</v>
      </c>
      <c r="AA1878" s="4">
        <f t="shared" si="119"/>
        <v>13.800987126854634</v>
      </c>
    </row>
    <row r="1879" spans="2:27" x14ac:dyDescent="0.2">
      <c r="B1879" s="4" t="s">
        <v>4067</v>
      </c>
      <c r="C1879" s="4">
        <v>14.135999999999999</v>
      </c>
      <c r="D1879" s="4">
        <v>14.582700000000001</v>
      </c>
      <c r="E1879" s="4">
        <v>13.7555</v>
      </c>
      <c r="F1879" s="4">
        <f t="shared" si="116"/>
        <v>14.158066666666665</v>
      </c>
      <c r="I1879" s="4" t="s">
        <v>1243</v>
      </c>
      <c r="J1879" s="4">
        <v>14.248799999999999</v>
      </c>
      <c r="K1879" s="4">
        <v>14.340999999999999</v>
      </c>
      <c r="L1879" s="4">
        <v>13.754899999999999</v>
      </c>
      <c r="M1879" s="4">
        <f t="shared" si="117"/>
        <v>14.114899999999999</v>
      </c>
      <c r="P1879" s="4" t="str">
        <f>"F53F4.10"</f>
        <v>F53F4.10</v>
      </c>
      <c r="Q1879" s="4">
        <v>13.895568732271</v>
      </c>
      <c r="R1879" s="4">
        <v>13.4601654007758</v>
      </c>
      <c r="S1879" s="4">
        <v>13.746969475512101</v>
      </c>
      <c r="T1879" s="4">
        <f t="shared" si="118"/>
        <v>13.700901202852968</v>
      </c>
      <c r="W1879" s="4" t="str">
        <f>"pyk-2"</f>
        <v>pyk-2</v>
      </c>
      <c r="X1879" s="4">
        <v>13.9215802460156</v>
      </c>
      <c r="Y1879" s="4">
        <v>13.717797750971201</v>
      </c>
      <c r="Z1879" s="4">
        <v>13.7587266660952</v>
      </c>
      <c r="AA1879" s="4">
        <f t="shared" si="119"/>
        <v>13.799368221027335</v>
      </c>
    </row>
    <row r="1880" spans="2:27" x14ac:dyDescent="0.2">
      <c r="B1880" s="4" t="s">
        <v>1219</v>
      </c>
      <c r="C1880" s="4">
        <v>13.607900000000001</v>
      </c>
      <c r="D1880" s="4">
        <v>14.067299999999999</v>
      </c>
      <c r="E1880" s="4">
        <v>14.798299999999999</v>
      </c>
      <c r="F1880" s="4">
        <f t="shared" si="116"/>
        <v>14.157833333333334</v>
      </c>
      <c r="I1880" s="4" t="s">
        <v>864</v>
      </c>
      <c r="J1880" s="4">
        <v>13.879899999999999</v>
      </c>
      <c r="K1880" s="4">
        <v>14.0563</v>
      </c>
      <c r="L1880" s="4">
        <v>14.4041</v>
      </c>
      <c r="M1880" s="4">
        <f t="shared" si="117"/>
        <v>14.113433333333333</v>
      </c>
      <c r="P1880" s="4" t="str">
        <f>"C56A3.5"</f>
        <v>C56A3.5</v>
      </c>
      <c r="Q1880" s="4">
        <v>13.5690913983674</v>
      </c>
      <c r="R1880" s="4">
        <v>13.885201318767701</v>
      </c>
      <c r="S1880" s="4">
        <v>13.6474463570573</v>
      </c>
      <c r="T1880" s="4">
        <f t="shared" si="118"/>
        <v>13.700579691397467</v>
      </c>
      <c r="W1880" s="4" t="str">
        <f>"snx-1"</f>
        <v>snx-1</v>
      </c>
      <c r="X1880" s="4">
        <v>13.8649254081939</v>
      </c>
      <c r="Y1880" s="4">
        <v>13.734682912218901</v>
      </c>
      <c r="Z1880" s="4">
        <v>13.7965315704855</v>
      </c>
      <c r="AA1880" s="4">
        <f t="shared" si="119"/>
        <v>13.798713296966099</v>
      </c>
    </row>
    <row r="1881" spans="2:27" x14ac:dyDescent="0.2">
      <c r="B1881" s="4" t="s">
        <v>1691</v>
      </c>
      <c r="C1881" s="4">
        <v>14.1264</v>
      </c>
      <c r="D1881" s="4">
        <v>14.1601</v>
      </c>
      <c r="E1881" s="4">
        <v>14.180199999999999</v>
      </c>
      <c r="F1881" s="4">
        <f t="shared" si="116"/>
        <v>14.155566666666667</v>
      </c>
      <c r="I1881" s="4" t="s">
        <v>4048</v>
      </c>
      <c r="J1881" s="4">
        <v>13.9947</v>
      </c>
      <c r="K1881" s="4">
        <v>14.4718</v>
      </c>
      <c r="L1881" s="4">
        <v>13.872299999999999</v>
      </c>
      <c r="M1881" s="4">
        <f t="shared" si="117"/>
        <v>14.112933333333332</v>
      </c>
      <c r="P1881" s="4" t="str">
        <f>"ascc-1"</f>
        <v>ascc-1</v>
      </c>
      <c r="Q1881" s="4">
        <v>13.8272659227625</v>
      </c>
      <c r="R1881" s="4">
        <v>13.6197403102225</v>
      </c>
      <c r="S1881" s="4">
        <v>13.6474608951109</v>
      </c>
      <c r="T1881" s="4">
        <f t="shared" si="118"/>
        <v>13.698155709365301</v>
      </c>
      <c r="W1881" s="4" t="str">
        <f>"R07E4.5"</f>
        <v>R07E4.5</v>
      </c>
      <c r="X1881" s="4">
        <v>14.045790947283599</v>
      </c>
      <c r="Y1881" s="4">
        <v>13.854624183578</v>
      </c>
      <c r="Z1881" s="4">
        <v>13.495706081823799</v>
      </c>
      <c r="AA1881" s="4">
        <f t="shared" si="119"/>
        <v>13.798707070895134</v>
      </c>
    </row>
    <row r="1882" spans="2:27" x14ac:dyDescent="0.2">
      <c r="B1882" s="4" t="s">
        <v>4009</v>
      </c>
      <c r="C1882" s="4">
        <v>14.1427</v>
      </c>
      <c r="D1882" s="4">
        <v>14.0458</v>
      </c>
      <c r="E1882" s="4">
        <v>14.277200000000001</v>
      </c>
      <c r="F1882" s="4">
        <f t="shared" si="116"/>
        <v>14.155233333333333</v>
      </c>
      <c r="I1882" s="4" t="s">
        <v>177</v>
      </c>
      <c r="J1882" s="4">
        <v>14.010999999999999</v>
      </c>
      <c r="K1882" s="4">
        <v>13.840299999999999</v>
      </c>
      <c r="L1882" s="4">
        <v>14.484400000000001</v>
      </c>
      <c r="M1882" s="4">
        <f t="shared" si="117"/>
        <v>14.1119</v>
      </c>
      <c r="P1882" s="4" t="str">
        <f>"krr-1"</f>
        <v>krr-1</v>
      </c>
      <c r="Q1882" s="4">
        <v>13.9211660183548</v>
      </c>
      <c r="R1882" s="4">
        <v>13.7114323657644</v>
      </c>
      <c r="S1882" s="4">
        <v>13.4599758720609</v>
      </c>
      <c r="T1882" s="4">
        <f t="shared" si="118"/>
        <v>13.697524752060033</v>
      </c>
      <c r="W1882" s="4" t="str">
        <f>"spt-5"</f>
        <v>spt-5</v>
      </c>
      <c r="X1882" s="4">
        <v>13.842558668502001</v>
      </c>
      <c r="Y1882" s="4">
        <v>13.7211697078152</v>
      </c>
      <c r="Z1882" s="4">
        <v>13.8304626502047</v>
      </c>
      <c r="AA1882" s="4">
        <f t="shared" si="119"/>
        <v>13.798063675507301</v>
      </c>
    </row>
    <row r="1883" spans="2:27" x14ac:dyDescent="0.2">
      <c r="B1883" s="4" t="s">
        <v>1374</v>
      </c>
      <c r="C1883" s="4">
        <v>14.126200000000001</v>
      </c>
      <c r="D1883" s="4">
        <v>14.169499999999999</v>
      </c>
      <c r="E1883" s="4">
        <v>14.1614</v>
      </c>
      <c r="F1883" s="4">
        <f t="shared" si="116"/>
        <v>14.152366666666666</v>
      </c>
      <c r="I1883" s="4" t="s">
        <v>428</v>
      </c>
      <c r="J1883" s="4">
        <v>13.7096</v>
      </c>
      <c r="K1883" s="4">
        <v>14.1052</v>
      </c>
      <c r="L1883" s="4">
        <v>14.511699999999999</v>
      </c>
      <c r="M1883" s="4">
        <f t="shared" si="117"/>
        <v>14.108833333333331</v>
      </c>
      <c r="P1883" s="4" t="str">
        <f>"mrpl-18"</f>
        <v>mrpl-18</v>
      </c>
      <c r="Q1883" s="4">
        <v>13.564422699295299</v>
      </c>
      <c r="R1883" s="4">
        <v>13.7492701079904</v>
      </c>
      <c r="S1883" s="4">
        <v>13.772509397235501</v>
      </c>
      <c r="T1883" s="4">
        <f t="shared" si="118"/>
        <v>13.695400734840399</v>
      </c>
      <c r="W1883" s="4" t="str">
        <f>"T26G10.1"</f>
        <v>T26G10.1</v>
      </c>
      <c r="X1883" s="4">
        <v>13.810836971574</v>
      </c>
      <c r="Y1883" s="4">
        <v>13.6108447634764</v>
      </c>
      <c r="Z1883" s="4">
        <v>13.971160356964401</v>
      </c>
      <c r="AA1883" s="4">
        <f t="shared" si="119"/>
        <v>13.797614030671602</v>
      </c>
    </row>
    <row r="1884" spans="2:27" x14ac:dyDescent="0.2">
      <c r="B1884" s="4" t="s">
        <v>2014</v>
      </c>
      <c r="C1884" s="4">
        <v>14.321300000000001</v>
      </c>
      <c r="D1884" s="4">
        <v>14.705399999999999</v>
      </c>
      <c r="E1884" s="4">
        <v>13.4237</v>
      </c>
      <c r="F1884" s="4">
        <f t="shared" si="116"/>
        <v>14.150133333333335</v>
      </c>
      <c r="I1884" s="4" t="s">
        <v>3147</v>
      </c>
      <c r="J1884" s="4">
        <v>14.0351</v>
      </c>
      <c r="K1884" s="4">
        <v>14.397</v>
      </c>
      <c r="L1884" s="4">
        <v>13.8911</v>
      </c>
      <c r="M1884" s="4">
        <f t="shared" si="117"/>
        <v>14.107733333333334</v>
      </c>
      <c r="P1884" s="4" t="str">
        <f>"dpy-26"</f>
        <v>dpy-26</v>
      </c>
      <c r="Q1884" s="4">
        <v>13.8926178769822</v>
      </c>
      <c r="R1884" s="4">
        <v>13.5438208352299</v>
      </c>
      <c r="S1884" s="4">
        <v>13.6490644502486</v>
      </c>
      <c r="T1884" s="4">
        <f t="shared" si="118"/>
        <v>13.695167720820235</v>
      </c>
      <c r="W1884" s="4" t="str">
        <f>"mex-3"</f>
        <v>mex-3</v>
      </c>
      <c r="X1884" s="4">
        <v>13.947815148819901</v>
      </c>
      <c r="Y1884" s="4">
        <v>13.815489709120699</v>
      </c>
      <c r="Z1884" s="4">
        <v>13.6211689453818</v>
      </c>
      <c r="AA1884" s="4">
        <f t="shared" si="119"/>
        <v>13.794824601107466</v>
      </c>
    </row>
    <row r="1885" spans="2:27" x14ac:dyDescent="0.2">
      <c r="B1885" s="4" t="s">
        <v>973</v>
      </c>
      <c r="C1885" s="4">
        <v>14.2661</v>
      </c>
      <c r="D1885" s="4">
        <v>13.975099999999999</v>
      </c>
      <c r="E1885" s="4">
        <v>14.207700000000001</v>
      </c>
      <c r="F1885" s="4">
        <f t="shared" si="116"/>
        <v>14.149633333333334</v>
      </c>
      <c r="I1885" s="4" t="s">
        <v>4722</v>
      </c>
      <c r="J1885" s="4">
        <v>14.186400000000001</v>
      </c>
      <c r="K1885" s="4">
        <v>14.223000000000001</v>
      </c>
      <c r="L1885" s="4">
        <v>13.9133</v>
      </c>
      <c r="M1885" s="4">
        <f t="shared" si="117"/>
        <v>14.107566666666665</v>
      </c>
      <c r="P1885" s="4" t="str">
        <f>"F53H1.4"</f>
        <v>F53H1.4</v>
      </c>
      <c r="Q1885" s="4">
        <v>13.767181371876701</v>
      </c>
      <c r="R1885" s="4">
        <v>13.547331512149199</v>
      </c>
      <c r="S1885" s="4">
        <v>13.7708438582521</v>
      </c>
      <c r="T1885" s="4">
        <f t="shared" si="118"/>
        <v>13.695118914092667</v>
      </c>
      <c r="W1885" s="4" t="str">
        <f>"ZK418.5"</f>
        <v>ZK418.5</v>
      </c>
      <c r="X1885" s="4">
        <v>13.734957383552899</v>
      </c>
      <c r="Y1885" s="4">
        <v>13.7185883392498</v>
      </c>
      <c r="Z1885" s="4">
        <v>13.9286967327974</v>
      </c>
      <c r="AA1885" s="4">
        <f t="shared" si="119"/>
        <v>13.794080818533367</v>
      </c>
    </row>
    <row r="1886" spans="2:27" x14ac:dyDescent="0.2">
      <c r="B1886" s="4" t="s">
        <v>1289</v>
      </c>
      <c r="C1886" s="4">
        <v>13.908099999999999</v>
      </c>
      <c r="D1886" s="4">
        <v>14.26</v>
      </c>
      <c r="E1886" s="4">
        <v>14.280200000000001</v>
      </c>
      <c r="F1886" s="4">
        <f t="shared" si="116"/>
        <v>14.149433333333334</v>
      </c>
      <c r="I1886" s="4" t="s">
        <v>2546</v>
      </c>
      <c r="J1886" s="4">
        <v>14.212400000000001</v>
      </c>
      <c r="K1886" s="4">
        <v>14.1358</v>
      </c>
      <c r="L1886" s="4">
        <v>13.9742</v>
      </c>
      <c r="M1886" s="4">
        <f t="shared" si="117"/>
        <v>14.107466666666667</v>
      </c>
      <c r="P1886" s="4" t="str">
        <f>"T05H10.1"</f>
        <v>T05H10.1</v>
      </c>
      <c r="Q1886" s="4">
        <v>13.6105953952805</v>
      </c>
      <c r="R1886" s="4">
        <v>13.727875363748099</v>
      </c>
      <c r="S1886" s="4">
        <v>13.7445825389257</v>
      </c>
      <c r="T1886" s="4">
        <f t="shared" si="118"/>
        <v>13.6943510993181</v>
      </c>
      <c r="W1886" s="4" t="str">
        <f>"dpy-11"</f>
        <v>dpy-11</v>
      </c>
      <c r="X1886" s="4">
        <v>13.7618429082357</v>
      </c>
      <c r="Y1886" s="4">
        <v>13.6713590760326</v>
      </c>
      <c r="Z1886" s="4">
        <v>13.947414737330799</v>
      </c>
      <c r="AA1886" s="4">
        <f t="shared" si="119"/>
        <v>13.793538907199698</v>
      </c>
    </row>
    <row r="1887" spans="2:27" x14ac:dyDescent="0.2">
      <c r="B1887" s="4" t="s">
        <v>152</v>
      </c>
      <c r="C1887" s="4">
        <v>13.805199999999999</v>
      </c>
      <c r="D1887" s="4">
        <v>14.6609</v>
      </c>
      <c r="E1887" s="4">
        <v>13.981</v>
      </c>
      <c r="F1887" s="4">
        <f t="shared" si="116"/>
        <v>14.149033333333334</v>
      </c>
      <c r="I1887" s="4" t="s">
        <v>850</v>
      </c>
      <c r="J1887" s="4">
        <v>14.424200000000001</v>
      </c>
      <c r="K1887" s="4">
        <v>14.2182</v>
      </c>
      <c r="L1887" s="4">
        <v>13.678900000000001</v>
      </c>
      <c r="M1887" s="4">
        <f t="shared" si="117"/>
        <v>14.107100000000001</v>
      </c>
      <c r="P1887" s="4" t="str">
        <f>"F17E5.2"</f>
        <v>F17E5.2</v>
      </c>
      <c r="Q1887" s="4">
        <v>13.7496962749901</v>
      </c>
      <c r="R1887" s="4">
        <v>13.6257453781328</v>
      </c>
      <c r="S1887" s="4">
        <v>13.7065727304705</v>
      </c>
      <c r="T1887" s="4">
        <f t="shared" si="118"/>
        <v>13.694004794531132</v>
      </c>
      <c r="W1887" s="4" t="str">
        <f>"edc-3"</f>
        <v>edc-3</v>
      </c>
      <c r="X1887" s="4">
        <v>13.6373294362546</v>
      </c>
      <c r="Y1887" s="4">
        <v>13.6866340555704</v>
      </c>
      <c r="Z1887" s="4">
        <v>14.0502929589702</v>
      </c>
      <c r="AA1887" s="4">
        <f t="shared" si="119"/>
        <v>13.791418816931733</v>
      </c>
    </row>
    <row r="1888" spans="2:27" x14ac:dyDescent="0.2">
      <c r="B1888" s="4" t="s">
        <v>3170</v>
      </c>
      <c r="C1888" s="4">
        <v>14.175700000000001</v>
      </c>
      <c r="D1888" s="4">
        <v>14.0214</v>
      </c>
      <c r="E1888" s="4">
        <v>14.2475</v>
      </c>
      <c r="F1888" s="4">
        <f t="shared" si="116"/>
        <v>14.148200000000001</v>
      </c>
      <c r="I1888" s="4" t="s">
        <v>3003</v>
      </c>
      <c r="J1888" s="4">
        <v>14.059799999999999</v>
      </c>
      <c r="K1888" s="4">
        <v>14.0877</v>
      </c>
      <c r="L1888" s="4">
        <v>14.160600000000001</v>
      </c>
      <c r="M1888" s="4">
        <f t="shared" si="117"/>
        <v>14.1027</v>
      </c>
      <c r="P1888" s="4" t="str">
        <f>"ept-1"</f>
        <v>ept-1</v>
      </c>
      <c r="Q1888" s="4">
        <v>13.3585162283307</v>
      </c>
      <c r="R1888" s="4">
        <v>13.6987679840705</v>
      </c>
      <c r="S1888" s="4">
        <v>14.0098306909832</v>
      </c>
      <c r="T1888" s="4">
        <f t="shared" si="118"/>
        <v>13.689038301128134</v>
      </c>
      <c r="W1888" s="4" t="str">
        <f>"F17E5.2"</f>
        <v>F17E5.2</v>
      </c>
      <c r="X1888" s="4">
        <v>13.6502534619936</v>
      </c>
      <c r="Y1888" s="4">
        <v>13.766987063298901</v>
      </c>
      <c r="Z1888" s="4">
        <v>13.9545789393249</v>
      </c>
      <c r="AA1888" s="4">
        <f t="shared" si="119"/>
        <v>13.790606488205801</v>
      </c>
    </row>
    <row r="1889" spans="2:27" x14ac:dyDescent="0.2">
      <c r="B1889" s="4" t="s">
        <v>1340</v>
      </c>
      <c r="C1889" s="4">
        <v>14.1753</v>
      </c>
      <c r="D1889" s="4">
        <v>14.311999999999999</v>
      </c>
      <c r="E1889" s="4">
        <v>13.9344</v>
      </c>
      <c r="F1889" s="4">
        <f t="shared" si="116"/>
        <v>14.140566666666667</v>
      </c>
      <c r="I1889" s="4" t="s">
        <v>1690</v>
      </c>
      <c r="J1889" s="4">
        <v>13.948399999999999</v>
      </c>
      <c r="K1889" s="4">
        <v>13.833399999999999</v>
      </c>
      <c r="L1889" s="4">
        <v>14.519</v>
      </c>
      <c r="M1889" s="4">
        <f t="shared" si="117"/>
        <v>14.100266666666665</v>
      </c>
      <c r="P1889" s="4" t="str">
        <f>"T01H3.3"</f>
        <v>T01H3.3</v>
      </c>
      <c r="Q1889" s="4">
        <v>13.4010337797404</v>
      </c>
      <c r="R1889" s="4">
        <v>13.7969031686916</v>
      </c>
      <c r="S1889" s="4">
        <v>13.868540075994799</v>
      </c>
      <c r="T1889" s="4">
        <f t="shared" si="118"/>
        <v>13.688825674808934</v>
      </c>
      <c r="W1889" s="4" t="str">
        <f>"gldr-2"</f>
        <v>gldr-2</v>
      </c>
      <c r="X1889" s="4">
        <v>14.012152698500801</v>
      </c>
      <c r="Y1889" s="4">
        <v>13.6323496877274</v>
      </c>
      <c r="Z1889" s="4">
        <v>13.724635981204299</v>
      </c>
      <c r="AA1889" s="4">
        <f t="shared" si="119"/>
        <v>13.789712789144167</v>
      </c>
    </row>
    <row r="1890" spans="2:27" x14ac:dyDescent="0.2">
      <c r="B1890" s="4" t="s">
        <v>3065</v>
      </c>
      <c r="C1890" s="4">
        <v>14.2302</v>
      </c>
      <c r="D1890" s="4">
        <v>14.0426</v>
      </c>
      <c r="E1890" s="4">
        <v>14.148099999999999</v>
      </c>
      <c r="F1890" s="4">
        <f t="shared" si="116"/>
        <v>14.140300000000002</v>
      </c>
      <c r="I1890" s="4" t="s">
        <v>3634</v>
      </c>
      <c r="J1890" s="4">
        <v>14.577199999999999</v>
      </c>
      <c r="K1890" s="4">
        <v>13.870100000000001</v>
      </c>
      <c r="L1890" s="4">
        <v>13.8452</v>
      </c>
      <c r="M1890" s="4">
        <f t="shared" si="117"/>
        <v>14.097499999999998</v>
      </c>
      <c r="P1890" s="4" t="str">
        <f>"ampd-1"</f>
        <v>ampd-1</v>
      </c>
      <c r="Q1890" s="4">
        <v>13.6208784044426</v>
      </c>
      <c r="R1890" s="4">
        <v>13.620961425085399</v>
      </c>
      <c r="S1890" s="4">
        <v>13.821308122803099</v>
      </c>
      <c r="T1890" s="4">
        <f t="shared" si="118"/>
        <v>13.687715984110364</v>
      </c>
      <c r="W1890" s="4" t="str">
        <f>"mtx-2"</f>
        <v>mtx-2</v>
      </c>
      <c r="X1890" s="4">
        <v>13.965695351313601</v>
      </c>
      <c r="Y1890" s="4">
        <v>13.697465886417101</v>
      </c>
      <c r="Z1890" s="4">
        <v>13.702966909885401</v>
      </c>
      <c r="AA1890" s="4">
        <f t="shared" si="119"/>
        <v>13.7887093825387</v>
      </c>
    </row>
    <row r="1891" spans="2:27" x14ac:dyDescent="0.2">
      <c r="B1891" s="4" t="s">
        <v>2593</v>
      </c>
      <c r="C1891" s="4">
        <v>14.1404</v>
      </c>
      <c r="D1891" s="4">
        <v>14.1044</v>
      </c>
      <c r="E1891" s="4">
        <v>14.176</v>
      </c>
      <c r="F1891" s="4">
        <f t="shared" si="116"/>
        <v>14.140266666666667</v>
      </c>
      <c r="I1891" s="4" t="s">
        <v>990</v>
      </c>
      <c r="J1891" s="4">
        <v>13.896000000000001</v>
      </c>
      <c r="K1891" s="4">
        <v>14.538</v>
      </c>
      <c r="L1891" s="4">
        <v>13.850899999999999</v>
      </c>
      <c r="M1891" s="4">
        <f t="shared" si="117"/>
        <v>14.094966666666666</v>
      </c>
      <c r="P1891" s="4" t="str">
        <f>"aex-3"</f>
        <v>aex-3</v>
      </c>
      <c r="Q1891" s="4">
        <v>13.800323126735099</v>
      </c>
      <c r="R1891" s="4">
        <v>13.690048965794899</v>
      </c>
      <c r="S1891" s="4">
        <v>13.5718330795365</v>
      </c>
      <c r="T1891" s="4">
        <f t="shared" si="118"/>
        <v>13.687401724022166</v>
      </c>
      <c r="W1891" s="4" t="str">
        <f>"ain-1"</f>
        <v>ain-1</v>
      </c>
      <c r="X1891" s="4">
        <v>13.604937553414199</v>
      </c>
      <c r="Y1891" s="4">
        <v>13.886587880394501</v>
      </c>
      <c r="Z1891" s="4">
        <v>13.8633405217013</v>
      </c>
      <c r="AA1891" s="4">
        <f t="shared" si="119"/>
        <v>13.784955318503334</v>
      </c>
    </row>
    <row r="1892" spans="2:27" x14ac:dyDescent="0.2">
      <c r="B1892" s="4" t="s">
        <v>2694</v>
      </c>
      <c r="C1892" s="4">
        <v>14.016299999999999</v>
      </c>
      <c r="D1892" s="4">
        <v>14.066599999999999</v>
      </c>
      <c r="E1892" s="4">
        <v>14.337300000000001</v>
      </c>
      <c r="F1892" s="4">
        <f t="shared" si="116"/>
        <v>14.140066666666668</v>
      </c>
      <c r="I1892" s="4" t="s">
        <v>1418</v>
      </c>
      <c r="J1892" s="4">
        <v>14.139799999999999</v>
      </c>
      <c r="K1892" s="4">
        <v>14.120100000000001</v>
      </c>
      <c r="L1892" s="4">
        <v>14.0206</v>
      </c>
      <c r="M1892" s="4">
        <f t="shared" si="117"/>
        <v>14.093500000000001</v>
      </c>
      <c r="P1892" s="4" t="str">
        <f>"zyg-8"</f>
        <v>zyg-8</v>
      </c>
      <c r="Q1892" s="4">
        <v>13.4284194444985</v>
      </c>
      <c r="R1892" s="4">
        <v>13.907342800659301</v>
      </c>
      <c r="S1892" s="4">
        <v>13.7254809843506</v>
      </c>
      <c r="T1892" s="4">
        <f t="shared" si="118"/>
        <v>13.687081076502801</v>
      </c>
      <c r="W1892" s="4" t="str">
        <f>"2O16"</f>
        <v>2O16</v>
      </c>
      <c r="X1892" s="4">
        <v>13.939706202722</v>
      </c>
      <c r="Y1892" s="4">
        <v>13.722457042231801</v>
      </c>
      <c r="Z1892" s="4">
        <v>13.691184581093299</v>
      </c>
      <c r="AA1892" s="4">
        <f t="shared" si="119"/>
        <v>13.784449275349033</v>
      </c>
    </row>
    <row r="1893" spans="2:27" x14ac:dyDescent="0.2">
      <c r="B1893" s="4" t="s">
        <v>4723</v>
      </c>
      <c r="C1893" s="4">
        <v>14.0526</v>
      </c>
      <c r="D1893" s="4">
        <v>13.9948</v>
      </c>
      <c r="E1893" s="4">
        <v>14.366300000000001</v>
      </c>
      <c r="F1893" s="4">
        <f t="shared" si="116"/>
        <v>14.1379</v>
      </c>
      <c r="I1893" s="4" t="s">
        <v>503</v>
      </c>
      <c r="J1893" s="4">
        <v>14.467499999999999</v>
      </c>
      <c r="K1893" s="4">
        <v>13.3201</v>
      </c>
      <c r="L1893" s="4">
        <v>14.4893</v>
      </c>
      <c r="M1893" s="4">
        <f t="shared" si="117"/>
        <v>14.0923</v>
      </c>
      <c r="P1893" s="4" t="str">
        <f>"rpb-5"</f>
        <v>rpb-5</v>
      </c>
      <c r="Q1893" s="4">
        <v>13.6584087911976</v>
      </c>
      <c r="R1893" s="4">
        <v>13.675980253716901</v>
      </c>
      <c r="S1893" s="4">
        <v>13.7243137187507</v>
      </c>
      <c r="T1893" s="4">
        <f t="shared" si="118"/>
        <v>13.686234254555067</v>
      </c>
      <c r="W1893" s="4" t="str">
        <f>"fnip-2"</f>
        <v>fnip-2</v>
      </c>
      <c r="X1893" s="4">
        <v>13.6785040578226</v>
      </c>
      <c r="Y1893" s="4">
        <v>13.794877782315799</v>
      </c>
      <c r="Z1893" s="4">
        <v>13.8720047410321</v>
      </c>
      <c r="AA1893" s="4">
        <f t="shared" si="119"/>
        <v>13.781795527056834</v>
      </c>
    </row>
    <row r="1894" spans="2:27" x14ac:dyDescent="0.2">
      <c r="B1894" s="4" t="s">
        <v>3089</v>
      </c>
      <c r="C1894" s="4">
        <v>13.642200000000001</v>
      </c>
      <c r="D1894" s="4">
        <v>15.02</v>
      </c>
      <c r="E1894" s="4">
        <v>13.7479</v>
      </c>
      <c r="F1894" s="4">
        <f t="shared" si="116"/>
        <v>14.136699999999999</v>
      </c>
      <c r="I1894" s="4" t="s">
        <v>3660</v>
      </c>
      <c r="J1894" s="4">
        <v>14.043200000000001</v>
      </c>
      <c r="K1894" s="4">
        <v>14.1684</v>
      </c>
      <c r="L1894" s="4">
        <v>14.0648</v>
      </c>
      <c r="M1894" s="4">
        <f t="shared" si="117"/>
        <v>14.092133333333335</v>
      </c>
      <c r="P1894" s="4" t="str">
        <f>"popl-5"</f>
        <v>popl-5</v>
      </c>
      <c r="Q1894" s="4">
        <v>13.703737587085</v>
      </c>
      <c r="R1894" s="4">
        <v>13.4741446065504</v>
      </c>
      <c r="S1894" s="4">
        <v>13.880081552797799</v>
      </c>
      <c r="T1894" s="4">
        <f t="shared" si="118"/>
        <v>13.685987915477732</v>
      </c>
      <c r="W1894" s="4" t="str">
        <f>"rap-2"</f>
        <v>rap-2</v>
      </c>
      <c r="X1894" s="4">
        <v>13.894413757053499</v>
      </c>
      <c r="Y1894" s="4">
        <v>13.516675503356399</v>
      </c>
      <c r="Z1894" s="4">
        <v>13.931493648200499</v>
      </c>
      <c r="AA1894" s="4">
        <f t="shared" si="119"/>
        <v>13.780860969536798</v>
      </c>
    </row>
    <row r="1895" spans="2:27" x14ac:dyDescent="0.2">
      <c r="B1895" s="4" t="s">
        <v>2901</v>
      </c>
      <c r="C1895" s="4">
        <v>14.5444</v>
      </c>
      <c r="D1895" s="4">
        <v>14.1844</v>
      </c>
      <c r="E1895" s="4">
        <v>13.678599999999999</v>
      </c>
      <c r="F1895" s="4">
        <f t="shared" si="116"/>
        <v>14.135799999999998</v>
      </c>
      <c r="I1895" s="4" t="s">
        <v>2875</v>
      </c>
      <c r="J1895" s="4">
        <v>13.846500000000001</v>
      </c>
      <c r="K1895" s="4">
        <v>14.0693</v>
      </c>
      <c r="L1895" s="4">
        <v>14.357200000000001</v>
      </c>
      <c r="M1895" s="4">
        <f t="shared" si="117"/>
        <v>14.091000000000001</v>
      </c>
      <c r="P1895" s="4" t="str">
        <f>"tiar-1"</f>
        <v>tiar-1</v>
      </c>
      <c r="Q1895" s="4">
        <v>13.7044277941019</v>
      </c>
      <c r="R1895" s="4">
        <v>13.7353582552793</v>
      </c>
      <c r="S1895" s="4">
        <v>13.614317205490799</v>
      </c>
      <c r="T1895" s="4">
        <f t="shared" si="118"/>
        <v>13.684701084957332</v>
      </c>
      <c r="W1895" s="4" t="str">
        <f>"rab-6.1"</f>
        <v>rab-6.1</v>
      </c>
      <c r="X1895" s="4">
        <v>13.560523728741099</v>
      </c>
      <c r="Y1895" s="4">
        <v>13.6953216332425</v>
      </c>
      <c r="Z1895" s="4">
        <v>14.085373380891999</v>
      </c>
      <c r="AA1895" s="4">
        <f t="shared" si="119"/>
        <v>13.7804062476252</v>
      </c>
    </row>
    <row r="1896" spans="2:27" x14ac:dyDescent="0.2">
      <c r="B1896" s="4" t="s">
        <v>4318</v>
      </c>
      <c r="C1896" s="4">
        <v>14.352600000000001</v>
      </c>
      <c r="D1896" s="4">
        <v>14.2301</v>
      </c>
      <c r="E1896" s="4">
        <v>13.821999999999999</v>
      </c>
      <c r="F1896" s="4">
        <f t="shared" si="116"/>
        <v>14.134900000000002</v>
      </c>
      <c r="I1896" s="4" t="s">
        <v>1905</v>
      </c>
      <c r="J1896" s="4">
        <v>14.429</v>
      </c>
      <c r="K1896" s="4">
        <v>14.302199999999999</v>
      </c>
      <c r="L1896" s="4">
        <v>13.540699999999999</v>
      </c>
      <c r="M1896" s="4">
        <f t="shared" si="117"/>
        <v>14.090633333333335</v>
      </c>
      <c r="P1896" s="4" t="str">
        <f>"T01G9.2"</f>
        <v>T01G9.2</v>
      </c>
      <c r="Q1896" s="4">
        <v>14.169532947472</v>
      </c>
      <c r="R1896" s="4">
        <v>13.5986417789938</v>
      </c>
      <c r="S1896" s="4">
        <v>13.2858637606694</v>
      </c>
      <c r="T1896" s="4">
        <f t="shared" si="118"/>
        <v>13.684679495711734</v>
      </c>
      <c r="W1896" s="4" t="str">
        <f>"glh-2"</f>
        <v>glh-2</v>
      </c>
      <c r="X1896" s="4">
        <v>13.888408328336199</v>
      </c>
      <c r="Y1896" s="4">
        <v>13.7980118137831</v>
      </c>
      <c r="Z1896" s="4">
        <v>13.6425670495708</v>
      </c>
      <c r="AA1896" s="4">
        <f t="shared" si="119"/>
        <v>13.776329063896702</v>
      </c>
    </row>
    <row r="1897" spans="2:27" x14ac:dyDescent="0.2">
      <c r="B1897" s="4" t="s">
        <v>665</v>
      </c>
      <c r="C1897" s="4">
        <v>14.1684</v>
      </c>
      <c r="D1897" s="4">
        <v>14.259499999999999</v>
      </c>
      <c r="E1897" s="4">
        <v>13.967599999999999</v>
      </c>
      <c r="F1897" s="4">
        <f t="shared" si="116"/>
        <v>14.131833333333333</v>
      </c>
      <c r="I1897" s="4" t="s">
        <v>3599</v>
      </c>
      <c r="J1897" s="4">
        <v>14.1762</v>
      </c>
      <c r="K1897" s="4">
        <v>14.2105</v>
      </c>
      <c r="L1897" s="4">
        <v>13.8847</v>
      </c>
      <c r="M1897" s="4">
        <f t="shared" si="117"/>
        <v>14.090466666666666</v>
      </c>
      <c r="P1897" s="4" t="str">
        <f>"sec-16A.1"</f>
        <v>sec-16A.1</v>
      </c>
      <c r="Q1897" s="4">
        <v>13.708798247524699</v>
      </c>
      <c r="R1897" s="4">
        <v>13.6938496071381</v>
      </c>
      <c r="S1897" s="4">
        <v>13.6505295338027</v>
      </c>
      <c r="T1897" s="4">
        <f t="shared" si="118"/>
        <v>13.684392462821833</v>
      </c>
      <c r="W1897" s="4" t="str">
        <f>"ulp-3"</f>
        <v>ulp-3</v>
      </c>
      <c r="X1897" s="4">
        <v>13.8451592660705</v>
      </c>
      <c r="Y1897" s="4">
        <v>13.2881704703307</v>
      </c>
      <c r="Z1897" s="4">
        <v>14.1920398779422</v>
      </c>
      <c r="AA1897" s="4">
        <f t="shared" si="119"/>
        <v>13.775123204781133</v>
      </c>
    </row>
    <row r="1898" spans="2:27" x14ac:dyDescent="0.2">
      <c r="B1898" s="4" t="s">
        <v>934</v>
      </c>
      <c r="C1898" s="4">
        <v>14.6465</v>
      </c>
      <c r="D1898" s="4">
        <v>13.519600000000001</v>
      </c>
      <c r="E1898" s="4">
        <v>14.228899999999999</v>
      </c>
      <c r="F1898" s="4">
        <f t="shared" si="116"/>
        <v>14.131666666666666</v>
      </c>
      <c r="I1898" s="4" t="s">
        <v>1441</v>
      </c>
      <c r="J1898" s="4">
        <v>14.0908</v>
      </c>
      <c r="K1898" s="4">
        <v>13.5548</v>
      </c>
      <c r="L1898" s="4">
        <v>14.617900000000001</v>
      </c>
      <c r="M1898" s="4">
        <f t="shared" si="117"/>
        <v>14.087833333333334</v>
      </c>
      <c r="P1898" s="4" t="str">
        <f>"nex-3"</f>
        <v>nex-3</v>
      </c>
      <c r="Q1898" s="4">
        <v>13.656897898471</v>
      </c>
      <c r="R1898" s="4">
        <v>13.4709060921855</v>
      </c>
      <c r="S1898" s="4">
        <v>13.9242526121157</v>
      </c>
      <c r="T1898" s="4">
        <f t="shared" si="118"/>
        <v>13.684018867590732</v>
      </c>
      <c r="W1898" s="4" t="str">
        <f>"fntb-1"</f>
        <v>fntb-1</v>
      </c>
      <c r="X1898" s="4">
        <v>13.625168279482899</v>
      </c>
      <c r="Y1898" s="4">
        <v>13.6984875521288</v>
      </c>
      <c r="Z1898" s="4">
        <v>14.0014726120492</v>
      </c>
      <c r="AA1898" s="4">
        <f t="shared" si="119"/>
        <v>13.775042814553634</v>
      </c>
    </row>
    <row r="1899" spans="2:27" x14ac:dyDescent="0.2">
      <c r="B1899" s="4" t="s">
        <v>1418</v>
      </c>
      <c r="C1899" s="4">
        <v>14.014099999999999</v>
      </c>
      <c r="D1899" s="4">
        <v>14.0749</v>
      </c>
      <c r="E1899" s="4">
        <v>14.304399999999999</v>
      </c>
      <c r="F1899" s="4">
        <f t="shared" si="116"/>
        <v>14.131133333333333</v>
      </c>
      <c r="I1899" s="4" t="s">
        <v>373</v>
      </c>
      <c r="J1899" s="4">
        <v>14.347099999999999</v>
      </c>
      <c r="K1899" s="4">
        <v>13.4511</v>
      </c>
      <c r="L1899" s="4">
        <v>14.4636</v>
      </c>
      <c r="M1899" s="4">
        <f t="shared" si="117"/>
        <v>14.087266666666666</v>
      </c>
      <c r="P1899" s="4" t="str">
        <f>"C39D10.7"</f>
        <v>C39D10.7</v>
      </c>
      <c r="Q1899" s="4">
        <v>13.5255953076871</v>
      </c>
      <c r="R1899" s="4">
        <v>13.490785715115001</v>
      </c>
      <c r="S1899" s="4">
        <v>14.0351613005967</v>
      </c>
      <c r="T1899" s="4">
        <f t="shared" si="118"/>
        <v>13.683847441132933</v>
      </c>
      <c r="W1899" s="4" t="str">
        <f>"bgal-1"</f>
        <v>bgal-1</v>
      </c>
      <c r="X1899" s="4">
        <v>13.898159363418999</v>
      </c>
      <c r="Y1899" s="4">
        <v>13.800358277945</v>
      </c>
      <c r="Z1899" s="4">
        <v>13.623553527222199</v>
      </c>
      <c r="AA1899" s="4">
        <f t="shared" si="119"/>
        <v>13.774023722862067</v>
      </c>
    </row>
    <row r="1900" spans="2:27" x14ac:dyDescent="0.2">
      <c r="B1900" s="4" t="s">
        <v>591</v>
      </c>
      <c r="C1900" s="4">
        <v>13.908300000000001</v>
      </c>
      <c r="D1900" s="4">
        <v>14.491199999999999</v>
      </c>
      <c r="E1900" s="4">
        <v>13.989599999999999</v>
      </c>
      <c r="F1900" s="4">
        <f t="shared" si="116"/>
        <v>14.1297</v>
      </c>
      <c r="I1900" s="4" t="s">
        <v>3673</v>
      </c>
      <c r="J1900" s="4">
        <v>13.9816</v>
      </c>
      <c r="K1900" s="4">
        <v>13.7171</v>
      </c>
      <c r="L1900" s="4">
        <v>14.5571</v>
      </c>
      <c r="M1900" s="4">
        <f t="shared" si="117"/>
        <v>14.085266666666667</v>
      </c>
      <c r="P1900" s="4" t="str">
        <f>"noa-1"</f>
        <v>noa-1</v>
      </c>
      <c r="Q1900" s="4">
        <v>14.073649863671401</v>
      </c>
      <c r="R1900" s="4">
        <v>13.531142190794901</v>
      </c>
      <c r="S1900" s="4">
        <v>13.4461108271533</v>
      </c>
      <c r="T1900" s="4">
        <f t="shared" si="118"/>
        <v>13.683634293873199</v>
      </c>
      <c r="W1900" s="4" t="str">
        <f>"vps-41"</f>
        <v>vps-41</v>
      </c>
      <c r="X1900" s="4">
        <v>13.8891537563059</v>
      </c>
      <c r="Y1900" s="4">
        <v>13.966953800854199</v>
      </c>
      <c r="Z1900" s="4">
        <v>13.4637942428161</v>
      </c>
      <c r="AA1900" s="4">
        <f t="shared" si="119"/>
        <v>13.773300599992067</v>
      </c>
    </row>
    <row r="1901" spans="2:27" x14ac:dyDescent="0.2">
      <c r="B1901" s="4" t="s">
        <v>1371</v>
      </c>
      <c r="C1901" s="4">
        <v>14.2364</v>
      </c>
      <c r="D1901" s="4">
        <v>14.2616</v>
      </c>
      <c r="E1901" s="4">
        <v>13.890700000000001</v>
      </c>
      <c r="F1901" s="4">
        <f t="shared" si="116"/>
        <v>14.129566666666667</v>
      </c>
      <c r="I1901" s="4" t="s">
        <v>1623</v>
      </c>
      <c r="J1901" s="4">
        <v>14.991</v>
      </c>
      <c r="K1901" s="4">
        <v>13.590999999999999</v>
      </c>
      <c r="L1901" s="4">
        <v>13.6685</v>
      </c>
      <c r="M1901" s="4">
        <f t="shared" si="117"/>
        <v>14.083500000000001</v>
      </c>
      <c r="P1901" s="4" t="str">
        <f>"F25H2.6"</f>
        <v>F25H2.6</v>
      </c>
      <c r="Q1901" s="4">
        <v>13.6462452473149</v>
      </c>
      <c r="R1901" s="4">
        <v>13.6610078241225</v>
      </c>
      <c r="S1901" s="4">
        <v>13.738946210819</v>
      </c>
      <c r="T1901" s="4">
        <f t="shared" si="118"/>
        <v>13.682066427418802</v>
      </c>
      <c r="W1901" s="4" t="str">
        <f>"exos-2"</f>
        <v>exos-2</v>
      </c>
      <c r="X1901" s="4">
        <v>14.0212430289974</v>
      </c>
      <c r="Y1901" s="4">
        <v>13.716670314595399</v>
      </c>
      <c r="Z1901" s="4">
        <v>13.5800942121547</v>
      </c>
      <c r="AA1901" s="4">
        <f t="shared" si="119"/>
        <v>13.772669185249166</v>
      </c>
    </row>
    <row r="1902" spans="2:27" x14ac:dyDescent="0.2">
      <c r="B1902" s="4" t="s">
        <v>3601</v>
      </c>
      <c r="C1902" s="4">
        <v>13.938599999999999</v>
      </c>
      <c r="D1902" s="4">
        <v>14.141</v>
      </c>
      <c r="E1902" s="4">
        <v>14.307600000000001</v>
      </c>
      <c r="F1902" s="4">
        <f t="shared" si="116"/>
        <v>14.129066666666667</v>
      </c>
      <c r="I1902" s="4" t="s">
        <v>2716</v>
      </c>
      <c r="J1902" s="4">
        <v>14.256500000000001</v>
      </c>
      <c r="K1902" s="4">
        <v>13.4834</v>
      </c>
      <c r="L1902" s="4">
        <v>14.4755</v>
      </c>
      <c r="M1902" s="4">
        <f t="shared" si="117"/>
        <v>14.071800000000001</v>
      </c>
      <c r="P1902" s="4" t="str">
        <f>"Y48A6C.4"</f>
        <v>Y48A6C.4</v>
      </c>
      <c r="Q1902" s="4">
        <v>13.2079620960693</v>
      </c>
      <c r="R1902" s="4">
        <v>14.0881220377397</v>
      </c>
      <c r="S1902" s="4">
        <v>13.7475915135942</v>
      </c>
      <c r="T1902" s="4">
        <f t="shared" si="118"/>
        <v>13.681225215801065</v>
      </c>
      <c r="W1902" s="4" t="str">
        <f>"nduf-11"</f>
        <v>nduf-11</v>
      </c>
      <c r="X1902" s="4">
        <v>13.5890447615475</v>
      </c>
      <c r="Y1902" s="4">
        <v>13.639343547414001</v>
      </c>
      <c r="Z1902" s="4">
        <v>14.0822492897929</v>
      </c>
      <c r="AA1902" s="4">
        <f t="shared" si="119"/>
        <v>13.770212532918132</v>
      </c>
    </row>
    <row r="1903" spans="2:27" x14ac:dyDescent="0.2">
      <c r="B1903" s="4" t="s">
        <v>4017</v>
      </c>
      <c r="C1903" s="4">
        <v>13.978199999999999</v>
      </c>
      <c r="D1903" s="4">
        <v>14.6488</v>
      </c>
      <c r="E1903" s="4">
        <v>13.757999999999999</v>
      </c>
      <c r="F1903" s="4">
        <f t="shared" si="116"/>
        <v>14.128333333333332</v>
      </c>
      <c r="I1903" s="4" t="s">
        <v>2545</v>
      </c>
      <c r="J1903" s="4">
        <v>13.9825</v>
      </c>
      <c r="K1903" s="4">
        <v>14.2186</v>
      </c>
      <c r="L1903" s="4">
        <v>14.0123</v>
      </c>
      <c r="M1903" s="4">
        <f t="shared" si="117"/>
        <v>14.071133333333334</v>
      </c>
      <c r="P1903" s="4" t="str">
        <f>"cec-5"</f>
        <v>cec-5</v>
      </c>
      <c r="Q1903" s="4">
        <v>12.7341495593774</v>
      </c>
      <c r="R1903" s="4">
        <v>13.9982419149117</v>
      </c>
      <c r="S1903" s="4">
        <v>14.302793837752199</v>
      </c>
      <c r="T1903" s="4">
        <f t="shared" si="118"/>
        <v>13.678395104013767</v>
      </c>
      <c r="W1903" s="4" t="str">
        <f>"rpn-10"</f>
        <v>rpn-10</v>
      </c>
      <c r="X1903" s="4">
        <v>13.8693120282661</v>
      </c>
      <c r="Y1903" s="4">
        <v>13.842707330305201</v>
      </c>
      <c r="Z1903" s="4">
        <v>13.5978063628374</v>
      </c>
      <c r="AA1903" s="4">
        <f t="shared" si="119"/>
        <v>13.769941907136234</v>
      </c>
    </row>
    <row r="1904" spans="2:27" x14ac:dyDescent="0.2">
      <c r="B1904" s="4" t="s">
        <v>1174</v>
      </c>
      <c r="C1904" s="4">
        <v>14.195600000000001</v>
      </c>
      <c r="D1904" s="4">
        <v>13.915900000000001</v>
      </c>
      <c r="E1904" s="4">
        <v>14.273400000000001</v>
      </c>
      <c r="F1904" s="4">
        <f t="shared" si="116"/>
        <v>14.128300000000001</v>
      </c>
      <c r="I1904" s="4" t="s">
        <v>1410</v>
      </c>
      <c r="J1904" s="4">
        <v>14.133800000000001</v>
      </c>
      <c r="K1904" s="4">
        <v>13.696300000000001</v>
      </c>
      <c r="L1904" s="4">
        <v>14.3804</v>
      </c>
      <c r="M1904" s="4">
        <f t="shared" si="117"/>
        <v>14.070166666666667</v>
      </c>
      <c r="P1904" s="4" t="str">
        <f>"acs-13"</f>
        <v>acs-13</v>
      </c>
      <c r="Q1904" s="4">
        <v>13.504358318639101</v>
      </c>
      <c r="R1904" s="4">
        <v>13.8760407427042</v>
      </c>
      <c r="S1904" s="4">
        <v>13.649468860651099</v>
      </c>
      <c r="T1904" s="4">
        <f t="shared" si="118"/>
        <v>13.676622640664801</v>
      </c>
      <c r="W1904" s="4" t="str">
        <f>"unc-59"</f>
        <v>unc-59</v>
      </c>
      <c r="X1904" s="4">
        <v>14.042291097143501</v>
      </c>
      <c r="Y1904" s="4">
        <v>13.7799327745459</v>
      </c>
      <c r="Z1904" s="4">
        <v>13.4835052906512</v>
      </c>
      <c r="AA1904" s="4">
        <f t="shared" si="119"/>
        <v>13.768576387446869</v>
      </c>
    </row>
    <row r="1905" spans="2:27" x14ac:dyDescent="0.2">
      <c r="B1905" s="4" t="s">
        <v>2944</v>
      </c>
      <c r="C1905" s="4">
        <v>14.092700000000001</v>
      </c>
      <c r="D1905" s="4">
        <v>14.2052</v>
      </c>
      <c r="E1905" s="4">
        <v>14.0863</v>
      </c>
      <c r="F1905" s="4">
        <f t="shared" si="116"/>
        <v>14.128066666666667</v>
      </c>
      <c r="I1905" s="4" t="s">
        <v>152</v>
      </c>
      <c r="J1905" s="4">
        <v>14.3819</v>
      </c>
      <c r="K1905" s="4">
        <v>13.737299999999999</v>
      </c>
      <c r="L1905" s="4">
        <v>14.087899999999999</v>
      </c>
      <c r="M1905" s="4">
        <f t="shared" si="117"/>
        <v>14.069033333333332</v>
      </c>
      <c r="P1905" s="4" t="str">
        <f>"F53G2.12"</f>
        <v>F53G2.12</v>
      </c>
      <c r="Q1905" s="4">
        <v>13.408755884652299</v>
      </c>
      <c r="R1905" s="4">
        <v>13.628697535585999</v>
      </c>
      <c r="S1905" s="4">
        <v>13.9830737839906</v>
      </c>
      <c r="T1905" s="4">
        <f t="shared" si="118"/>
        <v>13.673509068076299</v>
      </c>
      <c r="W1905" s="4" t="str">
        <f>"mog-4"</f>
        <v>mog-4</v>
      </c>
      <c r="X1905" s="4">
        <v>13.797476513727799</v>
      </c>
      <c r="Y1905" s="4">
        <v>13.6732629058362</v>
      </c>
      <c r="Z1905" s="4">
        <v>13.833070935849401</v>
      </c>
      <c r="AA1905" s="4">
        <f t="shared" si="119"/>
        <v>13.767936785137799</v>
      </c>
    </row>
    <row r="1906" spans="2:27" x14ac:dyDescent="0.2">
      <c r="B1906" s="4" t="s">
        <v>2607</v>
      </c>
      <c r="C1906" s="4">
        <v>14.0406</v>
      </c>
      <c r="D1906" s="4">
        <v>14.1836</v>
      </c>
      <c r="E1906" s="4">
        <v>14.159599999999999</v>
      </c>
      <c r="F1906" s="4">
        <f t="shared" si="116"/>
        <v>14.127933333333333</v>
      </c>
      <c r="I1906" s="4" t="s">
        <v>1620</v>
      </c>
      <c r="J1906" s="4">
        <v>13.948700000000001</v>
      </c>
      <c r="K1906" s="4">
        <v>13.966699999999999</v>
      </c>
      <c r="L1906" s="4">
        <v>14.2905</v>
      </c>
      <c r="M1906" s="4">
        <f t="shared" si="117"/>
        <v>14.068633333333333</v>
      </c>
      <c r="P1906" s="4" t="str">
        <f>"eif-3.D"</f>
        <v>eif-3.D</v>
      </c>
      <c r="Q1906" s="4">
        <v>13.7430861152624</v>
      </c>
      <c r="R1906" s="4">
        <v>13.645958266068799</v>
      </c>
      <c r="S1906" s="4">
        <v>13.6284496875626</v>
      </c>
      <c r="T1906" s="4">
        <f t="shared" si="118"/>
        <v>13.672498022964598</v>
      </c>
      <c r="W1906" s="4" t="str">
        <f>"jnk-1"</f>
        <v>jnk-1</v>
      </c>
      <c r="X1906" s="4">
        <v>13.4327024105771</v>
      </c>
      <c r="Y1906" s="4">
        <v>13.9357965083769</v>
      </c>
      <c r="Z1906" s="4">
        <v>13.934597208284799</v>
      </c>
      <c r="AA1906" s="4">
        <f t="shared" si="119"/>
        <v>13.767698709079601</v>
      </c>
    </row>
    <row r="1907" spans="2:27" x14ac:dyDescent="0.2">
      <c r="B1907" s="4" t="s">
        <v>191</v>
      </c>
      <c r="C1907" s="4">
        <v>13.910600000000001</v>
      </c>
      <c r="D1907" s="4">
        <v>14.2514</v>
      </c>
      <c r="E1907" s="4">
        <v>14.2203</v>
      </c>
      <c r="F1907" s="4">
        <f t="shared" si="116"/>
        <v>14.127433333333334</v>
      </c>
      <c r="I1907" s="4" t="s">
        <v>3620</v>
      </c>
      <c r="J1907" s="4">
        <v>13.8064</v>
      </c>
      <c r="K1907" s="4">
        <v>14.195600000000001</v>
      </c>
      <c r="L1907" s="4">
        <v>14.2026</v>
      </c>
      <c r="M1907" s="4">
        <f t="shared" si="117"/>
        <v>14.068199999999999</v>
      </c>
      <c r="P1907" s="4" t="str">
        <f>"riok-1"</f>
        <v>riok-1</v>
      </c>
      <c r="Q1907" s="4">
        <v>13.696930501760299</v>
      </c>
      <c r="R1907" s="4">
        <v>13.691493007995</v>
      </c>
      <c r="S1907" s="4">
        <v>13.6251719673389</v>
      </c>
      <c r="T1907" s="4">
        <f t="shared" si="118"/>
        <v>13.671198492364733</v>
      </c>
      <c r="W1907" s="4" t="str">
        <f>"ogdh-2"</f>
        <v>ogdh-2</v>
      </c>
      <c r="X1907" s="4">
        <v>13.597067928016401</v>
      </c>
      <c r="Y1907" s="4">
        <v>13.685501500338599</v>
      </c>
      <c r="Z1907" s="4">
        <v>14.019272021661299</v>
      </c>
      <c r="AA1907" s="4">
        <f t="shared" si="119"/>
        <v>13.767280483338766</v>
      </c>
    </row>
    <row r="1908" spans="2:27" x14ac:dyDescent="0.2">
      <c r="B1908" s="4" t="s">
        <v>4691</v>
      </c>
      <c r="C1908" s="4">
        <v>13.874000000000001</v>
      </c>
      <c r="D1908" s="4">
        <v>14.364699999999999</v>
      </c>
      <c r="E1908" s="4">
        <v>14.142899999999999</v>
      </c>
      <c r="F1908" s="4">
        <f t="shared" si="116"/>
        <v>14.1272</v>
      </c>
      <c r="I1908" s="4" t="s">
        <v>1308</v>
      </c>
      <c r="J1908" s="4">
        <v>13.584099999999999</v>
      </c>
      <c r="K1908" s="4">
        <v>14.087300000000001</v>
      </c>
      <c r="L1908" s="4">
        <v>14.5321</v>
      </c>
      <c r="M1908" s="4">
        <f t="shared" si="117"/>
        <v>14.067833333333333</v>
      </c>
      <c r="P1908" s="4" t="str">
        <f>"asg-1"</f>
        <v>asg-1</v>
      </c>
      <c r="Q1908" s="4">
        <v>13.8632172408466</v>
      </c>
      <c r="R1908" s="4">
        <v>13.713687639378501</v>
      </c>
      <c r="S1908" s="4">
        <v>13.433209726810601</v>
      </c>
      <c r="T1908" s="4">
        <f t="shared" si="118"/>
        <v>13.670038202345234</v>
      </c>
      <c r="W1908" s="4" t="str">
        <f>"C05D11.8"</f>
        <v>C05D11.8</v>
      </c>
      <c r="X1908" s="4">
        <v>13.8095986878829</v>
      </c>
      <c r="Y1908" s="4">
        <v>13.855033234972</v>
      </c>
      <c r="Z1908" s="4">
        <v>13.6365630167174</v>
      </c>
      <c r="AA1908" s="4">
        <f t="shared" si="119"/>
        <v>13.767064979857432</v>
      </c>
    </row>
    <row r="1909" spans="2:27" x14ac:dyDescent="0.2">
      <c r="B1909" s="4" t="s">
        <v>3004</v>
      </c>
      <c r="C1909" s="4">
        <v>14.1747</v>
      </c>
      <c r="D1909" s="4">
        <v>14.1637</v>
      </c>
      <c r="E1909" s="4">
        <v>14.0395</v>
      </c>
      <c r="F1909" s="4">
        <f t="shared" si="116"/>
        <v>14.125966666666665</v>
      </c>
      <c r="I1909" s="4" t="s">
        <v>1103</v>
      </c>
      <c r="J1909" s="4">
        <v>14.186299999999999</v>
      </c>
      <c r="K1909" s="4">
        <v>14.6351</v>
      </c>
      <c r="L1909" s="4">
        <v>13.370200000000001</v>
      </c>
      <c r="M1909" s="4">
        <f t="shared" si="117"/>
        <v>14.063866666666664</v>
      </c>
      <c r="P1909" s="4" t="str">
        <f>"hmg-4"</f>
        <v>hmg-4</v>
      </c>
      <c r="Q1909" s="4">
        <v>13.3131957245665</v>
      </c>
      <c r="R1909" s="4">
        <v>13.842692182536499</v>
      </c>
      <c r="S1909" s="4">
        <v>13.8542058638737</v>
      </c>
      <c r="T1909" s="4">
        <f t="shared" si="118"/>
        <v>13.670031256992234</v>
      </c>
      <c r="W1909" s="4" t="str">
        <f>"C04E6.11"</f>
        <v>C04E6.11</v>
      </c>
      <c r="X1909" s="4">
        <v>13.5124616152254</v>
      </c>
      <c r="Y1909" s="4">
        <v>13.961170854283299</v>
      </c>
      <c r="Z1909" s="4">
        <v>13.826829036539401</v>
      </c>
      <c r="AA1909" s="4">
        <f t="shared" si="119"/>
        <v>13.766820502016033</v>
      </c>
    </row>
    <row r="1910" spans="2:27" x14ac:dyDescent="0.2">
      <c r="B1910" s="4" t="s">
        <v>89</v>
      </c>
      <c r="C1910" s="4">
        <v>14.5702</v>
      </c>
      <c r="D1910" s="4">
        <v>13.686400000000001</v>
      </c>
      <c r="E1910" s="4">
        <v>14.116400000000001</v>
      </c>
      <c r="F1910" s="4">
        <f t="shared" si="116"/>
        <v>14.124333333333333</v>
      </c>
      <c r="I1910" s="4" t="s">
        <v>3521</v>
      </c>
      <c r="J1910" s="4">
        <v>14.1152</v>
      </c>
      <c r="K1910" s="4">
        <v>14.0153</v>
      </c>
      <c r="L1910" s="4">
        <v>14.060499999999999</v>
      </c>
      <c r="M1910" s="4">
        <f t="shared" si="117"/>
        <v>14.063666666666665</v>
      </c>
      <c r="P1910" s="4" t="str">
        <f>"H11E01.3"</f>
        <v>H11E01.3</v>
      </c>
      <c r="Q1910" s="4">
        <v>13.7091617259661</v>
      </c>
      <c r="R1910" s="4">
        <v>13.761242610004899</v>
      </c>
      <c r="S1910" s="4">
        <v>13.539036593939301</v>
      </c>
      <c r="T1910" s="4">
        <f t="shared" si="118"/>
        <v>13.669813643303433</v>
      </c>
      <c r="W1910" s="4" t="str">
        <f>"cids-1"</f>
        <v>cids-1</v>
      </c>
      <c r="X1910" s="4">
        <v>13.666603520371201</v>
      </c>
      <c r="Y1910" s="4">
        <v>13.7983960734833</v>
      </c>
      <c r="Z1910" s="4">
        <v>13.830044389771601</v>
      </c>
      <c r="AA1910" s="4">
        <f t="shared" si="119"/>
        <v>13.765014661208701</v>
      </c>
    </row>
    <row r="1911" spans="2:27" x14ac:dyDescent="0.2">
      <c r="B1911" s="4" t="s">
        <v>496</v>
      </c>
      <c r="C1911" s="4">
        <v>14.125400000000001</v>
      </c>
      <c r="D1911" s="4">
        <v>14.2003</v>
      </c>
      <c r="E1911" s="4">
        <v>14.0427</v>
      </c>
      <c r="F1911" s="4">
        <f t="shared" si="116"/>
        <v>14.1228</v>
      </c>
      <c r="I1911" s="4" t="s">
        <v>3178</v>
      </c>
      <c r="J1911" s="4">
        <v>13.504300000000001</v>
      </c>
      <c r="K1911" s="4">
        <v>14.058199999999999</v>
      </c>
      <c r="L1911" s="4">
        <v>14.619400000000001</v>
      </c>
      <c r="M1911" s="4">
        <f t="shared" si="117"/>
        <v>14.060633333333334</v>
      </c>
      <c r="P1911" s="4" t="str">
        <f>"sipa-1"</f>
        <v>sipa-1</v>
      </c>
      <c r="Q1911" s="4">
        <v>13.7580684344208</v>
      </c>
      <c r="R1911" s="4">
        <v>13.7479830963239</v>
      </c>
      <c r="S1911" s="4">
        <v>13.498297718930701</v>
      </c>
      <c r="T1911" s="4">
        <f t="shared" si="118"/>
        <v>13.668116416558467</v>
      </c>
      <c r="W1911" s="4" t="str">
        <f>"ivns-1"</f>
        <v>ivns-1</v>
      </c>
      <c r="X1911" s="4">
        <v>13.7472513449492</v>
      </c>
      <c r="Y1911" s="4">
        <v>13.853064406431301</v>
      </c>
      <c r="Z1911" s="4">
        <v>13.694124780711601</v>
      </c>
      <c r="AA1911" s="4">
        <f t="shared" si="119"/>
        <v>13.764813510697365</v>
      </c>
    </row>
    <row r="1912" spans="2:27" x14ac:dyDescent="0.2">
      <c r="B1912" s="4" t="s">
        <v>943</v>
      </c>
      <c r="C1912" s="4">
        <v>14.206099999999999</v>
      </c>
      <c r="D1912" s="4">
        <v>13.6877</v>
      </c>
      <c r="E1912" s="4">
        <v>14.474299999999999</v>
      </c>
      <c r="F1912" s="4">
        <f t="shared" si="116"/>
        <v>14.1227</v>
      </c>
      <c r="I1912" s="4" t="s">
        <v>3627</v>
      </c>
      <c r="J1912" s="4">
        <v>13.931800000000001</v>
      </c>
      <c r="K1912" s="4">
        <v>13.9885</v>
      </c>
      <c r="L1912" s="4">
        <v>14.248200000000001</v>
      </c>
      <c r="M1912" s="4">
        <f t="shared" si="117"/>
        <v>14.056166666666668</v>
      </c>
      <c r="P1912" s="4" t="str">
        <f>"F10D2.10"</f>
        <v>F10D2.10</v>
      </c>
      <c r="Q1912" s="4">
        <v>14.030646030019</v>
      </c>
      <c r="R1912" s="4">
        <v>13.267430353381</v>
      </c>
      <c r="S1912" s="4">
        <v>13.7041743357307</v>
      </c>
      <c r="T1912" s="4">
        <f t="shared" si="118"/>
        <v>13.6674169063769</v>
      </c>
      <c r="W1912" s="4" t="str">
        <f>"R03G8.6"</f>
        <v>R03G8.6</v>
      </c>
      <c r="X1912" s="4">
        <v>13.771554797971101</v>
      </c>
      <c r="Y1912" s="4">
        <v>13.791313019309399</v>
      </c>
      <c r="Z1912" s="4">
        <v>13.726009204133</v>
      </c>
      <c r="AA1912" s="4">
        <f t="shared" si="119"/>
        <v>13.762959007137832</v>
      </c>
    </row>
    <row r="1913" spans="2:27" x14ac:dyDescent="0.2">
      <c r="B1913" s="4" t="s">
        <v>3558</v>
      </c>
      <c r="C1913" s="4">
        <v>14.0528</v>
      </c>
      <c r="D1913" s="4">
        <v>14.463699999999999</v>
      </c>
      <c r="E1913" s="4">
        <v>13.8451</v>
      </c>
      <c r="F1913" s="4">
        <f t="shared" si="116"/>
        <v>14.120533333333334</v>
      </c>
      <c r="I1913" s="4" t="s">
        <v>1757</v>
      </c>
      <c r="J1913" s="4">
        <v>14.1014</v>
      </c>
      <c r="K1913" s="4">
        <v>14.275399999999999</v>
      </c>
      <c r="L1913" s="4">
        <v>13.791399999999999</v>
      </c>
      <c r="M1913" s="4">
        <f t="shared" si="117"/>
        <v>14.056066666666666</v>
      </c>
      <c r="P1913" s="4" t="str">
        <f>"oxy-5"</f>
        <v>oxy-5</v>
      </c>
      <c r="Q1913" s="4">
        <v>13.7045674216115</v>
      </c>
      <c r="R1913" s="4">
        <v>13.4332141265059</v>
      </c>
      <c r="S1913" s="4">
        <v>13.856479565596301</v>
      </c>
      <c r="T1913" s="4">
        <f t="shared" si="118"/>
        <v>13.664753704571234</v>
      </c>
      <c r="W1913" s="4" t="str">
        <f>"T24H7.9"</f>
        <v>T24H7.9</v>
      </c>
      <c r="X1913" s="4">
        <v>13.956155729906</v>
      </c>
      <c r="Y1913" s="4">
        <v>13.766419192282299</v>
      </c>
      <c r="Z1913" s="4">
        <v>13.562997592076499</v>
      </c>
      <c r="AA1913" s="4">
        <f t="shared" si="119"/>
        <v>13.761857504754934</v>
      </c>
    </row>
    <row r="1914" spans="2:27" x14ac:dyDescent="0.2">
      <c r="B1914" s="4" t="s">
        <v>850</v>
      </c>
      <c r="C1914" s="4">
        <v>14.3728</v>
      </c>
      <c r="D1914" s="4">
        <v>13.747199999999999</v>
      </c>
      <c r="E1914" s="4">
        <v>14.2387</v>
      </c>
      <c r="F1914" s="4">
        <f t="shared" si="116"/>
        <v>14.119566666666666</v>
      </c>
      <c r="I1914" s="4" t="s">
        <v>2390</v>
      </c>
      <c r="J1914" s="4">
        <v>14.2232</v>
      </c>
      <c r="K1914" s="4">
        <v>13.824299999999999</v>
      </c>
      <c r="L1914" s="4">
        <v>14.118</v>
      </c>
      <c r="M1914" s="4">
        <f t="shared" si="117"/>
        <v>14.055166666666667</v>
      </c>
      <c r="P1914" s="4" t="str">
        <f>"rpn-13"</f>
        <v>rpn-13</v>
      </c>
      <c r="Q1914" s="4">
        <v>13.8081534182139</v>
      </c>
      <c r="R1914" s="4">
        <v>13.6076968723224</v>
      </c>
      <c r="S1914" s="4">
        <v>13.5747812486438</v>
      </c>
      <c r="T1914" s="4">
        <f t="shared" si="118"/>
        <v>13.663543846393367</v>
      </c>
      <c r="W1914" s="4" t="str">
        <f>"C50D2.7"</f>
        <v>C50D2.7</v>
      </c>
      <c r="X1914" s="4">
        <v>13.397287198819599</v>
      </c>
      <c r="Y1914" s="4">
        <v>13.839259340765</v>
      </c>
      <c r="Z1914" s="4">
        <v>14.0456815993599</v>
      </c>
      <c r="AA1914" s="4">
        <f t="shared" si="119"/>
        <v>13.760742712981502</v>
      </c>
    </row>
    <row r="1915" spans="2:27" x14ac:dyDescent="0.2">
      <c r="B1915" s="4" t="s">
        <v>4710</v>
      </c>
      <c r="C1915" s="4">
        <v>13.877000000000001</v>
      </c>
      <c r="D1915" s="4">
        <v>14.299200000000001</v>
      </c>
      <c r="E1915" s="4">
        <v>14.1782</v>
      </c>
      <c r="F1915" s="4">
        <f t="shared" si="116"/>
        <v>14.118133333333333</v>
      </c>
      <c r="I1915" s="4" t="s">
        <v>3554</v>
      </c>
      <c r="J1915" s="4">
        <v>14.243399999999999</v>
      </c>
      <c r="K1915" s="4">
        <v>14.152200000000001</v>
      </c>
      <c r="L1915" s="4">
        <v>13.7697</v>
      </c>
      <c r="M1915" s="4">
        <f t="shared" si="117"/>
        <v>14.055100000000001</v>
      </c>
      <c r="P1915" s="4" t="str">
        <f>"F49C12.9"</f>
        <v>F49C12.9</v>
      </c>
      <c r="Q1915" s="4">
        <v>13.3755254912586</v>
      </c>
      <c r="R1915" s="4">
        <v>13.661386534823899</v>
      </c>
      <c r="S1915" s="4">
        <v>13.9520449990109</v>
      </c>
      <c r="T1915" s="4">
        <f t="shared" si="118"/>
        <v>13.662985675031132</v>
      </c>
      <c r="W1915" s="4" t="str">
        <f>"nol-10"</f>
        <v>nol-10</v>
      </c>
      <c r="X1915" s="4">
        <v>13.8061228497633</v>
      </c>
      <c r="Y1915" s="4">
        <v>13.9274570381613</v>
      </c>
      <c r="Z1915" s="4">
        <v>13.5309545438204</v>
      </c>
      <c r="AA1915" s="4">
        <f t="shared" si="119"/>
        <v>13.754844810581666</v>
      </c>
    </row>
    <row r="1916" spans="2:27" x14ac:dyDescent="0.2">
      <c r="B1916" s="4" t="s">
        <v>3044</v>
      </c>
      <c r="C1916" s="4">
        <v>14.1424</v>
      </c>
      <c r="D1916" s="4">
        <v>14.380800000000001</v>
      </c>
      <c r="E1916" s="4">
        <v>13.824999999999999</v>
      </c>
      <c r="F1916" s="4">
        <f t="shared" si="116"/>
        <v>14.116066666666669</v>
      </c>
      <c r="I1916" s="4" t="s">
        <v>287</v>
      </c>
      <c r="J1916" s="4">
        <v>14.4397</v>
      </c>
      <c r="K1916" s="4">
        <v>13.9961</v>
      </c>
      <c r="L1916" s="4">
        <v>13.726699999999999</v>
      </c>
      <c r="M1916" s="4">
        <f t="shared" si="117"/>
        <v>14.054166666666667</v>
      </c>
      <c r="P1916" s="4" t="str">
        <f>"npp-7"</f>
        <v>npp-7</v>
      </c>
      <c r="Q1916" s="4">
        <v>13.9124437891239</v>
      </c>
      <c r="R1916" s="4">
        <v>13.567386254373501</v>
      </c>
      <c r="S1916" s="4">
        <v>13.5076078312318</v>
      </c>
      <c r="T1916" s="4">
        <f t="shared" si="118"/>
        <v>13.662479291576402</v>
      </c>
      <c r="W1916" s="4" t="str">
        <f>"rpc-2"</f>
        <v>rpc-2</v>
      </c>
      <c r="X1916" s="4">
        <v>13.8356549661777</v>
      </c>
      <c r="Y1916" s="4">
        <v>13.731165042943701</v>
      </c>
      <c r="Z1916" s="4">
        <v>13.6956022374025</v>
      </c>
      <c r="AA1916" s="4">
        <f t="shared" si="119"/>
        <v>13.7541407488413</v>
      </c>
    </row>
    <row r="1917" spans="2:27" x14ac:dyDescent="0.2">
      <c r="B1917" s="4" t="s">
        <v>2333</v>
      </c>
      <c r="C1917" s="4">
        <v>14.0563</v>
      </c>
      <c r="D1917" s="4">
        <v>13.9207</v>
      </c>
      <c r="E1917" s="4">
        <v>14.3712</v>
      </c>
      <c r="F1917" s="4">
        <f t="shared" si="116"/>
        <v>14.116066666666667</v>
      </c>
      <c r="I1917" s="4" t="s">
        <v>191</v>
      </c>
      <c r="J1917" s="4">
        <v>13.675000000000001</v>
      </c>
      <c r="K1917" s="4">
        <v>14.2713</v>
      </c>
      <c r="L1917" s="4">
        <v>14.215400000000001</v>
      </c>
      <c r="M1917" s="4">
        <f t="shared" si="117"/>
        <v>14.053900000000001</v>
      </c>
      <c r="P1917" s="4" t="str">
        <f>"drn-1"</f>
        <v>drn-1</v>
      </c>
      <c r="Q1917" s="4">
        <v>13.9206619519315</v>
      </c>
      <c r="R1917" s="4">
        <v>13.618980354698101</v>
      </c>
      <c r="S1917" s="4">
        <v>13.4420771212177</v>
      </c>
      <c r="T1917" s="4">
        <f t="shared" si="118"/>
        <v>13.660573142615767</v>
      </c>
      <c r="W1917" s="4" t="str">
        <f>"mrps-28"</f>
        <v>mrps-28</v>
      </c>
      <c r="X1917" s="4">
        <v>13.7858681484946</v>
      </c>
      <c r="Y1917" s="4">
        <v>13.6665908236132</v>
      </c>
      <c r="Z1917" s="4">
        <v>13.807043364649999</v>
      </c>
      <c r="AA1917" s="4">
        <f t="shared" si="119"/>
        <v>13.753167445585932</v>
      </c>
    </row>
    <row r="1918" spans="2:27" x14ac:dyDescent="0.2">
      <c r="B1918" s="4" t="s">
        <v>561</v>
      </c>
      <c r="C1918" s="4">
        <v>14.315899999999999</v>
      </c>
      <c r="D1918" s="4">
        <v>14.080500000000001</v>
      </c>
      <c r="E1918" s="4">
        <v>13.946199999999999</v>
      </c>
      <c r="F1918" s="4">
        <f t="shared" si="116"/>
        <v>14.114199999999999</v>
      </c>
      <c r="I1918" s="4" t="s">
        <v>468</v>
      </c>
      <c r="J1918" s="4">
        <v>14.093500000000001</v>
      </c>
      <c r="K1918" s="4">
        <v>13.8712</v>
      </c>
      <c r="L1918" s="4">
        <v>14.1891</v>
      </c>
      <c r="M1918" s="4">
        <f t="shared" si="117"/>
        <v>14.051266666666669</v>
      </c>
      <c r="P1918" s="4" t="str">
        <f>"tofu-6"</f>
        <v>tofu-6</v>
      </c>
      <c r="Q1918" s="4">
        <v>13.2838739425206</v>
      </c>
      <c r="R1918" s="4">
        <v>13.852527402710299</v>
      </c>
      <c r="S1918" s="4">
        <v>13.8343854266619</v>
      </c>
      <c r="T1918" s="4">
        <f t="shared" si="118"/>
        <v>13.656928923964267</v>
      </c>
      <c r="W1918" s="4" t="str">
        <f>"C44C1.1"</f>
        <v>C44C1.1</v>
      </c>
      <c r="X1918" s="4">
        <v>13.967740602763</v>
      </c>
      <c r="Y1918" s="4">
        <v>13.6669902076823</v>
      </c>
      <c r="Z1918" s="4">
        <v>13.615008468391499</v>
      </c>
      <c r="AA1918" s="4">
        <f t="shared" si="119"/>
        <v>13.749913092945599</v>
      </c>
    </row>
    <row r="1919" spans="2:27" x14ac:dyDescent="0.2">
      <c r="B1919" s="4" t="s">
        <v>3593</v>
      </c>
      <c r="C1919" s="4">
        <v>14.108700000000001</v>
      </c>
      <c r="D1919" s="4">
        <v>14.0159</v>
      </c>
      <c r="E1919" s="4">
        <v>14.217700000000001</v>
      </c>
      <c r="F1919" s="4">
        <f t="shared" si="116"/>
        <v>14.114100000000001</v>
      </c>
      <c r="I1919" s="4" t="s">
        <v>2119</v>
      </c>
      <c r="J1919" s="4">
        <v>14.0487</v>
      </c>
      <c r="K1919" s="4">
        <v>14.2471</v>
      </c>
      <c r="L1919" s="4">
        <v>13.857200000000001</v>
      </c>
      <c r="M1919" s="4">
        <f t="shared" si="117"/>
        <v>14.051</v>
      </c>
      <c r="P1919" s="4" t="str">
        <f>"tbc-3"</f>
        <v>tbc-3</v>
      </c>
      <c r="Q1919" s="4">
        <v>13.3777767570799</v>
      </c>
      <c r="R1919" s="4">
        <v>13.8643712943207</v>
      </c>
      <c r="S1919" s="4">
        <v>13.7260130283774</v>
      </c>
      <c r="T1919" s="4">
        <f t="shared" si="118"/>
        <v>13.656053693259333</v>
      </c>
      <c r="W1919" s="4" t="str">
        <f>"gsnl-1"</f>
        <v>gsnl-1</v>
      </c>
      <c r="X1919" s="4">
        <v>13.319592535799501</v>
      </c>
      <c r="Y1919" s="4">
        <v>13.726973276862299</v>
      </c>
      <c r="Z1919" s="4">
        <v>14.1927755203101</v>
      </c>
      <c r="AA1919" s="4">
        <f t="shared" si="119"/>
        <v>13.746447110990635</v>
      </c>
    </row>
    <row r="1920" spans="2:27" x14ac:dyDescent="0.2">
      <c r="B1920" s="4" t="s">
        <v>920</v>
      </c>
      <c r="C1920" s="4">
        <v>13.859</v>
      </c>
      <c r="D1920" s="4">
        <v>14.6738</v>
      </c>
      <c r="E1920" s="4">
        <v>13.8017</v>
      </c>
      <c r="F1920" s="4">
        <f t="shared" si="116"/>
        <v>14.111500000000001</v>
      </c>
      <c r="I1920" s="4" t="s">
        <v>3040</v>
      </c>
      <c r="J1920" s="4">
        <v>14.091799999999999</v>
      </c>
      <c r="K1920" s="4">
        <v>14.039899999999999</v>
      </c>
      <c r="L1920" s="4">
        <v>14.0213</v>
      </c>
      <c r="M1920" s="4">
        <f t="shared" si="117"/>
        <v>14.051</v>
      </c>
      <c r="P1920" s="4" t="str">
        <f>"inx-5"</f>
        <v>inx-5</v>
      </c>
      <c r="Q1920" s="4">
        <v>13.403449916936401</v>
      </c>
      <c r="R1920" s="4">
        <v>13.553760001512799</v>
      </c>
      <c r="S1920" s="4">
        <v>14.009538148205401</v>
      </c>
      <c r="T1920" s="4">
        <f t="shared" si="118"/>
        <v>13.655582688884868</v>
      </c>
      <c r="W1920" s="4" t="str">
        <f>"spas-1"</f>
        <v>spas-1</v>
      </c>
      <c r="X1920" s="4">
        <v>13.671599146341</v>
      </c>
      <c r="Y1920" s="4">
        <v>14.0753178753179</v>
      </c>
      <c r="Z1920" s="4">
        <v>13.4895606703361</v>
      </c>
      <c r="AA1920" s="4">
        <f t="shared" si="119"/>
        <v>13.745492563998335</v>
      </c>
    </row>
    <row r="1921" spans="2:27" x14ac:dyDescent="0.2">
      <c r="B1921" s="4" t="s">
        <v>3403</v>
      </c>
      <c r="C1921" s="4">
        <v>14.1013</v>
      </c>
      <c r="D1921" s="4">
        <v>14.3078</v>
      </c>
      <c r="E1921" s="4">
        <v>13.9184</v>
      </c>
      <c r="F1921" s="4">
        <f t="shared" si="116"/>
        <v>14.109166666666667</v>
      </c>
      <c r="I1921" s="4" t="s">
        <v>4717</v>
      </c>
      <c r="J1921" s="4">
        <v>13.6402</v>
      </c>
      <c r="K1921" s="4">
        <v>14.377599999999999</v>
      </c>
      <c r="L1921" s="4">
        <v>14.132</v>
      </c>
      <c r="M1921" s="4">
        <f t="shared" si="117"/>
        <v>14.049933333333334</v>
      </c>
      <c r="P1921" s="4" t="str">
        <f>"urb-1"</f>
        <v>urb-1</v>
      </c>
      <c r="Q1921" s="4">
        <v>13.742602205136199</v>
      </c>
      <c r="R1921" s="4">
        <v>13.8404670561505</v>
      </c>
      <c r="S1921" s="4">
        <v>13.380447930192901</v>
      </c>
      <c r="T1921" s="4">
        <f t="shared" si="118"/>
        <v>13.654505730493199</v>
      </c>
      <c r="W1921" s="4" t="str">
        <f>"eol-1"</f>
        <v>eol-1</v>
      </c>
      <c r="X1921" s="4">
        <v>13.805733862275501</v>
      </c>
      <c r="Y1921" s="4">
        <v>13.7386855162919</v>
      </c>
      <c r="Z1921" s="4">
        <v>13.689254232143901</v>
      </c>
      <c r="AA1921" s="4">
        <f t="shared" si="119"/>
        <v>13.744557870237101</v>
      </c>
    </row>
    <row r="1922" spans="2:27" x14ac:dyDescent="0.2">
      <c r="B1922" s="4" t="s">
        <v>902</v>
      </c>
      <c r="C1922" s="4">
        <v>13.780099999999999</v>
      </c>
      <c r="D1922" s="4">
        <v>13.787699999999999</v>
      </c>
      <c r="E1922" s="4">
        <v>14.755800000000001</v>
      </c>
      <c r="F1922" s="4">
        <f t="shared" ref="F1922:F1985" si="120">(C1922+D1922+E1922)/3</f>
        <v>14.107866666666666</v>
      </c>
      <c r="I1922" s="4" t="s">
        <v>4047</v>
      </c>
      <c r="J1922" s="4">
        <v>14.137499999999999</v>
      </c>
      <c r="K1922" s="4">
        <v>13.845000000000001</v>
      </c>
      <c r="L1922" s="4">
        <v>14.166399999999999</v>
      </c>
      <c r="M1922" s="4">
        <f t="shared" ref="M1922:M1985" si="121">(J1922+K1922+L1922)/3</f>
        <v>14.049633333333333</v>
      </c>
      <c r="P1922" s="4" t="str">
        <f>"eng-1"</f>
        <v>eng-1</v>
      </c>
      <c r="Q1922" s="4">
        <v>13.8531406273299</v>
      </c>
      <c r="R1922" s="4">
        <v>13.4626978654157</v>
      </c>
      <c r="S1922" s="4">
        <v>13.638649196772301</v>
      </c>
      <c r="T1922" s="4">
        <f t="shared" ref="T1922:T1985" si="122">(Q1922+R1922+S1922)/3</f>
        <v>13.651495896505965</v>
      </c>
      <c r="W1922" s="4" t="str">
        <f>"obr-3"</f>
        <v>obr-3</v>
      </c>
      <c r="X1922" s="4">
        <v>13.648711811779901</v>
      </c>
      <c r="Y1922" s="4">
        <v>13.966465388726</v>
      </c>
      <c r="Z1922" s="4">
        <v>13.610843919631099</v>
      </c>
      <c r="AA1922" s="4">
        <f t="shared" ref="AA1922:AA1985" si="123">(X1922+Y1922+Z1922)/3</f>
        <v>13.742007040045666</v>
      </c>
    </row>
    <row r="1923" spans="2:27" x14ac:dyDescent="0.2">
      <c r="B1923" s="4" t="s">
        <v>3163</v>
      </c>
      <c r="C1923" s="4">
        <v>14.0159</v>
      </c>
      <c r="D1923" s="4">
        <v>14.192</v>
      </c>
      <c r="E1923" s="4">
        <v>14.1152</v>
      </c>
      <c r="F1923" s="4">
        <f t="shared" si="120"/>
        <v>14.107700000000001</v>
      </c>
      <c r="I1923" s="4" t="s">
        <v>4083</v>
      </c>
      <c r="J1923" s="4">
        <v>13.3461</v>
      </c>
      <c r="K1923" s="4">
        <v>14.160600000000001</v>
      </c>
      <c r="L1923" s="4">
        <v>14.6394</v>
      </c>
      <c r="M1923" s="4">
        <f t="shared" si="121"/>
        <v>14.048700000000002</v>
      </c>
      <c r="P1923" s="4" t="str">
        <f>"sin-3"</f>
        <v>sin-3</v>
      </c>
      <c r="Q1923" s="4">
        <v>13.851323556279601</v>
      </c>
      <c r="R1923" s="4">
        <v>13.5059675555914</v>
      </c>
      <c r="S1923" s="4">
        <v>13.5888905959303</v>
      </c>
      <c r="T1923" s="4">
        <f t="shared" si="122"/>
        <v>13.648727235933768</v>
      </c>
      <c r="W1923" s="4" t="str">
        <f>"mrpl-47"</f>
        <v>mrpl-47</v>
      </c>
      <c r="X1923" s="4">
        <v>13.898776743159599</v>
      </c>
      <c r="Y1923" s="4">
        <v>13.2761026650789</v>
      </c>
      <c r="Z1923" s="4">
        <v>14.0499884378863</v>
      </c>
      <c r="AA1923" s="4">
        <f t="shared" si="123"/>
        <v>13.741622615374935</v>
      </c>
    </row>
    <row r="1924" spans="2:27" x14ac:dyDescent="0.2">
      <c r="B1924" s="4" t="s">
        <v>3254</v>
      </c>
      <c r="C1924" s="4">
        <v>14.5297</v>
      </c>
      <c r="D1924" s="4">
        <v>14.347</v>
      </c>
      <c r="E1924" s="4">
        <v>13.4429</v>
      </c>
      <c r="F1924" s="4">
        <f t="shared" si="120"/>
        <v>14.106533333333333</v>
      </c>
      <c r="I1924" s="4" t="s">
        <v>1035</v>
      </c>
      <c r="J1924" s="4">
        <v>14.076599999999999</v>
      </c>
      <c r="K1924" s="4">
        <v>13.9679</v>
      </c>
      <c r="L1924" s="4">
        <v>14.095800000000001</v>
      </c>
      <c r="M1924" s="4">
        <f t="shared" si="121"/>
        <v>14.046766666666665</v>
      </c>
      <c r="P1924" s="4" t="str">
        <f>"gsr-1"</f>
        <v>gsr-1</v>
      </c>
      <c r="Q1924" s="4">
        <v>13.841149857599</v>
      </c>
      <c r="R1924" s="4">
        <v>13.4916557639449</v>
      </c>
      <c r="S1924" s="4">
        <v>13.612677936033499</v>
      </c>
      <c r="T1924" s="4">
        <f t="shared" si="122"/>
        <v>13.648494519192466</v>
      </c>
      <c r="W1924" s="4" t="str">
        <f>"tram-1"</f>
        <v>tram-1</v>
      </c>
      <c r="X1924" s="4">
        <v>13.76370767663</v>
      </c>
      <c r="Y1924" s="4">
        <v>13.644131025433101</v>
      </c>
      <c r="Z1924" s="4">
        <v>13.814098862951001</v>
      </c>
      <c r="AA1924" s="4">
        <f t="shared" si="123"/>
        <v>13.740645855004701</v>
      </c>
    </row>
    <row r="1925" spans="2:27" x14ac:dyDescent="0.2">
      <c r="B1925" s="4" t="s">
        <v>1684</v>
      </c>
      <c r="C1925" s="4">
        <v>13.811</v>
      </c>
      <c r="D1925" s="4">
        <v>13.9778</v>
      </c>
      <c r="E1925" s="4">
        <v>14.516500000000001</v>
      </c>
      <c r="F1925" s="4">
        <f t="shared" si="120"/>
        <v>14.101766666666668</v>
      </c>
      <c r="I1925" s="4" t="s">
        <v>4029</v>
      </c>
      <c r="J1925" s="4">
        <v>14.124499999999999</v>
      </c>
      <c r="K1925" s="4">
        <v>14.3896</v>
      </c>
      <c r="L1925" s="4">
        <v>13.6249</v>
      </c>
      <c r="M1925" s="4">
        <f t="shared" si="121"/>
        <v>14.046333333333331</v>
      </c>
      <c r="P1925" s="4" t="str">
        <f>"pmp-4"</f>
        <v>pmp-4</v>
      </c>
      <c r="Q1925" s="4">
        <v>13.617576576048799</v>
      </c>
      <c r="R1925" s="4">
        <v>13.448125089575701</v>
      </c>
      <c r="S1925" s="4">
        <v>13.8775968237347</v>
      </c>
      <c r="T1925" s="4">
        <f t="shared" si="122"/>
        <v>13.647766163119734</v>
      </c>
      <c r="W1925" s="4" t="str">
        <f>"nep-17"</f>
        <v>nep-17</v>
      </c>
      <c r="X1925" s="4">
        <v>14.0336288812062</v>
      </c>
      <c r="Y1925" s="4">
        <v>13.400648719584799</v>
      </c>
      <c r="Z1925" s="4">
        <v>13.7854490814047</v>
      </c>
      <c r="AA1925" s="4">
        <f t="shared" si="123"/>
        <v>13.739908894065232</v>
      </c>
    </row>
    <row r="1926" spans="2:27" x14ac:dyDescent="0.2">
      <c r="B1926" s="4" t="s">
        <v>2461</v>
      </c>
      <c r="C1926" s="4">
        <v>14.0602</v>
      </c>
      <c r="D1926" s="4">
        <v>14.117800000000001</v>
      </c>
      <c r="E1926" s="4">
        <v>14.1225</v>
      </c>
      <c r="F1926" s="4">
        <f t="shared" si="120"/>
        <v>14.100166666666667</v>
      </c>
      <c r="I1926" s="4" t="s">
        <v>2142</v>
      </c>
      <c r="J1926" s="4">
        <v>13.994199999999999</v>
      </c>
      <c r="K1926" s="4">
        <v>14.4567</v>
      </c>
      <c r="L1926" s="4">
        <v>13.6846</v>
      </c>
      <c r="M1926" s="4">
        <f t="shared" si="121"/>
        <v>14.045166666666665</v>
      </c>
      <c r="P1926" s="4" t="str">
        <f>"F36A2.9"</f>
        <v>F36A2.9</v>
      </c>
      <c r="Q1926" s="4">
        <v>13.4174636533661</v>
      </c>
      <c r="R1926" s="4">
        <v>13.8548888410154</v>
      </c>
      <c r="S1926" s="4">
        <v>13.6701921446515</v>
      </c>
      <c r="T1926" s="4">
        <f t="shared" si="122"/>
        <v>13.647514879677667</v>
      </c>
      <c r="W1926" s="4" t="str">
        <f>"gstk-1"</f>
        <v>gstk-1</v>
      </c>
      <c r="X1926" s="4">
        <v>14.0502307144789</v>
      </c>
      <c r="Y1926" s="4">
        <v>13.6804158695042</v>
      </c>
      <c r="Z1926" s="4">
        <v>13.4871237028335</v>
      </c>
      <c r="AA1926" s="4">
        <f t="shared" si="123"/>
        <v>13.7392567622722</v>
      </c>
    </row>
    <row r="1927" spans="2:27" x14ac:dyDescent="0.2">
      <c r="B1927" s="4" t="s">
        <v>2428</v>
      </c>
      <c r="C1927" s="4">
        <v>14.2616</v>
      </c>
      <c r="D1927" s="4">
        <v>14.194699999999999</v>
      </c>
      <c r="E1927" s="4">
        <v>13.844099999999999</v>
      </c>
      <c r="F1927" s="4">
        <f t="shared" si="120"/>
        <v>14.100133333333332</v>
      </c>
      <c r="I1927" s="4" t="s">
        <v>747</v>
      </c>
      <c r="J1927" s="4">
        <v>13.835699999999999</v>
      </c>
      <c r="K1927" s="4">
        <v>14.456300000000001</v>
      </c>
      <c r="L1927" s="4">
        <v>13.8408</v>
      </c>
      <c r="M1927" s="4">
        <f t="shared" si="121"/>
        <v>14.044266666666667</v>
      </c>
      <c r="P1927" s="4" t="str">
        <f>"F58F9.3"</f>
        <v>F58F9.3</v>
      </c>
      <c r="Q1927" s="4">
        <v>13.713306049503</v>
      </c>
      <c r="R1927" s="4">
        <v>13.588785310371399</v>
      </c>
      <c r="S1927" s="4">
        <v>13.6394358977485</v>
      </c>
      <c r="T1927" s="4">
        <f t="shared" si="122"/>
        <v>13.647175752540967</v>
      </c>
      <c r="W1927" s="4" t="str">
        <f>"ppm-1.A"</f>
        <v>ppm-1.A</v>
      </c>
      <c r="X1927" s="4">
        <v>13.681882969113801</v>
      </c>
      <c r="Y1927" s="4">
        <v>13.5900750652924</v>
      </c>
      <c r="Z1927" s="4">
        <v>13.943997352323001</v>
      </c>
      <c r="AA1927" s="4">
        <f t="shared" si="123"/>
        <v>13.7386517955764</v>
      </c>
    </row>
    <row r="1928" spans="2:27" x14ac:dyDescent="0.2">
      <c r="B1928" s="4" t="s">
        <v>4070</v>
      </c>
      <c r="C1928" s="4">
        <v>14.135</v>
      </c>
      <c r="D1928" s="4">
        <v>14.3108</v>
      </c>
      <c r="E1928" s="4">
        <v>13.851900000000001</v>
      </c>
      <c r="F1928" s="4">
        <f t="shared" si="120"/>
        <v>14.099233333333332</v>
      </c>
      <c r="I1928" s="4" t="s">
        <v>665</v>
      </c>
      <c r="J1928" s="4">
        <v>13.779400000000001</v>
      </c>
      <c r="K1928" s="4">
        <v>14.000299999999999</v>
      </c>
      <c r="L1928" s="4">
        <v>14.353</v>
      </c>
      <c r="M1928" s="4">
        <f t="shared" si="121"/>
        <v>14.044233333333333</v>
      </c>
      <c r="P1928" s="4" t="str">
        <f>"Y6B3B.9"</f>
        <v>Y6B3B.9</v>
      </c>
      <c r="Q1928" s="4">
        <v>13.5005399343748</v>
      </c>
      <c r="R1928" s="4">
        <v>13.807227181507701</v>
      </c>
      <c r="S1928" s="4">
        <v>13.629630141975699</v>
      </c>
      <c r="T1928" s="4">
        <f t="shared" si="122"/>
        <v>13.645799085952731</v>
      </c>
      <c r="W1928" s="4" t="str">
        <f>"pbs-2"</f>
        <v>pbs-2</v>
      </c>
      <c r="X1928" s="4">
        <v>13.5408143396269</v>
      </c>
      <c r="Y1928" s="4">
        <v>13.6422027804288</v>
      </c>
      <c r="Z1928" s="4">
        <v>14.0322991818077</v>
      </c>
      <c r="AA1928" s="4">
        <f t="shared" si="123"/>
        <v>13.738438767287802</v>
      </c>
    </row>
    <row r="1929" spans="2:27" x14ac:dyDescent="0.2">
      <c r="B1929" s="4" t="s">
        <v>4724</v>
      </c>
      <c r="C1929" s="4">
        <v>14.049300000000001</v>
      </c>
      <c r="D1929" s="4">
        <v>14.325200000000001</v>
      </c>
      <c r="E1929" s="4">
        <v>13.922700000000001</v>
      </c>
      <c r="F1929" s="4">
        <f t="shared" si="120"/>
        <v>14.099066666666667</v>
      </c>
      <c r="I1929" s="4" t="s">
        <v>1531</v>
      </c>
      <c r="J1929" s="4">
        <v>13.1622</v>
      </c>
      <c r="K1929" s="4">
        <v>14.146000000000001</v>
      </c>
      <c r="L1929" s="4">
        <v>14.8239</v>
      </c>
      <c r="M1929" s="4">
        <f t="shared" si="121"/>
        <v>14.044033333333333</v>
      </c>
      <c r="P1929" s="4" t="str">
        <f>"uev-1"</f>
        <v>uev-1</v>
      </c>
      <c r="Q1929" s="4">
        <v>13.5475018035409</v>
      </c>
      <c r="R1929" s="4">
        <v>13.6959919349994</v>
      </c>
      <c r="S1929" s="4">
        <v>13.688683780040501</v>
      </c>
      <c r="T1929" s="4">
        <f t="shared" si="122"/>
        <v>13.644059172860267</v>
      </c>
      <c r="W1929" s="4" t="str">
        <f>"rbg-2"</f>
        <v>rbg-2</v>
      </c>
      <c r="X1929" s="4">
        <v>13.894744888604301</v>
      </c>
      <c r="Y1929" s="4">
        <v>13.773548947178799</v>
      </c>
      <c r="Z1929" s="4">
        <v>13.538290025094099</v>
      </c>
      <c r="AA1929" s="4">
        <f t="shared" si="123"/>
        <v>13.735527953625734</v>
      </c>
    </row>
    <row r="1930" spans="2:27" x14ac:dyDescent="0.2">
      <c r="B1930" s="4" t="s">
        <v>4092</v>
      </c>
      <c r="C1930" s="4">
        <v>14.174300000000001</v>
      </c>
      <c r="D1930" s="4">
        <v>14.2402</v>
      </c>
      <c r="E1930" s="4">
        <v>13.8817</v>
      </c>
      <c r="F1930" s="4">
        <f t="shared" si="120"/>
        <v>14.098733333333334</v>
      </c>
      <c r="I1930" s="4" t="s">
        <v>195</v>
      </c>
      <c r="J1930" s="4">
        <v>13.7417</v>
      </c>
      <c r="K1930" s="4">
        <v>13.875299999999999</v>
      </c>
      <c r="L1930" s="4">
        <v>14.5128</v>
      </c>
      <c r="M1930" s="4">
        <f t="shared" si="121"/>
        <v>14.043266666666666</v>
      </c>
      <c r="P1930" s="4" t="str">
        <f>"B0464.9"</f>
        <v>B0464.9</v>
      </c>
      <c r="Q1930" s="4">
        <v>13.417194080290701</v>
      </c>
      <c r="R1930" s="4">
        <v>13.6187188343784</v>
      </c>
      <c r="S1930" s="4">
        <v>13.893910872472601</v>
      </c>
      <c r="T1930" s="4">
        <f t="shared" si="122"/>
        <v>13.643274595713899</v>
      </c>
      <c r="W1930" s="4" t="str">
        <f>"fubl-1"</f>
        <v>fubl-1</v>
      </c>
      <c r="X1930" s="4">
        <v>14.0137053239084</v>
      </c>
      <c r="Y1930" s="4">
        <v>13.7086014682935</v>
      </c>
      <c r="Z1930" s="4">
        <v>13.4800045199439</v>
      </c>
      <c r="AA1930" s="4">
        <f t="shared" si="123"/>
        <v>13.734103770715265</v>
      </c>
    </row>
    <row r="1931" spans="2:27" x14ac:dyDescent="0.2">
      <c r="B1931" s="4" t="s">
        <v>4242</v>
      </c>
      <c r="C1931" s="4">
        <v>14.105600000000001</v>
      </c>
      <c r="D1931" s="4">
        <v>14.0746</v>
      </c>
      <c r="E1931" s="4">
        <v>14.1126</v>
      </c>
      <c r="F1931" s="4">
        <f t="shared" si="120"/>
        <v>14.0976</v>
      </c>
      <c r="I1931" s="4" t="s">
        <v>904</v>
      </c>
      <c r="J1931" s="4">
        <v>13.9785</v>
      </c>
      <c r="K1931" s="4">
        <v>13.9688</v>
      </c>
      <c r="L1931" s="4">
        <v>14.1816</v>
      </c>
      <c r="M1931" s="4">
        <f t="shared" si="121"/>
        <v>14.042966666666667</v>
      </c>
      <c r="P1931" s="4" t="str">
        <f>"ttr-17"</f>
        <v>ttr-17</v>
      </c>
      <c r="Q1931" s="4">
        <v>13.3694036507031</v>
      </c>
      <c r="R1931" s="4">
        <v>13.9099735707031</v>
      </c>
      <c r="S1931" s="4">
        <v>13.6501355492119</v>
      </c>
      <c r="T1931" s="4">
        <f t="shared" si="122"/>
        <v>13.643170923539367</v>
      </c>
      <c r="W1931" s="4" t="str">
        <f>"ZC434.9"</f>
        <v>ZC434.9</v>
      </c>
      <c r="X1931" s="4">
        <v>13.790940905263</v>
      </c>
      <c r="Y1931" s="4">
        <v>13.7069848038293</v>
      </c>
      <c r="Z1931" s="4">
        <v>13.6992370790033</v>
      </c>
      <c r="AA1931" s="4">
        <f t="shared" si="123"/>
        <v>13.732387596031865</v>
      </c>
    </row>
    <row r="1932" spans="2:27" x14ac:dyDescent="0.2">
      <c r="B1932" s="4" t="s">
        <v>1439</v>
      </c>
      <c r="C1932" s="4">
        <v>14.0268</v>
      </c>
      <c r="D1932" s="4">
        <v>14.0421</v>
      </c>
      <c r="E1932" s="4">
        <v>14.209199999999999</v>
      </c>
      <c r="F1932" s="4">
        <f t="shared" si="120"/>
        <v>14.092699999999999</v>
      </c>
      <c r="I1932" s="4" t="s">
        <v>1424</v>
      </c>
      <c r="J1932" s="4">
        <v>13.291499999999999</v>
      </c>
      <c r="K1932" s="4">
        <v>13.676399999999999</v>
      </c>
      <c r="L1932" s="4">
        <v>15.160600000000001</v>
      </c>
      <c r="M1932" s="4">
        <f t="shared" si="121"/>
        <v>14.042833333333334</v>
      </c>
      <c r="P1932" s="4" t="str">
        <f>"Y7A5A.1"</f>
        <v>Y7A5A.1</v>
      </c>
      <c r="Q1932" s="4">
        <v>13.5711441116076</v>
      </c>
      <c r="R1932" s="4">
        <v>13.627836980827899</v>
      </c>
      <c r="S1932" s="4">
        <v>13.726162154027101</v>
      </c>
      <c r="T1932" s="4">
        <f t="shared" si="122"/>
        <v>13.641714415487533</v>
      </c>
      <c r="W1932" s="4" t="str">
        <f>"mel-46"</f>
        <v>mel-46</v>
      </c>
      <c r="X1932" s="4">
        <v>13.766256388318199</v>
      </c>
      <c r="Y1932" s="4">
        <v>13.852089412914401</v>
      </c>
      <c r="Z1932" s="4">
        <v>13.5788157927112</v>
      </c>
      <c r="AA1932" s="4">
        <f t="shared" si="123"/>
        <v>13.732387197981268</v>
      </c>
    </row>
    <row r="1933" spans="2:27" x14ac:dyDescent="0.2">
      <c r="B1933" s="4" t="s">
        <v>4523</v>
      </c>
      <c r="C1933" s="4">
        <v>14.037800000000001</v>
      </c>
      <c r="D1933" s="4">
        <v>14.055899999999999</v>
      </c>
      <c r="E1933" s="4">
        <v>14.183</v>
      </c>
      <c r="F1933" s="4">
        <f t="shared" si="120"/>
        <v>14.092233333333333</v>
      </c>
      <c r="I1933" s="4" t="s">
        <v>4725</v>
      </c>
      <c r="J1933" s="4">
        <v>13.9095</v>
      </c>
      <c r="K1933" s="4">
        <v>13.9933</v>
      </c>
      <c r="L1933" s="4">
        <v>14.2234</v>
      </c>
      <c r="M1933" s="4">
        <f t="shared" si="121"/>
        <v>14.042066666666665</v>
      </c>
      <c r="P1933" s="4" t="str">
        <f>"gck-1"</f>
        <v>gck-1</v>
      </c>
      <c r="Q1933" s="4">
        <v>13.565733243360199</v>
      </c>
      <c r="R1933" s="4">
        <v>13.6599843931736</v>
      </c>
      <c r="S1933" s="4">
        <v>13.6988472204518</v>
      </c>
      <c r="T1933" s="4">
        <f t="shared" si="122"/>
        <v>13.641521618995199</v>
      </c>
      <c r="W1933" s="4" t="str">
        <f>"cpna-1"</f>
        <v>cpna-1</v>
      </c>
      <c r="X1933" s="4">
        <v>13.4665076010986</v>
      </c>
      <c r="Y1933" s="4">
        <v>13.9411424461943</v>
      </c>
      <c r="Z1933" s="4">
        <v>13.781789583885301</v>
      </c>
      <c r="AA1933" s="4">
        <f t="shared" si="123"/>
        <v>13.729813210392734</v>
      </c>
    </row>
    <row r="1934" spans="2:27" x14ac:dyDescent="0.2">
      <c r="B1934" s="4" t="s">
        <v>4544</v>
      </c>
      <c r="C1934" s="4">
        <v>14.536799999999999</v>
      </c>
      <c r="D1934" s="4">
        <v>13.841699999999999</v>
      </c>
      <c r="E1934" s="4">
        <v>13.8963</v>
      </c>
      <c r="F1934" s="4">
        <f t="shared" si="120"/>
        <v>14.0916</v>
      </c>
      <c r="I1934" s="4" t="s">
        <v>4686</v>
      </c>
      <c r="J1934" s="4">
        <v>13.9725</v>
      </c>
      <c r="K1934" s="4">
        <v>13.810600000000001</v>
      </c>
      <c r="L1934" s="4">
        <v>14.335599999999999</v>
      </c>
      <c r="M1934" s="4">
        <f t="shared" si="121"/>
        <v>14.039566666666667</v>
      </c>
      <c r="P1934" s="4" t="str">
        <f>"cyc-2.1"</f>
        <v>cyc-2.1</v>
      </c>
      <c r="Q1934" s="4">
        <v>13.550753543859001</v>
      </c>
      <c r="R1934" s="4">
        <v>13.800675092232</v>
      </c>
      <c r="S1934" s="4">
        <v>13.569475101140901</v>
      </c>
      <c r="T1934" s="4">
        <f t="shared" si="122"/>
        <v>13.640301245743968</v>
      </c>
      <c r="W1934" s="4" t="str">
        <f>"F20G2.2"</f>
        <v>F20G2.2</v>
      </c>
      <c r="X1934" s="4">
        <v>13.520112958172099</v>
      </c>
      <c r="Y1934" s="4">
        <v>13.663623019442801</v>
      </c>
      <c r="Z1934" s="4">
        <v>14.004459974893001</v>
      </c>
      <c r="AA1934" s="4">
        <f t="shared" si="123"/>
        <v>13.729398650835968</v>
      </c>
    </row>
    <row r="1935" spans="2:27" x14ac:dyDescent="0.2">
      <c r="B1935" s="4" t="s">
        <v>2763</v>
      </c>
      <c r="C1935" s="4">
        <v>13.887600000000001</v>
      </c>
      <c r="D1935" s="4">
        <v>14.095700000000001</v>
      </c>
      <c r="E1935" s="4">
        <v>14.289300000000001</v>
      </c>
      <c r="F1935" s="4">
        <f t="shared" si="120"/>
        <v>14.090866666666665</v>
      </c>
      <c r="I1935" s="4" t="s">
        <v>4439</v>
      </c>
      <c r="J1935" s="4">
        <v>13.7719</v>
      </c>
      <c r="K1935" s="4">
        <v>14.2376</v>
      </c>
      <c r="L1935" s="4">
        <v>14.104799999999999</v>
      </c>
      <c r="M1935" s="4">
        <f t="shared" si="121"/>
        <v>14.0381</v>
      </c>
      <c r="P1935" s="4" t="str">
        <f>"ooc-3"</f>
        <v>ooc-3</v>
      </c>
      <c r="Q1935" s="4">
        <v>13.684930391478799</v>
      </c>
      <c r="R1935" s="4">
        <v>13.552965431560899</v>
      </c>
      <c r="S1935" s="4">
        <v>13.680144788956</v>
      </c>
      <c r="T1935" s="4">
        <f t="shared" si="122"/>
        <v>13.639346870665234</v>
      </c>
      <c r="W1935" s="4" t="str">
        <f>"B0495.5"</f>
        <v>B0495.5</v>
      </c>
      <c r="X1935" s="4">
        <v>13.4494057969509</v>
      </c>
      <c r="Y1935" s="4">
        <v>13.9592289178294</v>
      </c>
      <c r="Z1935" s="4">
        <v>13.7773484172924</v>
      </c>
      <c r="AA1935" s="4">
        <f t="shared" si="123"/>
        <v>13.728661044024234</v>
      </c>
    </row>
    <row r="1936" spans="2:27" x14ac:dyDescent="0.2">
      <c r="B1936" s="4" t="s">
        <v>4047</v>
      </c>
      <c r="C1936" s="4">
        <v>14.0566</v>
      </c>
      <c r="D1936" s="4">
        <v>13.994999999999999</v>
      </c>
      <c r="E1936" s="4">
        <v>14.219099999999999</v>
      </c>
      <c r="F1936" s="4">
        <f t="shared" si="120"/>
        <v>14.090233333333332</v>
      </c>
      <c r="I1936" s="4" t="s">
        <v>4206</v>
      </c>
      <c r="J1936" s="4">
        <v>14.152200000000001</v>
      </c>
      <c r="K1936" s="4">
        <v>14.093299999999999</v>
      </c>
      <c r="L1936" s="4">
        <v>13.866300000000001</v>
      </c>
      <c r="M1936" s="4">
        <f t="shared" si="121"/>
        <v>14.037266666666667</v>
      </c>
      <c r="P1936" s="4" t="str">
        <f>"T22D1.3"</f>
        <v>T22D1.3</v>
      </c>
      <c r="Q1936" s="4">
        <v>13.4605584911485</v>
      </c>
      <c r="R1936" s="4">
        <v>13.642314043269501</v>
      </c>
      <c r="S1936" s="4">
        <v>13.812915926148801</v>
      </c>
      <c r="T1936" s="4">
        <f t="shared" si="122"/>
        <v>13.638596153522267</v>
      </c>
      <c r="W1936" s="4" t="str">
        <f>"mnp-1"</f>
        <v>mnp-1</v>
      </c>
      <c r="X1936" s="4">
        <v>13.777834052992301</v>
      </c>
      <c r="Y1936" s="4">
        <v>13.620041937939799</v>
      </c>
      <c r="Z1936" s="4">
        <v>13.786639852129699</v>
      </c>
      <c r="AA1936" s="4">
        <f t="shared" si="123"/>
        <v>13.728171947687267</v>
      </c>
    </row>
    <row r="1937" spans="2:27" x14ac:dyDescent="0.2">
      <c r="B1937" s="4" t="s">
        <v>2316</v>
      </c>
      <c r="C1937" s="4">
        <v>14.2431</v>
      </c>
      <c r="D1937" s="4">
        <v>13.759600000000001</v>
      </c>
      <c r="E1937" s="4">
        <v>14.267899999999999</v>
      </c>
      <c r="F1937" s="4">
        <f t="shared" si="120"/>
        <v>14.090200000000001</v>
      </c>
      <c r="I1937" s="4" t="s">
        <v>3853</v>
      </c>
      <c r="J1937" s="4">
        <v>14.207100000000001</v>
      </c>
      <c r="K1937" s="4">
        <v>13.8028</v>
      </c>
      <c r="L1937" s="4">
        <v>14.092000000000001</v>
      </c>
      <c r="M1937" s="4">
        <f t="shared" si="121"/>
        <v>14.033966666666666</v>
      </c>
      <c r="P1937" s="4" t="str">
        <f>"ZK1098.2"</f>
        <v>ZK1098.2</v>
      </c>
      <c r="Q1937" s="4">
        <v>13.2791235791732</v>
      </c>
      <c r="R1937" s="4">
        <v>13.841617311975799</v>
      </c>
      <c r="S1937" s="4">
        <v>13.7930046964598</v>
      </c>
      <c r="T1937" s="4">
        <f t="shared" si="122"/>
        <v>13.637915195869601</v>
      </c>
      <c r="W1937" s="4" t="str">
        <f>"sbp-1"</f>
        <v>sbp-1</v>
      </c>
      <c r="X1937" s="4">
        <v>13.7164801255977</v>
      </c>
      <c r="Y1937" s="4">
        <v>13.7922356027333</v>
      </c>
      <c r="Z1937" s="4">
        <v>13.673499655001001</v>
      </c>
      <c r="AA1937" s="4">
        <f t="shared" si="123"/>
        <v>13.727405127777333</v>
      </c>
    </row>
    <row r="1938" spans="2:27" x14ac:dyDescent="0.2">
      <c r="B1938" s="4" t="s">
        <v>2563</v>
      </c>
      <c r="C1938" s="4">
        <v>14.195399999999999</v>
      </c>
      <c r="D1938" s="4">
        <v>13.797599999999999</v>
      </c>
      <c r="E1938" s="4">
        <v>14.275700000000001</v>
      </c>
      <c r="F1938" s="4">
        <f t="shared" si="120"/>
        <v>14.089566666666665</v>
      </c>
      <c r="I1938" s="4" t="s">
        <v>3430</v>
      </c>
      <c r="J1938" s="4">
        <v>14.055199999999999</v>
      </c>
      <c r="K1938" s="4">
        <v>14.032</v>
      </c>
      <c r="L1938" s="4">
        <v>14.0143</v>
      </c>
      <c r="M1938" s="4">
        <f t="shared" si="121"/>
        <v>14.033833333333334</v>
      </c>
      <c r="P1938" s="4" t="str">
        <f>"tag-96"</f>
        <v>tag-96</v>
      </c>
      <c r="Q1938" s="4">
        <v>13.6742535001465</v>
      </c>
      <c r="R1938" s="4">
        <v>13.5998666522938</v>
      </c>
      <c r="S1938" s="4">
        <v>13.638315484799399</v>
      </c>
      <c r="T1938" s="4">
        <f t="shared" si="122"/>
        <v>13.637478545746566</v>
      </c>
      <c r="W1938" s="4" t="str">
        <f>"apy-1"</f>
        <v>apy-1</v>
      </c>
      <c r="X1938" s="4">
        <v>13.775825341918599</v>
      </c>
      <c r="Y1938" s="4">
        <v>13.821416028699399</v>
      </c>
      <c r="Z1938" s="4">
        <v>13.572687728701</v>
      </c>
      <c r="AA1938" s="4">
        <f t="shared" si="123"/>
        <v>13.723309699772999</v>
      </c>
    </row>
    <row r="1939" spans="2:27" x14ac:dyDescent="0.2">
      <c r="B1939" s="4" t="s">
        <v>1292</v>
      </c>
      <c r="C1939" s="4">
        <v>14.116099999999999</v>
      </c>
      <c r="D1939" s="4">
        <v>14.293799999999999</v>
      </c>
      <c r="E1939" s="4">
        <v>13.8561</v>
      </c>
      <c r="F1939" s="4">
        <f t="shared" si="120"/>
        <v>14.088666666666667</v>
      </c>
      <c r="I1939" s="4" t="s">
        <v>29</v>
      </c>
      <c r="J1939" s="4">
        <v>13.968500000000001</v>
      </c>
      <c r="K1939" s="4">
        <v>14.045</v>
      </c>
      <c r="L1939" s="4">
        <v>14.0799</v>
      </c>
      <c r="M1939" s="4">
        <f t="shared" si="121"/>
        <v>14.031133333333335</v>
      </c>
      <c r="P1939" s="4" t="str">
        <f>"Y48G9A.9"</f>
        <v>Y48G9A.9</v>
      </c>
      <c r="Q1939" s="4">
        <v>13.452503693852</v>
      </c>
      <c r="R1939" s="4">
        <v>13.5068229752978</v>
      </c>
      <c r="S1939" s="4">
        <v>13.9459835445841</v>
      </c>
      <c r="T1939" s="4">
        <f t="shared" si="122"/>
        <v>13.635103404577967</v>
      </c>
      <c r="W1939" s="4" t="str">
        <f>"hil-2"</f>
        <v>hil-2</v>
      </c>
      <c r="X1939" s="4">
        <v>13.5220222034446</v>
      </c>
      <c r="Y1939" s="4">
        <v>13.8427296205701</v>
      </c>
      <c r="Z1939" s="4">
        <v>13.8035709729497</v>
      </c>
      <c r="AA1939" s="4">
        <f t="shared" si="123"/>
        <v>13.722774265654801</v>
      </c>
    </row>
    <row r="1940" spans="2:27" x14ac:dyDescent="0.2">
      <c r="B1940" s="4" t="s">
        <v>302</v>
      </c>
      <c r="C1940" s="4">
        <v>13.9436</v>
      </c>
      <c r="D1940" s="4">
        <v>14.3794</v>
      </c>
      <c r="E1940" s="4">
        <v>13.9406</v>
      </c>
      <c r="F1940" s="4">
        <f t="shared" si="120"/>
        <v>14.087866666666665</v>
      </c>
      <c r="I1940" s="4" t="s">
        <v>4318</v>
      </c>
      <c r="J1940" s="4">
        <v>13.8744</v>
      </c>
      <c r="K1940" s="4">
        <v>14.027799999999999</v>
      </c>
      <c r="L1940" s="4">
        <v>14.1907</v>
      </c>
      <c r="M1940" s="4">
        <f t="shared" si="121"/>
        <v>14.030966666666666</v>
      </c>
      <c r="P1940" s="4" t="str">
        <f>"mog-4"</f>
        <v>mog-4</v>
      </c>
      <c r="Q1940" s="4">
        <v>13.709758108873199</v>
      </c>
      <c r="R1940" s="4">
        <v>13.5854364186573</v>
      </c>
      <c r="S1940" s="4">
        <v>13.6088449130919</v>
      </c>
      <c r="T1940" s="4">
        <f t="shared" si="122"/>
        <v>13.634679813540799</v>
      </c>
      <c r="W1940" s="4" t="str">
        <f>"tgt-2"</f>
        <v>tgt-2</v>
      </c>
      <c r="X1940" s="4">
        <v>13.673860580029199</v>
      </c>
      <c r="Y1940" s="4">
        <v>13.863874167660599</v>
      </c>
      <c r="Z1940" s="4">
        <v>13.629280355393</v>
      </c>
      <c r="AA1940" s="4">
        <f t="shared" si="123"/>
        <v>13.722338367694265</v>
      </c>
    </row>
    <row r="1941" spans="2:27" x14ac:dyDescent="0.2">
      <c r="B1941" s="4" t="s">
        <v>4120</v>
      </c>
      <c r="C1941" s="4">
        <v>14.1218</v>
      </c>
      <c r="D1941" s="4">
        <v>14.216100000000001</v>
      </c>
      <c r="E1941" s="4">
        <v>13.925599999999999</v>
      </c>
      <c r="F1941" s="4">
        <f t="shared" si="120"/>
        <v>14.087833333333334</v>
      </c>
      <c r="I1941" s="4" t="s">
        <v>2653</v>
      </c>
      <c r="J1941" s="4">
        <v>14.2254</v>
      </c>
      <c r="K1941" s="4">
        <v>13.685499999999999</v>
      </c>
      <c r="L1941" s="4">
        <v>14.180400000000001</v>
      </c>
      <c r="M1941" s="4">
        <f t="shared" si="121"/>
        <v>14.030433333333333</v>
      </c>
      <c r="P1941" s="4" t="str">
        <f>"cyp-35a2"</f>
        <v>cyp-35a2</v>
      </c>
      <c r="Q1941" s="4">
        <v>13.5408983253801</v>
      </c>
      <c r="R1941" s="4">
        <v>13.4820395541569</v>
      </c>
      <c r="S1941" s="4">
        <v>13.8803666040269</v>
      </c>
      <c r="T1941" s="4">
        <f t="shared" si="122"/>
        <v>13.634434827854633</v>
      </c>
      <c r="W1941" s="4" t="str">
        <f>"zoo-1"</f>
        <v>zoo-1</v>
      </c>
      <c r="X1941" s="4">
        <v>13.4853314426697</v>
      </c>
      <c r="Y1941" s="4">
        <v>13.959746672664</v>
      </c>
      <c r="Z1941" s="4">
        <v>13.7214800453809</v>
      </c>
      <c r="AA1941" s="4">
        <f t="shared" si="123"/>
        <v>13.722186053571534</v>
      </c>
    </row>
    <row r="1942" spans="2:27" x14ac:dyDescent="0.2">
      <c r="B1942" s="4" t="s">
        <v>3317</v>
      </c>
      <c r="C1942" s="4">
        <v>13.981</v>
      </c>
      <c r="D1942" s="4">
        <v>14.3042</v>
      </c>
      <c r="E1942" s="4">
        <v>13.9781</v>
      </c>
      <c r="F1942" s="4">
        <f t="shared" si="120"/>
        <v>14.087766666666667</v>
      </c>
      <c r="I1942" s="4" t="s">
        <v>1338</v>
      </c>
      <c r="J1942" s="4">
        <v>13.7806</v>
      </c>
      <c r="K1942" s="4">
        <v>14.1365</v>
      </c>
      <c r="L1942" s="4">
        <v>14.1648</v>
      </c>
      <c r="M1942" s="4">
        <f t="shared" si="121"/>
        <v>14.027299999999999</v>
      </c>
      <c r="P1942" s="4" t="str">
        <f>"ZK688.5"</f>
        <v>ZK688.5</v>
      </c>
      <c r="Q1942" s="4">
        <v>13.8194163182773</v>
      </c>
      <c r="R1942" s="4">
        <v>13.623308688120201</v>
      </c>
      <c r="S1942" s="4">
        <v>13.459345402538601</v>
      </c>
      <c r="T1942" s="4">
        <f t="shared" si="122"/>
        <v>13.634023469645369</v>
      </c>
      <c r="W1942" s="4" t="str">
        <f>"eif-3.K"</f>
        <v>eif-3.K</v>
      </c>
      <c r="X1942" s="4">
        <v>13.7842884766856</v>
      </c>
      <c r="Y1942" s="4">
        <v>13.823243819740901</v>
      </c>
      <c r="Z1942" s="4">
        <v>13.5561330316363</v>
      </c>
      <c r="AA1942" s="4">
        <f t="shared" si="123"/>
        <v>13.721221776020933</v>
      </c>
    </row>
    <row r="1943" spans="2:27" x14ac:dyDescent="0.2">
      <c r="B1943" s="4" t="s">
        <v>1426</v>
      </c>
      <c r="C1943" s="4">
        <v>14.065099999999999</v>
      </c>
      <c r="D1943" s="4">
        <v>14.084899999999999</v>
      </c>
      <c r="E1943" s="4">
        <v>14.1059</v>
      </c>
      <c r="F1943" s="4">
        <f t="shared" si="120"/>
        <v>14.085299999999998</v>
      </c>
      <c r="I1943" s="4" t="s">
        <v>2848</v>
      </c>
      <c r="J1943" s="4">
        <v>14.0565</v>
      </c>
      <c r="K1943" s="4">
        <v>13.728199999999999</v>
      </c>
      <c r="L1943" s="4">
        <v>14.293900000000001</v>
      </c>
      <c r="M1943" s="4">
        <f t="shared" si="121"/>
        <v>14.026200000000001</v>
      </c>
      <c r="P1943" s="4" t="str">
        <f>"mrps-14"</f>
        <v>mrps-14</v>
      </c>
      <c r="Q1943" s="4">
        <v>13.8029976108963</v>
      </c>
      <c r="R1943" s="4">
        <v>13.461607452814301</v>
      </c>
      <c r="S1943" s="4">
        <v>13.6361888726342</v>
      </c>
      <c r="T1943" s="4">
        <f t="shared" si="122"/>
        <v>13.6335979787816</v>
      </c>
      <c r="W1943" s="4" t="str">
        <f>"grk-1"</f>
        <v>grk-1</v>
      </c>
      <c r="X1943" s="4">
        <v>13.5656116888431</v>
      </c>
      <c r="Y1943" s="4">
        <v>13.863137487263099</v>
      </c>
      <c r="Z1943" s="4">
        <v>13.7293087434272</v>
      </c>
      <c r="AA1943" s="4">
        <f t="shared" si="123"/>
        <v>13.719352639844468</v>
      </c>
    </row>
    <row r="1944" spans="2:27" x14ac:dyDescent="0.2">
      <c r="B1944" s="4" t="s">
        <v>3718</v>
      </c>
      <c r="C1944" s="4">
        <v>14.3637</v>
      </c>
      <c r="D1944" s="4">
        <v>14.042400000000001</v>
      </c>
      <c r="E1944" s="4">
        <v>13.8446</v>
      </c>
      <c r="F1944" s="4">
        <f t="shared" si="120"/>
        <v>14.083566666666668</v>
      </c>
      <c r="I1944" s="4" t="s">
        <v>1588</v>
      </c>
      <c r="J1944" s="4">
        <v>13.9421</v>
      </c>
      <c r="K1944" s="4">
        <v>14.0586</v>
      </c>
      <c r="L1944" s="4">
        <v>14.0741</v>
      </c>
      <c r="M1944" s="4">
        <f t="shared" si="121"/>
        <v>14.024933333333335</v>
      </c>
      <c r="P1944" s="4" t="str">
        <f>"Y53C12A.10"</f>
        <v>Y53C12A.10</v>
      </c>
      <c r="Q1944" s="4">
        <v>13.193281252981301</v>
      </c>
      <c r="R1944" s="4">
        <v>14.218382792654699</v>
      </c>
      <c r="S1944" s="4">
        <v>13.4883071243878</v>
      </c>
      <c r="T1944" s="4">
        <f t="shared" si="122"/>
        <v>13.633323723341269</v>
      </c>
      <c r="W1944" s="4" t="str">
        <f>"K03B8.6"</f>
        <v>K03B8.6</v>
      </c>
      <c r="X1944" s="4">
        <v>13.4130722216515</v>
      </c>
      <c r="Y1944" s="4">
        <v>13.900676929209499</v>
      </c>
      <c r="Z1944" s="4">
        <v>13.8384343793192</v>
      </c>
      <c r="AA1944" s="4">
        <f t="shared" si="123"/>
        <v>13.717394510060066</v>
      </c>
    </row>
    <row r="1945" spans="2:27" x14ac:dyDescent="0.2">
      <c r="B1945" s="4" t="s">
        <v>4718</v>
      </c>
      <c r="C1945" s="4">
        <v>13.977</v>
      </c>
      <c r="D1945" s="4">
        <v>14.2616</v>
      </c>
      <c r="E1945" s="4">
        <v>14.0108</v>
      </c>
      <c r="F1945" s="4">
        <f t="shared" si="120"/>
        <v>14.083133333333331</v>
      </c>
      <c r="I1945" s="4" t="s">
        <v>4726</v>
      </c>
      <c r="J1945" s="4">
        <v>14.2402</v>
      </c>
      <c r="K1945" s="4">
        <v>14.0153</v>
      </c>
      <c r="L1945" s="4">
        <v>13.817399999999999</v>
      </c>
      <c r="M1945" s="4">
        <f t="shared" si="121"/>
        <v>14.024299999999998</v>
      </c>
      <c r="P1945" s="4" t="str">
        <f>"vps-41"</f>
        <v>vps-41</v>
      </c>
      <c r="Q1945" s="4">
        <v>13.470512453742</v>
      </c>
      <c r="R1945" s="4">
        <v>13.6666345290471</v>
      </c>
      <c r="S1945" s="4">
        <v>13.7397896467607</v>
      </c>
      <c r="T1945" s="4">
        <f t="shared" si="122"/>
        <v>13.625645543183266</v>
      </c>
      <c r="W1945" s="4" t="str">
        <f>"ndx-4"</f>
        <v>ndx-4</v>
      </c>
      <c r="X1945" s="4">
        <v>13.7835834008122</v>
      </c>
      <c r="Y1945" s="4">
        <v>13.758737225406501</v>
      </c>
      <c r="Z1945" s="4">
        <v>13.5998415341138</v>
      </c>
      <c r="AA1945" s="4">
        <f t="shared" si="123"/>
        <v>13.714054053444167</v>
      </c>
    </row>
    <row r="1946" spans="2:27" x14ac:dyDescent="0.2">
      <c r="B1946" s="4" t="s">
        <v>4023</v>
      </c>
      <c r="C1946" s="4">
        <v>14.177899999999999</v>
      </c>
      <c r="D1946" s="4">
        <v>13.847099999999999</v>
      </c>
      <c r="E1946" s="4">
        <v>14.2218</v>
      </c>
      <c r="F1946" s="4">
        <f t="shared" si="120"/>
        <v>14.082266666666667</v>
      </c>
      <c r="I1946" s="4" t="s">
        <v>3404</v>
      </c>
      <c r="J1946" s="4">
        <v>14.0702</v>
      </c>
      <c r="K1946" s="4">
        <v>13.984999999999999</v>
      </c>
      <c r="L1946" s="4">
        <v>14.0129</v>
      </c>
      <c r="M1946" s="4">
        <f t="shared" si="121"/>
        <v>14.0227</v>
      </c>
      <c r="P1946" s="4" t="str">
        <f>"cest-34"</f>
        <v>cest-34</v>
      </c>
      <c r="Q1946" s="4">
        <v>13.8178140952026</v>
      </c>
      <c r="R1946" s="4">
        <v>13.444522248511801</v>
      </c>
      <c r="S1946" s="4">
        <v>13.610820344819899</v>
      </c>
      <c r="T1946" s="4">
        <f t="shared" si="122"/>
        <v>13.624385562844767</v>
      </c>
      <c r="W1946" s="4" t="str">
        <f>"feh-1"</f>
        <v>feh-1</v>
      </c>
      <c r="X1946" s="4">
        <v>13.4543169076229</v>
      </c>
      <c r="Y1946" s="4">
        <v>13.6246028783476</v>
      </c>
      <c r="Z1946" s="4">
        <v>14.0540076960091</v>
      </c>
      <c r="AA1946" s="4">
        <f t="shared" si="123"/>
        <v>13.710975827326534</v>
      </c>
    </row>
    <row r="1947" spans="2:27" x14ac:dyDescent="0.2">
      <c r="B1947" s="4" t="s">
        <v>2069</v>
      </c>
      <c r="C1947" s="4">
        <v>14.0459</v>
      </c>
      <c r="D1947" s="4">
        <v>13.9602</v>
      </c>
      <c r="E1947" s="4">
        <v>14.239800000000001</v>
      </c>
      <c r="F1947" s="4">
        <f t="shared" si="120"/>
        <v>14.081966666666666</v>
      </c>
      <c r="I1947" s="4" t="s">
        <v>4714</v>
      </c>
      <c r="J1947" s="4">
        <v>14.051600000000001</v>
      </c>
      <c r="K1947" s="4">
        <v>13.855</v>
      </c>
      <c r="L1947" s="4">
        <v>14.1547</v>
      </c>
      <c r="M1947" s="4">
        <f t="shared" si="121"/>
        <v>14.020433333333335</v>
      </c>
      <c r="P1947" s="4" t="str">
        <f>"F57C2.5"</f>
        <v>F57C2.5</v>
      </c>
      <c r="Q1947" s="4">
        <v>13.8391206364563</v>
      </c>
      <c r="R1947" s="4">
        <v>13.404914101993599</v>
      </c>
      <c r="S1947" s="4">
        <v>13.6290614307719</v>
      </c>
      <c r="T1947" s="4">
        <f t="shared" si="122"/>
        <v>13.624365389740598</v>
      </c>
      <c r="W1947" s="4" t="str">
        <f>"perm-4"</f>
        <v>perm-4</v>
      </c>
      <c r="X1947" s="4">
        <v>13.9335704845581</v>
      </c>
      <c r="Y1947" s="4">
        <v>13.227612183892299</v>
      </c>
      <c r="Z1947" s="4">
        <v>13.9666490159904</v>
      </c>
      <c r="AA1947" s="4">
        <f t="shared" si="123"/>
        <v>13.709277228146933</v>
      </c>
    </row>
    <row r="1948" spans="2:27" x14ac:dyDescent="0.2">
      <c r="B1948" s="4" t="s">
        <v>4727</v>
      </c>
      <c r="C1948" s="4">
        <v>14.1944</v>
      </c>
      <c r="D1948" s="4">
        <v>13.9488</v>
      </c>
      <c r="E1948" s="4">
        <v>14.0975</v>
      </c>
      <c r="F1948" s="4">
        <f t="shared" si="120"/>
        <v>14.080233333333334</v>
      </c>
      <c r="I1948" s="4" t="s">
        <v>4728</v>
      </c>
      <c r="J1948" s="4">
        <v>14.068899999999999</v>
      </c>
      <c r="K1948" s="4">
        <v>14.3386</v>
      </c>
      <c r="L1948" s="4">
        <v>13.6493</v>
      </c>
      <c r="M1948" s="4">
        <f t="shared" si="121"/>
        <v>14.018933333333331</v>
      </c>
      <c r="P1948" s="4" t="str">
        <f>"mspn-1"</f>
        <v>mspn-1</v>
      </c>
      <c r="Q1948" s="4">
        <v>13.653279779184</v>
      </c>
      <c r="R1948" s="4">
        <v>13.6910674067425</v>
      </c>
      <c r="S1948" s="4">
        <v>13.5277212651881</v>
      </c>
      <c r="T1948" s="4">
        <f t="shared" si="122"/>
        <v>13.624022817038201</v>
      </c>
      <c r="W1948" s="4" t="str">
        <f>"R107.2"</f>
        <v>R107.2</v>
      </c>
      <c r="X1948" s="4">
        <v>13.6819766829095</v>
      </c>
      <c r="Y1948" s="4">
        <v>13.667483575424701</v>
      </c>
      <c r="Z1948" s="4">
        <v>13.7783429267621</v>
      </c>
      <c r="AA1948" s="4">
        <f t="shared" si="123"/>
        <v>13.709267728365433</v>
      </c>
    </row>
    <row r="1949" spans="2:27" x14ac:dyDescent="0.2">
      <c r="B1949" s="4" t="s">
        <v>69</v>
      </c>
      <c r="C1949" s="4">
        <v>13.563499999999999</v>
      </c>
      <c r="D1949" s="4">
        <v>14.582599999999999</v>
      </c>
      <c r="E1949" s="4">
        <v>14.087400000000001</v>
      </c>
      <c r="F1949" s="4">
        <f t="shared" si="120"/>
        <v>14.077833333333333</v>
      </c>
      <c r="I1949" s="4" t="s">
        <v>413</v>
      </c>
      <c r="J1949" s="4">
        <v>14.0814</v>
      </c>
      <c r="K1949" s="4">
        <v>14.059699999999999</v>
      </c>
      <c r="L1949" s="4">
        <v>13.915100000000001</v>
      </c>
      <c r="M1949" s="4">
        <f t="shared" si="121"/>
        <v>14.018733333333335</v>
      </c>
      <c r="P1949" s="4" t="str">
        <f>"ntl-9"</f>
        <v>ntl-9</v>
      </c>
      <c r="Q1949" s="4">
        <v>13.509748322785001</v>
      </c>
      <c r="R1949" s="4">
        <v>13.6772577853726</v>
      </c>
      <c r="S1949" s="4">
        <v>13.6850566498318</v>
      </c>
      <c r="T1949" s="4">
        <f t="shared" si="122"/>
        <v>13.6240209193298</v>
      </c>
      <c r="W1949" s="4" t="str">
        <f>"C56G2.3"</f>
        <v>C56G2.3</v>
      </c>
      <c r="X1949" s="4">
        <v>13.8457714821153</v>
      </c>
      <c r="Y1949" s="4">
        <v>13.716554481571301</v>
      </c>
      <c r="Z1949" s="4">
        <v>13.5606271743648</v>
      </c>
      <c r="AA1949" s="4">
        <f t="shared" si="123"/>
        <v>13.707651046017133</v>
      </c>
    </row>
    <row r="1950" spans="2:27" x14ac:dyDescent="0.2">
      <c r="B1950" s="4" t="s">
        <v>3391</v>
      </c>
      <c r="C1950" s="4">
        <v>13.748900000000001</v>
      </c>
      <c r="D1950" s="4">
        <v>14.2837</v>
      </c>
      <c r="E1950" s="4">
        <v>14.178599999999999</v>
      </c>
      <c r="F1950" s="4">
        <f t="shared" si="120"/>
        <v>14.070400000000001</v>
      </c>
      <c r="I1950" s="4" t="s">
        <v>4729</v>
      </c>
      <c r="J1950" s="4">
        <v>13.959300000000001</v>
      </c>
      <c r="K1950" s="4">
        <v>14.090400000000001</v>
      </c>
      <c r="L1950" s="4">
        <v>14.004300000000001</v>
      </c>
      <c r="M1950" s="4">
        <f t="shared" si="121"/>
        <v>14.018000000000001</v>
      </c>
      <c r="P1950" s="4" t="str">
        <f>"itr-1"</f>
        <v>itr-1</v>
      </c>
      <c r="Q1950" s="4">
        <v>13.336693226109601</v>
      </c>
      <c r="R1950" s="4">
        <v>13.663006193657701</v>
      </c>
      <c r="S1950" s="4">
        <v>13.8702246340271</v>
      </c>
      <c r="T1950" s="4">
        <f t="shared" si="122"/>
        <v>13.623308017931469</v>
      </c>
      <c r="W1950" s="4" t="str">
        <f>"sos-1"</f>
        <v>sos-1</v>
      </c>
      <c r="X1950" s="4">
        <v>13.6070177503765</v>
      </c>
      <c r="Y1950" s="4">
        <v>13.6296719958581</v>
      </c>
      <c r="Z1950" s="4">
        <v>13.8842316731841</v>
      </c>
      <c r="AA1950" s="4">
        <f t="shared" si="123"/>
        <v>13.706973806472901</v>
      </c>
    </row>
    <row r="1951" spans="2:27" x14ac:dyDescent="0.2">
      <c r="B1951" s="4" t="s">
        <v>3462</v>
      </c>
      <c r="C1951" s="4">
        <v>13.9129</v>
      </c>
      <c r="D1951" s="4">
        <v>14.146800000000001</v>
      </c>
      <c r="E1951" s="4">
        <v>14.151199999999999</v>
      </c>
      <c r="F1951" s="4">
        <f t="shared" si="120"/>
        <v>14.070299999999998</v>
      </c>
      <c r="I1951" s="4" t="s">
        <v>1001</v>
      </c>
      <c r="J1951" s="4">
        <v>13.834300000000001</v>
      </c>
      <c r="K1951" s="4">
        <v>14.219099999999999</v>
      </c>
      <c r="L1951" s="4">
        <v>13.999000000000001</v>
      </c>
      <c r="M1951" s="4">
        <f t="shared" si="121"/>
        <v>14.017466666666666</v>
      </c>
      <c r="P1951" s="4" t="str">
        <f>"acl-3"</f>
        <v>acl-3</v>
      </c>
      <c r="Q1951" s="4">
        <v>13.671582800783099</v>
      </c>
      <c r="R1951" s="4">
        <v>13.747863387304699</v>
      </c>
      <c r="S1951" s="4">
        <v>13.4488776542322</v>
      </c>
      <c r="T1951" s="4">
        <f t="shared" si="122"/>
        <v>13.622774614106666</v>
      </c>
      <c r="W1951" s="4" t="str">
        <f>"C07A12.7"</f>
        <v>C07A12.7</v>
      </c>
      <c r="X1951" s="4">
        <v>13.856556750449601</v>
      </c>
      <c r="Y1951" s="4">
        <v>13.647549154597399</v>
      </c>
      <c r="Z1951" s="4">
        <v>13.6137192801816</v>
      </c>
      <c r="AA1951" s="4">
        <f t="shared" si="123"/>
        <v>13.705941728409533</v>
      </c>
    </row>
    <row r="1952" spans="2:27" x14ac:dyDescent="0.2">
      <c r="B1952" s="4" t="s">
        <v>3783</v>
      </c>
      <c r="C1952" s="4">
        <v>14.0419</v>
      </c>
      <c r="D1952" s="4">
        <v>14.266299999999999</v>
      </c>
      <c r="E1952" s="4">
        <v>13.896000000000001</v>
      </c>
      <c r="F1952" s="4">
        <f t="shared" si="120"/>
        <v>14.068066666666667</v>
      </c>
      <c r="I1952" s="4" t="s">
        <v>75</v>
      </c>
      <c r="J1952" s="4">
        <v>13.525499999999999</v>
      </c>
      <c r="K1952" s="4">
        <v>14.0052</v>
      </c>
      <c r="L1952" s="4">
        <v>14.5205</v>
      </c>
      <c r="M1952" s="4">
        <f t="shared" si="121"/>
        <v>14.017066666666667</v>
      </c>
      <c r="P1952" s="4" t="str">
        <f>"srr-4"</f>
        <v>srr-4</v>
      </c>
      <c r="Q1952" s="4">
        <v>13.3513981260833</v>
      </c>
      <c r="R1952" s="4">
        <v>13.522304835593699</v>
      </c>
      <c r="S1952" s="4">
        <v>13.9928305858865</v>
      </c>
      <c r="T1952" s="4">
        <f t="shared" si="122"/>
        <v>13.622177849187834</v>
      </c>
      <c r="W1952" s="24" t="str">
        <f>"nekl-3"</f>
        <v>nekl-3</v>
      </c>
      <c r="X1952" s="24">
        <v>14.057064813652699</v>
      </c>
      <c r="Y1952" s="24">
        <v>13.568924117394699</v>
      </c>
      <c r="Z1952" s="24">
        <v>13.486602455655399</v>
      </c>
      <c r="AA1952" s="4">
        <f t="shared" si="123"/>
        <v>13.704197128900931</v>
      </c>
    </row>
    <row r="1953" spans="2:27" x14ac:dyDescent="0.2">
      <c r="B1953" s="4" t="s">
        <v>3341</v>
      </c>
      <c r="C1953" s="4">
        <v>13.7463</v>
      </c>
      <c r="D1953" s="4">
        <v>14.5884</v>
      </c>
      <c r="E1953" s="4">
        <v>13.864599999999999</v>
      </c>
      <c r="F1953" s="4">
        <f t="shared" si="120"/>
        <v>14.066433333333331</v>
      </c>
      <c r="I1953" s="4" t="s">
        <v>4730</v>
      </c>
      <c r="J1953" s="4">
        <v>14.332000000000001</v>
      </c>
      <c r="K1953" s="4">
        <v>13.2516</v>
      </c>
      <c r="L1953" s="4">
        <v>14.465199999999999</v>
      </c>
      <c r="M1953" s="4">
        <f t="shared" si="121"/>
        <v>14.016266666666667</v>
      </c>
      <c r="P1953" s="4" t="str">
        <f>"D1069.3"</f>
        <v>D1069.3</v>
      </c>
      <c r="Q1953" s="4">
        <v>13.6322972965195</v>
      </c>
      <c r="R1953" s="4">
        <v>13.5984571729101</v>
      </c>
      <c r="S1953" s="4">
        <v>13.6340680828341</v>
      </c>
      <c r="T1953" s="4">
        <f t="shared" si="122"/>
        <v>13.621607517421232</v>
      </c>
      <c r="W1953" s="4" t="str">
        <f>"tspo-1"</f>
        <v>tspo-1</v>
      </c>
      <c r="X1953" s="4">
        <v>14.0455701344003</v>
      </c>
      <c r="Y1953" s="4">
        <v>13.328644430992499</v>
      </c>
      <c r="Z1953" s="4">
        <v>13.7362507598524</v>
      </c>
      <c r="AA1953" s="4">
        <f t="shared" si="123"/>
        <v>13.7034884417484</v>
      </c>
    </row>
    <row r="1954" spans="2:27" x14ac:dyDescent="0.2">
      <c r="B1954" s="4" t="s">
        <v>4731</v>
      </c>
      <c r="C1954" s="4">
        <v>14.33</v>
      </c>
      <c r="D1954" s="4">
        <v>13.6136</v>
      </c>
      <c r="E1954" s="4">
        <v>14.255599999999999</v>
      </c>
      <c r="F1954" s="4">
        <f t="shared" si="120"/>
        <v>14.0664</v>
      </c>
      <c r="I1954" s="4" t="s">
        <v>3929</v>
      </c>
      <c r="J1954" s="4">
        <v>13.997</v>
      </c>
      <c r="K1954" s="4">
        <v>14.009</v>
      </c>
      <c r="L1954" s="4">
        <v>14.0412</v>
      </c>
      <c r="M1954" s="4">
        <f t="shared" si="121"/>
        <v>14.015733333333335</v>
      </c>
      <c r="P1954" s="4" t="str">
        <f>"serr-1"</f>
        <v>serr-1</v>
      </c>
      <c r="Q1954" s="4">
        <v>13.547754360763101</v>
      </c>
      <c r="R1954" s="4">
        <v>13.5325111597713</v>
      </c>
      <c r="S1954" s="4">
        <v>13.780857296684299</v>
      </c>
      <c r="T1954" s="4">
        <f t="shared" si="122"/>
        <v>13.620374272406233</v>
      </c>
      <c r="W1954" s="4" t="str">
        <f>"ZK688.5"</f>
        <v>ZK688.5</v>
      </c>
      <c r="X1954" s="4">
        <v>13.602542744262299</v>
      </c>
      <c r="Y1954" s="4">
        <v>13.792774353744599</v>
      </c>
      <c r="Z1954" s="4">
        <v>13.714903317514199</v>
      </c>
      <c r="AA1954" s="4">
        <f t="shared" si="123"/>
        <v>13.703406805173699</v>
      </c>
    </row>
    <row r="1955" spans="2:27" x14ac:dyDescent="0.2">
      <c r="B1955" s="4" t="s">
        <v>1007</v>
      </c>
      <c r="C1955" s="4">
        <v>14.0434</v>
      </c>
      <c r="D1955" s="4">
        <v>14.126799999999999</v>
      </c>
      <c r="E1955" s="4">
        <v>14.027900000000001</v>
      </c>
      <c r="F1955" s="4">
        <f t="shared" si="120"/>
        <v>14.066033333333335</v>
      </c>
      <c r="I1955" s="4" t="s">
        <v>1045</v>
      </c>
      <c r="J1955" s="4">
        <v>14.294499999999999</v>
      </c>
      <c r="K1955" s="4">
        <v>13.3165</v>
      </c>
      <c r="L1955" s="4">
        <v>14.431699999999999</v>
      </c>
      <c r="M1955" s="4">
        <f t="shared" si="121"/>
        <v>14.014233333333332</v>
      </c>
      <c r="P1955" s="4" t="str">
        <f>"rpc-2"</f>
        <v>rpc-2</v>
      </c>
      <c r="Q1955" s="4">
        <v>13.6763481566054</v>
      </c>
      <c r="R1955" s="4">
        <v>13.717723964648499</v>
      </c>
      <c r="S1955" s="4">
        <v>13.466318670707199</v>
      </c>
      <c r="T1955" s="4">
        <f t="shared" si="122"/>
        <v>13.620130263987031</v>
      </c>
      <c r="W1955" s="4" t="str">
        <f>"sec-61.G"</f>
        <v>sec-61.G</v>
      </c>
      <c r="X1955" s="4">
        <v>13.856675680563299</v>
      </c>
      <c r="Y1955" s="4">
        <v>13.7539497684457</v>
      </c>
      <c r="Z1955" s="4">
        <v>13.4994171057154</v>
      </c>
      <c r="AA1955" s="4">
        <f t="shared" si="123"/>
        <v>13.703347518241467</v>
      </c>
    </row>
    <row r="1956" spans="2:27" x14ac:dyDescent="0.2">
      <c r="B1956" s="4" t="s">
        <v>1070</v>
      </c>
      <c r="C1956" s="4">
        <v>14.095000000000001</v>
      </c>
      <c r="D1956" s="4">
        <v>14.1076</v>
      </c>
      <c r="E1956" s="4">
        <v>13.9947</v>
      </c>
      <c r="F1956" s="4">
        <f t="shared" si="120"/>
        <v>14.065766666666667</v>
      </c>
      <c r="I1956" s="4" t="s">
        <v>638</v>
      </c>
      <c r="J1956" s="4">
        <v>14.3446</v>
      </c>
      <c r="K1956" s="4">
        <v>14.374599999999999</v>
      </c>
      <c r="L1956" s="4">
        <v>13.3232</v>
      </c>
      <c r="M1956" s="4">
        <f t="shared" si="121"/>
        <v>14.014133333333334</v>
      </c>
      <c r="P1956" s="4" t="str">
        <f>"usp-50"</f>
        <v>usp-50</v>
      </c>
      <c r="Q1956" s="4">
        <v>13.6290676307569</v>
      </c>
      <c r="R1956" s="4">
        <v>13.5369640762434</v>
      </c>
      <c r="S1956" s="4">
        <v>13.688938638697699</v>
      </c>
      <c r="T1956" s="4">
        <f t="shared" si="122"/>
        <v>13.618323448566001</v>
      </c>
      <c r="W1956" s="4" t="str">
        <f>"gck-1"</f>
        <v>gck-1</v>
      </c>
      <c r="X1956" s="4">
        <v>13.8275609243891</v>
      </c>
      <c r="Y1956" s="4">
        <v>13.694398120946699</v>
      </c>
      <c r="Z1956" s="4">
        <v>13.5840568639175</v>
      </c>
      <c r="AA1956" s="4">
        <f t="shared" si="123"/>
        <v>13.702005303084434</v>
      </c>
    </row>
    <row r="1957" spans="2:27" x14ac:dyDescent="0.2">
      <c r="B1957" s="4" t="s">
        <v>4243</v>
      </c>
      <c r="C1957" s="4">
        <v>14.0832</v>
      </c>
      <c r="D1957" s="4">
        <v>14.036899999999999</v>
      </c>
      <c r="E1957" s="4">
        <v>14.075699999999999</v>
      </c>
      <c r="F1957" s="4">
        <f t="shared" si="120"/>
        <v>14.065266666666666</v>
      </c>
      <c r="I1957" s="4" t="s">
        <v>3893</v>
      </c>
      <c r="J1957" s="4">
        <v>14.2597</v>
      </c>
      <c r="K1957" s="4">
        <v>13.948399999999999</v>
      </c>
      <c r="L1957" s="4">
        <v>13.832599999999999</v>
      </c>
      <c r="M1957" s="4">
        <f t="shared" si="121"/>
        <v>14.013566666666668</v>
      </c>
      <c r="P1957" s="4" t="str">
        <f>"T12D8.9"</f>
        <v>T12D8.9</v>
      </c>
      <c r="Q1957" s="4">
        <v>13.6212450896678</v>
      </c>
      <c r="R1957" s="4">
        <v>13.435506467726499</v>
      </c>
      <c r="S1957" s="4">
        <v>13.796801960687</v>
      </c>
      <c r="T1957" s="4">
        <f t="shared" si="122"/>
        <v>13.617851172693767</v>
      </c>
      <c r="W1957" s="4" t="str">
        <f>"F44B9.5"</f>
        <v>F44B9.5</v>
      </c>
      <c r="X1957" s="4">
        <v>13.5994904852839</v>
      </c>
      <c r="Y1957" s="4">
        <v>13.954691218982401</v>
      </c>
      <c r="Z1957" s="4">
        <v>13.5499701774991</v>
      </c>
      <c r="AA1957" s="4">
        <f t="shared" si="123"/>
        <v>13.701383960588466</v>
      </c>
    </row>
    <row r="1958" spans="2:27" x14ac:dyDescent="0.2">
      <c r="B1958" s="4" t="s">
        <v>3921</v>
      </c>
      <c r="C1958" s="4">
        <v>14.322699999999999</v>
      </c>
      <c r="D1958" s="4">
        <v>13.9472</v>
      </c>
      <c r="E1958" s="4">
        <v>13.924899999999999</v>
      </c>
      <c r="F1958" s="4">
        <f t="shared" si="120"/>
        <v>14.064933333333334</v>
      </c>
      <c r="I1958" s="4" t="s">
        <v>4708</v>
      </c>
      <c r="J1958" s="4">
        <v>14.129200000000001</v>
      </c>
      <c r="K1958" s="4">
        <v>13.2174</v>
      </c>
      <c r="L1958" s="4">
        <v>14.693199999999999</v>
      </c>
      <c r="M1958" s="4">
        <f t="shared" si="121"/>
        <v>14.013266666666667</v>
      </c>
      <c r="P1958" s="4" t="str">
        <f>"cyn-15"</f>
        <v>cyn-15</v>
      </c>
      <c r="Q1958" s="4">
        <v>13.569084439054</v>
      </c>
      <c r="R1958" s="4">
        <v>13.6018318232915</v>
      </c>
      <c r="S1958" s="4">
        <v>13.682289160777</v>
      </c>
      <c r="T1958" s="4">
        <f t="shared" si="122"/>
        <v>13.617735141040834</v>
      </c>
      <c r="W1958" s="4" t="str">
        <f>"lip-1"</f>
        <v>lip-1</v>
      </c>
      <c r="X1958" s="4">
        <v>13.691150448556</v>
      </c>
      <c r="Y1958" s="4">
        <v>13.804266579834101</v>
      </c>
      <c r="Z1958" s="4">
        <v>13.605149939089401</v>
      </c>
      <c r="AA1958" s="4">
        <f t="shared" si="123"/>
        <v>13.700188989159834</v>
      </c>
    </row>
    <row r="1959" spans="2:27" x14ac:dyDescent="0.2">
      <c r="B1959" s="4" t="s">
        <v>4732</v>
      </c>
      <c r="C1959" s="4">
        <v>13.885400000000001</v>
      </c>
      <c r="D1959" s="4">
        <v>14.557499999999999</v>
      </c>
      <c r="E1959" s="4">
        <v>13.7456</v>
      </c>
      <c r="F1959" s="4">
        <f t="shared" si="120"/>
        <v>14.062833333333336</v>
      </c>
      <c r="I1959" s="4" t="s">
        <v>4105</v>
      </c>
      <c r="J1959" s="4">
        <v>14.049200000000001</v>
      </c>
      <c r="K1959" s="4">
        <v>14.231199999999999</v>
      </c>
      <c r="L1959" s="4">
        <v>13.7552</v>
      </c>
      <c r="M1959" s="4">
        <f t="shared" si="121"/>
        <v>14.011866666666668</v>
      </c>
      <c r="P1959" s="4" t="str">
        <f>"T24H7.9"</f>
        <v>T24H7.9</v>
      </c>
      <c r="Q1959" s="4">
        <v>13.4298224589831</v>
      </c>
      <c r="R1959" s="4">
        <v>13.684866223402899</v>
      </c>
      <c r="S1959" s="4">
        <v>13.7278854045864</v>
      </c>
      <c r="T1959" s="4">
        <f t="shared" si="122"/>
        <v>13.614191362324133</v>
      </c>
      <c r="W1959" s="4" t="str">
        <f>"dhrs-4"</f>
        <v>dhrs-4</v>
      </c>
      <c r="X1959" s="4">
        <v>13.7032397235202</v>
      </c>
      <c r="Y1959" s="4">
        <v>13.5326203261241</v>
      </c>
      <c r="Z1959" s="4">
        <v>13.8597253779173</v>
      </c>
      <c r="AA1959" s="4">
        <f t="shared" si="123"/>
        <v>13.698528475853868</v>
      </c>
    </row>
    <row r="1960" spans="2:27" x14ac:dyDescent="0.2">
      <c r="B1960" s="4" t="s">
        <v>1049</v>
      </c>
      <c r="C1960" s="4">
        <v>14.039199999999999</v>
      </c>
      <c r="D1960" s="4">
        <v>14.2958</v>
      </c>
      <c r="E1960" s="4">
        <v>13.8529</v>
      </c>
      <c r="F1960" s="4">
        <f t="shared" si="120"/>
        <v>14.062633333333332</v>
      </c>
      <c r="I1960" s="4" t="s">
        <v>4733</v>
      </c>
      <c r="J1960" s="4">
        <v>14.347099999999999</v>
      </c>
      <c r="K1960" s="4">
        <v>13.815799999999999</v>
      </c>
      <c r="L1960" s="4">
        <v>13.872299999999999</v>
      </c>
      <c r="M1960" s="4">
        <f t="shared" si="121"/>
        <v>14.011733333333334</v>
      </c>
      <c r="P1960" s="4" t="str">
        <f>"mog-5"</f>
        <v>mog-5</v>
      </c>
      <c r="Q1960" s="4">
        <v>13.5028952513133</v>
      </c>
      <c r="R1960" s="4">
        <v>13.6691178142677</v>
      </c>
      <c r="S1960" s="4">
        <v>13.6697592046206</v>
      </c>
      <c r="T1960" s="4">
        <f t="shared" si="122"/>
        <v>13.613924090067201</v>
      </c>
      <c r="W1960" s="4" t="str">
        <f>"R06F6.8"</f>
        <v>R06F6.8</v>
      </c>
      <c r="X1960" s="4">
        <v>13.6940009614584</v>
      </c>
      <c r="Y1960" s="4">
        <v>13.7218152801517</v>
      </c>
      <c r="Z1960" s="4">
        <v>13.679501352849</v>
      </c>
      <c r="AA1960" s="4">
        <f t="shared" si="123"/>
        <v>13.698439198153034</v>
      </c>
    </row>
    <row r="1961" spans="2:27" x14ac:dyDescent="0.2">
      <c r="B1961" s="4" t="s">
        <v>2653</v>
      </c>
      <c r="C1961" s="4">
        <v>14.009399999999999</v>
      </c>
      <c r="D1961" s="4">
        <v>14.132899999999999</v>
      </c>
      <c r="E1961" s="4">
        <v>14.039300000000001</v>
      </c>
      <c r="F1961" s="4">
        <f t="shared" si="120"/>
        <v>14.060533333333334</v>
      </c>
      <c r="I1961" s="4" t="s">
        <v>2794</v>
      </c>
      <c r="J1961" s="4">
        <v>14.0398</v>
      </c>
      <c r="K1961" s="4">
        <v>14.156599999999999</v>
      </c>
      <c r="L1961" s="4">
        <v>13.837899999999999</v>
      </c>
      <c r="M1961" s="4">
        <f t="shared" si="121"/>
        <v>14.011433333333331</v>
      </c>
      <c r="P1961" s="4" t="str">
        <f>"mup-4"</f>
        <v>mup-4</v>
      </c>
      <c r="Q1961" s="4">
        <v>13.730627623109999</v>
      </c>
      <c r="R1961" s="4">
        <v>13.400071828661501</v>
      </c>
      <c r="S1961" s="4">
        <v>13.7070607692411</v>
      </c>
      <c r="T1961" s="4">
        <f t="shared" si="122"/>
        <v>13.612586740337534</v>
      </c>
      <c r="W1961" s="4" t="str">
        <f>"dohh-1"</f>
        <v>dohh-1</v>
      </c>
      <c r="X1961" s="4">
        <v>13.785560560017901</v>
      </c>
      <c r="Y1961" s="4">
        <v>13.7057541223847</v>
      </c>
      <c r="Z1961" s="4">
        <v>13.6019206733208</v>
      </c>
      <c r="AA1961" s="4">
        <f t="shared" si="123"/>
        <v>13.697745118574467</v>
      </c>
    </row>
    <row r="1962" spans="2:27" x14ac:dyDescent="0.2">
      <c r="B1962" s="4" t="s">
        <v>4034</v>
      </c>
      <c r="C1962" s="4">
        <v>13.6532</v>
      </c>
      <c r="D1962" s="4">
        <v>13.9559</v>
      </c>
      <c r="E1962" s="4">
        <v>14.5665</v>
      </c>
      <c r="F1962" s="4">
        <f t="shared" si="120"/>
        <v>14.058533333333331</v>
      </c>
      <c r="I1962" s="4" t="s">
        <v>2691</v>
      </c>
      <c r="J1962" s="4">
        <v>13.680300000000001</v>
      </c>
      <c r="K1962" s="4">
        <v>14.000400000000001</v>
      </c>
      <c r="L1962" s="4">
        <v>14.350199999999999</v>
      </c>
      <c r="M1962" s="4">
        <f t="shared" si="121"/>
        <v>14.010300000000001</v>
      </c>
      <c r="P1962" s="4" t="str">
        <f>"tbp-1"</f>
        <v>tbp-1</v>
      </c>
      <c r="Q1962" s="4">
        <v>13.551912194580501</v>
      </c>
      <c r="R1962" s="4">
        <v>13.6021230494996</v>
      </c>
      <c r="S1962" s="4">
        <v>13.6722319475689</v>
      </c>
      <c r="T1962" s="4">
        <f t="shared" si="122"/>
        <v>13.608755730549666</v>
      </c>
      <c r="W1962" s="4" t="str">
        <f>"fmo-4"</f>
        <v>fmo-4</v>
      </c>
      <c r="X1962" s="4">
        <v>13.4902992168584</v>
      </c>
      <c r="Y1962" s="4">
        <v>13.7278493732064</v>
      </c>
      <c r="Z1962" s="4">
        <v>13.842950204324801</v>
      </c>
      <c r="AA1962" s="4">
        <f t="shared" si="123"/>
        <v>13.6870329314632</v>
      </c>
    </row>
    <row r="1963" spans="2:27" x14ac:dyDescent="0.2">
      <c r="B1963" s="4" t="s">
        <v>2301</v>
      </c>
      <c r="C1963" s="4">
        <v>14.063599999999999</v>
      </c>
      <c r="D1963" s="4">
        <v>13.907</v>
      </c>
      <c r="E1963" s="4">
        <v>14.2028</v>
      </c>
      <c r="F1963" s="4">
        <f t="shared" si="120"/>
        <v>14.0578</v>
      </c>
      <c r="I1963" s="4" t="s">
        <v>534</v>
      </c>
      <c r="J1963" s="4">
        <v>13.7704</v>
      </c>
      <c r="K1963" s="4">
        <v>14.215</v>
      </c>
      <c r="L1963" s="4">
        <v>14.044499999999999</v>
      </c>
      <c r="M1963" s="4">
        <f t="shared" si="121"/>
        <v>14.009966666666665</v>
      </c>
      <c r="P1963" s="4" t="str">
        <f>"H20J04.6"</f>
        <v>H20J04.6</v>
      </c>
      <c r="Q1963" s="4">
        <v>13.325735947148999</v>
      </c>
      <c r="R1963" s="4">
        <v>13.7167494098915</v>
      </c>
      <c r="S1963" s="4">
        <v>13.777029014052699</v>
      </c>
      <c r="T1963" s="4">
        <f t="shared" si="122"/>
        <v>13.606504790364399</v>
      </c>
      <c r="W1963" s="4" t="str">
        <f>"ints-7"</f>
        <v>ints-7</v>
      </c>
      <c r="X1963" s="4">
        <v>13.5727231258505</v>
      </c>
      <c r="Y1963" s="4">
        <v>13.8997570175927</v>
      </c>
      <c r="Z1963" s="4">
        <v>13.5737024247143</v>
      </c>
      <c r="AA1963" s="4">
        <f t="shared" si="123"/>
        <v>13.6820608560525</v>
      </c>
    </row>
    <row r="1964" spans="2:27" x14ac:dyDescent="0.2">
      <c r="B1964" s="4" t="s">
        <v>204</v>
      </c>
      <c r="C1964" s="4">
        <v>14.001300000000001</v>
      </c>
      <c r="D1964" s="4">
        <v>14.412800000000001</v>
      </c>
      <c r="E1964" s="4">
        <v>13.7582</v>
      </c>
      <c r="F1964" s="4">
        <f t="shared" si="120"/>
        <v>14.057433333333334</v>
      </c>
      <c r="I1964" s="4" t="s">
        <v>3558</v>
      </c>
      <c r="J1964" s="4">
        <v>13.9345</v>
      </c>
      <c r="K1964" s="4">
        <v>14.232200000000001</v>
      </c>
      <c r="L1964" s="4">
        <v>13.862399999999999</v>
      </c>
      <c r="M1964" s="4">
        <f t="shared" si="121"/>
        <v>14.0097</v>
      </c>
      <c r="P1964" s="4" t="str">
        <f>"apy-1"</f>
        <v>apy-1</v>
      </c>
      <c r="Q1964" s="4">
        <v>13.6654144988086</v>
      </c>
      <c r="R1964" s="4">
        <v>13.451041572012301</v>
      </c>
      <c r="S1964" s="4">
        <v>13.7026936424336</v>
      </c>
      <c r="T1964" s="4">
        <f t="shared" si="122"/>
        <v>13.606383237751501</v>
      </c>
      <c r="W1964" s="4" t="str">
        <f>"ebp-3"</f>
        <v>ebp-3</v>
      </c>
      <c r="X1964" s="4">
        <v>13.656752452087201</v>
      </c>
      <c r="Y1964" s="4">
        <v>13.904908779188199</v>
      </c>
      <c r="Z1964" s="4">
        <v>13.482804717540899</v>
      </c>
      <c r="AA1964" s="4">
        <f t="shared" si="123"/>
        <v>13.681488649605434</v>
      </c>
    </row>
    <row r="1965" spans="2:27" x14ac:dyDescent="0.2">
      <c r="B1965" s="4" t="s">
        <v>62</v>
      </c>
      <c r="C1965" s="4">
        <v>14.164199999999999</v>
      </c>
      <c r="D1965" s="4">
        <v>14.111800000000001</v>
      </c>
      <c r="E1965" s="4">
        <v>13.8895</v>
      </c>
      <c r="F1965" s="4">
        <f t="shared" si="120"/>
        <v>14.055166666666667</v>
      </c>
      <c r="I1965" s="4" t="s">
        <v>4724</v>
      </c>
      <c r="J1965" s="4">
        <v>14.1128</v>
      </c>
      <c r="K1965" s="4">
        <v>14.1472</v>
      </c>
      <c r="L1965" s="4">
        <v>13.7659</v>
      </c>
      <c r="M1965" s="4">
        <f t="shared" si="121"/>
        <v>14.008633333333334</v>
      </c>
      <c r="P1965" s="4" t="str">
        <f>"cbd-1"</f>
        <v>cbd-1</v>
      </c>
      <c r="Q1965" s="4">
        <v>13.743882694246</v>
      </c>
      <c r="R1965" s="4">
        <v>13.252665924934201</v>
      </c>
      <c r="S1965" s="4">
        <v>13.8182585065148</v>
      </c>
      <c r="T1965" s="4">
        <f t="shared" si="122"/>
        <v>13.604935708565002</v>
      </c>
      <c r="W1965" s="4" t="str">
        <f>"cyp-35a3"</f>
        <v>cyp-35a3</v>
      </c>
      <c r="X1965" s="4">
        <v>13.818710279244501</v>
      </c>
      <c r="Y1965" s="4">
        <v>13.899363195348499</v>
      </c>
      <c r="Z1965" s="4">
        <v>13.321939243465801</v>
      </c>
      <c r="AA1965" s="4">
        <f t="shared" si="123"/>
        <v>13.680004239352932</v>
      </c>
    </row>
    <row r="1966" spans="2:27" x14ac:dyDescent="0.2">
      <c r="B1966" s="4" t="s">
        <v>2318</v>
      </c>
      <c r="C1966" s="4">
        <v>13.95</v>
      </c>
      <c r="D1966" s="4">
        <v>13.829700000000001</v>
      </c>
      <c r="E1966" s="4">
        <v>14.384499999999999</v>
      </c>
      <c r="F1966" s="4">
        <f t="shared" si="120"/>
        <v>14.054733333333331</v>
      </c>
      <c r="I1966" s="4" t="s">
        <v>3529</v>
      </c>
      <c r="J1966" s="4">
        <v>13.8614</v>
      </c>
      <c r="K1966" s="4">
        <v>13.7241</v>
      </c>
      <c r="L1966" s="4">
        <v>14.4377</v>
      </c>
      <c r="M1966" s="4">
        <f t="shared" si="121"/>
        <v>14.007733333333334</v>
      </c>
      <c r="P1966" s="4" t="str">
        <f>"exc-15"</f>
        <v>exc-15</v>
      </c>
      <c r="Q1966" s="4">
        <v>13.4030352557965</v>
      </c>
      <c r="R1966" s="4">
        <v>13.910594679687399</v>
      </c>
      <c r="S1966" s="4">
        <v>13.497466624922501</v>
      </c>
      <c r="T1966" s="4">
        <f t="shared" si="122"/>
        <v>13.603698853468799</v>
      </c>
      <c r="W1966" s="4" t="str">
        <f>"pes-9"</f>
        <v>pes-9</v>
      </c>
      <c r="X1966" s="4">
        <v>13.862786248022999</v>
      </c>
      <c r="Y1966" s="4">
        <v>13.638368106123901</v>
      </c>
      <c r="Z1966" s="4">
        <v>13.5366747389832</v>
      </c>
      <c r="AA1966" s="4">
        <f t="shared" si="123"/>
        <v>13.679276364376699</v>
      </c>
    </row>
    <row r="1967" spans="2:27" x14ac:dyDescent="0.2">
      <c r="B1967" s="4" t="s">
        <v>2546</v>
      </c>
      <c r="C1967" s="4">
        <v>14.200799999999999</v>
      </c>
      <c r="D1967" s="4">
        <v>14.0008</v>
      </c>
      <c r="E1967" s="4">
        <v>13.961</v>
      </c>
      <c r="F1967" s="4">
        <f t="shared" si="120"/>
        <v>14.0542</v>
      </c>
      <c r="I1967" s="4" t="s">
        <v>3718</v>
      </c>
      <c r="J1967" s="4">
        <v>14.081</v>
      </c>
      <c r="K1967" s="4">
        <v>14.4613</v>
      </c>
      <c r="L1967" s="4">
        <v>13.477399999999999</v>
      </c>
      <c r="M1967" s="4">
        <f t="shared" si="121"/>
        <v>14.006566666666666</v>
      </c>
      <c r="P1967" s="4" t="str">
        <f>"chd-1"</f>
        <v>chd-1</v>
      </c>
      <c r="Q1967" s="4">
        <v>13.5962108051784</v>
      </c>
      <c r="R1967" s="4">
        <v>13.8633957896862</v>
      </c>
      <c r="S1967" s="4">
        <v>13.3452746326038</v>
      </c>
      <c r="T1967" s="4">
        <f t="shared" si="122"/>
        <v>13.601627075822799</v>
      </c>
      <c r="W1967" s="4" t="str">
        <f>"oxy-5"</f>
        <v>oxy-5</v>
      </c>
      <c r="X1967" s="4">
        <v>13.7429427020639</v>
      </c>
      <c r="Y1967" s="4">
        <v>13.848689999286499</v>
      </c>
      <c r="Z1967" s="4">
        <v>13.4377453207144</v>
      </c>
      <c r="AA1967" s="4">
        <f t="shared" si="123"/>
        <v>13.676459340688266</v>
      </c>
    </row>
    <row r="1968" spans="2:27" x14ac:dyDescent="0.2">
      <c r="B1968" s="4" t="s">
        <v>3388</v>
      </c>
      <c r="C1968" s="4">
        <v>14.383599999999999</v>
      </c>
      <c r="D1968" s="4">
        <v>13.155900000000001</v>
      </c>
      <c r="E1968" s="4">
        <v>14.62</v>
      </c>
      <c r="F1968" s="4">
        <f t="shared" si="120"/>
        <v>14.053166666666668</v>
      </c>
      <c r="I1968" s="4" t="s">
        <v>1660</v>
      </c>
      <c r="J1968" s="4">
        <v>13.866400000000001</v>
      </c>
      <c r="K1968" s="4">
        <v>14.4171</v>
      </c>
      <c r="L1968" s="4">
        <v>13.7317</v>
      </c>
      <c r="M1968" s="4">
        <f t="shared" si="121"/>
        <v>14.005066666666666</v>
      </c>
      <c r="P1968" s="4" t="str">
        <f>"acdh-6"</f>
        <v>acdh-6</v>
      </c>
      <c r="Q1968" s="4">
        <v>14.136052725684401</v>
      </c>
      <c r="R1968" s="4">
        <v>13.4322121591197</v>
      </c>
      <c r="S1968" s="4">
        <v>13.2351481510124</v>
      </c>
      <c r="T1968" s="4">
        <f t="shared" si="122"/>
        <v>13.601137678605502</v>
      </c>
      <c r="W1968" s="4" t="str">
        <f>"clpp-1"</f>
        <v>clpp-1</v>
      </c>
      <c r="X1968" s="4">
        <v>13.5311438788437</v>
      </c>
      <c r="Y1968" s="4">
        <v>13.787549048977301</v>
      </c>
      <c r="Z1968" s="4">
        <v>13.7092348207493</v>
      </c>
      <c r="AA1968" s="4">
        <f t="shared" si="123"/>
        <v>13.675975916190099</v>
      </c>
    </row>
    <row r="1969" spans="2:27" x14ac:dyDescent="0.2">
      <c r="B1969" s="4" t="s">
        <v>3613</v>
      </c>
      <c r="C1969" s="4">
        <v>13.872199999999999</v>
      </c>
      <c r="D1969" s="4">
        <v>14.0359</v>
      </c>
      <c r="E1969" s="4">
        <v>14.2491</v>
      </c>
      <c r="F1969" s="4">
        <f t="shared" si="120"/>
        <v>14.052399999999999</v>
      </c>
      <c r="I1969" s="4" t="s">
        <v>67</v>
      </c>
      <c r="J1969" s="4">
        <v>13.9923</v>
      </c>
      <c r="K1969" s="4">
        <v>14.118</v>
      </c>
      <c r="L1969" s="4">
        <v>13.904400000000001</v>
      </c>
      <c r="M1969" s="4">
        <f t="shared" si="121"/>
        <v>14.004900000000001</v>
      </c>
      <c r="P1969" s="4" t="str">
        <f>"T28B11.1"</f>
        <v>T28B11.1</v>
      </c>
      <c r="Q1969" s="4">
        <v>13.8986226599601</v>
      </c>
      <c r="R1969" s="4">
        <v>13.568645920173401</v>
      </c>
      <c r="S1969" s="4">
        <v>13.328202056519601</v>
      </c>
      <c r="T1969" s="4">
        <f t="shared" si="122"/>
        <v>13.598490212217699</v>
      </c>
      <c r="W1969" s="4" t="str">
        <f>"nrde-2"</f>
        <v>nrde-2</v>
      </c>
      <c r="X1969" s="4">
        <v>13.732832022837201</v>
      </c>
      <c r="Y1969" s="4">
        <v>13.5920590967715</v>
      </c>
      <c r="Z1969" s="4">
        <v>13.6986582163407</v>
      </c>
      <c r="AA1969" s="4">
        <f t="shared" si="123"/>
        <v>13.674516445316465</v>
      </c>
    </row>
    <row r="1970" spans="2:27" x14ac:dyDescent="0.2">
      <c r="B1970" s="4" t="s">
        <v>1470</v>
      </c>
      <c r="C1970" s="4">
        <v>13.706</v>
      </c>
      <c r="D1970" s="4">
        <v>14.476000000000001</v>
      </c>
      <c r="E1970" s="4">
        <v>13.9739</v>
      </c>
      <c r="F1970" s="4">
        <f t="shared" si="120"/>
        <v>14.051966666666667</v>
      </c>
      <c r="I1970" s="4" t="s">
        <v>4662</v>
      </c>
      <c r="J1970" s="4">
        <v>14.1523</v>
      </c>
      <c r="K1970" s="4">
        <v>14.607200000000001</v>
      </c>
      <c r="L1970" s="4">
        <v>13.252700000000001</v>
      </c>
      <c r="M1970" s="4">
        <f t="shared" si="121"/>
        <v>14.004066666666668</v>
      </c>
      <c r="P1970" s="4" t="str">
        <f>"cul-2"</f>
        <v>cul-2</v>
      </c>
      <c r="Q1970" s="4">
        <v>13.577717409091999</v>
      </c>
      <c r="R1970" s="4">
        <v>13.689619742222501</v>
      </c>
      <c r="S1970" s="4">
        <v>13.5114501101644</v>
      </c>
      <c r="T1970" s="4">
        <f t="shared" si="122"/>
        <v>13.592929087159632</v>
      </c>
      <c r="W1970" s="4" t="str">
        <f>"ZK795.3"</f>
        <v>ZK795.3</v>
      </c>
      <c r="X1970" s="4">
        <v>13.841288154894301</v>
      </c>
      <c r="Y1970" s="4">
        <v>13.654510645886401</v>
      </c>
      <c r="Z1970" s="4">
        <v>13.527237272220299</v>
      </c>
      <c r="AA1970" s="4">
        <f t="shared" si="123"/>
        <v>13.674345357667001</v>
      </c>
    </row>
    <row r="1971" spans="2:27" x14ac:dyDescent="0.2">
      <c r="B1971" s="4" t="s">
        <v>317</v>
      </c>
      <c r="C1971" s="4">
        <v>13.794</v>
      </c>
      <c r="D1971" s="4">
        <v>14.246700000000001</v>
      </c>
      <c r="E1971" s="4">
        <v>14.1152</v>
      </c>
      <c r="F1971" s="4">
        <f t="shared" si="120"/>
        <v>14.051966666666667</v>
      </c>
      <c r="I1971" s="4" t="s">
        <v>430</v>
      </c>
      <c r="J1971" s="4">
        <v>14.1647</v>
      </c>
      <c r="K1971" s="4">
        <v>13.782400000000001</v>
      </c>
      <c r="L1971" s="4">
        <v>14.0648</v>
      </c>
      <c r="M1971" s="4">
        <f t="shared" si="121"/>
        <v>14.003966666666665</v>
      </c>
      <c r="P1971" s="4" t="str">
        <f>"spt-5"</f>
        <v>spt-5</v>
      </c>
      <c r="Q1971" s="4">
        <v>13.531235506112001</v>
      </c>
      <c r="R1971" s="4">
        <v>13.502482494811799</v>
      </c>
      <c r="S1971" s="4">
        <v>13.7360409940348</v>
      </c>
      <c r="T1971" s="4">
        <f t="shared" si="122"/>
        <v>13.5899196649862</v>
      </c>
      <c r="W1971" s="4" t="str">
        <f>"Y38C1AA.1"</f>
        <v>Y38C1AA.1</v>
      </c>
      <c r="X1971" s="4">
        <v>13.8217140082133</v>
      </c>
      <c r="Y1971" s="4">
        <v>13.7340198775261</v>
      </c>
      <c r="Z1971" s="4">
        <v>13.4667713960404</v>
      </c>
      <c r="AA1971" s="4">
        <f t="shared" si="123"/>
        <v>13.674168427259934</v>
      </c>
    </row>
    <row r="1972" spans="2:27" x14ac:dyDescent="0.2">
      <c r="B1972" s="4" t="s">
        <v>4734</v>
      </c>
      <c r="C1972" s="4">
        <v>14.5329</v>
      </c>
      <c r="D1972" s="4">
        <v>13.9026</v>
      </c>
      <c r="E1972" s="4">
        <v>13.7148</v>
      </c>
      <c r="F1972" s="4">
        <f t="shared" si="120"/>
        <v>14.0501</v>
      </c>
      <c r="I1972" s="4" t="s">
        <v>739</v>
      </c>
      <c r="J1972" s="4">
        <v>13.8032</v>
      </c>
      <c r="K1972" s="4">
        <v>14.344099999999999</v>
      </c>
      <c r="L1972" s="4">
        <v>13.8599</v>
      </c>
      <c r="M1972" s="4">
        <f t="shared" si="121"/>
        <v>14.0024</v>
      </c>
      <c r="P1972" s="4" t="str">
        <f>"eif-3.K"</f>
        <v>eif-3.K</v>
      </c>
      <c r="Q1972" s="4">
        <v>13.140758092357</v>
      </c>
      <c r="R1972" s="4">
        <v>13.729374202265101</v>
      </c>
      <c r="S1972" s="4">
        <v>13.883095029937</v>
      </c>
      <c r="T1972" s="4">
        <f t="shared" si="122"/>
        <v>13.584409108186369</v>
      </c>
      <c r="W1972" s="4" t="str">
        <f>"eef-1B.2"</f>
        <v>eef-1B.2</v>
      </c>
      <c r="X1972" s="4">
        <v>13.6867058062582</v>
      </c>
      <c r="Y1972" s="4">
        <v>13.6297217169514</v>
      </c>
      <c r="Z1972" s="4">
        <v>13.7034135909532</v>
      </c>
      <c r="AA1972" s="4">
        <f t="shared" si="123"/>
        <v>13.6732803713876</v>
      </c>
    </row>
    <row r="1973" spans="2:27" x14ac:dyDescent="0.2">
      <c r="B1973" s="4" t="s">
        <v>2045</v>
      </c>
      <c r="C1973" s="4">
        <v>14.1884</v>
      </c>
      <c r="D1973" s="4">
        <v>14.050800000000001</v>
      </c>
      <c r="E1973" s="4">
        <v>13.908099999999999</v>
      </c>
      <c r="F1973" s="4">
        <f t="shared" si="120"/>
        <v>14.049100000000001</v>
      </c>
      <c r="I1973" s="4" t="s">
        <v>4166</v>
      </c>
      <c r="J1973" s="4">
        <v>14.1495</v>
      </c>
      <c r="K1973" s="4">
        <v>13.819100000000001</v>
      </c>
      <c r="L1973" s="4">
        <v>14.036199999999999</v>
      </c>
      <c r="M1973" s="4">
        <f t="shared" si="121"/>
        <v>14.001600000000002</v>
      </c>
      <c r="P1973" s="4" t="str">
        <f>"trip-4"</f>
        <v>trip-4</v>
      </c>
      <c r="Q1973" s="4">
        <v>13.5425105021829</v>
      </c>
      <c r="R1973" s="4">
        <v>13.628143092149701</v>
      </c>
      <c r="S1973" s="4">
        <v>13.5781805604752</v>
      </c>
      <c r="T1973" s="4">
        <f t="shared" si="122"/>
        <v>13.582944718269266</v>
      </c>
      <c r="W1973" s="4" t="str">
        <f>"ugt-49"</f>
        <v>ugt-49</v>
      </c>
      <c r="X1973" s="4">
        <v>14.1055055875146</v>
      </c>
      <c r="Y1973" s="4">
        <v>13.5173615539357</v>
      </c>
      <c r="Z1973" s="4">
        <v>13.3948350377383</v>
      </c>
      <c r="AA1973" s="4">
        <f t="shared" si="123"/>
        <v>13.672567393062868</v>
      </c>
    </row>
    <row r="1974" spans="2:27" x14ac:dyDescent="0.2">
      <c r="B1974" s="4" t="s">
        <v>3167</v>
      </c>
      <c r="C1974" s="4">
        <v>14.3688</v>
      </c>
      <c r="D1974" s="4">
        <v>13.651</v>
      </c>
      <c r="E1974" s="4">
        <v>14.120100000000001</v>
      </c>
      <c r="F1974" s="4">
        <f t="shared" si="120"/>
        <v>14.046633333333332</v>
      </c>
      <c r="I1974" s="4" t="s">
        <v>826</v>
      </c>
      <c r="J1974" s="4">
        <v>14.169700000000001</v>
      </c>
      <c r="K1974" s="4">
        <v>13.702400000000001</v>
      </c>
      <c r="L1974" s="4">
        <v>14.132300000000001</v>
      </c>
      <c r="M1974" s="4">
        <f t="shared" si="121"/>
        <v>14.001466666666667</v>
      </c>
      <c r="P1974" s="4" t="str">
        <f>"emc-3"</f>
        <v>emc-3</v>
      </c>
      <c r="Q1974" s="4">
        <v>13.421295096992299</v>
      </c>
      <c r="R1974" s="4">
        <v>13.566682844507399</v>
      </c>
      <c r="S1974" s="4">
        <v>13.759275321190801</v>
      </c>
      <c r="T1974" s="4">
        <f t="shared" si="122"/>
        <v>13.582417754230166</v>
      </c>
      <c r="W1974" s="4" t="str">
        <f>"F53H1.4"</f>
        <v>F53H1.4</v>
      </c>
      <c r="X1974" s="4">
        <v>13.8602427971519</v>
      </c>
      <c r="Y1974" s="4">
        <v>13.500389837437799</v>
      </c>
      <c r="Z1974" s="4">
        <v>13.654348340196799</v>
      </c>
      <c r="AA1974" s="4">
        <f t="shared" si="123"/>
        <v>13.671660324928832</v>
      </c>
    </row>
    <row r="1975" spans="2:27" x14ac:dyDescent="0.2">
      <c r="B1975" s="4" t="s">
        <v>2658</v>
      </c>
      <c r="C1975" s="4">
        <v>13.949400000000001</v>
      </c>
      <c r="D1975" s="4">
        <v>13.7819</v>
      </c>
      <c r="E1975" s="4">
        <v>14.4023</v>
      </c>
      <c r="F1975" s="4">
        <f t="shared" si="120"/>
        <v>14.044533333333334</v>
      </c>
      <c r="I1975" s="4" t="s">
        <v>257</v>
      </c>
      <c r="J1975" s="4">
        <v>14.284599999999999</v>
      </c>
      <c r="K1975" s="4">
        <v>13.6563</v>
      </c>
      <c r="L1975" s="4">
        <v>14.0627</v>
      </c>
      <c r="M1975" s="4">
        <f t="shared" si="121"/>
        <v>14.001199999999999</v>
      </c>
      <c r="P1975" s="4" t="str">
        <f>"swsn-2.2"</f>
        <v>swsn-2.2</v>
      </c>
      <c r="Q1975" s="4">
        <v>13.6047259721533</v>
      </c>
      <c r="R1975" s="4">
        <v>13.489259716878299</v>
      </c>
      <c r="S1975" s="4">
        <v>13.652784159239401</v>
      </c>
      <c r="T1975" s="4">
        <f t="shared" si="122"/>
        <v>13.582256616090334</v>
      </c>
      <c r="W1975" s="4" t="str">
        <f>"pdp-1"</f>
        <v>pdp-1</v>
      </c>
      <c r="X1975" s="4">
        <v>13.564654449490201</v>
      </c>
      <c r="Y1975" s="4">
        <v>13.5657884122369</v>
      </c>
      <c r="Z1975" s="4">
        <v>13.879498516713101</v>
      </c>
      <c r="AA1975" s="4">
        <f t="shared" si="123"/>
        <v>13.669980459480067</v>
      </c>
    </row>
    <row r="1976" spans="2:27" x14ac:dyDescent="0.2">
      <c r="B1976" s="4" t="s">
        <v>4735</v>
      </c>
      <c r="C1976" s="4">
        <v>14.2371</v>
      </c>
      <c r="D1976" s="4">
        <v>14.071</v>
      </c>
      <c r="E1976" s="4">
        <v>13.823</v>
      </c>
      <c r="F1976" s="4">
        <f t="shared" si="120"/>
        <v>14.043700000000001</v>
      </c>
      <c r="I1976" s="4" t="s">
        <v>3658</v>
      </c>
      <c r="J1976" s="4">
        <v>13.9727</v>
      </c>
      <c r="K1976" s="4">
        <v>13.8529</v>
      </c>
      <c r="L1976" s="4">
        <v>14.1724</v>
      </c>
      <c r="M1976" s="4">
        <f t="shared" si="121"/>
        <v>13.999333333333334</v>
      </c>
      <c r="P1976" s="4" t="str">
        <f>"Y18H1A.4"</f>
        <v>Y18H1A.4</v>
      </c>
      <c r="Q1976" s="4">
        <v>13.602241821321099</v>
      </c>
      <c r="R1976" s="4">
        <v>13.592826184794101</v>
      </c>
      <c r="S1976" s="4">
        <v>13.549646904138701</v>
      </c>
      <c r="T1976" s="4">
        <f t="shared" si="122"/>
        <v>13.581571636751301</v>
      </c>
      <c r="W1976" s="4" t="str">
        <f>"moc-1"</f>
        <v>moc-1</v>
      </c>
      <c r="X1976" s="4">
        <v>13.539782820346799</v>
      </c>
      <c r="Y1976" s="4">
        <v>13.717016343951</v>
      </c>
      <c r="Z1976" s="4">
        <v>13.7422671413018</v>
      </c>
      <c r="AA1976" s="4">
        <f t="shared" si="123"/>
        <v>13.666355435199867</v>
      </c>
    </row>
    <row r="1977" spans="2:27" x14ac:dyDescent="0.2">
      <c r="B1977" s="4" t="s">
        <v>2813</v>
      </c>
      <c r="C1977" s="4">
        <v>13.773400000000001</v>
      </c>
      <c r="D1977" s="4">
        <v>14.4285</v>
      </c>
      <c r="E1977" s="4">
        <v>13.928000000000001</v>
      </c>
      <c r="F1977" s="4">
        <f t="shared" si="120"/>
        <v>14.043300000000002</v>
      </c>
      <c r="I1977" s="4" t="s">
        <v>1764</v>
      </c>
      <c r="J1977" s="4">
        <v>13.9146</v>
      </c>
      <c r="K1977" s="4">
        <v>14.173500000000001</v>
      </c>
      <c r="L1977" s="4">
        <v>13.8996</v>
      </c>
      <c r="M1977" s="4">
        <f t="shared" si="121"/>
        <v>13.995900000000001</v>
      </c>
      <c r="P1977" s="4" t="str">
        <f>"sti-1"</f>
        <v>sti-1</v>
      </c>
      <c r="Q1977" s="4">
        <v>13.4883659792301</v>
      </c>
      <c r="R1977" s="4">
        <v>13.50406463064</v>
      </c>
      <c r="S1977" s="4">
        <v>13.749603560511799</v>
      </c>
      <c r="T1977" s="4">
        <f t="shared" si="122"/>
        <v>13.580678056793966</v>
      </c>
      <c r="W1977" s="4" t="str">
        <f>"Y18H1A.4"</f>
        <v>Y18H1A.4</v>
      </c>
      <c r="X1977" s="4">
        <v>13.8375734510082</v>
      </c>
      <c r="Y1977" s="4">
        <v>13.0577741224427</v>
      </c>
      <c r="Z1977" s="4">
        <v>14.0926294026468</v>
      </c>
      <c r="AA1977" s="4">
        <f t="shared" si="123"/>
        <v>13.662658992032567</v>
      </c>
    </row>
    <row r="1978" spans="2:27" x14ac:dyDescent="0.2">
      <c r="B1978" s="4" t="s">
        <v>637</v>
      </c>
      <c r="C1978" s="4">
        <v>13.942500000000001</v>
      </c>
      <c r="D1978" s="4">
        <v>14.0715</v>
      </c>
      <c r="E1978" s="4">
        <v>14.115</v>
      </c>
      <c r="F1978" s="4">
        <f t="shared" si="120"/>
        <v>14.043000000000001</v>
      </c>
      <c r="I1978" s="4" t="s">
        <v>2765</v>
      </c>
      <c r="J1978" s="4">
        <v>14.3614</v>
      </c>
      <c r="K1978" s="4">
        <v>14.280799999999999</v>
      </c>
      <c r="L1978" s="4">
        <v>13.343299999999999</v>
      </c>
      <c r="M1978" s="4">
        <f t="shared" si="121"/>
        <v>13.995166666666668</v>
      </c>
      <c r="P1978" s="4" t="str">
        <f>"pgp-14"</f>
        <v>pgp-14</v>
      </c>
      <c r="Q1978" s="4">
        <v>13.3934789470447</v>
      </c>
      <c r="R1978" s="4">
        <v>13.6156748326877</v>
      </c>
      <c r="S1978" s="4">
        <v>13.731632638985101</v>
      </c>
      <c r="T1978" s="4">
        <f t="shared" si="122"/>
        <v>13.580262139572502</v>
      </c>
      <c r="W1978" s="4" t="str">
        <f>"lec-2"</f>
        <v>lec-2</v>
      </c>
      <c r="X1978" s="4">
        <v>13.525792849245899</v>
      </c>
      <c r="Y1978" s="4">
        <v>12.947725064630299</v>
      </c>
      <c r="Z1978" s="4">
        <v>14.5142023719708</v>
      </c>
      <c r="AA1978" s="4">
        <f t="shared" si="123"/>
        <v>13.662573428615667</v>
      </c>
    </row>
    <row r="1979" spans="2:27" x14ac:dyDescent="0.2">
      <c r="B1979" s="4" t="s">
        <v>373</v>
      </c>
      <c r="C1979" s="4">
        <v>14.014099999999999</v>
      </c>
      <c r="D1979" s="4">
        <v>13.834899999999999</v>
      </c>
      <c r="E1979" s="4">
        <v>14.272500000000001</v>
      </c>
      <c r="F1979" s="4">
        <f t="shared" si="120"/>
        <v>14.0405</v>
      </c>
      <c r="I1979" s="4" t="s">
        <v>2034</v>
      </c>
      <c r="J1979" s="4">
        <v>14.5688</v>
      </c>
      <c r="K1979" s="4">
        <v>13.951499999999999</v>
      </c>
      <c r="L1979" s="4">
        <v>13.4643</v>
      </c>
      <c r="M1979" s="4">
        <f t="shared" si="121"/>
        <v>13.994866666666667</v>
      </c>
      <c r="P1979" s="4" t="str">
        <f>"pbs-1"</f>
        <v>pbs-1</v>
      </c>
      <c r="Q1979" s="4">
        <v>13.3297577932314</v>
      </c>
      <c r="R1979" s="4">
        <v>13.6723808156729</v>
      </c>
      <c r="S1979" s="4">
        <v>13.7339632491729</v>
      </c>
      <c r="T1979" s="4">
        <f t="shared" si="122"/>
        <v>13.578700619359067</v>
      </c>
      <c r="W1979" s="4" t="str">
        <f>"ifd-1"</f>
        <v>ifd-1</v>
      </c>
      <c r="X1979" s="4">
        <v>12.427241611646799</v>
      </c>
      <c r="Y1979" s="4">
        <v>14.0178183542893</v>
      </c>
      <c r="Z1979" s="4">
        <v>14.5411932535595</v>
      </c>
      <c r="AA1979" s="4">
        <f t="shared" si="123"/>
        <v>13.662084406498535</v>
      </c>
    </row>
    <row r="1980" spans="2:27" x14ac:dyDescent="0.2">
      <c r="B1980" s="4" t="s">
        <v>4470</v>
      </c>
      <c r="C1980" s="4">
        <v>14.211499999999999</v>
      </c>
      <c r="D1980" s="4">
        <v>14.2559</v>
      </c>
      <c r="E1980" s="4">
        <v>13.653</v>
      </c>
      <c r="F1980" s="4">
        <f t="shared" si="120"/>
        <v>14.040133333333332</v>
      </c>
      <c r="I1980" s="4" t="s">
        <v>1021</v>
      </c>
      <c r="J1980" s="4">
        <v>14.0505</v>
      </c>
      <c r="K1980" s="4">
        <v>14.091200000000001</v>
      </c>
      <c r="L1980" s="4">
        <v>13.839600000000001</v>
      </c>
      <c r="M1980" s="4">
        <f t="shared" si="121"/>
        <v>13.993766666666668</v>
      </c>
      <c r="P1980" s="4" t="str">
        <f>"F42G10.1"</f>
        <v>F42G10.1</v>
      </c>
      <c r="Q1980" s="4">
        <v>13.388531342711101</v>
      </c>
      <c r="R1980" s="4">
        <v>13.701406142304901</v>
      </c>
      <c r="S1980" s="4">
        <v>13.6272637149731</v>
      </c>
      <c r="T1980" s="4">
        <f t="shared" si="122"/>
        <v>13.572400399996368</v>
      </c>
      <c r="W1980" s="4" t="str">
        <f>"F22B5.4"</f>
        <v>F22B5.4</v>
      </c>
      <c r="X1980" s="4">
        <v>13.537460919748799</v>
      </c>
      <c r="Y1980" s="4">
        <v>13.6753067174095</v>
      </c>
      <c r="Z1980" s="4">
        <v>13.772615073128801</v>
      </c>
      <c r="AA1980" s="4">
        <f t="shared" si="123"/>
        <v>13.661794236762367</v>
      </c>
    </row>
    <row r="1981" spans="2:27" x14ac:dyDescent="0.2">
      <c r="B1981" s="4" t="s">
        <v>3565</v>
      </c>
      <c r="C1981" s="4">
        <v>14.147500000000001</v>
      </c>
      <c r="D1981" s="4">
        <v>14.246</v>
      </c>
      <c r="E1981" s="4">
        <v>13.725300000000001</v>
      </c>
      <c r="F1981" s="4">
        <f t="shared" si="120"/>
        <v>14.039600000000002</v>
      </c>
      <c r="I1981" s="4" t="s">
        <v>1543</v>
      </c>
      <c r="J1981" s="4">
        <v>14.849</v>
      </c>
      <c r="K1981" s="4">
        <v>13.957700000000001</v>
      </c>
      <c r="L1981" s="4">
        <v>13.1693</v>
      </c>
      <c r="M1981" s="4">
        <f t="shared" si="121"/>
        <v>13.991999999999999</v>
      </c>
      <c r="P1981" s="4" t="str">
        <f>"pfkb-1.1"</f>
        <v>pfkb-1.1</v>
      </c>
      <c r="Q1981" s="4">
        <v>13.828039310770199</v>
      </c>
      <c r="R1981" s="4">
        <v>13.2354367932505</v>
      </c>
      <c r="S1981" s="4">
        <v>13.652342753843101</v>
      </c>
      <c r="T1981" s="4">
        <f t="shared" si="122"/>
        <v>13.571939619287933</v>
      </c>
      <c r="W1981" s="4" t="str">
        <f>"upb-1"</f>
        <v>upb-1</v>
      </c>
      <c r="X1981" s="4">
        <v>13.296769533491</v>
      </c>
      <c r="Y1981" s="4">
        <v>13.8462063111226</v>
      </c>
      <c r="Z1981" s="4">
        <v>13.840089482220201</v>
      </c>
      <c r="AA1981" s="4">
        <f t="shared" si="123"/>
        <v>13.661021775611268</v>
      </c>
    </row>
    <row r="1982" spans="2:27" x14ac:dyDescent="0.2">
      <c r="B1982" s="4" t="s">
        <v>2362</v>
      </c>
      <c r="C1982" s="4">
        <v>14.2789</v>
      </c>
      <c r="D1982" s="4">
        <v>14.1745</v>
      </c>
      <c r="E1982" s="4">
        <v>13.654299999999999</v>
      </c>
      <c r="F1982" s="4">
        <f t="shared" si="120"/>
        <v>14.0359</v>
      </c>
      <c r="I1982" s="4" t="s">
        <v>3141</v>
      </c>
      <c r="J1982" s="4">
        <v>13.9429</v>
      </c>
      <c r="K1982" s="4">
        <v>13.861700000000001</v>
      </c>
      <c r="L1982" s="4">
        <v>14.169700000000001</v>
      </c>
      <c r="M1982" s="4">
        <f t="shared" si="121"/>
        <v>13.991433333333333</v>
      </c>
      <c r="P1982" s="4" t="str">
        <f>"msra-1"</f>
        <v>msra-1</v>
      </c>
      <c r="Q1982" s="4">
        <v>13.5263642989816</v>
      </c>
      <c r="R1982" s="4">
        <v>13.5006499031368</v>
      </c>
      <c r="S1982" s="4">
        <v>13.6807735236382</v>
      </c>
      <c r="T1982" s="4">
        <f t="shared" si="122"/>
        <v>13.569262575252202</v>
      </c>
      <c r="W1982" s="4" t="str">
        <f>"T23G5.2"</f>
        <v>T23G5.2</v>
      </c>
      <c r="X1982" s="4">
        <v>13.684925096238199</v>
      </c>
      <c r="Y1982" s="4">
        <v>13.5428737723671</v>
      </c>
      <c r="Z1982" s="4">
        <v>13.7523190508273</v>
      </c>
      <c r="AA1982" s="4">
        <f t="shared" si="123"/>
        <v>13.660039306477534</v>
      </c>
    </row>
    <row r="1983" spans="2:27" x14ac:dyDescent="0.2">
      <c r="B1983" s="4" t="s">
        <v>3669</v>
      </c>
      <c r="C1983" s="4">
        <v>14.021699999999999</v>
      </c>
      <c r="D1983" s="4">
        <v>14.1927</v>
      </c>
      <c r="E1983" s="4">
        <v>13.890499999999999</v>
      </c>
      <c r="F1983" s="4">
        <f t="shared" si="120"/>
        <v>14.034966666666667</v>
      </c>
      <c r="I1983" s="4" t="s">
        <v>1606</v>
      </c>
      <c r="J1983" s="4">
        <v>13.8912</v>
      </c>
      <c r="K1983" s="4">
        <v>13.980499999999999</v>
      </c>
      <c r="L1983" s="4">
        <v>14.102399999999999</v>
      </c>
      <c r="M1983" s="4">
        <f t="shared" si="121"/>
        <v>13.991366666666664</v>
      </c>
      <c r="P1983" s="4" t="str">
        <f>"tatn-1"</f>
        <v>tatn-1</v>
      </c>
      <c r="Q1983" s="4">
        <v>13.607655166984401</v>
      </c>
      <c r="R1983" s="4">
        <v>13.5353678375361</v>
      </c>
      <c r="S1983" s="4">
        <v>13.564099953878801</v>
      </c>
      <c r="T1983" s="4">
        <f t="shared" si="122"/>
        <v>13.569040986133102</v>
      </c>
      <c r="W1983" s="4" t="str">
        <f>"dpf-4"</f>
        <v>dpf-4</v>
      </c>
      <c r="X1983" s="4">
        <v>13.6073699776849</v>
      </c>
      <c r="Y1983" s="4">
        <v>13.4298043863141</v>
      </c>
      <c r="Z1983" s="4">
        <v>13.9420770366994</v>
      </c>
      <c r="AA1983" s="4">
        <f t="shared" si="123"/>
        <v>13.659750466899467</v>
      </c>
    </row>
    <row r="1984" spans="2:27" x14ac:dyDescent="0.2">
      <c r="B1984" s="4" t="s">
        <v>4736</v>
      </c>
      <c r="C1984" s="4">
        <v>14.0129</v>
      </c>
      <c r="D1984" s="4">
        <v>14.1953</v>
      </c>
      <c r="E1984" s="4">
        <v>13.894299999999999</v>
      </c>
      <c r="F1984" s="4">
        <f t="shared" si="120"/>
        <v>14.034166666666666</v>
      </c>
      <c r="I1984" s="4" t="s">
        <v>3736</v>
      </c>
      <c r="J1984" s="4">
        <v>13.9498</v>
      </c>
      <c r="K1984" s="4">
        <v>14.1294</v>
      </c>
      <c r="L1984" s="4">
        <v>13.8926</v>
      </c>
      <c r="M1984" s="4">
        <f t="shared" si="121"/>
        <v>13.990600000000001</v>
      </c>
      <c r="P1984" s="4" t="str">
        <f>"sos-1"</f>
        <v>sos-1</v>
      </c>
      <c r="Q1984" s="4">
        <v>13.6500395683502</v>
      </c>
      <c r="R1984" s="4">
        <v>13.6190572454702</v>
      </c>
      <c r="S1984" s="4">
        <v>13.4374903849532</v>
      </c>
      <c r="T1984" s="4">
        <f t="shared" si="122"/>
        <v>13.568862399591202</v>
      </c>
      <c r="W1984" s="4" t="str">
        <f>"sec-16A.1"</f>
        <v>sec-16A.1</v>
      </c>
      <c r="X1984" s="4">
        <v>13.561217865010599</v>
      </c>
      <c r="Y1984" s="4">
        <v>13.822235048702201</v>
      </c>
      <c r="Z1984" s="4">
        <v>13.578728270998001</v>
      </c>
      <c r="AA1984" s="4">
        <f t="shared" si="123"/>
        <v>13.654060394903601</v>
      </c>
    </row>
    <row r="1985" spans="2:27" x14ac:dyDescent="0.2">
      <c r="B1985" s="4" t="s">
        <v>1413</v>
      </c>
      <c r="C1985" s="4">
        <v>14.039899999999999</v>
      </c>
      <c r="D1985" s="4">
        <v>13.78</v>
      </c>
      <c r="E1985" s="4">
        <v>14.2805</v>
      </c>
      <c r="F1985" s="4">
        <f t="shared" si="120"/>
        <v>14.033466666666664</v>
      </c>
      <c r="I1985" s="4" t="s">
        <v>3257</v>
      </c>
      <c r="J1985" s="4">
        <v>13.913399999999999</v>
      </c>
      <c r="K1985" s="4">
        <v>14.069900000000001</v>
      </c>
      <c r="L1985" s="4">
        <v>13.986499999999999</v>
      </c>
      <c r="M1985" s="4">
        <f t="shared" si="121"/>
        <v>13.989933333333333</v>
      </c>
      <c r="P1985" s="4" t="str">
        <f>"C49A9.5"</f>
        <v>C49A9.5</v>
      </c>
      <c r="Q1985" s="4">
        <v>13.2149933799063</v>
      </c>
      <c r="R1985" s="4">
        <v>13.694802113454701</v>
      </c>
      <c r="S1985" s="4">
        <v>13.7922187313519</v>
      </c>
      <c r="T1985" s="4">
        <f t="shared" si="122"/>
        <v>13.567338074904301</v>
      </c>
      <c r="W1985" s="4" t="str">
        <f>"rnp-6"</f>
        <v>rnp-6</v>
      </c>
      <c r="X1985" s="4">
        <v>13.749816528381199</v>
      </c>
      <c r="Y1985" s="4">
        <v>13.4292706256599</v>
      </c>
      <c r="Z1985" s="4">
        <v>13.781362765660401</v>
      </c>
      <c r="AA1985" s="4">
        <f t="shared" si="123"/>
        <v>13.653483306567168</v>
      </c>
    </row>
    <row r="1986" spans="2:27" x14ac:dyDescent="0.2">
      <c r="B1986" s="4" t="s">
        <v>3136</v>
      </c>
      <c r="C1986" s="4">
        <v>14.1105</v>
      </c>
      <c r="D1986" s="4">
        <v>13.9108</v>
      </c>
      <c r="E1986" s="4">
        <v>14.077199999999999</v>
      </c>
      <c r="F1986" s="4">
        <f t="shared" ref="F1986:F2049" si="124">(C1986+D1986+E1986)/3</f>
        <v>14.032833333333334</v>
      </c>
      <c r="I1986" s="4" t="s">
        <v>3724</v>
      </c>
      <c r="J1986" s="4">
        <v>13.985200000000001</v>
      </c>
      <c r="K1986" s="4">
        <v>14.0144</v>
      </c>
      <c r="L1986" s="4">
        <v>13.9655</v>
      </c>
      <c r="M1986" s="4">
        <f t="shared" ref="M1986:M2049" si="125">(J1986+K1986+L1986)/3</f>
        <v>13.988366666666666</v>
      </c>
      <c r="P1986" s="4" t="str">
        <f>"tut-2"</f>
        <v>tut-2</v>
      </c>
      <c r="Q1986" s="4">
        <v>13.727448260488501</v>
      </c>
      <c r="R1986" s="4">
        <v>13.5914927683726</v>
      </c>
      <c r="S1986" s="4">
        <v>13.380522834384299</v>
      </c>
      <c r="T1986" s="4">
        <f t="shared" ref="T1986:T2049" si="126">(Q1986+R1986+S1986)/3</f>
        <v>13.566487954415132</v>
      </c>
      <c r="W1986" s="4" t="str">
        <f>"rfc-1"</f>
        <v>rfc-1</v>
      </c>
      <c r="X1986" s="4">
        <v>13.5574279798389</v>
      </c>
      <c r="Y1986" s="4">
        <v>13.645678066948999</v>
      </c>
      <c r="Z1986" s="4">
        <v>13.756710500154099</v>
      </c>
      <c r="AA1986" s="4">
        <f t="shared" ref="AA1986:AA2049" si="127">(X1986+Y1986+Z1986)/3</f>
        <v>13.653272182314</v>
      </c>
    </row>
    <row r="1987" spans="2:27" x14ac:dyDescent="0.2">
      <c r="B1987" s="4" t="s">
        <v>4737</v>
      </c>
      <c r="C1987" s="4">
        <v>14.3385</v>
      </c>
      <c r="D1987" s="4">
        <v>13.8675</v>
      </c>
      <c r="E1987" s="4">
        <v>13.891500000000001</v>
      </c>
      <c r="F1987" s="4">
        <f t="shared" si="124"/>
        <v>14.032499999999999</v>
      </c>
      <c r="I1987" s="4" t="s">
        <v>930</v>
      </c>
      <c r="J1987" s="4">
        <v>13.1012</v>
      </c>
      <c r="K1987" s="4">
        <v>14.0661</v>
      </c>
      <c r="L1987" s="4">
        <v>14.797499999999999</v>
      </c>
      <c r="M1987" s="4">
        <f t="shared" si="125"/>
        <v>13.988266666666666</v>
      </c>
      <c r="P1987" s="4" t="str">
        <f>"F44E2.8"</f>
        <v>F44E2.8</v>
      </c>
      <c r="Q1987" s="4">
        <v>13.4992444471988</v>
      </c>
      <c r="R1987" s="4">
        <v>13.6090386762679</v>
      </c>
      <c r="S1987" s="4">
        <v>13.586396178970899</v>
      </c>
      <c r="T1987" s="4">
        <f t="shared" si="126"/>
        <v>13.564893100812533</v>
      </c>
      <c r="W1987" s="4" t="str">
        <f>"rde-4"</f>
        <v>rde-4</v>
      </c>
      <c r="X1987" s="4">
        <v>13.624105369450501</v>
      </c>
      <c r="Y1987" s="4">
        <v>13.4250392910111</v>
      </c>
      <c r="Z1987" s="4">
        <v>13.9081170226419</v>
      </c>
      <c r="AA1987" s="4">
        <f t="shared" si="127"/>
        <v>13.652420561034498</v>
      </c>
    </row>
    <row r="1988" spans="2:27" x14ac:dyDescent="0.2">
      <c r="B1988" s="4" t="s">
        <v>1073</v>
      </c>
      <c r="C1988" s="4">
        <v>14.4194</v>
      </c>
      <c r="D1988" s="4">
        <v>13.795999999999999</v>
      </c>
      <c r="E1988" s="4">
        <v>13.880100000000001</v>
      </c>
      <c r="F1988" s="4">
        <f t="shared" si="124"/>
        <v>14.031833333333333</v>
      </c>
      <c r="I1988" s="4" t="s">
        <v>1154</v>
      </c>
      <c r="J1988" s="4">
        <v>14.113</v>
      </c>
      <c r="K1988" s="4">
        <v>14.6349</v>
      </c>
      <c r="L1988" s="4">
        <v>13.215299999999999</v>
      </c>
      <c r="M1988" s="4">
        <f t="shared" si="125"/>
        <v>13.987733333333333</v>
      </c>
      <c r="P1988" s="4" t="str">
        <f>"C07A12.7"</f>
        <v>C07A12.7</v>
      </c>
      <c r="Q1988" s="4">
        <v>13.372050928006001</v>
      </c>
      <c r="R1988" s="4">
        <v>13.715135343779799</v>
      </c>
      <c r="S1988" s="4">
        <v>13.6062697392967</v>
      </c>
      <c r="T1988" s="4">
        <f t="shared" si="126"/>
        <v>13.5644853370275</v>
      </c>
      <c r="W1988" s="4" t="str">
        <f>"samp-1"</f>
        <v>samp-1</v>
      </c>
      <c r="X1988" s="4">
        <v>13.839797972259699</v>
      </c>
      <c r="Y1988" s="4">
        <v>13.5253060991911</v>
      </c>
      <c r="Z1988" s="4">
        <v>13.591088399343199</v>
      </c>
      <c r="AA1988" s="4">
        <f t="shared" si="127"/>
        <v>13.652064156931333</v>
      </c>
    </row>
    <row r="1989" spans="2:27" x14ac:dyDescent="0.2">
      <c r="B1989" s="4" t="s">
        <v>1680</v>
      </c>
      <c r="C1989" s="4">
        <v>14.004300000000001</v>
      </c>
      <c r="D1989" s="4">
        <v>14.2342</v>
      </c>
      <c r="E1989" s="4">
        <v>13.8521</v>
      </c>
      <c r="F1989" s="4">
        <f t="shared" si="124"/>
        <v>14.030200000000001</v>
      </c>
      <c r="I1989" s="4" t="s">
        <v>3703</v>
      </c>
      <c r="J1989" s="4">
        <v>14.171900000000001</v>
      </c>
      <c r="K1989" s="4">
        <v>14.192299999999999</v>
      </c>
      <c r="L1989" s="4">
        <v>13.595599999999999</v>
      </c>
      <c r="M1989" s="4">
        <f t="shared" si="125"/>
        <v>13.986600000000001</v>
      </c>
      <c r="P1989" s="4" t="str">
        <f>"glh-4"</f>
        <v>glh-4</v>
      </c>
      <c r="Q1989" s="4">
        <v>13.3645592179618</v>
      </c>
      <c r="R1989" s="4">
        <v>13.6814860850145</v>
      </c>
      <c r="S1989" s="4">
        <v>13.646797166585401</v>
      </c>
      <c r="T1989" s="4">
        <f t="shared" si="126"/>
        <v>13.564280823187232</v>
      </c>
      <c r="W1989" s="4" t="str">
        <f>"sin-3"</f>
        <v>sin-3</v>
      </c>
      <c r="X1989" s="4">
        <v>13.6892901175211</v>
      </c>
      <c r="Y1989" s="4">
        <v>13.806149976076901</v>
      </c>
      <c r="Z1989" s="4">
        <v>13.4549356487449</v>
      </c>
      <c r="AA1989" s="4">
        <f t="shared" si="127"/>
        <v>13.650125247447633</v>
      </c>
    </row>
    <row r="1990" spans="2:27" x14ac:dyDescent="0.2">
      <c r="B1990" s="4" t="s">
        <v>2223</v>
      </c>
      <c r="C1990" s="4">
        <v>14.792199999999999</v>
      </c>
      <c r="D1990" s="4">
        <v>12.9771</v>
      </c>
      <c r="E1990" s="4">
        <v>14.3201</v>
      </c>
      <c r="F1990" s="4">
        <f t="shared" si="124"/>
        <v>14.0298</v>
      </c>
      <c r="I1990" s="4" t="s">
        <v>2944</v>
      </c>
      <c r="J1990" s="4">
        <v>14.041399999999999</v>
      </c>
      <c r="K1990" s="4">
        <v>13.870699999999999</v>
      </c>
      <c r="L1990" s="4">
        <v>14.046099999999999</v>
      </c>
      <c r="M1990" s="4">
        <f t="shared" si="125"/>
        <v>13.986066666666666</v>
      </c>
      <c r="P1990" s="4" t="str">
        <f>"cogc-5"</f>
        <v>cogc-5</v>
      </c>
      <c r="Q1990" s="4">
        <v>13.8712933794771</v>
      </c>
      <c r="R1990" s="4">
        <v>13.635172121744899</v>
      </c>
      <c r="S1990" s="4">
        <v>13.183753257157001</v>
      </c>
      <c r="T1990" s="4">
        <f t="shared" si="126"/>
        <v>13.563406252793001</v>
      </c>
      <c r="W1990" s="4" t="str">
        <f>"R74.8"</f>
        <v>R74.8</v>
      </c>
      <c r="X1990" s="4">
        <v>13.6015021023104</v>
      </c>
      <c r="Y1990" s="4">
        <v>13.691656409623899</v>
      </c>
      <c r="Z1990" s="4">
        <v>13.6526230009759</v>
      </c>
      <c r="AA1990" s="4">
        <f t="shared" si="127"/>
        <v>13.648593837636733</v>
      </c>
    </row>
    <row r="1991" spans="2:27" x14ac:dyDescent="0.2">
      <c r="B1991" s="4" t="s">
        <v>3964</v>
      </c>
      <c r="C1991" s="4">
        <v>13.7988</v>
      </c>
      <c r="D1991" s="4">
        <v>14.491099999999999</v>
      </c>
      <c r="E1991" s="4">
        <v>13.7973</v>
      </c>
      <c r="F1991" s="4">
        <f t="shared" si="124"/>
        <v>14.029066666666665</v>
      </c>
      <c r="I1991" s="4" t="s">
        <v>3168</v>
      </c>
      <c r="J1991" s="4">
        <v>12.925599999999999</v>
      </c>
      <c r="K1991" s="4">
        <v>13.771699999999999</v>
      </c>
      <c r="L1991" s="4">
        <v>15.2599</v>
      </c>
      <c r="M1991" s="4">
        <f t="shared" si="125"/>
        <v>13.985733333333334</v>
      </c>
      <c r="P1991" s="4" t="str">
        <f>"gap-3"</f>
        <v>gap-3</v>
      </c>
      <c r="Q1991" s="4">
        <v>13.5621545811643</v>
      </c>
      <c r="R1991" s="4">
        <v>13.711291124094499</v>
      </c>
      <c r="S1991" s="4">
        <v>13.416679069863299</v>
      </c>
      <c r="T1991" s="4">
        <f t="shared" si="126"/>
        <v>13.5633749250407</v>
      </c>
      <c r="W1991" s="4" t="str">
        <f>"mom-4"</f>
        <v>mom-4</v>
      </c>
      <c r="X1991" s="4">
        <v>14.3166106844832</v>
      </c>
      <c r="Y1991" s="4">
        <v>13.190125184740101</v>
      </c>
      <c r="Z1991" s="4">
        <v>13.430091377959</v>
      </c>
      <c r="AA1991" s="4">
        <f t="shared" si="127"/>
        <v>13.645609082394101</v>
      </c>
    </row>
    <row r="1992" spans="2:27" x14ac:dyDescent="0.2">
      <c r="B1992" s="4" t="s">
        <v>1067</v>
      </c>
      <c r="C1992" s="4">
        <v>14.213800000000001</v>
      </c>
      <c r="D1992" s="4">
        <v>13.9825</v>
      </c>
      <c r="E1992" s="4">
        <v>13.8893</v>
      </c>
      <c r="F1992" s="4">
        <f t="shared" si="124"/>
        <v>14.028533333333334</v>
      </c>
      <c r="I1992" s="4" t="s">
        <v>2547</v>
      </c>
      <c r="J1992" s="4">
        <v>13.7722</v>
      </c>
      <c r="K1992" s="4">
        <v>13.8985</v>
      </c>
      <c r="L1992" s="4">
        <v>14.282400000000001</v>
      </c>
      <c r="M1992" s="4">
        <f t="shared" si="125"/>
        <v>13.984366666666666</v>
      </c>
      <c r="P1992" s="4" t="str">
        <f>"ndx-7"</f>
        <v>ndx-7</v>
      </c>
      <c r="Q1992" s="4">
        <v>13.6946862129543</v>
      </c>
      <c r="R1992" s="4">
        <v>13.324946556712501</v>
      </c>
      <c r="S1992" s="4">
        <v>13.668974932515001</v>
      </c>
      <c r="T1992" s="4">
        <f t="shared" si="126"/>
        <v>13.562869234060599</v>
      </c>
      <c r="W1992" s="4" t="str">
        <f>"cla-1"</f>
        <v>cla-1</v>
      </c>
      <c r="X1992" s="4">
        <v>13.5249819788756</v>
      </c>
      <c r="Y1992" s="4">
        <v>13.948330025172</v>
      </c>
      <c r="Z1992" s="4">
        <v>13.4583287922735</v>
      </c>
      <c r="AA1992" s="4">
        <f t="shared" si="127"/>
        <v>13.643880265440366</v>
      </c>
    </row>
    <row r="1993" spans="2:27" x14ac:dyDescent="0.2">
      <c r="B1993" s="4" t="s">
        <v>101</v>
      </c>
      <c r="C1993" s="4">
        <v>14.4313</v>
      </c>
      <c r="D1993" s="4">
        <v>13.8385</v>
      </c>
      <c r="E1993" s="4">
        <v>13.8146</v>
      </c>
      <c r="F1993" s="4">
        <f t="shared" si="124"/>
        <v>14.028133333333335</v>
      </c>
      <c r="I1993" s="4" t="s">
        <v>3544</v>
      </c>
      <c r="J1993" s="4">
        <v>14.153499999999999</v>
      </c>
      <c r="K1993" s="4">
        <v>14.411099999999999</v>
      </c>
      <c r="L1993" s="4">
        <v>13.382300000000001</v>
      </c>
      <c r="M1993" s="4">
        <f t="shared" si="125"/>
        <v>13.9823</v>
      </c>
      <c r="P1993" s="4" t="str">
        <f>"cku-70"</f>
        <v>cku-70</v>
      </c>
      <c r="Q1993" s="4">
        <v>13.588797546339199</v>
      </c>
      <c r="R1993" s="4">
        <v>13.585148754394501</v>
      </c>
      <c r="S1993" s="4">
        <v>13.5125490882278</v>
      </c>
      <c r="T1993" s="4">
        <f t="shared" si="126"/>
        <v>13.562165129653835</v>
      </c>
      <c r="W1993" s="4" t="str">
        <f>"Y37D8A.2"</f>
        <v>Y37D8A.2</v>
      </c>
      <c r="X1993" s="4">
        <v>13.8546235267704</v>
      </c>
      <c r="Y1993" s="4">
        <v>13.5509259940752</v>
      </c>
      <c r="Z1993" s="4">
        <v>13.524312331928</v>
      </c>
      <c r="AA1993" s="4">
        <f t="shared" si="127"/>
        <v>13.643287284257866</v>
      </c>
    </row>
    <row r="1994" spans="2:27" x14ac:dyDescent="0.2">
      <c r="B1994" s="4" t="s">
        <v>4738</v>
      </c>
      <c r="C1994" s="4">
        <v>14.295500000000001</v>
      </c>
      <c r="D1994" s="4">
        <v>13.644</v>
      </c>
      <c r="E1994" s="4">
        <v>14.144500000000001</v>
      </c>
      <c r="F1994" s="4">
        <f t="shared" si="124"/>
        <v>14.028</v>
      </c>
      <c r="I1994" s="4" t="s">
        <v>4197</v>
      </c>
      <c r="J1994" s="4">
        <v>13.130100000000001</v>
      </c>
      <c r="K1994" s="4">
        <v>14.7599</v>
      </c>
      <c r="L1994" s="4">
        <v>14.056699999999999</v>
      </c>
      <c r="M1994" s="4">
        <f t="shared" si="125"/>
        <v>13.982233333333333</v>
      </c>
      <c r="P1994" s="4" t="str">
        <f>"C27F2.10"</f>
        <v>C27F2.10</v>
      </c>
      <c r="Q1994" s="4">
        <v>13.673254934040999</v>
      </c>
      <c r="R1994" s="4">
        <v>13.664479836579799</v>
      </c>
      <c r="S1994" s="4">
        <v>13.3451427719171</v>
      </c>
      <c r="T1994" s="4">
        <f t="shared" si="126"/>
        <v>13.560959180845964</v>
      </c>
      <c r="W1994" s="4" t="str">
        <f>"nsun-5"</f>
        <v>nsun-5</v>
      </c>
      <c r="X1994" s="4">
        <v>13.7454539683528</v>
      </c>
      <c r="Y1994" s="4">
        <v>13.485810024525501</v>
      </c>
      <c r="Z1994" s="4">
        <v>13.6930366583052</v>
      </c>
      <c r="AA1994" s="4">
        <f t="shared" si="127"/>
        <v>13.641433550394501</v>
      </c>
    </row>
    <row r="1995" spans="2:27" x14ac:dyDescent="0.2">
      <c r="B1995" s="4" t="s">
        <v>2976</v>
      </c>
      <c r="C1995" s="4">
        <v>14.087</v>
      </c>
      <c r="D1995" s="4">
        <v>14.0075</v>
      </c>
      <c r="E1995" s="4">
        <v>13.9869</v>
      </c>
      <c r="F1995" s="4">
        <f t="shared" si="124"/>
        <v>14.027133333333333</v>
      </c>
      <c r="I1995" s="4" t="s">
        <v>4655</v>
      </c>
      <c r="J1995" s="4">
        <v>14.147500000000001</v>
      </c>
      <c r="K1995" s="4">
        <v>14.2279</v>
      </c>
      <c r="L1995" s="4">
        <v>13.565799999999999</v>
      </c>
      <c r="M1995" s="4">
        <f t="shared" si="125"/>
        <v>13.980399999999998</v>
      </c>
      <c r="P1995" s="4" t="str">
        <f>"natc-1"</f>
        <v>natc-1</v>
      </c>
      <c r="Q1995" s="4">
        <v>13.587629006730801</v>
      </c>
      <c r="R1995" s="4">
        <v>13.6108145064011</v>
      </c>
      <c r="S1995" s="4">
        <v>13.478263209814701</v>
      </c>
      <c r="T1995" s="4">
        <f t="shared" si="126"/>
        <v>13.558902240982199</v>
      </c>
      <c r="W1995" s="4" t="str">
        <f>"glf-1"</f>
        <v>glf-1</v>
      </c>
      <c r="X1995" s="4">
        <v>13.3763138162817</v>
      </c>
      <c r="Y1995" s="4">
        <v>13.8920102465621</v>
      </c>
      <c r="Z1995" s="4">
        <v>13.6530842577667</v>
      </c>
      <c r="AA1995" s="4">
        <f t="shared" si="127"/>
        <v>13.640469440203498</v>
      </c>
    </row>
    <row r="1996" spans="2:27" x14ac:dyDescent="0.2">
      <c r="B1996" s="4" t="s">
        <v>75</v>
      </c>
      <c r="C1996" s="4">
        <v>13.7287</v>
      </c>
      <c r="D1996" s="4">
        <v>13.942600000000001</v>
      </c>
      <c r="E1996" s="4">
        <v>14.4095</v>
      </c>
      <c r="F1996" s="4">
        <f t="shared" si="124"/>
        <v>14.026933333333334</v>
      </c>
      <c r="I1996" s="4" t="s">
        <v>3403</v>
      </c>
      <c r="J1996" s="4">
        <v>14.0372</v>
      </c>
      <c r="K1996" s="4">
        <v>14.068899999999999</v>
      </c>
      <c r="L1996" s="4">
        <v>13.8314</v>
      </c>
      <c r="M1996" s="4">
        <f t="shared" si="125"/>
        <v>13.979166666666666</v>
      </c>
      <c r="P1996" s="4" t="str">
        <f>"clik-3"</f>
        <v>clik-3</v>
      </c>
      <c r="Q1996" s="4">
        <v>13.471968265789901</v>
      </c>
      <c r="R1996" s="4">
        <v>13.664357355361201</v>
      </c>
      <c r="S1996" s="4">
        <v>13.540111191667201</v>
      </c>
      <c r="T1996" s="4">
        <f t="shared" si="126"/>
        <v>13.558812270939434</v>
      </c>
      <c r="W1996" s="4" t="str">
        <f>"rsbp-1"</f>
        <v>rsbp-1</v>
      </c>
      <c r="X1996" s="4">
        <v>13.629002759474201</v>
      </c>
      <c r="Y1996" s="4">
        <v>13.734562929154601</v>
      </c>
      <c r="Z1996" s="4">
        <v>13.5483154507726</v>
      </c>
      <c r="AA1996" s="4">
        <f t="shared" si="127"/>
        <v>13.637293713133801</v>
      </c>
    </row>
    <row r="1997" spans="2:27" x14ac:dyDescent="0.2">
      <c r="B1997" s="4" t="s">
        <v>4739</v>
      </c>
      <c r="C1997" s="4">
        <v>14.6241</v>
      </c>
      <c r="D1997" s="4">
        <v>13.8718</v>
      </c>
      <c r="E1997" s="4">
        <v>13.584300000000001</v>
      </c>
      <c r="F1997" s="4">
        <f t="shared" si="124"/>
        <v>14.026733333333333</v>
      </c>
      <c r="I1997" s="4" t="s">
        <v>3186</v>
      </c>
      <c r="J1997" s="4">
        <v>14.268599999999999</v>
      </c>
      <c r="K1997" s="4">
        <v>14.0596</v>
      </c>
      <c r="L1997" s="4">
        <v>13.607100000000001</v>
      </c>
      <c r="M1997" s="4">
        <f t="shared" si="125"/>
        <v>13.978433333333333</v>
      </c>
      <c r="P1997" s="4" t="str">
        <f>"W03F9.1"</f>
        <v>W03F9.1</v>
      </c>
      <c r="Q1997" s="4">
        <v>13.7140402670721</v>
      </c>
      <c r="R1997" s="4">
        <v>13.3915586113899</v>
      </c>
      <c r="S1997" s="4">
        <v>13.5652928117907</v>
      </c>
      <c r="T1997" s="4">
        <f t="shared" si="126"/>
        <v>13.556963896750901</v>
      </c>
      <c r="W1997" s="4" t="str">
        <f>"F33D4.4"</f>
        <v>F33D4.4</v>
      </c>
      <c r="X1997" s="4">
        <v>13.935135889446901</v>
      </c>
      <c r="Y1997" s="4">
        <v>13.3960771039454</v>
      </c>
      <c r="Z1997" s="4">
        <v>13.5806270478651</v>
      </c>
      <c r="AA1997" s="4">
        <f t="shared" si="127"/>
        <v>13.637280013752466</v>
      </c>
    </row>
    <row r="1998" spans="2:27" x14ac:dyDescent="0.2">
      <c r="B1998" s="4" t="s">
        <v>1813</v>
      </c>
      <c r="C1998" s="4">
        <v>13.9613</v>
      </c>
      <c r="D1998" s="4">
        <v>14.2592</v>
      </c>
      <c r="E1998" s="4">
        <v>13.8591</v>
      </c>
      <c r="F1998" s="4">
        <f t="shared" si="124"/>
        <v>14.026533333333333</v>
      </c>
      <c r="I1998" s="4" t="s">
        <v>1392</v>
      </c>
      <c r="J1998" s="4">
        <v>14.1752</v>
      </c>
      <c r="K1998" s="4">
        <v>13.843400000000001</v>
      </c>
      <c r="L1998" s="4">
        <v>13.911799999999999</v>
      </c>
      <c r="M1998" s="4">
        <f t="shared" si="125"/>
        <v>13.976799999999999</v>
      </c>
      <c r="P1998" s="4" t="str">
        <f>"Y52B11A.3"</f>
        <v>Y52B11A.3</v>
      </c>
      <c r="Q1998" s="4">
        <v>13.6684240546934</v>
      </c>
      <c r="R1998" s="4">
        <v>13.6229049367693</v>
      </c>
      <c r="S1998" s="4">
        <v>13.3776412703209</v>
      </c>
      <c r="T1998" s="4">
        <f t="shared" si="126"/>
        <v>13.556323420594532</v>
      </c>
      <c r="W1998" s="4" t="str">
        <f>"ttr-7"</f>
        <v>ttr-7</v>
      </c>
      <c r="X1998" s="4">
        <v>13.6725284571078</v>
      </c>
      <c r="Y1998" s="4">
        <v>13.5691970240744</v>
      </c>
      <c r="Z1998" s="4">
        <v>13.6584905124712</v>
      </c>
      <c r="AA1998" s="4">
        <f t="shared" si="127"/>
        <v>13.633405331217801</v>
      </c>
    </row>
    <row r="1999" spans="2:27" x14ac:dyDescent="0.2">
      <c r="B1999" s="4" t="s">
        <v>1328</v>
      </c>
      <c r="C1999" s="4">
        <v>13.8733</v>
      </c>
      <c r="D1999" s="4">
        <v>13.630100000000001</v>
      </c>
      <c r="E1999" s="4">
        <v>14.568300000000001</v>
      </c>
      <c r="F1999" s="4">
        <f t="shared" si="124"/>
        <v>14.023899999999999</v>
      </c>
      <c r="I1999" s="4" t="s">
        <v>4469</v>
      </c>
      <c r="J1999" s="4">
        <v>14.3483</v>
      </c>
      <c r="K1999" s="4">
        <v>14.1349</v>
      </c>
      <c r="L1999" s="4">
        <v>13.446999999999999</v>
      </c>
      <c r="M1999" s="4">
        <f t="shared" si="125"/>
        <v>13.976733333333334</v>
      </c>
      <c r="P1999" s="4" t="str">
        <f>"F25E2.2"</f>
        <v>F25E2.2</v>
      </c>
      <c r="Q1999" s="4">
        <v>13.330556759990399</v>
      </c>
      <c r="R1999" s="4">
        <v>13.580681667958499</v>
      </c>
      <c r="S1999" s="4">
        <v>13.7565469512625</v>
      </c>
      <c r="T1999" s="4">
        <f t="shared" si="126"/>
        <v>13.555928459737132</v>
      </c>
      <c r="W1999" s="4" t="str">
        <f>"mct-3"</f>
        <v>mct-3</v>
      </c>
      <c r="X1999" s="4">
        <v>13.797443251950501</v>
      </c>
      <c r="Y1999" s="4">
        <v>13.548618251266401</v>
      </c>
      <c r="Z1999" s="4">
        <v>13.5401553467089</v>
      </c>
      <c r="AA1999" s="4">
        <f t="shared" si="127"/>
        <v>13.628738949975267</v>
      </c>
    </row>
    <row r="2000" spans="2:27" x14ac:dyDescent="0.2">
      <c r="B2000" s="4" t="s">
        <v>1759</v>
      </c>
      <c r="C2000" s="4">
        <v>13.9102</v>
      </c>
      <c r="D2000" s="4">
        <v>14.081799999999999</v>
      </c>
      <c r="E2000" s="4">
        <v>14.058299999999999</v>
      </c>
      <c r="F2000" s="4">
        <f t="shared" si="124"/>
        <v>14.016766666666664</v>
      </c>
      <c r="I2000" s="4" t="s">
        <v>4018</v>
      </c>
      <c r="J2000" s="4">
        <v>14.0741</v>
      </c>
      <c r="K2000" s="4">
        <v>14.249700000000001</v>
      </c>
      <c r="L2000" s="4">
        <v>13.6</v>
      </c>
      <c r="M2000" s="4">
        <f t="shared" si="125"/>
        <v>13.974600000000001</v>
      </c>
      <c r="P2000" s="4" t="str">
        <f>"ced-12"</f>
        <v>ced-12</v>
      </c>
      <c r="Q2000" s="4">
        <v>13.720715512740499</v>
      </c>
      <c r="R2000" s="4">
        <v>13.566719150273199</v>
      </c>
      <c r="S2000" s="4">
        <v>13.379267499651201</v>
      </c>
      <c r="T2000" s="4">
        <f t="shared" si="126"/>
        <v>13.555567387554966</v>
      </c>
      <c r="W2000" s="4" t="str">
        <f>"spc-1"</f>
        <v>spc-1</v>
      </c>
      <c r="X2000" s="4">
        <v>13.555180082632999</v>
      </c>
      <c r="Y2000" s="4">
        <v>13.412147441746701</v>
      </c>
      <c r="Z2000" s="4">
        <v>13.916045858125001</v>
      </c>
      <c r="AA2000" s="4">
        <f t="shared" si="127"/>
        <v>13.627791127501567</v>
      </c>
    </row>
    <row r="2001" spans="2:27" x14ac:dyDescent="0.2">
      <c r="B2001" s="4" t="s">
        <v>3770</v>
      </c>
      <c r="C2001" s="4">
        <v>13.736800000000001</v>
      </c>
      <c r="D2001" s="4">
        <v>14.3348</v>
      </c>
      <c r="E2001" s="4">
        <v>13.977499999999999</v>
      </c>
      <c r="F2001" s="4">
        <f t="shared" si="124"/>
        <v>14.016366666666665</v>
      </c>
      <c r="I2001" s="4" t="s">
        <v>3042</v>
      </c>
      <c r="J2001" s="4">
        <v>14.023899999999999</v>
      </c>
      <c r="K2001" s="4">
        <v>14.3032</v>
      </c>
      <c r="L2001" s="4">
        <v>13.5954</v>
      </c>
      <c r="M2001" s="4">
        <f t="shared" si="125"/>
        <v>13.974166666666667</v>
      </c>
      <c r="P2001" s="4" t="str">
        <f>"mat-1"</f>
        <v>mat-1</v>
      </c>
      <c r="Q2001" s="4">
        <v>13.8533957555409</v>
      </c>
      <c r="R2001" s="4">
        <v>13.3669704073784</v>
      </c>
      <c r="S2001" s="4">
        <v>13.446157607046899</v>
      </c>
      <c r="T2001" s="4">
        <f t="shared" si="126"/>
        <v>13.555507923322066</v>
      </c>
      <c r="W2001" s="4" t="str">
        <f>"T03F7.7"</f>
        <v>T03F7.7</v>
      </c>
      <c r="X2001" s="4">
        <v>13.5048223247836</v>
      </c>
      <c r="Y2001" s="4">
        <v>13.6963280362485</v>
      </c>
      <c r="Z2001" s="4">
        <v>13.6807257121955</v>
      </c>
      <c r="AA2001" s="4">
        <f t="shared" si="127"/>
        <v>13.627292024409201</v>
      </c>
    </row>
    <row r="2002" spans="2:27" x14ac:dyDescent="0.2">
      <c r="B2002" s="4" t="s">
        <v>3820</v>
      </c>
      <c r="C2002" s="4">
        <v>13.7865</v>
      </c>
      <c r="D2002" s="4">
        <v>13.6975</v>
      </c>
      <c r="E2002" s="4">
        <v>14.5646</v>
      </c>
      <c r="F2002" s="4">
        <f t="shared" si="124"/>
        <v>14.0162</v>
      </c>
      <c r="I2002" s="4" t="s">
        <v>1394</v>
      </c>
      <c r="J2002" s="4">
        <v>14.035299999999999</v>
      </c>
      <c r="K2002" s="4">
        <v>13.895799999999999</v>
      </c>
      <c r="L2002" s="4">
        <v>13.991400000000001</v>
      </c>
      <c r="M2002" s="4">
        <f t="shared" si="125"/>
        <v>13.974166666666667</v>
      </c>
      <c r="P2002" s="4" t="str">
        <f>"kbrl-1"</f>
        <v>kbrl-1</v>
      </c>
      <c r="Q2002" s="4">
        <v>13.616267196777001</v>
      </c>
      <c r="R2002" s="4">
        <v>13.4564226422494</v>
      </c>
      <c r="S2002" s="4">
        <v>13.5814128567681</v>
      </c>
      <c r="T2002" s="4">
        <f t="shared" si="126"/>
        <v>13.551367565264835</v>
      </c>
      <c r="W2002" s="4" t="str">
        <f>"ttr-2"</f>
        <v>ttr-2</v>
      </c>
      <c r="X2002" s="4">
        <v>13.6087439937223</v>
      </c>
      <c r="Y2002" s="4">
        <v>13.9283948772059</v>
      </c>
      <c r="Z2002" s="4">
        <v>13.343127288989599</v>
      </c>
      <c r="AA2002" s="4">
        <f t="shared" si="127"/>
        <v>13.626755386639266</v>
      </c>
    </row>
    <row r="2003" spans="2:27" x14ac:dyDescent="0.2">
      <c r="B2003" s="4" t="s">
        <v>1548</v>
      </c>
      <c r="C2003" s="4">
        <v>14.4076</v>
      </c>
      <c r="D2003" s="4">
        <v>13.772</v>
      </c>
      <c r="E2003" s="4">
        <v>13.8673</v>
      </c>
      <c r="F2003" s="4">
        <f t="shared" si="124"/>
        <v>14.015633333333334</v>
      </c>
      <c r="I2003" s="4" t="s">
        <v>4461</v>
      </c>
      <c r="J2003" s="4">
        <v>13.9048</v>
      </c>
      <c r="K2003" s="4">
        <v>14.293100000000001</v>
      </c>
      <c r="L2003" s="4">
        <v>13.724</v>
      </c>
      <c r="M2003" s="4">
        <f t="shared" si="125"/>
        <v>13.973966666666668</v>
      </c>
      <c r="P2003" s="4" t="str">
        <f>"C37H5.5"</f>
        <v>C37H5.5</v>
      </c>
      <c r="Q2003" s="4">
        <v>13.552705538168</v>
      </c>
      <c r="R2003" s="4">
        <v>13.675072907889</v>
      </c>
      <c r="S2003" s="4">
        <v>13.422396301493601</v>
      </c>
      <c r="T2003" s="4">
        <f t="shared" si="126"/>
        <v>13.550058249183534</v>
      </c>
      <c r="W2003" s="4" t="str">
        <f>"F27C1.2"</f>
        <v>F27C1.2</v>
      </c>
      <c r="X2003" s="4">
        <v>13.8465838398779</v>
      </c>
      <c r="Y2003" s="4">
        <v>13.9334158663178</v>
      </c>
      <c r="Z2003" s="4">
        <v>13.0912041076745</v>
      </c>
      <c r="AA2003" s="4">
        <f t="shared" si="127"/>
        <v>13.623734604623399</v>
      </c>
    </row>
    <row r="2004" spans="2:27" x14ac:dyDescent="0.2">
      <c r="B2004" s="4" t="s">
        <v>4464</v>
      </c>
      <c r="C2004" s="4">
        <v>13.9018</v>
      </c>
      <c r="D2004" s="4">
        <v>14.216699999999999</v>
      </c>
      <c r="E2004" s="4">
        <v>13.920400000000001</v>
      </c>
      <c r="F2004" s="4">
        <f t="shared" si="124"/>
        <v>14.012966666666665</v>
      </c>
      <c r="I2004" s="4" t="s">
        <v>2140</v>
      </c>
      <c r="J2004" s="4">
        <v>14.8499</v>
      </c>
      <c r="K2004" s="4">
        <v>14.1692</v>
      </c>
      <c r="L2004" s="4">
        <v>12.892200000000001</v>
      </c>
      <c r="M2004" s="4">
        <f t="shared" si="125"/>
        <v>13.970433333333334</v>
      </c>
      <c r="P2004" s="4" t="str">
        <f>"cls-3"</f>
        <v>cls-3</v>
      </c>
      <c r="Q2004" s="4">
        <v>13.3532526225666</v>
      </c>
      <c r="R2004" s="4">
        <v>13.8176057358137</v>
      </c>
      <c r="S2004" s="4">
        <v>13.4781178350099</v>
      </c>
      <c r="T2004" s="4">
        <f t="shared" si="126"/>
        <v>13.549658731130066</v>
      </c>
      <c r="W2004" s="4" t="str">
        <f>"Y50D4B.1"</f>
        <v>Y50D4B.1</v>
      </c>
      <c r="X2004" s="4">
        <v>13.661803727727101</v>
      </c>
      <c r="Y2004" s="4">
        <v>13.3969706996117</v>
      </c>
      <c r="Z2004" s="4">
        <v>13.8111376376014</v>
      </c>
      <c r="AA2004" s="4">
        <f t="shared" si="127"/>
        <v>13.623304021646733</v>
      </c>
    </row>
    <row r="2005" spans="2:27" x14ac:dyDescent="0.2">
      <c r="B2005" s="4" t="s">
        <v>2785</v>
      </c>
      <c r="C2005" s="4">
        <v>14.330299999999999</v>
      </c>
      <c r="D2005" s="4">
        <v>13.875</v>
      </c>
      <c r="E2005" s="4">
        <v>13.825699999999999</v>
      </c>
      <c r="F2005" s="4">
        <f t="shared" si="124"/>
        <v>14.010333333333334</v>
      </c>
      <c r="I2005" s="4" t="s">
        <v>1192</v>
      </c>
      <c r="J2005" s="4">
        <v>14.1669</v>
      </c>
      <c r="K2005" s="4">
        <v>13.962199999999999</v>
      </c>
      <c r="L2005" s="4">
        <v>13.7814</v>
      </c>
      <c r="M2005" s="4">
        <f t="shared" si="125"/>
        <v>13.970166666666666</v>
      </c>
      <c r="P2005" s="4" t="str">
        <f>"eif-2d"</f>
        <v>eif-2d</v>
      </c>
      <c r="Q2005" s="4">
        <v>13.615945386221201</v>
      </c>
      <c r="R2005" s="4">
        <v>13.6146956145516</v>
      </c>
      <c r="S2005" s="4">
        <v>13.4170248061476</v>
      </c>
      <c r="T2005" s="4">
        <f t="shared" si="126"/>
        <v>13.549221935640134</v>
      </c>
      <c r="W2005" s="4" t="str">
        <f>"F43H9.3"</f>
        <v>F43H9.3</v>
      </c>
      <c r="X2005" s="4">
        <v>13.407501914050499</v>
      </c>
      <c r="Y2005" s="4">
        <v>13.624214353308901</v>
      </c>
      <c r="Z2005" s="4">
        <v>13.836420052132899</v>
      </c>
      <c r="AA2005" s="4">
        <f t="shared" si="127"/>
        <v>13.622712106497433</v>
      </c>
    </row>
    <row r="2006" spans="2:27" x14ac:dyDescent="0.2">
      <c r="B2006" s="4" t="s">
        <v>413</v>
      </c>
      <c r="C2006" s="4">
        <v>13.8047</v>
      </c>
      <c r="D2006" s="4">
        <v>14.034700000000001</v>
      </c>
      <c r="E2006" s="4">
        <v>14.1914</v>
      </c>
      <c r="F2006" s="4">
        <f t="shared" si="124"/>
        <v>14.010266666666666</v>
      </c>
      <c r="I2006" s="4" t="s">
        <v>4740</v>
      </c>
      <c r="J2006" s="4">
        <v>14.5161</v>
      </c>
      <c r="K2006" s="4">
        <v>13.761100000000001</v>
      </c>
      <c r="L2006" s="4">
        <v>13.6214</v>
      </c>
      <c r="M2006" s="4">
        <f t="shared" si="125"/>
        <v>13.966200000000001</v>
      </c>
      <c r="P2006" s="4" t="str">
        <f>"pas-4"</f>
        <v>pas-4</v>
      </c>
      <c r="Q2006" s="4">
        <v>13.398564969730501</v>
      </c>
      <c r="R2006" s="4">
        <v>13.538129802453501</v>
      </c>
      <c r="S2006" s="4">
        <v>13.7049319273824</v>
      </c>
      <c r="T2006" s="4">
        <f t="shared" si="126"/>
        <v>13.547208899855468</v>
      </c>
      <c r="W2006" s="4" t="str">
        <f>"T22F3.2"</f>
        <v>T22F3.2</v>
      </c>
      <c r="X2006" s="4">
        <v>13.674869538291601</v>
      </c>
      <c r="Y2006" s="4">
        <v>13.6686316741973</v>
      </c>
      <c r="Z2006" s="4">
        <v>13.514891556658601</v>
      </c>
      <c r="AA2006" s="4">
        <f t="shared" si="127"/>
        <v>13.6194642563825</v>
      </c>
    </row>
    <row r="2007" spans="2:27" x14ac:dyDescent="0.2">
      <c r="B2007" s="4" t="s">
        <v>1761</v>
      </c>
      <c r="C2007" s="4">
        <v>14.089399999999999</v>
      </c>
      <c r="D2007" s="4">
        <v>14.118600000000001</v>
      </c>
      <c r="E2007" s="4">
        <v>13.8162</v>
      </c>
      <c r="F2007" s="4">
        <f t="shared" si="124"/>
        <v>14.008066666666666</v>
      </c>
      <c r="I2007" s="4" t="s">
        <v>1648</v>
      </c>
      <c r="J2007" s="4">
        <v>13.992900000000001</v>
      </c>
      <c r="K2007" s="4">
        <v>14.1365</v>
      </c>
      <c r="L2007" s="4">
        <v>13.767300000000001</v>
      </c>
      <c r="M2007" s="4">
        <f t="shared" si="125"/>
        <v>13.965566666666668</v>
      </c>
      <c r="P2007" s="4" t="str">
        <f>"mpz-1"</f>
        <v>mpz-1</v>
      </c>
      <c r="Q2007" s="4">
        <v>13.5672055099839</v>
      </c>
      <c r="R2007" s="4">
        <v>13.4552457862944</v>
      </c>
      <c r="S2007" s="4">
        <v>13.617437952569301</v>
      </c>
      <c r="T2007" s="4">
        <f t="shared" si="126"/>
        <v>13.546629749615866</v>
      </c>
      <c r="W2007" s="4" t="str">
        <f>"Y48A6B.9"</f>
        <v>Y48A6B.9</v>
      </c>
      <c r="X2007" s="4">
        <v>13.143546942997601</v>
      </c>
      <c r="Y2007" s="4">
        <v>14.0142808943774</v>
      </c>
      <c r="Z2007" s="4">
        <v>13.6990321815427</v>
      </c>
      <c r="AA2007" s="4">
        <f t="shared" si="127"/>
        <v>13.618953339639233</v>
      </c>
    </row>
    <row r="2008" spans="2:27" x14ac:dyDescent="0.2">
      <c r="B2008" s="4" t="s">
        <v>271</v>
      </c>
      <c r="C2008" s="4">
        <v>14.0611</v>
      </c>
      <c r="D2008" s="4">
        <v>14.0014</v>
      </c>
      <c r="E2008" s="4">
        <v>13.9549</v>
      </c>
      <c r="F2008" s="4">
        <f t="shared" si="124"/>
        <v>14.005800000000001</v>
      </c>
      <c r="I2008" s="4" t="s">
        <v>3453</v>
      </c>
      <c r="J2008" s="4">
        <v>13.9649</v>
      </c>
      <c r="K2008" s="4">
        <v>14.0776</v>
      </c>
      <c r="L2008" s="4">
        <v>13.853199999999999</v>
      </c>
      <c r="M2008" s="4">
        <f t="shared" si="125"/>
        <v>13.965233333333332</v>
      </c>
      <c r="P2008" s="4" t="str">
        <f>"lin-13"</f>
        <v>lin-13</v>
      </c>
      <c r="Q2008" s="4">
        <v>13.499568703648601</v>
      </c>
      <c r="R2008" s="4">
        <v>13.516874584052299</v>
      </c>
      <c r="S2008" s="4">
        <v>13.6101276242723</v>
      </c>
      <c r="T2008" s="4">
        <f t="shared" si="126"/>
        <v>13.542190303991068</v>
      </c>
      <c r="W2008" s="4" t="str">
        <f>"ZK550.6"</f>
        <v>ZK550.6</v>
      </c>
      <c r="X2008" s="4">
        <v>13.689320241661999</v>
      </c>
      <c r="Y2008" s="4">
        <v>13.301775617632</v>
      </c>
      <c r="Z2008" s="4">
        <v>13.8600326230774</v>
      </c>
      <c r="AA2008" s="4">
        <f t="shared" si="127"/>
        <v>13.617042827457134</v>
      </c>
    </row>
    <row r="2009" spans="2:27" x14ac:dyDescent="0.2">
      <c r="B2009" s="4" t="s">
        <v>4741</v>
      </c>
      <c r="C2009" s="4">
        <v>14.1762</v>
      </c>
      <c r="D2009" s="4">
        <v>13.8377</v>
      </c>
      <c r="E2009" s="4">
        <v>14.000299999999999</v>
      </c>
      <c r="F2009" s="4">
        <f t="shared" si="124"/>
        <v>14.004733333333334</v>
      </c>
      <c r="I2009" s="4" t="s">
        <v>2411</v>
      </c>
      <c r="J2009" s="4">
        <v>13.5167</v>
      </c>
      <c r="K2009" s="4">
        <v>14.013500000000001</v>
      </c>
      <c r="L2009" s="4">
        <v>14.3651</v>
      </c>
      <c r="M2009" s="4">
        <f t="shared" si="125"/>
        <v>13.9651</v>
      </c>
      <c r="P2009" s="4" t="str">
        <f>"edc-3"</f>
        <v>edc-3</v>
      </c>
      <c r="Q2009" s="4">
        <v>13.609307372368599</v>
      </c>
      <c r="R2009" s="4">
        <v>13.3961289788286</v>
      </c>
      <c r="S2009" s="4">
        <v>13.6168998929998</v>
      </c>
      <c r="T2009" s="4">
        <f t="shared" si="126"/>
        <v>13.540778748065668</v>
      </c>
      <c r="W2009" s="4" t="str">
        <f>"ced-12"</f>
        <v>ced-12</v>
      </c>
      <c r="X2009" s="4">
        <v>13.890889300979699</v>
      </c>
      <c r="Y2009" s="4">
        <v>13.6113292568646</v>
      </c>
      <c r="Z2009" s="4">
        <v>13.343303770168299</v>
      </c>
      <c r="AA2009" s="4">
        <f t="shared" si="127"/>
        <v>13.615174109337532</v>
      </c>
    </row>
    <row r="2010" spans="2:27" x14ac:dyDescent="0.2">
      <c r="B2010" s="4" t="s">
        <v>3622</v>
      </c>
      <c r="C2010" s="4">
        <v>14.119899999999999</v>
      </c>
      <c r="D2010" s="4">
        <v>13.8561</v>
      </c>
      <c r="E2010" s="4">
        <v>14.0359</v>
      </c>
      <c r="F2010" s="4">
        <f t="shared" si="124"/>
        <v>14.003966666666665</v>
      </c>
      <c r="I2010" s="4" t="s">
        <v>1049</v>
      </c>
      <c r="J2010" s="4">
        <v>14.1221</v>
      </c>
      <c r="K2010" s="4">
        <v>13.9048</v>
      </c>
      <c r="L2010" s="4">
        <v>13.8543</v>
      </c>
      <c r="M2010" s="4">
        <f t="shared" si="125"/>
        <v>13.9604</v>
      </c>
      <c r="P2010" s="4" t="str">
        <f>"F52B5.2"</f>
        <v>F52B5.2</v>
      </c>
      <c r="Q2010" s="4">
        <v>13.1880644113391</v>
      </c>
      <c r="R2010" s="4">
        <v>13.612681168589299</v>
      </c>
      <c r="S2010" s="4">
        <v>13.8164973739738</v>
      </c>
      <c r="T2010" s="4">
        <f t="shared" si="126"/>
        <v>13.539080984634067</v>
      </c>
      <c r="W2010" s="4" t="str">
        <f>"Y38F1A.1"</f>
        <v>Y38F1A.1</v>
      </c>
      <c r="X2010" s="4">
        <v>13.298707536984899</v>
      </c>
      <c r="Y2010" s="4">
        <v>13.461235168170001</v>
      </c>
      <c r="Z2010" s="4">
        <v>14.0855059739285</v>
      </c>
      <c r="AA2010" s="4">
        <f t="shared" si="127"/>
        <v>13.615149559694466</v>
      </c>
    </row>
    <row r="2011" spans="2:27" x14ac:dyDescent="0.2">
      <c r="B2011" s="4" t="s">
        <v>935</v>
      </c>
      <c r="C2011" s="4">
        <v>14.0372</v>
      </c>
      <c r="D2011" s="4">
        <v>13.909000000000001</v>
      </c>
      <c r="E2011" s="4">
        <v>14.0639</v>
      </c>
      <c r="F2011" s="4">
        <f t="shared" si="124"/>
        <v>14.003366666666667</v>
      </c>
      <c r="I2011" s="4" t="s">
        <v>588</v>
      </c>
      <c r="J2011" s="4">
        <v>13.917199999999999</v>
      </c>
      <c r="K2011" s="4">
        <v>13.8621</v>
      </c>
      <c r="L2011" s="4">
        <v>14.101800000000001</v>
      </c>
      <c r="M2011" s="4">
        <f t="shared" si="125"/>
        <v>13.960366666666667</v>
      </c>
      <c r="P2011" s="4" t="str">
        <f>"M04C9.3"</f>
        <v>M04C9.3</v>
      </c>
      <c r="Q2011" s="4">
        <v>14.089473704742399</v>
      </c>
      <c r="R2011" s="4">
        <v>13.548887509007599</v>
      </c>
      <c r="S2011" s="4">
        <v>12.975591579417801</v>
      </c>
      <c r="T2011" s="4">
        <f t="shared" si="126"/>
        <v>13.537984264389266</v>
      </c>
      <c r="W2011" s="4" t="str">
        <f>"kbrl-1"</f>
        <v>kbrl-1</v>
      </c>
      <c r="X2011" s="4">
        <v>14.0302753551839</v>
      </c>
      <c r="Y2011" s="4">
        <v>13.3513076955738</v>
      </c>
      <c r="Z2011" s="4">
        <v>13.4558842840524</v>
      </c>
      <c r="AA2011" s="4">
        <f t="shared" si="127"/>
        <v>13.612489111603367</v>
      </c>
    </row>
    <row r="2012" spans="2:27" x14ac:dyDescent="0.2">
      <c r="B2012" s="4" t="s">
        <v>2382</v>
      </c>
      <c r="C2012" s="4">
        <v>13.8287</v>
      </c>
      <c r="D2012" s="4">
        <v>14.1656</v>
      </c>
      <c r="E2012" s="4">
        <v>14.011699999999999</v>
      </c>
      <c r="F2012" s="4">
        <f t="shared" si="124"/>
        <v>14.002000000000001</v>
      </c>
      <c r="I2012" s="4" t="s">
        <v>543</v>
      </c>
      <c r="J2012" s="4">
        <v>14.142200000000001</v>
      </c>
      <c r="K2012" s="4">
        <v>13.9246</v>
      </c>
      <c r="L2012" s="4">
        <v>13.814</v>
      </c>
      <c r="M2012" s="4">
        <f t="shared" si="125"/>
        <v>13.960266666666667</v>
      </c>
      <c r="P2012" s="4" t="str">
        <f>"tpa-1"</f>
        <v>tpa-1</v>
      </c>
      <c r="Q2012" s="4">
        <v>13.501053316367701</v>
      </c>
      <c r="R2012" s="4">
        <v>13.6459300400451</v>
      </c>
      <c r="S2012" s="4">
        <v>13.4667923929967</v>
      </c>
      <c r="T2012" s="4">
        <f t="shared" si="126"/>
        <v>13.537925249803166</v>
      </c>
      <c r="W2012" s="4" t="str">
        <f>"glna-1"</f>
        <v>glna-1</v>
      </c>
      <c r="X2012" s="4">
        <v>13.9531697956937</v>
      </c>
      <c r="Y2012" s="4">
        <v>13.3444902270633</v>
      </c>
      <c r="Z2012" s="4">
        <v>13.5374498196994</v>
      </c>
      <c r="AA2012" s="4">
        <f t="shared" si="127"/>
        <v>13.611703280818801</v>
      </c>
    </row>
    <row r="2013" spans="2:27" x14ac:dyDescent="0.2">
      <c r="B2013" s="4" t="s">
        <v>4571</v>
      </c>
      <c r="C2013" s="4">
        <v>13.731400000000001</v>
      </c>
      <c r="D2013" s="4">
        <v>14.390599999999999</v>
      </c>
      <c r="E2013" s="4">
        <v>13.882300000000001</v>
      </c>
      <c r="F2013" s="4">
        <f t="shared" si="124"/>
        <v>14.001433333333333</v>
      </c>
      <c r="I2013" s="4" t="s">
        <v>4742</v>
      </c>
      <c r="J2013" s="4">
        <v>13.721299999999999</v>
      </c>
      <c r="K2013" s="4">
        <v>14.236000000000001</v>
      </c>
      <c r="L2013" s="4">
        <v>13.919600000000001</v>
      </c>
      <c r="M2013" s="4">
        <f t="shared" si="125"/>
        <v>13.958966666666667</v>
      </c>
      <c r="P2013" s="4" t="str">
        <f>"ctg-2"</f>
        <v>ctg-2</v>
      </c>
      <c r="Q2013" s="4">
        <v>13.6106547205273</v>
      </c>
      <c r="R2013" s="4">
        <v>13.719108415975001</v>
      </c>
      <c r="S2013" s="4">
        <v>13.282143962074</v>
      </c>
      <c r="T2013" s="4">
        <f t="shared" si="126"/>
        <v>13.537302366192101</v>
      </c>
      <c r="W2013" s="4" t="str">
        <f>"glrx-3"</f>
        <v>glrx-3</v>
      </c>
      <c r="X2013" s="4">
        <v>13.6807707179722</v>
      </c>
      <c r="Y2013" s="4">
        <v>13.415901568503701</v>
      </c>
      <c r="Z2013" s="4">
        <v>13.737811418479</v>
      </c>
      <c r="AA2013" s="4">
        <f t="shared" si="127"/>
        <v>13.6114945683183</v>
      </c>
    </row>
    <row r="2014" spans="2:27" x14ac:dyDescent="0.2">
      <c r="B2014" s="4" t="s">
        <v>4743</v>
      </c>
      <c r="C2014" s="4">
        <v>14.2529</v>
      </c>
      <c r="D2014" s="4">
        <v>13.6074</v>
      </c>
      <c r="E2014" s="4">
        <v>14.143599999999999</v>
      </c>
      <c r="F2014" s="4">
        <f t="shared" si="124"/>
        <v>14.001300000000001</v>
      </c>
      <c r="I2014" s="4" t="s">
        <v>4744</v>
      </c>
      <c r="J2014" s="4">
        <v>13.8626</v>
      </c>
      <c r="K2014" s="4">
        <v>14.1083</v>
      </c>
      <c r="L2014" s="4">
        <v>13.9033</v>
      </c>
      <c r="M2014" s="4">
        <f t="shared" si="125"/>
        <v>13.958066666666667</v>
      </c>
      <c r="P2014" s="4" t="str">
        <f>"sfxn-2"</f>
        <v>sfxn-2</v>
      </c>
      <c r="Q2014" s="4">
        <v>13.4087780425668</v>
      </c>
      <c r="R2014" s="4">
        <v>13.678319408546299</v>
      </c>
      <c r="S2014" s="4">
        <v>13.523286039800601</v>
      </c>
      <c r="T2014" s="4">
        <f t="shared" si="126"/>
        <v>13.536794496971233</v>
      </c>
      <c r="W2014" s="4" t="str">
        <f>"ddx-15"</f>
        <v>ddx-15</v>
      </c>
      <c r="X2014" s="4">
        <v>13.5812116751078</v>
      </c>
      <c r="Y2014" s="4">
        <v>13.6639275854227</v>
      </c>
      <c r="Z2014" s="4">
        <v>13.5861892590491</v>
      </c>
      <c r="AA2014" s="4">
        <f t="shared" si="127"/>
        <v>13.610442839859866</v>
      </c>
    </row>
    <row r="2015" spans="2:27" x14ac:dyDescent="0.2">
      <c r="B2015" s="4" t="s">
        <v>3415</v>
      </c>
      <c r="C2015" s="4">
        <v>14.166</v>
      </c>
      <c r="D2015" s="4">
        <v>14.0717</v>
      </c>
      <c r="E2015" s="4">
        <v>13.7659</v>
      </c>
      <c r="F2015" s="4">
        <f t="shared" si="124"/>
        <v>14.001199999999999</v>
      </c>
      <c r="I2015" s="4" t="s">
        <v>4566</v>
      </c>
      <c r="J2015" s="4">
        <v>13.6472</v>
      </c>
      <c r="K2015" s="4">
        <v>14.1434</v>
      </c>
      <c r="L2015" s="4">
        <v>14.0806</v>
      </c>
      <c r="M2015" s="4">
        <f t="shared" si="125"/>
        <v>13.957066666666668</v>
      </c>
      <c r="P2015" s="4" t="str">
        <f>"pqn-15"</f>
        <v>pqn-15</v>
      </c>
      <c r="Q2015" s="4">
        <v>12.833212446218401</v>
      </c>
      <c r="R2015" s="4">
        <v>14.7942440356061</v>
      </c>
      <c r="S2015" s="4">
        <v>12.979348166878699</v>
      </c>
      <c r="T2015" s="4">
        <f t="shared" si="126"/>
        <v>13.535601549567735</v>
      </c>
      <c r="W2015" s="4" t="str">
        <f>"ttr-17"</f>
        <v>ttr-17</v>
      </c>
      <c r="X2015" s="4">
        <v>13.2773565095645</v>
      </c>
      <c r="Y2015" s="4">
        <v>13.847206604130401</v>
      </c>
      <c r="Z2015" s="4">
        <v>13.705496248405799</v>
      </c>
      <c r="AA2015" s="4">
        <f t="shared" si="127"/>
        <v>13.6100197873669</v>
      </c>
    </row>
    <row r="2016" spans="2:27" x14ac:dyDescent="0.2">
      <c r="B2016" s="4" t="s">
        <v>274</v>
      </c>
      <c r="C2016" s="4">
        <v>13.8513</v>
      </c>
      <c r="D2016" s="4">
        <v>13.6395</v>
      </c>
      <c r="E2016" s="4">
        <v>14.512600000000001</v>
      </c>
      <c r="F2016" s="4">
        <f t="shared" si="124"/>
        <v>14.001133333333334</v>
      </c>
      <c r="I2016" s="4" t="s">
        <v>1477</v>
      </c>
      <c r="J2016" s="4">
        <v>14.4549</v>
      </c>
      <c r="K2016" s="4">
        <v>13.9359</v>
      </c>
      <c r="L2016" s="4">
        <v>13.4803</v>
      </c>
      <c r="M2016" s="4">
        <f t="shared" si="125"/>
        <v>13.957033333333333</v>
      </c>
      <c r="P2016" s="4" t="str">
        <f>"mtm-1"</f>
        <v>mtm-1</v>
      </c>
      <c r="Q2016" s="4">
        <v>13.6412278695633</v>
      </c>
      <c r="R2016" s="4">
        <v>13.400120568972801</v>
      </c>
      <c r="S2016" s="4">
        <v>13.5638089262939</v>
      </c>
      <c r="T2016" s="4">
        <f t="shared" si="126"/>
        <v>13.535052454943333</v>
      </c>
      <c r="W2016" s="4" t="str">
        <f>"aly-1"</f>
        <v>aly-1</v>
      </c>
      <c r="X2016" s="4">
        <v>13.4919754247166</v>
      </c>
      <c r="Y2016" s="4">
        <v>13.5116052908066</v>
      </c>
      <c r="Z2016" s="4">
        <v>13.8224821029078</v>
      </c>
      <c r="AA2016" s="4">
        <f t="shared" si="127"/>
        <v>13.608687606143667</v>
      </c>
    </row>
    <row r="2017" spans="2:27" x14ac:dyDescent="0.2">
      <c r="B2017" s="4" t="s">
        <v>4584</v>
      </c>
      <c r="C2017" s="4">
        <v>14.3429</v>
      </c>
      <c r="D2017" s="4">
        <v>13.4749</v>
      </c>
      <c r="E2017" s="4">
        <v>14.180300000000001</v>
      </c>
      <c r="F2017" s="4">
        <f t="shared" si="124"/>
        <v>13.999366666666667</v>
      </c>
      <c r="I2017" s="4" t="s">
        <v>4745</v>
      </c>
      <c r="J2017" s="4">
        <v>14.196099999999999</v>
      </c>
      <c r="K2017" s="4">
        <v>13.6426</v>
      </c>
      <c r="L2017" s="4">
        <v>14.026</v>
      </c>
      <c r="M2017" s="4">
        <f t="shared" si="125"/>
        <v>13.9549</v>
      </c>
      <c r="P2017" s="4" t="str">
        <f>"rict-1"</f>
        <v>rict-1</v>
      </c>
      <c r="Q2017" s="4">
        <v>13.4446068036496</v>
      </c>
      <c r="R2017" s="4">
        <v>13.5770211464467</v>
      </c>
      <c r="S2017" s="4">
        <v>13.5808948065837</v>
      </c>
      <c r="T2017" s="4">
        <f t="shared" si="126"/>
        <v>13.534174252226668</v>
      </c>
      <c r="W2017" s="4" t="str">
        <f>"sel-5"</f>
        <v>sel-5</v>
      </c>
      <c r="X2017" s="4">
        <v>13.6824840592763</v>
      </c>
      <c r="Y2017" s="4">
        <v>13.729520495834601</v>
      </c>
      <c r="Z2017" s="4">
        <v>13.403361694715</v>
      </c>
      <c r="AA2017" s="4">
        <f t="shared" si="127"/>
        <v>13.605122083275299</v>
      </c>
    </row>
    <row r="2018" spans="2:27" x14ac:dyDescent="0.2">
      <c r="B2018" s="4" t="s">
        <v>4196</v>
      </c>
      <c r="C2018" s="4">
        <v>13.9564</v>
      </c>
      <c r="D2018" s="4">
        <v>13.794</v>
      </c>
      <c r="E2018" s="4">
        <v>14.238799999999999</v>
      </c>
      <c r="F2018" s="4">
        <f t="shared" si="124"/>
        <v>13.9964</v>
      </c>
      <c r="I2018" s="4" t="s">
        <v>3996</v>
      </c>
      <c r="J2018" s="4">
        <v>13.8675</v>
      </c>
      <c r="K2018" s="4">
        <v>13.9154</v>
      </c>
      <c r="L2018" s="4">
        <v>14.0787</v>
      </c>
      <c r="M2018" s="4">
        <f t="shared" si="125"/>
        <v>13.953866666666665</v>
      </c>
      <c r="P2018" s="4" t="str">
        <f>"tftc-3"</f>
        <v>tftc-3</v>
      </c>
      <c r="Q2018" s="4">
        <v>13.684878890539601</v>
      </c>
      <c r="R2018" s="4">
        <v>13.5676714745419</v>
      </c>
      <c r="S2018" s="4">
        <v>13.3485161048216</v>
      </c>
      <c r="T2018" s="4">
        <f t="shared" si="126"/>
        <v>13.533688823301034</v>
      </c>
      <c r="W2018" s="4" t="str">
        <f>"mppa-1"</f>
        <v>mppa-1</v>
      </c>
      <c r="X2018" s="4">
        <v>13.244633578104301</v>
      </c>
      <c r="Y2018" s="4">
        <v>13.484650763476299</v>
      </c>
      <c r="Z2018" s="4">
        <v>14.0848253696063</v>
      </c>
      <c r="AA2018" s="4">
        <f t="shared" si="127"/>
        <v>13.604703237062301</v>
      </c>
    </row>
    <row r="2019" spans="2:27" x14ac:dyDescent="0.2">
      <c r="B2019" s="4" t="s">
        <v>564</v>
      </c>
      <c r="C2019" s="4">
        <v>13.926399999999999</v>
      </c>
      <c r="D2019" s="4">
        <v>14.209199999999999</v>
      </c>
      <c r="E2019" s="4">
        <v>13.842000000000001</v>
      </c>
      <c r="F2019" s="4">
        <f t="shared" si="124"/>
        <v>13.992533333333332</v>
      </c>
      <c r="I2019" s="4" t="s">
        <v>3068</v>
      </c>
      <c r="J2019" s="4">
        <v>13.924799999999999</v>
      </c>
      <c r="K2019" s="4">
        <v>13.9177</v>
      </c>
      <c r="L2019" s="4">
        <v>14.0177</v>
      </c>
      <c r="M2019" s="4">
        <f t="shared" si="125"/>
        <v>13.9534</v>
      </c>
      <c r="P2019" s="4" t="str">
        <f>"rab-6.1"</f>
        <v>rab-6.1</v>
      </c>
      <c r="Q2019" s="4">
        <v>13.965473131957699</v>
      </c>
      <c r="R2019" s="4">
        <v>13.2076983581735</v>
      </c>
      <c r="S2019" s="4">
        <v>13.4220618883811</v>
      </c>
      <c r="T2019" s="4">
        <f t="shared" si="126"/>
        <v>13.531744459504099</v>
      </c>
      <c r="W2019" s="4" t="str">
        <f>"C01G10.9"</f>
        <v>C01G10.9</v>
      </c>
      <c r="X2019" s="4">
        <v>13.933133913435601</v>
      </c>
      <c r="Y2019" s="4">
        <v>13.7585189401472</v>
      </c>
      <c r="Z2019" s="4">
        <v>13.113098065783401</v>
      </c>
      <c r="AA2019" s="4">
        <f t="shared" si="127"/>
        <v>13.601583639788734</v>
      </c>
    </row>
    <row r="2020" spans="2:27" x14ac:dyDescent="0.2">
      <c r="B2020" s="4" t="s">
        <v>2401</v>
      </c>
      <c r="C2020" s="4">
        <v>13.881</v>
      </c>
      <c r="D2020" s="4">
        <v>13.876200000000001</v>
      </c>
      <c r="E2020" s="4">
        <v>14.2201</v>
      </c>
      <c r="F2020" s="4">
        <f t="shared" si="124"/>
        <v>13.992433333333333</v>
      </c>
      <c r="I2020" s="4" t="s">
        <v>2641</v>
      </c>
      <c r="J2020" s="4">
        <v>13.912599999999999</v>
      </c>
      <c r="K2020" s="4">
        <v>13.9963</v>
      </c>
      <c r="L2020" s="4">
        <v>13.9498</v>
      </c>
      <c r="M2020" s="4">
        <f t="shared" si="125"/>
        <v>13.9529</v>
      </c>
      <c r="P2020" s="4" t="str">
        <f>"dohh-1"</f>
        <v>dohh-1</v>
      </c>
      <c r="Q2020" s="4">
        <v>13.8571487722838</v>
      </c>
      <c r="R2020" s="4">
        <v>13.3258503081546</v>
      </c>
      <c r="S2020" s="4">
        <v>13.4095534799039</v>
      </c>
      <c r="T2020" s="4">
        <f t="shared" si="126"/>
        <v>13.530850853447433</v>
      </c>
      <c r="W2020" s="4" t="str">
        <f>"tiar-1"</f>
        <v>tiar-1</v>
      </c>
      <c r="X2020" s="4">
        <v>13.4701105322514</v>
      </c>
      <c r="Y2020" s="4">
        <v>13.621007629963399</v>
      </c>
      <c r="Z2020" s="4">
        <v>13.7123683303035</v>
      </c>
      <c r="AA2020" s="4">
        <f t="shared" si="127"/>
        <v>13.601162164172765</v>
      </c>
    </row>
    <row r="2021" spans="2:27" x14ac:dyDescent="0.2">
      <c r="B2021" s="4" t="s">
        <v>739</v>
      </c>
      <c r="C2021" s="4">
        <v>13.4521</v>
      </c>
      <c r="D2021" s="4">
        <v>14.647</v>
      </c>
      <c r="E2021" s="4">
        <v>13.877800000000001</v>
      </c>
      <c r="F2021" s="4">
        <f t="shared" si="124"/>
        <v>13.9923</v>
      </c>
      <c r="I2021" s="4" t="s">
        <v>3528</v>
      </c>
      <c r="J2021" s="4">
        <v>14.3385</v>
      </c>
      <c r="K2021" s="4">
        <v>13.6943</v>
      </c>
      <c r="L2021" s="4">
        <v>13.8216</v>
      </c>
      <c r="M2021" s="4">
        <f t="shared" si="125"/>
        <v>13.951466666666667</v>
      </c>
      <c r="P2021" s="4" t="str">
        <f>"F45G2.9"</f>
        <v>F45G2.9</v>
      </c>
      <c r="Q2021" s="4">
        <v>13.8382422506595</v>
      </c>
      <c r="R2021" s="4">
        <v>13.7250064046865</v>
      </c>
      <c r="S2021" s="4">
        <v>13.025100938621399</v>
      </c>
      <c r="T2021" s="4">
        <f t="shared" si="126"/>
        <v>13.529449864655801</v>
      </c>
      <c r="W2021" s="4" t="str">
        <f>"pak-1"</f>
        <v>pak-1</v>
      </c>
      <c r="X2021" s="4">
        <v>13.706205610725499</v>
      </c>
      <c r="Y2021" s="4">
        <v>13.612532482390501</v>
      </c>
      <c r="Z2021" s="4">
        <v>13.483184614085401</v>
      </c>
      <c r="AA2021" s="4">
        <f t="shared" si="127"/>
        <v>13.600640902400466</v>
      </c>
    </row>
    <row r="2022" spans="2:27" x14ac:dyDescent="0.2">
      <c r="B2022" s="4" t="s">
        <v>3481</v>
      </c>
      <c r="C2022" s="4">
        <v>14.414899999999999</v>
      </c>
      <c r="D2022" s="4">
        <v>13.5656</v>
      </c>
      <c r="E2022" s="4">
        <v>13.994899999999999</v>
      </c>
      <c r="F2022" s="4">
        <f t="shared" si="124"/>
        <v>13.9918</v>
      </c>
      <c r="I2022" s="4" t="s">
        <v>2072</v>
      </c>
      <c r="J2022" s="4">
        <v>14.0776</v>
      </c>
      <c r="K2022" s="4">
        <v>13.8215</v>
      </c>
      <c r="L2022" s="4">
        <v>13.954000000000001</v>
      </c>
      <c r="M2022" s="4">
        <f t="shared" si="125"/>
        <v>13.951033333333333</v>
      </c>
      <c r="P2022" s="4" t="str">
        <f>"dnj-11"</f>
        <v>dnj-11</v>
      </c>
      <c r="Q2022" s="4">
        <v>13.9147323739653</v>
      </c>
      <c r="R2022" s="4">
        <v>13.3086832461924</v>
      </c>
      <c r="S2022" s="4">
        <v>13.357704536696501</v>
      </c>
      <c r="T2022" s="4">
        <f t="shared" si="126"/>
        <v>13.527040052284734</v>
      </c>
      <c r="W2022" s="4" t="str">
        <f>"ttr-6"</f>
        <v>ttr-6</v>
      </c>
      <c r="X2022" s="4">
        <v>13.522509856599701</v>
      </c>
      <c r="Y2022" s="4">
        <v>13.3867324221617</v>
      </c>
      <c r="Z2022" s="4">
        <v>13.887921177966801</v>
      </c>
      <c r="AA2022" s="4">
        <f t="shared" si="127"/>
        <v>13.599054485576067</v>
      </c>
    </row>
    <row r="2023" spans="2:27" x14ac:dyDescent="0.2">
      <c r="B2023" s="4" t="s">
        <v>714</v>
      </c>
      <c r="C2023" s="4">
        <v>13.8179</v>
      </c>
      <c r="D2023" s="4">
        <v>14.3028</v>
      </c>
      <c r="E2023" s="4">
        <v>13.8514</v>
      </c>
      <c r="F2023" s="4">
        <f t="shared" si="124"/>
        <v>13.990699999999999</v>
      </c>
      <c r="I2023" s="4" t="s">
        <v>2294</v>
      </c>
      <c r="J2023" s="4">
        <v>14.1991</v>
      </c>
      <c r="K2023" s="4">
        <v>13.651999999999999</v>
      </c>
      <c r="L2023" s="4">
        <v>13.992100000000001</v>
      </c>
      <c r="M2023" s="4">
        <f t="shared" si="125"/>
        <v>13.947733333333332</v>
      </c>
      <c r="P2023" s="4" t="str">
        <f>"slc-25a18.2"</f>
        <v>slc-25a18.2</v>
      </c>
      <c r="Q2023" s="4">
        <v>13.309289161026401</v>
      </c>
      <c r="R2023" s="4">
        <v>13.650549055714601</v>
      </c>
      <c r="S2023" s="4">
        <v>13.6166188265546</v>
      </c>
      <c r="T2023" s="4">
        <f t="shared" si="126"/>
        <v>13.525485681098536</v>
      </c>
      <c r="W2023" s="4" t="str">
        <f>"rsp-6"</f>
        <v>rsp-6</v>
      </c>
      <c r="X2023" s="4">
        <v>13.7953302488738</v>
      </c>
      <c r="Y2023" s="4">
        <v>13.4681839328385</v>
      </c>
      <c r="Z2023" s="4">
        <v>13.5307007176573</v>
      </c>
      <c r="AA2023" s="4">
        <f t="shared" si="127"/>
        <v>13.598071633123199</v>
      </c>
    </row>
    <row r="2024" spans="2:27" x14ac:dyDescent="0.2">
      <c r="B2024" s="4" t="s">
        <v>3711</v>
      </c>
      <c r="C2024" s="4">
        <v>14.159000000000001</v>
      </c>
      <c r="D2024" s="4">
        <v>13.8216</v>
      </c>
      <c r="E2024" s="4">
        <v>13.991400000000001</v>
      </c>
      <c r="F2024" s="4">
        <f t="shared" si="124"/>
        <v>13.990666666666668</v>
      </c>
      <c r="I2024" s="4" t="s">
        <v>1170</v>
      </c>
      <c r="J2024" s="4">
        <v>13.698700000000001</v>
      </c>
      <c r="K2024" s="4">
        <v>14.3017</v>
      </c>
      <c r="L2024" s="4">
        <v>13.84</v>
      </c>
      <c r="M2024" s="4">
        <f t="shared" si="125"/>
        <v>13.946800000000001</v>
      </c>
      <c r="P2024" s="4" t="str">
        <f>"eif-3.E"</f>
        <v>eif-3.E</v>
      </c>
      <c r="Q2024" s="4">
        <v>13.1410122494575</v>
      </c>
      <c r="R2024" s="4">
        <v>13.7762010316928</v>
      </c>
      <c r="S2024" s="4">
        <v>13.654262078289801</v>
      </c>
      <c r="T2024" s="4">
        <f t="shared" si="126"/>
        <v>13.523825119813367</v>
      </c>
      <c r="W2024" s="4" t="str">
        <f>"csk-1"</f>
        <v>csk-1</v>
      </c>
      <c r="X2024" s="4">
        <v>13.964775072838799</v>
      </c>
      <c r="Y2024" s="4">
        <v>13.1850418420251</v>
      </c>
      <c r="Z2024" s="4">
        <v>13.6413153840303</v>
      </c>
      <c r="AA2024" s="4">
        <f t="shared" si="127"/>
        <v>13.597044099631399</v>
      </c>
    </row>
    <row r="2025" spans="2:27" x14ac:dyDescent="0.2">
      <c r="B2025" s="4" t="s">
        <v>1509</v>
      </c>
      <c r="C2025" s="4">
        <v>13.924200000000001</v>
      </c>
      <c r="D2025" s="4">
        <v>13.484299999999999</v>
      </c>
      <c r="E2025" s="4">
        <v>14.5616</v>
      </c>
      <c r="F2025" s="4">
        <f t="shared" si="124"/>
        <v>13.990033333333335</v>
      </c>
      <c r="I2025" s="4" t="s">
        <v>1628</v>
      </c>
      <c r="J2025" s="4">
        <v>13.8948</v>
      </c>
      <c r="K2025" s="4">
        <v>13.772399999999999</v>
      </c>
      <c r="L2025" s="4">
        <v>14.1722</v>
      </c>
      <c r="M2025" s="4">
        <f t="shared" si="125"/>
        <v>13.946466666666666</v>
      </c>
      <c r="P2025" s="4" t="str">
        <f>"Y39A1A.22"</f>
        <v>Y39A1A.22</v>
      </c>
      <c r="Q2025" s="4">
        <v>13.493960094553399</v>
      </c>
      <c r="R2025" s="4">
        <v>13.464272584513299</v>
      </c>
      <c r="S2025" s="4">
        <v>13.612519804382901</v>
      </c>
      <c r="T2025" s="4">
        <f t="shared" si="126"/>
        <v>13.523584161149865</v>
      </c>
      <c r="W2025" s="4" t="str">
        <f>"T05F1.2"</f>
        <v>T05F1.2</v>
      </c>
      <c r="X2025" s="4">
        <v>13.605139734214699</v>
      </c>
      <c r="Y2025" s="4">
        <v>13.6116341121334</v>
      </c>
      <c r="Z2025" s="4">
        <v>13.5724595183534</v>
      </c>
      <c r="AA2025" s="4">
        <f t="shared" si="127"/>
        <v>13.596411121567165</v>
      </c>
    </row>
    <row r="2026" spans="2:27" x14ac:dyDescent="0.2">
      <c r="B2026" s="4" t="s">
        <v>4451</v>
      </c>
      <c r="C2026" s="4">
        <v>14.037599999999999</v>
      </c>
      <c r="D2026" s="4">
        <v>14.2798</v>
      </c>
      <c r="E2026" s="4">
        <v>13.651400000000001</v>
      </c>
      <c r="F2026" s="4">
        <f t="shared" si="124"/>
        <v>13.989600000000001</v>
      </c>
      <c r="I2026" s="4" t="s">
        <v>2199</v>
      </c>
      <c r="J2026" s="4">
        <v>13.7005</v>
      </c>
      <c r="K2026" s="4">
        <v>14.082000000000001</v>
      </c>
      <c r="L2026" s="4">
        <v>14.0549</v>
      </c>
      <c r="M2026" s="4">
        <f t="shared" si="125"/>
        <v>13.9458</v>
      </c>
      <c r="P2026" s="4" t="str">
        <f>"Y62H9A.3"</f>
        <v>Y62H9A.3</v>
      </c>
      <c r="Q2026" s="4">
        <v>12.8804988832318</v>
      </c>
      <c r="R2026" s="4">
        <v>13.7428271779429</v>
      </c>
      <c r="S2026" s="4">
        <v>13.9421559726556</v>
      </c>
      <c r="T2026" s="4">
        <f t="shared" si="126"/>
        <v>13.5218273446101</v>
      </c>
      <c r="W2026" s="4" t="str">
        <f>"ebp-2"</f>
        <v>ebp-2</v>
      </c>
      <c r="X2026" s="4">
        <v>13.5596019546121</v>
      </c>
      <c r="Y2026" s="4">
        <v>13.5941595741706</v>
      </c>
      <c r="Z2026" s="4">
        <v>13.633528868309901</v>
      </c>
      <c r="AA2026" s="4">
        <f t="shared" si="127"/>
        <v>13.595763465697535</v>
      </c>
    </row>
    <row r="2027" spans="2:27" x14ac:dyDescent="0.2">
      <c r="B2027" s="4" t="s">
        <v>3404</v>
      </c>
      <c r="C2027" s="4">
        <v>13.879099999999999</v>
      </c>
      <c r="D2027" s="4">
        <v>14.0792</v>
      </c>
      <c r="E2027" s="4">
        <v>14.010400000000001</v>
      </c>
      <c r="F2027" s="4">
        <f t="shared" si="124"/>
        <v>13.989566666666667</v>
      </c>
      <c r="I2027" s="4" t="s">
        <v>2306</v>
      </c>
      <c r="J2027" s="4">
        <v>14.097799999999999</v>
      </c>
      <c r="K2027" s="4">
        <v>13.7433</v>
      </c>
      <c r="L2027" s="4">
        <v>13.9939</v>
      </c>
      <c r="M2027" s="4">
        <f t="shared" si="125"/>
        <v>13.944999999999999</v>
      </c>
      <c r="P2027" s="4" t="str">
        <f>"sinh-1"</f>
        <v>sinh-1</v>
      </c>
      <c r="Q2027" s="4">
        <v>13.4619378238366</v>
      </c>
      <c r="R2027" s="4">
        <v>13.5529374823221</v>
      </c>
      <c r="S2027" s="4">
        <v>13.5463063549417</v>
      </c>
      <c r="T2027" s="4">
        <f t="shared" si="126"/>
        <v>13.520393887033466</v>
      </c>
      <c r="W2027" s="4" t="str">
        <f>"fat-5"</f>
        <v>fat-5</v>
      </c>
      <c r="X2027" s="4">
        <v>13.751768743215999</v>
      </c>
      <c r="Y2027" s="4">
        <v>13.4989371859046</v>
      </c>
      <c r="Z2027" s="4">
        <v>13.5131998518535</v>
      </c>
      <c r="AA2027" s="4">
        <f t="shared" si="127"/>
        <v>13.587968593658033</v>
      </c>
    </row>
    <row r="2028" spans="2:27" x14ac:dyDescent="0.2">
      <c r="B2028" s="4" t="s">
        <v>3119</v>
      </c>
      <c r="C2028" s="4">
        <v>13.739699999999999</v>
      </c>
      <c r="D2028" s="4">
        <v>14.418900000000001</v>
      </c>
      <c r="E2028" s="4">
        <v>13.791</v>
      </c>
      <c r="F2028" s="4">
        <f t="shared" si="124"/>
        <v>13.983200000000002</v>
      </c>
      <c r="I2028" s="4" t="s">
        <v>1873</v>
      </c>
      <c r="J2028" s="4">
        <v>13.7934</v>
      </c>
      <c r="K2028" s="4">
        <v>14.230499999999999</v>
      </c>
      <c r="L2028" s="4">
        <v>13.804</v>
      </c>
      <c r="M2028" s="4">
        <f t="shared" si="125"/>
        <v>13.942633333333333</v>
      </c>
      <c r="P2028" s="4" t="str">
        <f>"Y34B4A.4"</f>
        <v>Y34B4A.4</v>
      </c>
      <c r="Q2028" s="4">
        <v>13.5698447752719</v>
      </c>
      <c r="R2028" s="4">
        <v>13.3632864155615</v>
      </c>
      <c r="S2028" s="4">
        <v>13.6261868808384</v>
      </c>
      <c r="T2028" s="4">
        <f t="shared" si="126"/>
        <v>13.519772690557266</v>
      </c>
      <c r="W2028" s="4" t="str">
        <f>"tbc-9"</f>
        <v>tbc-9</v>
      </c>
      <c r="X2028" s="4">
        <v>13.700189289711499</v>
      </c>
      <c r="Y2028" s="4">
        <v>13.478322522054601</v>
      </c>
      <c r="Z2028" s="4">
        <v>13.5844121827742</v>
      </c>
      <c r="AA2028" s="4">
        <f t="shared" si="127"/>
        <v>13.587641331513433</v>
      </c>
    </row>
    <row r="2029" spans="2:27" x14ac:dyDescent="0.2">
      <c r="B2029" s="4" t="s">
        <v>2198</v>
      </c>
      <c r="C2029" s="4">
        <v>14.1593</v>
      </c>
      <c r="D2029" s="4">
        <v>13.9177</v>
      </c>
      <c r="E2029" s="4">
        <v>13.8711</v>
      </c>
      <c r="F2029" s="4">
        <f t="shared" si="124"/>
        <v>13.982699999999999</v>
      </c>
      <c r="I2029" s="4" t="s">
        <v>594</v>
      </c>
      <c r="J2029" s="4">
        <v>13.261799999999999</v>
      </c>
      <c r="K2029" s="4">
        <v>14.5375</v>
      </c>
      <c r="L2029" s="4">
        <v>14.027799999999999</v>
      </c>
      <c r="M2029" s="4">
        <f t="shared" si="125"/>
        <v>13.942366666666667</v>
      </c>
      <c r="P2029" s="4" t="str">
        <f>"mrps-28"</f>
        <v>mrps-28</v>
      </c>
      <c r="Q2029" s="4">
        <v>13.9077115798422</v>
      </c>
      <c r="R2029" s="4">
        <v>13.514531900188199</v>
      </c>
      <c r="S2029" s="4">
        <v>13.1355402575099</v>
      </c>
      <c r="T2029" s="4">
        <f t="shared" si="126"/>
        <v>13.519261245846765</v>
      </c>
      <c r="W2029" s="4" t="str">
        <f>"let-526"</f>
        <v>let-526</v>
      </c>
      <c r="X2029" s="4">
        <v>13.6100277622698</v>
      </c>
      <c r="Y2029" s="4">
        <v>13.6754250366784</v>
      </c>
      <c r="Z2029" s="4">
        <v>13.475611372937699</v>
      </c>
      <c r="AA2029" s="4">
        <f t="shared" si="127"/>
        <v>13.587021390628633</v>
      </c>
    </row>
    <row r="2030" spans="2:27" x14ac:dyDescent="0.2">
      <c r="B2030" s="4" t="s">
        <v>210</v>
      </c>
      <c r="C2030" s="4">
        <v>14.4046</v>
      </c>
      <c r="D2030" s="4">
        <v>13.8642</v>
      </c>
      <c r="E2030" s="4">
        <v>13.6775</v>
      </c>
      <c r="F2030" s="4">
        <f t="shared" si="124"/>
        <v>13.982100000000001</v>
      </c>
      <c r="I2030" s="4" t="s">
        <v>204</v>
      </c>
      <c r="J2030" s="4">
        <v>14.0404</v>
      </c>
      <c r="K2030" s="4">
        <v>13.668799999999999</v>
      </c>
      <c r="L2030" s="4">
        <v>14.1173</v>
      </c>
      <c r="M2030" s="4">
        <f t="shared" si="125"/>
        <v>13.942166666666665</v>
      </c>
      <c r="P2030" s="4" t="str">
        <f>"mlcd-1"</f>
        <v>mlcd-1</v>
      </c>
      <c r="Q2030" s="4">
        <v>13.6032493315147</v>
      </c>
      <c r="R2030" s="4">
        <v>13.6646316485947</v>
      </c>
      <c r="S2030" s="4">
        <v>13.288744607585301</v>
      </c>
      <c r="T2030" s="4">
        <f t="shared" si="126"/>
        <v>13.518875195898232</v>
      </c>
      <c r="W2030" s="4" t="str">
        <f>"mrpl-38"</f>
        <v>mrpl-38</v>
      </c>
      <c r="X2030" s="4">
        <v>13.600501273287801</v>
      </c>
      <c r="Y2030" s="4">
        <v>13.558921059052899</v>
      </c>
      <c r="Z2030" s="4">
        <v>13.6007738468778</v>
      </c>
      <c r="AA2030" s="4">
        <f t="shared" si="127"/>
        <v>13.586732059739498</v>
      </c>
    </row>
    <row r="2031" spans="2:27" x14ac:dyDescent="0.2">
      <c r="B2031" s="4" t="s">
        <v>2119</v>
      </c>
      <c r="C2031" s="4">
        <v>13.841699999999999</v>
      </c>
      <c r="D2031" s="4">
        <v>14.191800000000001</v>
      </c>
      <c r="E2031" s="4">
        <v>13.9116</v>
      </c>
      <c r="F2031" s="4">
        <f t="shared" si="124"/>
        <v>13.981699999999998</v>
      </c>
      <c r="I2031" s="4" t="s">
        <v>2611</v>
      </c>
      <c r="J2031" s="4">
        <v>13.8569</v>
      </c>
      <c r="K2031" s="4">
        <v>14.1417</v>
      </c>
      <c r="L2031" s="4">
        <v>13.8277</v>
      </c>
      <c r="M2031" s="4">
        <f t="shared" si="125"/>
        <v>13.942100000000002</v>
      </c>
      <c r="P2031" s="4" t="str">
        <f>"col-166"</f>
        <v>col-166</v>
      </c>
      <c r="Q2031" s="4">
        <v>13.3454637046498</v>
      </c>
      <c r="R2031" s="4">
        <v>13.8142658196222</v>
      </c>
      <c r="S2031" s="4">
        <v>13.3964382111508</v>
      </c>
      <c r="T2031" s="4">
        <f t="shared" si="126"/>
        <v>13.518722578474268</v>
      </c>
      <c r="W2031" s="4" t="str">
        <f>"ida-1"</f>
        <v>ida-1</v>
      </c>
      <c r="X2031" s="4">
        <v>13.7503906347383</v>
      </c>
      <c r="Y2031" s="4">
        <v>13.3493099134904</v>
      </c>
      <c r="Z2031" s="4">
        <v>13.660041703288799</v>
      </c>
      <c r="AA2031" s="4">
        <f t="shared" si="127"/>
        <v>13.586580750505833</v>
      </c>
    </row>
    <row r="2032" spans="2:27" x14ac:dyDescent="0.2">
      <c r="B2032" s="4" t="s">
        <v>2757</v>
      </c>
      <c r="C2032" s="4">
        <v>14.2714</v>
      </c>
      <c r="D2032" s="4">
        <v>13.482799999999999</v>
      </c>
      <c r="E2032" s="4">
        <v>14.1904</v>
      </c>
      <c r="F2032" s="4">
        <f t="shared" si="124"/>
        <v>13.981533333333331</v>
      </c>
      <c r="I2032" s="4" t="s">
        <v>3170</v>
      </c>
      <c r="J2032" s="4">
        <v>13.829599999999999</v>
      </c>
      <c r="K2032" s="4">
        <v>14.1373</v>
      </c>
      <c r="L2032" s="4">
        <v>13.8543</v>
      </c>
      <c r="M2032" s="4">
        <f t="shared" si="125"/>
        <v>13.940399999999999</v>
      </c>
      <c r="P2032" s="4" t="str">
        <f>"rbm-39"</f>
        <v>rbm-39</v>
      </c>
      <c r="Q2032" s="4">
        <v>13.4789109069524</v>
      </c>
      <c r="R2032" s="4">
        <v>13.6420248881251</v>
      </c>
      <c r="S2032" s="4">
        <v>13.433338872537</v>
      </c>
      <c r="T2032" s="4">
        <f t="shared" si="126"/>
        <v>13.5180915558715</v>
      </c>
      <c r="W2032" s="4" t="str">
        <f>"rml-4"</f>
        <v>rml-4</v>
      </c>
      <c r="X2032" s="4">
        <v>13.520117981074</v>
      </c>
      <c r="Y2032" s="4">
        <v>13.438771331061099</v>
      </c>
      <c r="Z2032" s="4">
        <v>13.8000190703605</v>
      </c>
      <c r="AA2032" s="4">
        <f t="shared" si="127"/>
        <v>13.586302794165199</v>
      </c>
    </row>
    <row r="2033" spans="2:27" x14ac:dyDescent="0.2">
      <c r="B2033" s="4" t="s">
        <v>4746</v>
      </c>
      <c r="C2033" s="4">
        <v>14.1196</v>
      </c>
      <c r="D2033" s="4">
        <v>13.880100000000001</v>
      </c>
      <c r="E2033" s="4">
        <v>13.9278</v>
      </c>
      <c r="F2033" s="4">
        <f t="shared" si="124"/>
        <v>13.975833333333334</v>
      </c>
      <c r="I2033" s="4" t="s">
        <v>4747</v>
      </c>
      <c r="J2033" s="4">
        <v>14.0627</v>
      </c>
      <c r="K2033" s="4">
        <v>14.303699999999999</v>
      </c>
      <c r="L2033" s="4">
        <v>13.452299999999999</v>
      </c>
      <c r="M2033" s="4">
        <f t="shared" si="125"/>
        <v>13.939566666666666</v>
      </c>
      <c r="P2033" s="4" t="str">
        <f>"moc-1"</f>
        <v>moc-1</v>
      </c>
      <c r="Q2033" s="4">
        <v>13.462772028012701</v>
      </c>
      <c r="R2033" s="4">
        <v>13.5344149727378</v>
      </c>
      <c r="S2033" s="4">
        <v>13.556791216760301</v>
      </c>
      <c r="T2033" s="4">
        <f t="shared" si="126"/>
        <v>13.517992739170268</v>
      </c>
      <c r="W2033" s="4" t="str">
        <f>"dtmk-1"</f>
        <v>dtmk-1</v>
      </c>
      <c r="X2033" s="4">
        <v>13.819820237766701</v>
      </c>
      <c r="Y2033" s="4">
        <v>13.2290783256213</v>
      </c>
      <c r="Z2033" s="4">
        <v>13.705955351979901</v>
      </c>
      <c r="AA2033" s="4">
        <f t="shared" si="127"/>
        <v>13.584951305122635</v>
      </c>
    </row>
    <row r="2034" spans="2:27" x14ac:dyDescent="0.2">
      <c r="B2034" s="4" t="s">
        <v>1631</v>
      </c>
      <c r="C2034" s="4">
        <v>13.0075</v>
      </c>
      <c r="D2034" s="4">
        <v>14.331799999999999</v>
      </c>
      <c r="E2034" s="4">
        <v>14.5878</v>
      </c>
      <c r="F2034" s="4">
        <f t="shared" si="124"/>
        <v>13.975700000000002</v>
      </c>
      <c r="I2034" s="4" t="s">
        <v>3607</v>
      </c>
      <c r="J2034" s="4">
        <v>13.641400000000001</v>
      </c>
      <c r="K2034" s="4">
        <v>14.143800000000001</v>
      </c>
      <c r="L2034" s="4">
        <v>14.033300000000001</v>
      </c>
      <c r="M2034" s="4">
        <f t="shared" si="125"/>
        <v>13.939500000000001</v>
      </c>
      <c r="P2034" s="4" t="str">
        <f>"nsun-5"</f>
        <v>nsun-5</v>
      </c>
      <c r="Q2034" s="4">
        <v>13.646419992276099</v>
      </c>
      <c r="R2034" s="4">
        <v>13.607554096285501</v>
      </c>
      <c r="S2034" s="4">
        <v>13.296333107054499</v>
      </c>
      <c r="T2034" s="4">
        <f t="shared" si="126"/>
        <v>13.516769065205366</v>
      </c>
      <c r="W2034" s="4" t="str">
        <f>"vhp-1"</f>
        <v>vhp-1</v>
      </c>
      <c r="X2034" s="4">
        <v>13.557845847967</v>
      </c>
      <c r="Y2034" s="4">
        <v>13.420441890372899</v>
      </c>
      <c r="Z2034" s="4">
        <v>13.773704037884601</v>
      </c>
      <c r="AA2034" s="4">
        <f t="shared" si="127"/>
        <v>13.583997258741499</v>
      </c>
    </row>
    <row r="2035" spans="2:27" x14ac:dyDescent="0.2">
      <c r="B2035" s="4" t="s">
        <v>4442</v>
      </c>
      <c r="C2035" s="4">
        <v>13.922599999999999</v>
      </c>
      <c r="D2035" s="4">
        <v>14.2791</v>
      </c>
      <c r="E2035" s="4">
        <v>13.7193</v>
      </c>
      <c r="F2035" s="4">
        <f t="shared" si="124"/>
        <v>13.973666666666666</v>
      </c>
      <c r="I2035" s="4" t="s">
        <v>33</v>
      </c>
      <c r="J2035" s="4">
        <v>14.003</v>
      </c>
      <c r="K2035" s="4">
        <v>14.1271</v>
      </c>
      <c r="L2035" s="4">
        <v>13.6884</v>
      </c>
      <c r="M2035" s="4">
        <f t="shared" si="125"/>
        <v>13.939500000000001</v>
      </c>
      <c r="P2035" s="4" t="str">
        <f>"efk-1"</f>
        <v>efk-1</v>
      </c>
      <c r="Q2035" s="4">
        <v>13.7254290233313</v>
      </c>
      <c r="R2035" s="4">
        <v>13.457354187030001</v>
      </c>
      <c r="S2035" s="4">
        <v>13.3641036481852</v>
      </c>
      <c r="T2035" s="4">
        <f t="shared" si="126"/>
        <v>13.515628952848834</v>
      </c>
      <c r="W2035" s="4" t="str">
        <f>"rpb-5"</f>
        <v>rpb-5</v>
      </c>
      <c r="X2035" s="4">
        <v>13.583586295183199</v>
      </c>
      <c r="Y2035" s="4">
        <v>13.601163317712301</v>
      </c>
      <c r="Z2035" s="4">
        <v>13.5616093396427</v>
      </c>
      <c r="AA2035" s="4">
        <f t="shared" si="127"/>
        <v>13.582119650846067</v>
      </c>
    </row>
    <row r="2036" spans="2:27" x14ac:dyDescent="0.2">
      <c r="B2036" s="4" t="s">
        <v>4748</v>
      </c>
      <c r="C2036" s="4">
        <v>13.8483</v>
      </c>
      <c r="D2036" s="4">
        <v>14.321999999999999</v>
      </c>
      <c r="E2036" s="4">
        <v>13.7492</v>
      </c>
      <c r="F2036" s="4">
        <f t="shared" si="124"/>
        <v>13.973166666666666</v>
      </c>
      <c r="I2036" s="4" t="s">
        <v>1281</v>
      </c>
      <c r="J2036" s="4">
        <v>14.0191</v>
      </c>
      <c r="K2036" s="4">
        <v>13.198700000000001</v>
      </c>
      <c r="L2036" s="4">
        <v>14.5967</v>
      </c>
      <c r="M2036" s="4">
        <f t="shared" si="125"/>
        <v>13.938166666666667</v>
      </c>
      <c r="P2036" s="4" t="str">
        <f>"F11A10.5"</f>
        <v>F11A10.5</v>
      </c>
      <c r="Q2036" s="4">
        <v>13.361335952559701</v>
      </c>
      <c r="R2036" s="4">
        <v>13.6690753756475</v>
      </c>
      <c r="S2036" s="4">
        <v>13.5161483929204</v>
      </c>
      <c r="T2036" s="4">
        <f t="shared" si="126"/>
        <v>13.515519907042533</v>
      </c>
      <c r="W2036" s="4" t="str">
        <f>"ints-4"</f>
        <v>ints-4</v>
      </c>
      <c r="X2036" s="4">
        <v>13.5908460995495</v>
      </c>
      <c r="Y2036" s="4">
        <v>13.303359040695501</v>
      </c>
      <c r="Z2036" s="4">
        <v>13.8503971248963</v>
      </c>
      <c r="AA2036" s="4">
        <f t="shared" si="127"/>
        <v>13.581534088380431</v>
      </c>
    </row>
    <row r="2037" spans="2:27" x14ac:dyDescent="0.2">
      <c r="B2037" s="4" t="s">
        <v>1748</v>
      </c>
      <c r="C2037" s="4">
        <v>14.0649</v>
      </c>
      <c r="D2037" s="4">
        <v>13.915900000000001</v>
      </c>
      <c r="E2037" s="4">
        <v>13.9373</v>
      </c>
      <c r="F2037" s="4">
        <f t="shared" si="124"/>
        <v>13.972700000000001</v>
      </c>
      <c r="I2037" s="4" t="s">
        <v>2008</v>
      </c>
      <c r="J2037" s="4">
        <v>13.8652</v>
      </c>
      <c r="K2037" s="4">
        <v>13.8842</v>
      </c>
      <c r="L2037" s="4">
        <v>14.065</v>
      </c>
      <c r="M2037" s="4">
        <f t="shared" si="125"/>
        <v>13.938133333333333</v>
      </c>
      <c r="P2037" s="4" t="str">
        <f>"acp-5"</f>
        <v>acp-5</v>
      </c>
      <c r="Q2037" s="4">
        <v>13.602405041086801</v>
      </c>
      <c r="R2037" s="4">
        <v>13.4700805256529</v>
      </c>
      <c r="S2037" s="4">
        <v>13.4596682844751</v>
      </c>
      <c r="T2037" s="4">
        <f t="shared" si="126"/>
        <v>13.510717950404933</v>
      </c>
      <c r="W2037" s="4" t="str">
        <f>"klp-4"</f>
        <v>klp-4</v>
      </c>
      <c r="X2037" s="4">
        <v>13.3488056985722</v>
      </c>
      <c r="Y2037" s="4">
        <v>13.646647392273801</v>
      </c>
      <c r="Z2037" s="4">
        <v>13.74067246489</v>
      </c>
      <c r="AA2037" s="4">
        <f t="shared" si="127"/>
        <v>13.578708518578665</v>
      </c>
    </row>
    <row r="2038" spans="2:27" x14ac:dyDescent="0.2">
      <c r="B2038" s="4" t="s">
        <v>4729</v>
      </c>
      <c r="C2038" s="4">
        <v>13.8954</v>
      </c>
      <c r="D2038" s="4">
        <v>14.2887</v>
      </c>
      <c r="E2038" s="4">
        <v>13.731299999999999</v>
      </c>
      <c r="F2038" s="4">
        <f t="shared" si="124"/>
        <v>13.9718</v>
      </c>
      <c r="I2038" s="4" t="s">
        <v>2798</v>
      </c>
      <c r="J2038" s="4">
        <v>13.802199999999999</v>
      </c>
      <c r="K2038" s="4">
        <v>13.904</v>
      </c>
      <c r="L2038" s="4">
        <v>14.104100000000001</v>
      </c>
      <c r="M2038" s="4">
        <f t="shared" si="125"/>
        <v>13.936766666666665</v>
      </c>
      <c r="P2038" s="4" t="str">
        <f>"tct-1"</f>
        <v>tct-1</v>
      </c>
      <c r="Q2038" s="4">
        <v>13.4449752007157</v>
      </c>
      <c r="R2038" s="4">
        <v>13.5645065481397</v>
      </c>
      <c r="S2038" s="4">
        <v>13.520127892237999</v>
      </c>
      <c r="T2038" s="4">
        <f t="shared" si="126"/>
        <v>13.509869880364468</v>
      </c>
      <c r="W2038" s="4" t="str">
        <f>"mboa-2"</f>
        <v>mboa-2</v>
      </c>
      <c r="X2038" s="4">
        <v>14.1525893566506</v>
      </c>
      <c r="Y2038" s="4">
        <v>13.13863462988</v>
      </c>
      <c r="Z2038" s="4">
        <v>13.4433172757929</v>
      </c>
      <c r="AA2038" s="4">
        <f t="shared" si="127"/>
        <v>13.578180420774501</v>
      </c>
    </row>
    <row r="2039" spans="2:27" x14ac:dyDescent="0.2">
      <c r="B2039" s="4" t="s">
        <v>601</v>
      </c>
      <c r="C2039" s="4">
        <v>13.7851</v>
      </c>
      <c r="D2039" s="4">
        <v>14.0059</v>
      </c>
      <c r="E2039" s="4">
        <v>14.1236</v>
      </c>
      <c r="F2039" s="4">
        <f t="shared" si="124"/>
        <v>13.971533333333333</v>
      </c>
      <c r="I2039" s="4" t="s">
        <v>776</v>
      </c>
      <c r="J2039" s="4">
        <v>13.794499999999999</v>
      </c>
      <c r="K2039" s="4">
        <v>13.7965</v>
      </c>
      <c r="L2039" s="4">
        <v>14.218999999999999</v>
      </c>
      <c r="M2039" s="4">
        <f t="shared" si="125"/>
        <v>13.936666666666667</v>
      </c>
      <c r="P2039" s="4" t="str">
        <f>"nduf-11"</f>
        <v>nduf-11</v>
      </c>
      <c r="Q2039" s="4">
        <v>13.286461550502001</v>
      </c>
      <c r="R2039" s="4">
        <v>13.755858680112199</v>
      </c>
      <c r="S2039" s="4">
        <v>13.482599936386199</v>
      </c>
      <c r="T2039" s="4">
        <f t="shared" si="126"/>
        <v>13.508306722333467</v>
      </c>
      <c r="W2039" s="4" t="str">
        <f>"exc-15"</f>
        <v>exc-15</v>
      </c>
      <c r="X2039" s="4">
        <v>13.3259381477082</v>
      </c>
      <c r="Y2039" s="4">
        <v>13.442916989459601</v>
      </c>
      <c r="Z2039" s="4">
        <v>13.9647702233197</v>
      </c>
      <c r="AA2039" s="4">
        <f t="shared" si="127"/>
        <v>13.577875120162501</v>
      </c>
    </row>
    <row r="2040" spans="2:27" x14ac:dyDescent="0.2">
      <c r="B2040" s="4" t="s">
        <v>2276</v>
      </c>
      <c r="C2040" s="4">
        <v>13.926600000000001</v>
      </c>
      <c r="D2040" s="4">
        <v>13.930300000000001</v>
      </c>
      <c r="E2040" s="4">
        <v>14.049899999999999</v>
      </c>
      <c r="F2040" s="4">
        <f t="shared" si="124"/>
        <v>13.968933333333334</v>
      </c>
      <c r="I2040" s="4" t="s">
        <v>3593</v>
      </c>
      <c r="J2040" s="4">
        <v>14.116300000000001</v>
      </c>
      <c r="K2040" s="4">
        <v>13.8902</v>
      </c>
      <c r="L2040" s="4">
        <v>13.8018</v>
      </c>
      <c r="M2040" s="4">
        <f t="shared" si="125"/>
        <v>13.936100000000001</v>
      </c>
      <c r="P2040" s="4" t="str">
        <f>"ran-3"</f>
        <v>ran-3</v>
      </c>
      <c r="Q2040" s="4">
        <v>13.220352134338</v>
      </c>
      <c r="R2040" s="4">
        <v>13.495984365164601</v>
      </c>
      <c r="S2040" s="4">
        <v>13.8065243766917</v>
      </c>
      <c r="T2040" s="4">
        <f t="shared" si="126"/>
        <v>13.507620292064766</v>
      </c>
      <c r="W2040" s="4" t="str">
        <f>"pelo-1"</f>
        <v>pelo-1</v>
      </c>
      <c r="X2040" s="4">
        <v>13.3720437409611</v>
      </c>
      <c r="Y2040" s="4">
        <v>13.7750473918151</v>
      </c>
      <c r="Z2040" s="4">
        <v>13.579898603607701</v>
      </c>
      <c r="AA2040" s="4">
        <f t="shared" si="127"/>
        <v>13.5756632454613</v>
      </c>
    </row>
    <row r="2041" spans="2:27" x14ac:dyDescent="0.2">
      <c r="B2041" s="4" t="s">
        <v>2558</v>
      </c>
      <c r="C2041" s="4">
        <v>13.9062</v>
      </c>
      <c r="D2041" s="4">
        <v>13.5837</v>
      </c>
      <c r="E2041" s="4">
        <v>14.412800000000001</v>
      </c>
      <c r="F2041" s="4">
        <f t="shared" si="124"/>
        <v>13.967566666666665</v>
      </c>
      <c r="I2041" s="4" t="s">
        <v>3927</v>
      </c>
      <c r="J2041" s="4">
        <v>14.060600000000001</v>
      </c>
      <c r="K2041" s="4">
        <v>13.717000000000001</v>
      </c>
      <c r="L2041" s="4">
        <v>14.028600000000001</v>
      </c>
      <c r="M2041" s="4">
        <f t="shared" si="125"/>
        <v>13.935400000000001</v>
      </c>
      <c r="P2041" s="4" t="str">
        <f>"ldb-1"</f>
        <v>ldb-1</v>
      </c>
      <c r="Q2041" s="4">
        <v>13.707802920556601</v>
      </c>
      <c r="R2041" s="4">
        <v>13.162950828866199</v>
      </c>
      <c r="S2041" s="4">
        <v>13.6500104955234</v>
      </c>
      <c r="T2041" s="4">
        <f t="shared" si="126"/>
        <v>13.506921414982067</v>
      </c>
      <c r="W2041" s="4" t="str">
        <f>"cyn-13"</f>
        <v>cyn-13</v>
      </c>
      <c r="X2041" s="4">
        <v>13.7318603642117</v>
      </c>
      <c r="Y2041" s="4">
        <v>13.4314248212756</v>
      </c>
      <c r="Z2041" s="4">
        <v>13.562463764837499</v>
      </c>
      <c r="AA2041" s="4">
        <f t="shared" si="127"/>
        <v>13.575249650108267</v>
      </c>
    </row>
    <row r="2042" spans="2:27" x14ac:dyDescent="0.2">
      <c r="B2042" s="4" t="s">
        <v>1828</v>
      </c>
      <c r="C2042" s="4">
        <v>13.8446</v>
      </c>
      <c r="D2042" s="4">
        <v>13.6593</v>
      </c>
      <c r="E2042" s="4">
        <v>14.396599999999999</v>
      </c>
      <c r="F2042" s="4">
        <f t="shared" si="124"/>
        <v>13.966833333333334</v>
      </c>
      <c r="I2042" s="4" t="s">
        <v>4692</v>
      </c>
      <c r="J2042" s="4">
        <v>14.0069</v>
      </c>
      <c r="K2042" s="4">
        <v>14.133599999999999</v>
      </c>
      <c r="L2042" s="4">
        <v>13.664999999999999</v>
      </c>
      <c r="M2042" s="4">
        <f t="shared" si="125"/>
        <v>13.935166666666666</v>
      </c>
      <c r="P2042" s="4" t="str">
        <f>"air-1"</f>
        <v>air-1</v>
      </c>
      <c r="Q2042" s="4">
        <v>13.2546855605604</v>
      </c>
      <c r="R2042" s="4">
        <v>13.5533427731326</v>
      </c>
      <c r="S2042" s="4">
        <v>13.709874725239301</v>
      </c>
      <c r="T2042" s="4">
        <f t="shared" si="126"/>
        <v>13.505967686310768</v>
      </c>
      <c r="W2042" s="4" t="str">
        <f>"unc-43"</f>
        <v>unc-43</v>
      </c>
      <c r="X2042" s="4">
        <v>13.342716084808499</v>
      </c>
      <c r="Y2042" s="4">
        <v>13.6965496260786</v>
      </c>
      <c r="Z2042" s="4">
        <v>13.6823151899337</v>
      </c>
      <c r="AA2042" s="4">
        <f t="shared" si="127"/>
        <v>13.5738603002736</v>
      </c>
    </row>
    <row r="2043" spans="2:27" x14ac:dyDescent="0.2">
      <c r="B2043" s="4" t="s">
        <v>1541</v>
      </c>
      <c r="C2043" s="4">
        <v>14.0654</v>
      </c>
      <c r="D2043" s="4">
        <v>13.772500000000001</v>
      </c>
      <c r="E2043" s="4">
        <v>14.057499999999999</v>
      </c>
      <c r="F2043" s="4">
        <f t="shared" si="124"/>
        <v>13.965133333333334</v>
      </c>
      <c r="I2043" s="4" t="s">
        <v>3949</v>
      </c>
      <c r="J2043" s="4">
        <v>13.6859</v>
      </c>
      <c r="K2043" s="4">
        <v>14.2067</v>
      </c>
      <c r="L2043" s="4">
        <v>13.911300000000001</v>
      </c>
      <c r="M2043" s="4">
        <f t="shared" si="125"/>
        <v>13.934633333333332</v>
      </c>
      <c r="P2043" s="4" t="str">
        <f>"tbcd-1"</f>
        <v>tbcd-1</v>
      </c>
      <c r="Q2043" s="4">
        <v>13.388239786845199</v>
      </c>
      <c r="R2043" s="4">
        <v>13.6584213117563</v>
      </c>
      <c r="S2043" s="4">
        <v>13.4710313766731</v>
      </c>
      <c r="T2043" s="4">
        <f t="shared" si="126"/>
        <v>13.5058974917582</v>
      </c>
      <c r="W2043" s="4" t="str">
        <f>"H11E01.3"</f>
        <v>H11E01.3</v>
      </c>
      <c r="X2043" s="4">
        <v>13.132993265825601</v>
      </c>
      <c r="Y2043" s="4">
        <v>13.676984982832399</v>
      </c>
      <c r="Z2043" s="4">
        <v>13.910795412325299</v>
      </c>
      <c r="AA2043" s="4">
        <f t="shared" si="127"/>
        <v>13.573591220327765</v>
      </c>
    </row>
    <row r="2044" spans="2:27" x14ac:dyDescent="0.2">
      <c r="B2044" s="4" t="s">
        <v>438</v>
      </c>
      <c r="C2044" s="4">
        <v>13.901199999999999</v>
      </c>
      <c r="D2044" s="4">
        <v>14.0764</v>
      </c>
      <c r="E2044" s="4">
        <v>13.9171</v>
      </c>
      <c r="F2044" s="4">
        <f t="shared" si="124"/>
        <v>13.9649</v>
      </c>
      <c r="I2044" s="4" t="s">
        <v>1069</v>
      </c>
      <c r="J2044" s="4">
        <v>13.877599999999999</v>
      </c>
      <c r="K2044" s="4">
        <v>14.1645</v>
      </c>
      <c r="L2044" s="4">
        <v>13.7582</v>
      </c>
      <c r="M2044" s="4">
        <f t="shared" si="125"/>
        <v>13.933433333333333</v>
      </c>
      <c r="P2044" s="4" t="str">
        <f>"E01A2.1"</f>
        <v>E01A2.1</v>
      </c>
      <c r="Q2044" s="4">
        <v>13.663356049636899</v>
      </c>
      <c r="R2044" s="4">
        <v>13.292126012967801</v>
      </c>
      <c r="S2044" s="4">
        <v>13.561721422531599</v>
      </c>
      <c r="T2044" s="4">
        <f t="shared" si="126"/>
        <v>13.505734495045433</v>
      </c>
      <c r="W2044" s="4" t="str">
        <f>"rad-51"</f>
        <v>rad-51</v>
      </c>
      <c r="X2044" s="4">
        <v>13.4690993678706</v>
      </c>
      <c r="Y2044" s="4">
        <v>13.5712065147098</v>
      </c>
      <c r="Z2044" s="4">
        <v>13.679329698184301</v>
      </c>
      <c r="AA2044" s="4">
        <f t="shared" si="127"/>
        <v>13.573211860254901</v>
      </c>
    </row>
    <row r="2045" spans="2:27" x14ac:dyDescent="0.2">
      <c r="B2045" s="4" t="s">
        <v>1837</v>
      </c>
      <c r="C2045" s="4">
        <v>13.608000000000001</v>
      </c>
      <c r="D2045" s="4">
        <v>14.032500000000001</v>
      </c>
      <c r="E2045" s="4">
        <v>14.254099999999999</v>
      </c>
      <c r="F2045" s="4">
        <f t="shared" si="124"/>
        <v>13.964866666666667</v>
      </c>
      <c r="I2045" s="4" t="s">
        <v>2889</v>
      </c>
      <c r="J2045" s="4">
        <v>14.1152</v>
      </c>
      <c r="K2045" s="4">
        <v>13.732900000000001</v>
      </c>
      <c r="L2045" s="4">
        <v>13.9466</v>
      </c>
      <c r="M2045" s="4">
        <f t="shared" si="125"/>
        <v>13.931566666666669</v>
      </c>
      <c r="P2045" s="4" t="str">
        <f>"gld-1"</f>
        <v>gld-1</v>
      </c>
      <c r="Q2045" s="4">
        <v>13.4903750553362</v>
      </c>
      <c r="R2045" s="4">
        <v>13.374318694234899</v>
      </c>
      <c r="S2045" s="4">
        <v>13.6509624422172</v>
      </c>
      <c r="T2045" s="4">
        <f t="shared" si="126"/>
        <v>13.505218730596098</v>
      </c>
      <c r="W2045" s="4" t="str">
        <f>"mog-5"</f>
        <v>mog-5</v>
      </c>
      <c r="X2045" s="4">
        <v>14.082194878780101</v>
      </c>
      <c r="Y2045" s="4">
        <v>13.2938890153861</v>
      </c>
      <c r="Z2045" s="4">
        <v>13.3428679933557</v>
      </c>
      <c r="AA2045" s="4">
        <f t="shared" si="127"/>
        <v>13.572983962507299</v>
      </c>
    </row>
    <row r="2046" spans="2:27" x14ac:dyDescent="0.2">
      <c r="B2046" s="4" t="s">
        <v>2072</v>
      </c>
      <c r="C2046" s="4">
        <v>14.0748</v>
      </c>
      <c r="D2046" s="4">
        <v>14.2723</v>
      </c>
      <c r="E2046" s="4">
        <v>13.5466</v>
      </c>
      <c r="F2046" s="4">
        <f t="shared" si="124"/>
        <v>13.964566666666665</v>
      </c>
      <c r="I2046" s="4" t="s">
        <v>4659</v>
      </c>
      <c r="J2046" s="4">
        <v>13.9253</v>
      </c>
      <c r="K2046" s="4">
        <v>13.966900000000001</v>
      </c>
      <c r="L2046" s="4">
        <v>13.9017</v>
      </c>
      <c r="M2046" s="4">
        <f t="shared" si="125"/>
        <v>13.9313</v>
      </c>
      <c r="P2046" s="4" t="str">
        <f>"dpf-4"</f>
        <v>dpf-4</v>
      </c>
      <c r="Q2046" s="4">
        <v>13.606976410955699</v>
      </c>
      <c r="R2046" s="4">
        <v>13.5359624929985</v>
      </c>
      <c r="S2046" s="4">
        <v>13.3701900309007</v>
      </c>
      <c r="T2046" s="4">
        <f t="shared" si="126"/>
        <v>13.5043763116183</v>
      </c>
      <c r="W2046" s="4" t="str">
        <f>"C51E3.9"</f>
        <v>C51E3.9</v>
      </c>
      <c r="X2046" s="4">
        <v>13.4542493700693</v>
      </c>
      <c r="Y2046" s="4">
        <v>13.603203315348299</v>
      </c>
      <c r="Z2046" s="4">
        <v>13.6583465354973</v>
      </c>
      <c r="AA2046" s="4">
        <f t="shared" si="127"/>
        <v>13.5719330736383</v>
      </c>
    </row>
    <row r="2047" spans="2:27" x14ac:dyDescent="0.2">
      <c r="B2047" s="4" t="s">
        <v>1966</v>
      </c>
      <c r="C2047" s="4">
        <v>14.081</v>
      </c>
      <c r="D2047" s="4">
        <v>13.995799999999999</v>
      </c>
      <c r="E2047" s="4">
        <v>13.8126</v>
      </c>
      <c r="F2047" s="4">
        <f t="shared" si="124"/>
        <v>13.963133333333332</v>
      </c>
      <c r="I2047" s="4" t="s">
        <v>4074</v>
      </c>
      <c r="J2047" s="4">
        <v>13.8528</v>
      </c>
      <c r="K2047" s="4">
        <v>14.0387</v>
      </c>
      <c r="L2047" s="4">
        <v>13.893800000000001</v>
      </c>
      <c r="M2047" s="4">
        <f t="shared" si="125"/>
        <v>13.928433333333333</v>
      </c>
      <c r="P2047" s="4" t="str">
        <f>"T12G3.4"</f>
        <v>T12G3.4</v>
      </c>
      <c r="Q2047" s="4">
        <v>13.4787129687813</v>
      </c>
      <c r="R2047" s="4">
        <v>13.399501204842901</v>
      </c>
      <c r="S2047" s="4">
        <v>13.630114693553001</v>
      </c>
      <c r="T2047" s="4">
        <f t="shared" si="126"/>
        <v>13.502776289059065</v>
      </c>
      <c r="W2047" s="4" t="str">
        <f>"mtm-1"</f>
        <v>mtm-1</v>
      </c>
      <c r="X2047" s="4">
        <v>13.4356098684251</v>
      </c>
      <c r="Y2047" s="4">
        <v>13.6753201070388</v>
      </c>
      <c r="Z2047" s="4">
        <v>13.5905654934292</v>
      </c>
      <c r="AA2047" s="4">
        <f t="shared" si="127"/>
        <v>13.567165156297699</v>
      </c>
    </row>
    <row r="2048" spans="2:27" x14ac:dyDescent="0.2">
      <c r="B2048" s="4" t="s">
        <v>447</v>
      </c>
      <c r="C2048" s="4">
        <v>13.895</v>
      </c>
      <c r="D2048" s="4">
        <v>14.0037</v>
      </c>
      <c r="E2048" s="4">
        <v>13.9892</v>
      </c>
      <c r="F2048" s="4">
        <f t="shared" si="124"/>
        <v>13.962633333333335</v>
      </c>
      <c r="I2048" s="4" t="s">
        <v>560</v>
      </c>
      <c r="J2048" s="4">
        <v>13.7775</v>
      </c>
      <c r="K2048" s="4">
        <v>13.9704</v>
      </c>
      <c r="L2048" s="4">
        <v>14.031000000000001</v>
      </c>
      <c r="M2048" s="4">
        <f t="shared" si="125"/>
        <v>13.926299999999999</v>
      </c>
      <c r="P2048" s="4" t="str">
        <f>"Y110A7A.9"</f>
        <v>Y110A7A.9</v>
      </c>
      <c r="Q2048" s="4">
        <v>13.423398548404499</v>
      </c>
      <c r="R2048" s="4">
        <v>13.4037432467819</v>
      </c>
      <c r="S2048" s="4">
        <v>13.6796197911244</v>
      </c>
      <c r="T2048" s="4">
        <f t="shared" si="126"/>
        <v>13.502253862103601</v>
      </c>
      <c r="W2048" s="4" t="str">
        <f>"ttb-1"</f>
        <v>ttb-1</v>
      </c>
      <c r="X2048" s="4">
        <v>13.998433349532</v>
      </c>
      <c r="Y2048" s="4">
        <v>13.301959159490901</v>
      </c>
      <c r="Z2048" s="4">
        <v>13.400100563854</v>
      </c>
      <c r="AA2048" s="4">
        <f t="shared" si="127"/>
        <v>13.566831024292298</v>
      </c>
    </row>
    <row r="2049" spans="2:27" x14ac:dyDescent="0.2">
      <c r="B2049" s="4" t="s">
        <v>2826</v>
      </c>
      <c r="C2049" s="4">
        <v>14.0181</v>
      </c>
      <c r="D2049" s="4">
        <v>13.8657</v>
      </c>
      <c r="E2049" s="4">
        <v>14.0006</v>
      </c>
      <c r="F2049" s="4">
        <f t="shared" si="124"/>
        <v>13.961466666666666</v>
      </c>
      <c r="I2049" s="4" t="s">
        <v>2590</v>
      </c>
      <c r="J2049" s="4">
        <v>13.716200000000001</v>
      </c>
      <c r="K2049" s="4">
        <v>13.9056</v>
      </c>
      <c r="L2049" s="4">
        <v>14.153700000000001</v>
      </c>
      <c r="M2049" s="4">
        <f t="shared" si="125"/>
        <v>13.925166666666668</v>
      </c>
      <c r="P2049" s="4" t="str">
        <f>"spc-1"</f>
        <v>spc-1</v>
      </c>
      <c r="Q2049" s="4">
        <v>13.609145570239599</v>
      </c>
      <c r="R2049" s="4">
        <v>13.2807023331208</v>
      </c>
      <c r="S2049" s="4">
        <v>13.6152126723794</v>
      </c>
      <c r="T2049" s="4">
        <f t="shared" si="126"/>
        <v>13.501686858579932</v>
      </c>
      <c r="W2049" s="4" t="str">
        <f>"D1069.3"</f>
        <v>D1069.3</v>
      </c>
      <c r="X2049" s="4">
        <v>13.4241256019946</v>
      </c>
      <c r="Y2049" s="4">
        <v>13.765392987891101</v>
      </c>
      <c r="Z2049" s="4">
        <v>13.5059211765264</v>
      </c>
      <c r="AA2049" s="4">
        <f t="shared" si="127"/>
        <v>13.565146588804033</v>
      </c>
    </row>
    <row r="2050" spans="2:27" x14ac:dyDescent="0.2">
      <c r="B2050" s="4" t="s">
        <v>3834</v>
      </c>
      <c r="C2050" s="4">
        <v>14.286099999999999</v>
      </c>
      <c r="D2050" s="4">
        <v>13.4703</v>
      </c>
      <c r="E2050" s="4">
        <v>14.1274</v>
      </c>
      <c r="F2050" s="4">
        <f t="shared" ref="F2050:F2113" si="128">(C2050+D2050+E2050)/3</f>
        <v>13.961266666666667</v>
      </c>
      <c r="I2050" s="4" t="s">
        <v>3181</v>
      </c>
      <c r="J2050" s="4">
        <v>14.0969</v>
      </c>
      <c r="K2050" s="4">
        <v>13.4976</v>
      </c>
      <c r="L2050" s="4">
        <v>14.1782</v>
      </c>
      <c r="M2050" s="4">
        <f t="shared" ref="M2050:M2113" si="129">(J2050+K2050+L2050)/3</f>
        <v>13.924233333333333</v>
      </c>
      <c r="P2050" s="4" t="str">
        <f>"epi-1"</f>
        <v>epi-1</v>
      </c>
      <c r="Q2050" s="4">
        <v>13.491386721056999</v>
      </c>
      <c r="R2050" s="4">
        <v>13.325093387050901</v>
      </c>
      <c r="S2050" s="4">
        <v>13.688267546842701</v>
      </c>
      <c r="T2050" s="4">
        <f t="shared" ref="T2050:T2113" si="130">(Q2050+R2050+S2050)/3</f>
        <v>13.5015825516502</v>
      </c>
      <c r="W2050" s="4" t="str">
        <f>"syd-2"</f>
        <v>syd-2</v>
      </c>
      <c r="X2050" s="4">
        <v>13.568479601977501</v>
      </c>
      <c r="Y2050" s="4">
        <v>13.823280861599599</v>
      </c>
      <c r="Z2050" s="4">
        <v>13.303186207609199</v>
      </c>
      <c r="AA2050" s="4">
        <f t="shared" ref="AA2050:AA2113" si="131">(X2050+Y2050+Z2050)/3</f>
        <v>13.564982223728768</v>
      </c>
    </row>
    <row r="2051" spans="2:27" x14ac:dyDescent="0.2">
      <c r="B2051" s="4" t="s">
        <v>4680</v>
      </c>
      <c r="C2051" s="4">
        <v>13.4756</v>
      </c>
      <c r="D2051" s="4">
        <v>13.979799999999999</v>
      </c>
      <c r="E2051" s="4">
        <v>14.4255</v>
      </c>
      <c r="F2051" s="4">
        <f t="shared" si="128"/>
        <v>13.960299999999998</v>
      </c>
      <c r="I2051" s="4" t="s">
        <v>3414</v>
      </c>
      <c r="J2051" s="4">
        <v>13.7576</v>
      </c>
      <c r="K2051" s="4">
        <v>13.8157</v>
      </c>
      <c r="L2051" s="4">
        <v>14.196099999999999</v>
      </c>
      <c r="M2051" s="4">
        <f t="shared" si="129"/>
        <v>13.923133333333332</v>
      </c>
      <c r="P2051" s="4" t="str">
        <f>"F37F2.2"</f>
        <v>F37F2.2</v>
      </c>
      <c r="Q2051" s="4">
        <v>13.6238723624642</v>
      </c>
      <c r="R2051" s="4">
        <v>13.3514822684783</v>
      </c>
      <c r="S2051" s="4">
        <v>13.528793939542901</v>
      </c>
      <c r="T2051" s="4">
        <f t="shared" si="130"/>
        <v>13.501382856828466</v>
      </c>
      <c r="W2051" s="4" t="str">
        <f>"rga-1"</f>
        <v>rga-1</v>
      </c>
      <c r="X2051" s="4">
        <v>13.262026810800799</v>
      </c>
      <c r="Y2051" s="4">
        <v>13.9884723504354</v>
      </c>
      <c r="Z2051" s="4">
        <v>13.4425260799</v>
      </c>
      <c r="AA2051" s="4">
        <f t="shared" si="131"/>
        <v>13.564341747045399</v>
      </c>
    </row>
    <row r="2052" spans="2:27" x14ac:dyDescent="0.2">
      <c r="B2052" s="4" t="s">
        <v>79</v>
      </c>
      <c r="C2052" s="4">
        <v>13.5029</v>
      </c>
      <c r="D2052" s="4">
        <v>14.4406</v>
      </c>
      <c r="E2052" s="4">
        <v>13.926</v>
      </c>
      <c r="F2052" s="4">
        <f t="shared" si="128"/>
        <v>13.9565</v>
      </c>
      <c r="I2052" s="4" t="s">
        <v>1638</v>
      </c>
      <c r="J2052" s="4">
        <v>13.965</v>
      </c>
      <c r="K2052" s="4">
        <v>13.704700000000001</v>
      </c>
      <c r="L2052" s="4">
        <v>14.0983</v>
      </c>
      <c r="M2052" s="4">
        <f t="shared" si="129"/>
        <v>13.922666666666666</v>
      </c>
      <c r="P2052" s="4" t="str">
        <f>"uba-5"</f>
        <v>uba-5</v>
      </c>
      <c r="Q2052" s="4">
        <v>13.526435305828899</v>
      </c>
      <c r="R2052" s="4">
        <v>13.6035192385666</v>
      </c>
      <c r="S2052" s="4">
        <v>13.3700735543738</v>
      </c>
      <c r="T2052" s="4">
        <f t="shared" si="130"/>
        <v>13.500009366256434</v>
      </c>
      <c r="W2052" s="4" t="str">
        <f>"F11A10.5"</f>
        <v>F11A10.5</v>
      </c>
      <c r="X2052" s="4">
        <v>13.439442974058</v>
      </c>
      <c r="Y2052" s="4">
        <v>13.4957542269564</v>
      </c>
      <c r="Z2052" s="4">
        <v>13.755936152798</v>
      </c>
      <c r="AA2052" s="4">
        <f t="shared" si="131"/>
        <v>13.563711117937467</v>
      </c>
    </row>
    <row r="2053" spans="2:27" x14ac:dyDescent="0.2">
      <c r="B2053" s="4" t="s">
        <v>3069</v>
      </c>
      <c r="C2053" s="4">
        <v>13.505000000000001</v>
      </c>
      <c r="D2053" s="4">
        <v>14.379200000000001</v>
      </c>
      <c r="E2053" s="4">
        <v>13.982200000000001</v>
      </c>
      <c r="F2053" s="4">
        <f t="shared" si="128"/>
        <v>13.955466666666666</v>
      </c>
      <c r="I2053" s="4" t="s">
        <v>383</v>
      </c>
      <c r="J2053" s="4">
        <v>15.032299999999999</v>
      </c>
      <c r="K2053" s="4">
        <v>13.4117</v>
      </c>
      <c r="L2053" s="4">
        <v>13.321099999999999</v>
      </c>
      <c r="M2053" s="4">
        <f t="shared" si="129"/>
        <v>13.9217</v>
      </c>
      <c r="P2053" s="4" t="str">
        <f>"hda-4"</f>
        <v>hda-4</v>
      </c>
      <c r="Q2053" s="4">
        <v>12.905041665822299</v>
      </c>
      <c r="R2053" s="4">
        <v>13.7695364166996</v>
      </c>
      <c r="S2053" s="4">
        <v>13.8249163631175</v>
      </c>
      <c r="T2053" s="4">
        <f t="shared" si="130"/>
        <v>13.4998314818798</v>
      </c>
      <c r="W2053" s="4" t="str">
        <f>"eat-16"</f>
        <v>eat-16</v>
      </c>
      <c r="X2053" s="4">
        <v>13.5802208791655</v>
      </c>
      <c r="Y2053" s="4">
        <v>13.391238626352999</v>
      </c>
      <c r="Z2053" s="4">
        <v>13.718323082154701</v>
      </c>
      <c r="AA2053" s="4">
        <f t="shared" si="131"/>
        <v>13.563260862557733</v>
      </c>
    </row>
    <row r="2054" spans="2:27" x14ac:dyDescent="0.2">
      <c r="B2054" s="4" t="s">
        <v>4100</v>
      </c>
      <c r="C2054" s="4">
        <v>13.9102</v>
      </c>
      <c r="D2054" s="4">
        <v>14.043699999999999</v>
      </c>
      <c r="E2054" s="4">
        <v>13.911099999999999</v>
      </c>
      <c r="F2054" s="4">
        <f t="shared" si="128"/>
        <v>13.954999999999998</v>
      </c>
      <c r="I2054" s="4" t="s">
        <v>4593</v>
      </c>
      <c r="J2054" s="4">
        <v>13.8809</v>
      </c>
      <c r="K2054" s="4">
        <v>13.497199999999999</v>
      </c>
      <c r="L2054" s="4">
        <v>14.386699999999999</v>
      </c>
      <c r="M2054" s="4">
        <f t="shared" si="129"/>
        <v>13.9216</v>
      </c>
      <c r="P2054" s="4" t="str">
        <f>"klp-12"</f>
        <v>klp-12</v>
      </c>
      <c r="Q2054" s="4">
        <v>13.5606775446292</v>
      </c>
      <c r="R2054" s="4">
        <v>13.461759983265299</v>
      </c>
      <c r="S2054" s="4">
        <v>13.4735961200976</v>
      </c>
      <c r="T2054" s="4">
        <f t="shared" si="130"/>
        <v>13.498677882664033</v>
      </c>
      <c r="W2054" s="4" t="str">
        <f>"icmt-1"</f>
        <v>icmt-1</v>
      </c>
      <c r="X2054" s="4">
        <v>13.743998021519101</v>
      </c>
      <c r="Y2054" s="4">
        <v>13.473661288486101</v>
      </c>
      <c r="Z2054" s="4">
        <v>13.466791754989201</v>
      </c>
      <c r="AA2054" s="4">
        <f t="shared" si="131"/>
        <v>13.561483688331469</v>
      </c>
    </row>
    <row r="2055" spans="2:27" x14ac:dyDescent="0.2">
      <c r="B2055" s="4" t="s">
        <v>33</v>
      </c>
      <c r="C2055" s="4">
        <v>14.0564</v>
      </c>
      <c r="D2055" s="4">
        <v>13.874599999999999</v>
      </c>
      <c r="E2055" s="4">
        <v>13.930099999999999</v>
      </c>
      <c r="F2055" s="4">
        <f t="shared" si="128"/>
        <v>13.953699999999998</v>
      </c>
      <c r="I2055" s="4" t="s">
        <v>2757</v>
      </c>
      <c r="J2055" s="4">
        <v>14.164099999999999</v>
      </c>
      <c r="K2055" s="4">
        <v>13.8391</v>
      </c>
      <c r="L2055" s="4">
        <v>13.7605</v>
      </c>
      <c r="M2055" s="4">
        <f t="shared" si="129"/>
        <v>13.921233333333333</v>
      </c>
      <c r="P2055" s="4" t="str">
        <f>"tgs-1"</f>
        <v>tgs-1</v>
      </c>
      <c r="Q2055" s="4">
        <v>13.4476381990082</v>
      </c>
      <c r="R2055" s="4">
        <v>13.4813987509903</v>
      </c>
      <c r="S2055" s="4">
        <v>13.5635739937139</v>
      </c>
      <c r="T2055" s="4">
        <f t="shared" si="130"/>
        <v>13.497536981237467</v>
      </c>
      <c r="W2055" s="4" t="str">
        <f>"T04C9.1"</f>
        <v>T04C9.1</v>
      </c>
      <c r="X2055" s="4">
        <v>13.4215158183427</v>
      </c>
      <c r="Y2055" s="4">
        <v>13.7929856394993</v>
      </c>
      <c r="Z2055" s="4">
        <v>13.468877851562</v>
      </c>
      <c r="AA2055" s="4">
        <f t="shared" si="131"/>
        <v>13.561126436467999</v>
      </c>
    </row>
    <row r="2056" spans="2:27" x14ac:dyDescent="0.2">
      <c r="B2056" s="4" t="s">
        <v>849</v>
      </c>
      <c r="C2056" s="4">
        <v>14.132099999999999</v>
      </c>
      <c r="D2056" s="4">
        <v>13.449400000000001</v>
      </c>
      <c r="E2056" s="4">
        <v>14.278</v>
      </c>
      <c r="F2056" s="4">
        <f t="shared" si="128"/>
        <v>13.953166666666666</v>
      </c>
      <c r="I2056" s="4" t="s">
        <v>561</v>
      </c>
      <c r="J2056" s="4">
        <v>14.2125</v>
      </c>
      <c r="K2056" s="4">
        <v>13.6274</v>
      </c>
      <c r="L2056" s="4">
        <v>13.9193</v>
      </c>
      <c r="M2056" s="4">
        <f t="shared" si="129"/>
        <v>13.919733333333333</v>
      </c>
      <c r="P2056" s="4" t="str">
        <f>"tmem-24"</f>
        <v>tmem-24</v>
      </c>
      <c r="Q2056" s="4">
        <v>13.610426209243</v>
      </c>
      <c r="R2056" s="4">
        <v>13.0861012443355</v>
      </c>
      <c r="S2056" s="4">
        <v>13.7908017127753</v>
      </c>
      <c r="T2056" s="4">
        <f t="shared" si="130"/>
        <v>13.4957763887846</v>
      </c>
      <c r="W2056" s="4" t="str">
        <f>"gst-42"</f>
        <v>gst-42</v>
      </c>
      <c r="X2056" s="4">
        <v>14.038509596482699</v>
      </c>
      <c r="Y2056" s="4">
        <v>13.1502507440633</v>
      </c>
      <c r="Z2056" s="4">
        <v>13.4943568286618</v>
      </c>
      <c r="AA2056" s="4">
        <f t="shared" si="131"/>
        <v>13.561039056402599</v>
      </c>
    </row>
    <row r="2057" spans="2:27" x14ac:dyDescent="0.2">
      <c r="B2057" s="4" t="s">
        <v>3599</v>
      </c>
      <c r="C2057" s="4">
        <v>13.997</v>
      </c>
      <c r="D2057" s="4">
        <v>14.217700000000001</v>
      </c>
      <c r="E2057" s="4">
        <v>13.642300000000001</v>
      </c>
      <c r="F2057" s="4">
        <f t="shared" si="128"/>
        <v>13.952333333333334</v>
      </c>
      <c r="I2057" s="4" t="s">
        <v>3352</v>
      </c>
      <c r="J2057" s="4">
        <v>13.974500000000001</v>
      </c>
      <c r="K2057" s="4">
        <v>12.749000000000001</v>
      </c>
      <c r="L2057" s="4">
        <v>15.035600000000001</v>
      </c>
      <c r="M2057" s="4">
        <f t="shared" si="129"/>
        <v>13.919700000000001</v>
      </c>
      <c r="P2057" s="4" t="str">
        <f>"dnc-1"</f>
        <v>dnc-1</v>
      </c>
      <c r="Q2057" s="4">
        <v>13.440094257711699</v>
      </c>
      <c r="R2057" s="4">
        <v>13.6240919841898</v>
      </c>
      <c r="S2057" s="4">
        <v>13.4229913696708</v>
      </c>
      <c r="T2057" s="4">
        <f t="shared" si="130"/>
        <v>13.495725870524099</v>
      </c>
      <c r="W2057" s="4" t="str">
        <f>"ZK105.1"</f>
        <v>ZK105.1</v>
      </c>
      <c r="X2057" s="4">
        <v>13.737853747565801</v>
      </c>
      <c r="Y2057" s="4">
        <v>13.6610539512498</v>
      </c>
      <c r="Z2057" s="4">
        <v>13.2812560739756</v>
      </c>
      <c r="AA2057" s="4">
        <f t="shared" si="131"/>
        <v>13.560054590930399</v>
      </c>
    </row>
    <row r="2058" spans="2:27" x14ac:dyDescent="0.2">
      <c r="B2058" s="4" t="s">
        <v>4585</v>
      </c>
      <c r="C2058" s="4">
        <v>14.482100000000001</v>
      </c>
      <c r="D2058" s="4">
        <v>13.6724</v>
      </c>
      <c r="E2058" s="4">
        <v>13.701000000000001</v>
      </c>
      <c r="F2058" s="4">
        <f t="shared" si="128"/>
        <v>13.951833333333333</v>
      </c>
      <c r="I2058" s="4" t="s">
        <v>4749</v>
      </c>
      <c r="J2058" s="4">
        <v>14.076700000000001</v>
      </c>
      <c r="K2058" s="4">
        <v>13.623200000000001</v>
      </c>
      <c r="L2058" s="4">
        <v>14.0555</v>
      </c>
      <c r="M2058" s="4">
        <f t="shared" si="129"/>
        <v>13.918466666666667</v>
      </c>
      <c r="P2058" s="4" t="str">
        <f>"T16G1.7"</f>
        <v>T16G1.7</v>
      </c>
      <c r="Q2058" s="4">
        <v>13.2009792508755</v>
      </c>
      <c r="R2058" s="4">
        <v>13.534525299212699</v>
      </c>
      <c r="S2058" s="4">
        <v>13.7509163950138</v>
      </c>
      <c r="T2058" s="4">
        <f t="shared" si="130"/>
        <v>13.495473648367332</v>
      </c>
      <c r="W2058" s="4" t="str">
        <f>"K04G7.1"</f>
        <v>K04G7.1</v>
      </c>
      <c r="X2058" s="4">
        <v>13.173762234065</v>
      </c>
      <c r="Y2058" s="4">
        <v>13.936239784814401</v>
      </c>
      <c r="Z2058" s="4">
        <v>13.565229195907399</v>
      </c>
      <c r="AA2058" s="4">
        <f t="shared" si="131"/>
        <v>13.558410404928933</v>
      </c>
    </row>
    <row r="2059" spans="2:27" x14ac:dyDescent="0.2">
      <c r="B2059" s="4" t="s">
        <v>2159</v>
      </c>
      <c r="C2059" s="4">
        <v>13.449400000000001</v>
      </c>
      <c r="D2059" s="4">
        <v>14.3835</v>
      </c>
      <c r="E2059" s="4">
        <v>14.020899999999999</v>
      </c>
      <c r="F2059" s="4">
        <f t="shared" si="128"/>
        <v>13.951266666666667</v>
      </c>
      <c r="I2059" s="4" t="s">
        <v>959</v>
      </c>
      <c r="J2059" s="4">
        <v>13.108000000000001</v>
      </c>
      <c r="K2059" s="4">
        <v>13.817</v>
      </c>
      <c r="L2059" s="4">
        <v>14.8292</v>
      </c>
      <c r="M2059" s="4">
        <f t="shared" si="129"/>
        <v>13.918066666666666</v>
      </c>
      <c r="P2059" s="4" t="str">
        <f>"ztf-7"</f>
        <v>ztf-7</v>
      </c>
      <c r="Q2059" s="4">
        <v>13.2441012590378</v>
      </c>
      <c r="R2059" s="4">
        <v>13.6800997689817</v>
      </c>
      <c r="S2059" s="4">
        <v>13.558346268534599</v>
      </c>
      <c r="T2059" s="4">
        <f t="shared" si="130"/>
        <v>13.494182432184701</v>
      </c>
      <c r="W2059" s="4" t="str">
        <f>"K09A9.6"</f>
        <v>K09A9.6</v>
      </c>
      <c r="X2059" s="4">
        <v>13.4327544077601</v>
      </c>
      <c r="Y2059" s="4">
        <v>13.616397845131599</v>
      </c>
      <c r="Z2059" s="4">
        <v>13.612063191041401</v>
      </c>
      <c r="AA2059" s="4">
        <f t="shared" si="131"/>
        <v>13.553738481311035</v>
      </c>
    </row>
    <row r="2060" spans="2:27" x14ac:dyDescent="0.2">
      <c r="B2060" s="4" t="s">
        <v>4750</v>
      </c>
      <c r="C2060" s="4">
        <v>13.9594</v>
      </c>
      <c r="D2060" s="4">
        <v>14.004300000000001</v>
      </c>
      <c r="E2060" s="4">
        <v>13.889799999999999</v>
      </c>
      <c r="F2060" s="4">
        <f t="shared" si="128"/>
        <v>13.951166666666667</v>
      </c>
      <c r="I2060" s="4" t="s">
        <v>2766</v>
      </c>
      <c r="J2060" s="4">
        <v>13.891299999999999</v>
      </c>
      <c r="K2060" s="4">
        <v>13.8879</v>
      </c>
      <c r="L2060" s="4">
        <v>13.9726</v>
      </c>
      <c r="M2060" s="4">
        <f t="shared" si="129"/>
        <v>13.917266666666668</v>
      </c>
      <c r="P2060" s="4" t="str">
        <f>"gly-4"</f>
        <v>gly-4</v>
      </c>
      <c r="Q2060" s="4">
        <v>13.1763157648162</v>
      </c>
      <c r="R2060" s="4">
        <v>13.619474504771199</v>
      </c>
      <c r="S2060" s="4">
        <v>13.6860227119492</v>
      </c>
      <c r="T2060" s="4">
        <f t="shared" si="130"/>
        <v>13.4939376605122</v>
      </c>
      <c r="W2060" s="4" t="str">
        <f>"K11H12.8"</f>
        <v>K11H12.8</v>
      </c>
      <c r="X2060" s="4">
        <v>13.9388926126271</v>
      </c>
      <c r="Y2060" s="4">
        <v>13.58812587135</v>
      </c>
      <c r="Z2060" s="4">
        <v>13.1312850956629</v>
      </c>
      <c r="AA2060" s="4">
        <f t="shared" si="131"/>
        <v>13.552767859880001</v>
      </c>
    </row>
    <row r="2061" spans="2:27" x14ac:dyDescent="0.2">
      <c r="B2061" s="4" t="s">
        <v>3560</v>
      </c>
      <c r="C2061" s="4">
        <v>13.900399999999999</v>
      </c>
      <c r="D2061" s="4">
        <v>13.8004</v>
      </c>
      <c r="E2061" s="4">
        <v>14.1515</v>
      </c>
      <c r="F2061" s="4">
        <f t="shared" si="128"/>
        <v>13.950766666666667</v>
      </c>
      <c r="I2061" s="4" t="s">
        <v>4243</v>
      </c>
      <c r="J2061" s="4">
        <v>14.430300000000001</v>
      </c>
      <c r="K2061" s="4">
        <v>13.949400000000001</v>
      </c>
      <c r="L2061" s="4">
        <v>13.370799999999999</v>
      </c>
      <c r="M2061" s="4">
        <f t="shared" si="129"/>
        <v>13.916833333333335</v>
      </c>
      <c r="P2061" s="4" t="str">
        <f>"dhs-3"</f>
        <v>dhs-3</v>
      </c>
      <c r="Q2061" s="4">
        <v>13.3898016538918</v>
      </c>
      <c r="R2061" s="4">
        <v>13.5115156159285</v>
      </c>
      <c r="S2061" s="4">
        <v>13.576382230066899</v>
      </c>
      <c r="T2061" s="4">
        <f t="shared" si="130"/>
        <v>13.4925664999624</v>
      </c>
      <c r="W2061" s="4" t="str">
        <f>"erp-44.1"</f>
        <v>erp-44.1</v>
      </c>
      <c r="X2061" s="4">
        <v>13.463786495375601</v>
      </c>
      <c r="Y2061" s="4">
        <v>13.7298177710428</v>
      </c>
      <c r="Z2061" s="4">
        <v>13.462183801025001</v>
      </c>
      <c r="AA2061" s="4">
        <f t="shared" si="131"/>
        <v>13.551929355814467</v>
      </c>
    </row>
    <row r="2062" spans="2:27" x14ac:dyDescent="0.2">
      <c r="B2062" s="4" t="s">
        <v>3489</v>
      </c>
      <c r="C2062" s="4">
        <v>13.973800000000001</v>
      </c>
      <c r="D2062" s="4">
        <v>13.7935</v>
      </c>
      <c r="E2062" s="4">
        <v>14.083299999999999</v>
      </c>
      <c r="F2062" s="4">
        <f t="shared" si="128"/>
        <v>13.950200000000001</v>
      </c>
      <c r="I2062" s="4" t="s">
        <v>3417</v>
      </c>
      <c r="J2062" s="4">
        <v>14.0162</v>
      </c>
      <c r="K2062" s="4">
        <v>13.8217</v>
      </c>
      <c r="L2062" s="4">
        <v>13.9108</v>
      </c>
      <c r="M2062" s="4">
        <f t="shared" si="129"/>
        <v>13.916233333333333</v>
      </c>
      <c r="P2062" s="4" t="str">
        <f>"sel-1"</f>
        <v>sel-1</v>
      </c>
      <c r="Q2062" s="4">
        <v>13.2857373409489</v>
      </c>
      <c r="R2062" s="4">
        <v>13.6293546949003</v>
      </c>
      <c r="S2062" s="4">
        <v>13.560934785956301</v>
      </c>
      <c r="T2062" s="4">
        <f t="shared" si="130"/>
        <v>13.492008940601833</v>
      </c>
      <c r="W2062" s="4" t="str">
        <f>"pfn-2"</f>
        <v>pfn-2</v>
      </c>
      <c r="X2062" s="4">
        <v>14.179814218125401</v>
      </c>
      <c r="Y2062" s="4">
        <v>13.237078408351</v>
      </c>
      <c r="Z2062" s="4">
        <v>13.2292185069856</v>
      </c>
      <c r="AA2062" s="4">
        <f t="shared" si="131"/>
        <v>13.548703711153999</v>
      </c>
    </row>
    <row r="2063" spans="2:27" x14ac:dyDescent="0.2">
      <c r="B2063" s="4" t="s">
        <v>4478</v>
      </c>
      <c r="C2063" s="4">
        <v>14.0906</v>
      </c>
      <c r="D2063" s="4">
        <v>13.8491</v>
      </c>
      <c r="E2063" s="4">
        <v>13.9078</v>
      </c>
      <c r="F2063" s="4">
        <f t="shared" si="128"/>
        <v>13.949166666666668</v>
      </c>
      <c r="I2063" s="4" t="s">
        <v>4751</v>
      </c>
      <c r="J2063" s="4">
        <v>13.9361</v>
      </c>
      <c r="K2063" s="4">
        <v>14.1648</v>
      </c>
      <c r="L2063" s="4">
        <v>13.646100000000001</v>
      </c>
      <c r="M2063" s="4">
        <f t="shared" si="129"/>
        <v>13.915666666666667</v>
      </c>
      <c r="P2063" s="4" t="str">
        <f>"nhr-189"</f>
        <v>nhr-189</v>
      </c>
      <c r="Q2063" s="4">
        <v>13.916925613087599</v>
      </c>
      <c r="R2063" s="4">
        <v>13.2284995523641</v>
      </c>
      <c r="S2063" s="4">
        <v>13.304893791699101</v>
      </c>
      <c r="T2063" s="4">
        <f t="shared" si="130"/>
        <v>13.4834396523836</v>
      </c>
      <c r="W2063" s="4" t="str">
        <f>"prp-9"</f>
        <v>prp-9</v>
      </c>
      <c r="X2063" s="4">
        <v>13.728652917882799</v>
      </c>
      <c r="Y2063" s="4">
        <v>13.4658167592094</v>
      </c>
      <c r="Z2063" s="4">
        <v>13.444065487062201</v>
      </c>
      <c r="AA2063" s="4">
        <f t="shared" si="131"/>
        <v>13.546178388051468</v>
      </c>
    </row>
    <row r="2064" spans="2:27" x14ac:dyDescent="0.2">
      <c r="B2064" s="4" t="s">
        <v>2759</v>
      </c>
      <c r="C2064" s="4">
        <v>13.82</v>
      </c>
      <c r="D2064" s="4">
        <v>14.153499999999999</v>
      </c>
      <c r="E2064" s="4">
        <v>13.8705</v>
      </c>
      <c r="F2064" s="4">
        <f t="shared" si="128"/>
        <v>13.948</v>
      </c>
      <c r="I2064" s="4" t="s">
        <v>3415</v>
      </c>
      <c r="J2064" s="4">
        <v>13.9598</v>
      </c>
      <c r="K2064" s="4">
        <v>13.846</v>
      </c>
      <c r="L2064" s="4">
        <v>13.939399999999999</v>
      </c>
      <c r="M2064" s="4">
        <f t="shared" si="129"/>
        <v>13.915066666666666</v>
      </c>
      <c r="P2064" s="4" t="str">
        <f>"Y62E10A.20"</f>
        <v>Y62E10A.20</v>
      </c>
      <c r="Q2064" s="4">
        <v>13.581682647560701</v>
      </c>
      <c r="R2064" s="4">
        <v>13.440264604691301</v>
      </c>
      <c r="S2064" s="4">
        <v>13.4237550551486</v>
      </c>
      <c r="T2064" s="4">
        <f t="shared" si="130"/>
        <v>13.481900769133533</v>
      </c>
      <c r="W2064" s="4" t="str">
        <f>"tpp-2"</f>
        <v>tpp-2</v>
      </c>
      <c r="X2064" s="4">
        <v>13.2907511340052</v>
      </c>
      <c r="Y2064" s="4">
        <v>13.424857860916401</v>
      </c>
      <c r="Z2064" s="4">
        <v>13.922916318495799</v>
      </c>
      <c r="AA2064" s="4">
        <f t="shared" si="131"/>
        <v>13.546175104472468</v>
      </c>
    </row>
    <row r="2065" spans="2:27" x14ac:dyDescent="0.2">
      <c r="B2065" s="4" t="s">
        <v>2834</v>
      </c>
      <c r="C2065" s="4">
        <v>14.0632</v>
      </c>
      <c r="D2065" s="4">
        <v>13.6593</v>
      </c>
      <c r="E2065" s="4">
        <v>14.1212</v>
      </c>
      <c r="F2065" s="4">
        <f t="shared" si="128"/>
        <v>13.947899999999999</v>
      </c>
      <c r="I2065" s="4" t="s">
        <v>1538</v>
      </c>
      <c r="J2065" s="4">
        <v>13.0844</v>
      </c>
      <c r="K2065" s="4">
        <v>13.478</v>
      </c>
      <c r="L2065" s="4">
        <v>15.1761</v>
      </c>
      <c r="M2065" s="4">
        <f t="shared" si="129"/>
        <v>13.912833333333333</v>
      </c>
      <c r="P2065" s="4" t="str">
        <f>"Y39B6A.1"</f>
        <v>Y39B6A.1</v>
      </c>
      <c r="Q2065" s="4">
        <v>14.3230451174081</v>
      </c>
      <c r="R2065" s="4">
        <v>13.2189637267413</v>
      </c>
      <c r="S2065" s="4">
        <v>12.8972737548543</v>
      </c>
      <c r="T2065" s="4">
        <f t="shared" si="130"/>
        <v>13.479760866334567</v>
      </c>
      <c r="W2065" s="4" t="str">
        <f>"cyp-37a1"</f>
        <v>cyp-37a1</v>
      </c>
      <c r="X2065" s="4">
        <v>13.538460274410999</v>
      </c>
      <c r="Y2065" s="4">
        <v>13.604156947621201</v>
      </c>
      <c r="Z2065" s="4">
        <v>13.4888058558743</v>
      </c>
      <c r="AA2065" s="4">
        <f t="shared" si="131"/>
        <v>13.543807692635502</v>
      </c>
    </row>
    <row r="2066" spans="2:27" x14ac:dyDescent="0.2">
      <c r="B2066" s="4" t="s">
        <v>3141</v>
      </c>
      <c r="C2066" s="4">
        <v>13.861599999999999</v>
      </c>
      <c r="D2066" s="4">
        <v>14.058400000000001</v>
      </c>
      <c r="E2066" s="4">
        <v>13.912000000000001</v>
      </c>
      <c r="F2066" s="4">
        <f t="shared" si="128"/>
        <v>13.944000000000001</v>
      </c>
      <c r="I2066" s="4" t="s">
        <v>1047</v>
      </c>
      <c r="J2066" s="4">
        <v>13.5724</v>
      </c>
      <c r="K2066" s="4">
        <v>13.9428</v>
      </c>
      <c r="L2066" s="4">
        <v>14.2225</v>
      </c>
      <c r="M2066" s="4">
        <f t="shared" si="129"/>
        <v>13.912566666666669</v>
      </c>
      <c r="P2066" s="4" t="str">
        <f>"dkf-1"</f>
        <v>dkf-1</v>
      </c>
      <c r="Q2066" s="4">
        <v>13.346141847454099</v>
      </c>
      <c r="R2066" s="4">
        <v>13.5485077986738</v>
      </c>
      <c r="S2066" s="4">
        <v>13.542797546546501</v>
      </c>
      <c r="T2066" s="4">
        <f t="shared" si="130"/>
        <v>13.479149064224799</v>
      </c>
      <c r="W2066" s="4" t="str">
        <f>"cyn-15"</f>
        <v>cyn-15</v>
      </c>
      <c r="X2066" s="4">
        <v>13.6761885216234</v>
      </c>
      <c r="Y2066" s="4">
        <v>13.400975891751299</v>
      </c>
      <c r="Z2066" s="4">
        <v>13.5531624761724</v>
      </c>
      <c r="AA2066" s="4">
        <f t="shared" si="131"/>
        <v>13.5434422965157</v>
      </c>
    </row>
    <row r="2067" spans="2:27" x14ac:dyDescent="0.2">
      <c r="B2067" s="4" t="s">
        <v>4752</v>
      </c>
      <c r="C2067" s="4">
        <v>14.469799999999999</v>
      </c>
      <c r="D2067" s="4">
        <v>13.6721</v>
      </c>
      <c r="E2067" s="4">
        <v>13.6881</v>
      </c>
      <c r="F2067" s="4">
        <f t="shared" si="128"/>
        <v>13.943333333333333</v>
      </c>
      <c r="I2067" s="4" t="s">
        <v>4291</v>
      </c>
      <c r="J2067" s="4">
        <v>13.5984</v>
      </c>
      <c r="K2067" s="4">
        <v>14.195399999999999</v>
      </c>
      <c r="L2067" s="4">
        <v>13.9429</v>
      </c>
      <c r="M2067" s="4">
        <f t="shared" si="129"/>
        <v>13.912233333333333</v>
      </c>
      <c r="P2067" s="4" t="str">
        <f>"acdh-8"</f>
        <v>acdh-8</v>
      </c>
      <c r="Q2067" s="4">
        <v>13.4550820779818</v>
      </c>
      <c r="R2067" s="4">
        <v>13.824397431623</v>
      </c>
      <c r="S2067" s="4">
        <v>13.1564781838205</v>
      </c>
      <c r="T2067" s="4">
        <f t="shared" si="130"/>
        <v>13.478652564475098</v>
      </c>
      <c r="W2067" s="4" t="str">
        <f>"trd-1"</f>
        <v>trd-1</v>
      </c>
      <c r="X2067" s="4">
        <v>13.612652877993501</v>
      </c>
      <c r="Y2067" s="4">
        <v>13.6570428901331</v>
      </c>
      <c r="Z2067" s="4">
        <v>13.3598239916001</v>
      </c>
      <c r="AA2067" s="4">
        <f t="shared" si="131"/>
        <v>13.543173253242236</v>
      </c>
    </row>
    <row r="2068" spans="2:27" x14ac:dyDescent="0.2">
      <c r="B2068" s="4" t="s">
        <v>3521</v>
      </c>
      <c r="C2068" s="4">
        <v>13.904199999999999</v>
      </c>
      <c r="D2068" s="4">
        <v>13.9053</v>
      </c>
      <c r="E2068" s="4">
        <v>14.02</v>
      </c>
      <c r="F2068" s="4">
        <f t="shared" si="128"/>
        <v>13.943166666666665</v>
      </c>
      <c r="I2068" s="4" t="s">
        <v>2233</v>
      </c>
      <c r="J2068" s="4">
        <v>13.931800000000001</v>
      </c>
      <c r="K2068" s="4">
        <v>13.8689</v>
      </c>
      <c r="L2068" s="4">
        <v>13.932399999999999</v>
      </c>
      <c r="M2068" s="4">
        <f t="shared" si="129"/>
        <v>13.911033333333334</v>
      </c>
      <c r="P2068" s="4" t="str">
        <f>"trxr-2"</f>
        <v>trxr-2</v>
      </c>
      <c r="Q2068" s="4">
        <v>13.634387582255901</v>
      </c>
      <c r="R2068" s="4">
        <v>13.3004904056735</v>
      </c>
      <c r="S2068" s="4">
        <v>13.496283500718899</v>
      </c>
      <c r="T2068" s="4">
        <f t="shared" si="130"/>
        <v>13.477053829549433</v>
      </c>
      <c r="W2068" s="4" t="str">
        <f>"F13A7.7"</f>
        <v>F13A7.7</v>
      </c>
      <c r="X2068" s="4">
        <v>13.440046891615699</v>
      </c>
      <c r="Y2068" s="4">
        <v>13.621974035207399</v>
      </c>
      <c r="Z2068" s="4">
        <v>13.5613098519192</v>
      </c>
      <c r="AA2068" s="4">
        <f t="shared" si="131"/>
        <v>13.541110259580767</v>
      </c>
    </row>
    <row r="2069" spans="2:27" x14ac:dyDescent="0.2">
      <c r="B2069" s="4" t="s">
        <v>12</v>
      </c>
      <c r="C2069" s="4">
        <v>13.1645</v>
      </c>
      <c r="D2069" s="4">
        <v>14.362299999999999</v>
      </c>
      <c r="E2069" s="4">
        <v>14.301600000000001</v>
      </c>
      <c r="F2069" s="4">
        <f t="shared" si="128"/>
        <v>13.9428</v>
      </c>
      <c r="I2069" s="4" t="s">
        <v>3884</v>
      </c>
      <c r="J2069" s="4">
        <v>13.820600000000001</v>
      </c>
      <c r="K2069" s="4">
        <v>13.609299999999999</v>
      </c>
      <c r="L2069" s="4">
        <v>14.299899999999999</v>
      </c>
      <c r="M2069" s="4">
        <f t="shared" si="129"/>
        <v>13.909933333333333</v>
      </c>
      <c r="P2069" s="4" t="str">
        <f>"mrps-6"</f>
        <v>mrps-6</v>
      </c>
      <c r="Q2069" s="4">
        <v>13.8037176035019</v>
      </c>
      <c r="R2069" s="4">
        <v>13.3840155169285</v>
      </c>
      <c r="S2069" s="4">
        <v>13.2416102310134</v>
      </c>
      <c r="T2069" s="4">
        <f t="shared" si="130"/>
        <v>13.476447783814601</v>
      </c>
      <c r="W2069" s="4" t="str">
        <f>"F28C6.8"</f>
        <v>F28C6.8</v>
      </c>
      <c r="X2069" s="4">
        <v>13.8230304756647</v>
      </c>
      <c r="Y2069" s="4">
        <v>13.345989812217701</v>
      </c>
      <c r="Z2069" s="4">
        <v>13.4506804293869</v>
      </c>
      <c r="AA2069" s="4">
        <f t="shared" si="131"/>
        <v>13.539900239089766</v>
      </c>
    </row>
    <row r="2070" spans="2:27" x14ac:dyDescent="0.2">
      <c r="B2070" s="4" t="s">
        <v>88</v>
      </c>
      <c r="C2070" s="4">
        <v>13.7753</v>
      </c>
      <c r="D2070" s="4">
        <v>13.7752</v>
      </c>
      <c r="E2070" s="4">
        <v>14.270899999999999</v>
      </c>
      <c r="F2070" s="4">
        <f t="shared" si="128"/>
        <v>13.940466666666666</v>
      </c>
      <c r="I2070" s="4" t="s">
        <v>3990</v>
      </c>
      <c r="J2070" s="4">
        <v>13.993499999999999</v>
      </c>
      <c r="K2070" s="4">
        <v>14.012700000000001</v>
      </c>
      <c r="L2070" s="4">
        <v>13.719099999999999</v>
      </c>
      <c r="M2070" s="4">
        <f t="shared" si="129"/>
        <v>13.908433333333333</v>
      </c>
      <c r="P2070" s="4" t="str">
        <f>"fntb-1"</f>
        <v>fntb-1</v>
      </c>
      <c r="Q2070" s="4">
        <v>13.4381766436732</v>
      </c>
      <c r="R2070" s="4">
        <v>13.480084289606699</v>
      </c>
      <c r="S2070" s="4">
        <v>13.5083688542954</v>
      </c>
      <c r="T2070" s="4">
        <f t="shared" si="130"/>
        <v>13.4755432625251</v>
      </c>
      <c r="W2070" s="4" t="str">
        <f>"tbc-3"</f>
        <v>tbc-3</v>
      </c>
      <c r="X2070" s="4">
        <v>13.532313008791</v>
      </c>
      <c r="Y2070" s="4">
        <v>13.775606039505901</v>
      </c>
      <c r="Z2070" s="4">
        <v>13.3094118721435</v>
      </c>
      <c r="AA2070" s="4">
        <f t="shared" si="131"/>
        <v>13.539110306813468</v>
      </c>
    </row>
    <row r="2071" spans="2:27" x14ac:dyDescent="0.2">
      <c r="B2071" s="4" t="s">
        <v>1622</v>
      </c>
      <c r="C2071" s="4">
        <v>13.9565</v>
      </c>
      <c r="D2071" s="4">
        <v>14.2704</v>
      </c>
      <c r="E2071" s="4">
        <v>13.586600000000001</v>
      </c>
      <c r="F2071" s="4">
        <f t="shared" si="128"/>
        <v>13.937833333333336</v>
      </c>
      <c r="I2071" s="4" t="s">
        <v>2323</v>
      </c>
      <c r="J2071" s="4">
        <v>13.7494</v>
      </c>
      <c r="K2071" s="4">
        <v>14.136699999999999</v>
      </c>
      <c r="L2071" s="4">
        <v>13.8384</v>
      </c>
      <c r="M2071" s="4">
        <f t="shared" si="129"/>
        <v>13.908166666666666</v>
      </c>
      <c r="P2071" s="4" t="str">
        <f>"btf-1"</f>
        <v>btf-1</v>
      </c>
      <c r="Q2071" s="4">
        <v>13.513912345475999</v>
      </c>
      <c r="R2071" s="4">
        <v>13.577248562212899</v>
      </c>
      <c r="S2071" s="4">
        <v>13.3330303544152</v>
      </c>
      <c r="T2071" s="4">
        <f t="shared" si="130"/>
        <v>13.474730420701368</v>
      </c>
      <c r="W2071" s="4" t="str">
        <f>"lsm-4"</f>
        <v>lsm-4</v>
      </c>
      <c r="X2071" s="4">
        <v>13.7220348351303</v>
      </c>
      <c r="Y2071" s="4">
        <v>13.3826328852768</v>
      </c>
      <c r="Z2071" s="4">
        <v>13.5090671343771</v>
      </c>
      <c r="AA2071" s="4">
        <f t="shared" si="131"/>
        <v>13.537911618261399</v>
      </c>
    </row>
    <row r="2072" spans="2:27" x14ac:dyDescent="0.2">
      <c r="B2072" s="4" t="s">
        <v>4726</v>
      </c>
      <c r="C2072" s="4">
        <v>13.6829</v>
      </c>
      <c r="D2072" s="4">
        <v>14.1713</v>
      </c>
      <c r="E2072" s="4">
        <v>13.9566</v>
      </c>
      <c r="F2072" s="4">
        <f t="shared" si="128"/>
        <v>13.936933333333334</v>
      </c>
      <c r="I2072" s="4" t="s">
        <v>3439</v>
      </c>
      <c r="J2072" s="4">
        <v>13.6378</v>
      </c>
      <c r="K2072" s="4">
        <v>13.9604</v>
      </c>
      <c r="L2072" s="4">
        <v>14.1212</v>
      </c>
      <c r="M2072" s="4">
        <f t="shared" si="129"/>
        <v>13.906466666666667</v>
      </c>
      <c r="P2072" s="4" t="str">
        <f>"Y9C9A.8"</f>
        <v>Y9C9A.8</v>
      </c>
      <c r="Q2072" s="4">
        <v>13.5535715805217</v>
      </c>
      <c r="R2072" s="4">
        <v>13.5346902070022</v>
      </c>
      <c r="S2072" s="4">
        <v>13.3323235511078</v>
      </c>
      <c r="T2072" s="4">
        <f t="shared" si="130"/>
        <v>13.473528446210565</v>
      </c>
      <c r="W2072" s="4" t="str">
        <f>"acl-3"</f>
        <v>acl-3</v>
      </c>
      <c r="X2072" s="4">
        <v>13.2347808076899</v>
      </c>
      <c r="Y2072" s="4">
        <v>13.7851914866588</v>
      </c>
      <c r="Z2072" s="4">
        <v>13.5933585619241</v>
      </c>
      <c r="AA2072" s="4">
        <f t="shared" si="131"/>
        <v>13.537776952090931</v>
      </c>
    </row>
    <row r="2073" spans="2:27" x14ac:dyDescent="0.2">
      <c r="B2073" s="4" t="s">
        <v>1021</v>
      </c>
      <c r="C2073" s="4">
        <v>13.661899999999999</v>
      </c>
      <c r="D2073" s="4">
        <v>14.150399999999999</v>
      </c>
      <c r="E2073" s="4">
        <v>13.9978</v>
      </c>
      <c r="F2073" s="4">
        <f t="shared" si="128"/>
        <v>13.9367</v>
      </c>
      <c r="I2073" s="4" t="s">
        <v>435</v>
      </c>
      <c r="J2073" s="4">
        <v>13.882899999999999</v>
      </c>
      <c r="K2073" s="4">
        <v>14.1678</v>
      </c>
      <c r="L2073" s="4">
        <v>13.6686</v>
      </c>
      <c r="M2073" s="4">
        <f t="shared" si="129"/>
        <v>13.906433333333332</v>
      </c>
      <c r="P2073" s="4" t="str">
        <f>"fcp-1"</f>
        <v>fcp-1</v>
      </c>
      <c r="Q2073" s="4">
        <v>13.4191412258778</v>
      </c>
      <c r="R2073" s="4">
        <v>13.3355480131557</v>
      </c>
      <c r="S2073" s="4">
        <v>13.662777558475099</v>
      </c>
      <c r="T2073" s="4">
        <f t="shared" si="130"/>
        <v>13.472488932502865</v>
      </c>
      <c r="W2073" s="4" t="str">
        <f>"stc-1"</f>
        <v>stc-1</v>
      </c>
      <c r="X2073" s="4">
        <v>13.843185887518599</v>
      </c>
      <c r="Y2073" s="4">
        <v>13.3640229521323</v>
      </c>
      <c r="Z2073" s="4">
        <v>13.4051223818811</v>
      </c>
      <c r="AA2073" s="4">
        <f t="shared" si="131"/>
        <v>13.537443740510668</v>
      </c>
    </row>
    <row r="2074" spans="2:27" x14ac:dyDescent="0.2">
      <c r="B2074" s="4" t="s">
        <v>3272</v>
      </c>
      <c r="C2074" s="4">
        <v>14.1203</v>
      </c>
      <c r="D2074" s="4">
        <v>13.7186</v>
      </c>
      <c r="E2074" s="4">
        <v>13.9611</v>
      </c>
      <c r="F2074" s="4">
        <f t="shared" si="128"/>
        <v>13.933333333333335</v>
      </c>
      <c r="I2074" s="4" t="s">
        <v>1920</v>
      </c>
      <c r="J2074" s="4">
        <v>13.321899999999999</v>
      </c>
      <c r="K2074" s="4">
        <v>13.7118</v>
      </c>
      <c r="L2074" s="4">
        <v>14.6839</v>
      </c>
      <c r="M2074" s="4">
        <f t="shared" si="129"/>
        <v>13.905866666666666</v>
      </c>
      <c r="P2074" s="4" t="str">
        <f>"cyp-37a1"</f>
        <v>cyp-37a1</v>
      </c>
      <c r="Q2074" s="4">
        <v>13.454806936251201</v>
      </c>
      <c r="R2074" s="4">
        <v>13.3629400176508</v>
      </c>
      <c r="S2074" s="4">
        <v>13.597777371756401</v>
      </c>
      <c r="T2074" s="4">
        <f t="shared" si="130"/>
        <v>13.471841441886134</v>
      </c>
      <c r="W2074" s="4" t="str">
        <f>"pfas-1"</f>
        <v>pfas-1</v>
      </c>
      <c r="X2074" s="4">
        <v>13.5270582255643</v>
      </c>
      <c r="Y2074" s="4">
        <v>13.6133225796542</v>
      </c>
      <c r="Z2074" s="4">
        <v>13.4655246667397</v>
      </c>
      <c r="AA2074" s="4">
        <f t="shared" si="131"/>
        <v>13.535301823986066</v>
      </c>
    </row>
    <row r="2075" spans="2:27" x14ac:dyDescent="0.2">
      <c r="B2075" s="4" t="s">
        <v>4437</v>
      </c>
      <c r="C2075" s="4">
        <v>13.9595</v>
      </c>
      <c r="D2075" s="4">
        <v>13.7706</v>
      </c>
      <c r="E2075" s="4">
        <v>14.068099999999999</v>
      </c>
      <c r="F2075" s="4">
        <f t="shared" si="128"/>
        <v>13.932733333333333</v>
      </c>
      <c r="I2075" s="4" t="s">
        <v>3587</v>
      </c>
      <c r="J2075" s="4">
        <v>14.0418</v>
      </c>
      <c r="K2075" s="4">
        <v>13.48</v>
      </c>
      <c r="L2075" s="4">
        <v>14.195</v>
      </c>
      <c r="M2075" s="4">
        <f t="shared" si="129"/>
        <v>13.9056</v>
      </c>
      <c r="P2075" s="4" t="str">
        <f>"R151.6"</f>
        <v>R151.6</v>
      </c>
      <c r="Q2075" s="4">
        <v>13.874378670100601</v>
      </c>
      <c r="R2075" s="4">
        <v>13.4420727758586</v>
      </c>
      <c r="S2075" s="4">
        <v>13.096062631065299</v>
      </c>
      <c r="T2075" s="4">
        <f t="shared" si="130"/>
        <v>13.470838025674835</v>
      </c>
      <c r="W2075" s="4" t="str">
        <f>"rbd-1"</f>
        <v>rbd-1</v>
      </c>
      <c r="X2075" s="4">
        <v>13.4616533077402</v>
      </c>
      <c r="Y2075" s="4">
        <v>13.833725542115801</v>
      </c>
      <c r="Z2075" s="4">
        <v>13.308337693615</v>
      </c>
      <c r="AA2075" s="4">
        <f t="shared" si="131"/>
        <v>13.534572181157001</v>
      </c>
    </row>
    <row r="2076" spans="2:27" x14ac:dyDescent="0.2">
      <c r="B2076" s="4" t="s">
        <v>4201</v>
      </c>
      <c r="C2076" s="4">
        <v>13.776199999999999</v>
      </c>
      <c r="D2076" s="4">
        <v>14.1861</v>
      </c>
      <c r="E2076" s="4">
        <v>13.8285</v>
      </c>
      <c r="F2076" s="4">
        <f t="shared" si="128"/>
        <v>13.930266666666666</v>
      </c>
      <c r="I2076" s="4" t="s">
        <v>1277</v>
      </c>
      <c r="J2076" s="4">
        <v>13.9192</v>
      </c>
      <c r="K2076" s="4">
        <v>13.926299999999999</v>
      </c>
      <c r="L2076" s="4">
        <v>13.8711</v>
      </c>
      <c r="M2076" s="4">
        <f t="shared" si="129"/>
        <v>13.905533333333333</v>
      </c>
      <c r="P2076" s="4" t="str">
        <f>"fitm-2"</f>
        <v>fitm-2</v>
      </c>
      <c r="Q2076" s="4">
        <v>13.2096874205399</v>
      </c>
      <c r="R2076" s="4">
        <v>13.513888551494601</v>
      </c>
      <c r="S2076" s="4">
        <v>13.6885932223186</v>
      </c>
      <c r="T2076" s="4">
        <f t="shared" si="130"/>
        <v>13.470723064784368</v>
      </c>
      <c r="W2076" s="4" t="str">
        <f>"T20D3.6"</f>
        <v>T20D3.6</v>
      </c>
      <c r="X2076" s="4">
        <v>13.7818408482694</v>
      </c>
      <c r="Y2076" s="4">
        <v>13.303038727385299</v>
      </c>
      <c r="Z2076" s="4">
        <v>13.5184302210856</v>
      </c>
      <c r="AA2076" s="4">
        <f t="shared" si="131"/>
        <v>13.534436598913432</v>
      </c>
    </row>
    <row r="2077" spans="2:27" x14ac:dyDescent="0.2">
      <c r="B2077" s="4" t="s">
        <v>1800</v>
      </c>
      <c r="C2077" s="4">
        <v>13.835599999999999</v>
      </c>
      <c r="D2077" s="4">
        <v>14.1051</v>
      </c>
      <c r="E2077" s="4">
        <v>13.849500000000001</v>
      </c>
      <c r="F2077" s="4">
        <f t="shared" si="128"/>
        <v>13.930066666666667</v>
      </c>
      <c r="I2077" s="4" t="s">
        <v>3980</v>
      </c>
      <c r="J2077" s="4">
        <v>13.6044</v>
      </c>
      <c r="K2077" s="4">
        <v>14.000299999999999</v>
      </c>
      <c r="L2077" s="4">
        <v>14.1012</v>
      </c>
      <c r="M2077" s="4">
        <f t="shared" si="129"/>
        <v>13.901966666666667</v>
      </c>
      <c r="P2077" s="4" t="str">
        <f>"dph-5"</f>
        <v>dph-5</v>
      </c>
      <c r="Q2077" s="4">
        <v>13.3057832245581</v>
      </c>
      <c r="R2077" s="4">
        <v>13.4751829440756</v>
      </c>
      <c r="S2077" s="4">
        <v>13.630321956075599</v>
      </c>
      <c r="T2077" s="4">
        <f t="shared" si="130"/>
        <v>13.4704293749031</v>
      </c>
      <c r="W2077" s="4" t="str">
        <f>"hira-1"</f>
        <v>hira-1</v>
      </c>
      <c r="X2077" s="4">
        <v>13.731010126504</v>
      </c>
      <c r="Y2077" s="4">
        <v>13.3550344216259</v>
      </c>
      <c r="Z2077" s="4">
        <v>13.5083553014999</v>
      </c>
      <c r="AA2077" s="4">
        <f t="shared" si="131"/>
        <v>13.531466616543264</v>
      </c>
    </row>
    <row r="2078" spans="2:27" x14ac:dyDescent="0.2">
      <c r="B2078" s="4" t="s">
        <v>747</v>
      </c>
      <c r="C2078" s="4">
        <v>13.9246</v>
      </c>
      <c r="D2078" s="4">
        <v>13.847899999999999</v>
      </c>
      <c r="E2078" s="4">
        <v>14.0162</v>
      </c>
      <c r="F2078" s="4">
        <f t="shared" si="128"/>
        <v>13.929566666666666</v>
      </c>
      <c r="I2078" s="4" t="s">
        <v>2099</v>
      </c>
      <c r="J2078" s="4">
        <v>14.0442</v>
      </c>
      <c r="K2078" s="4">
        <v>13.991400000000001</v>
      </c>
      <c r="L2078" s="4">
        <v>13.6637</v>
      </c>
      <c r="M2078" s="4">
        <f t="shared" si="129"/>
        <v>13.899766666666666</v>
      </c>
      <c r="P2078" s="4" t="str">
        <f>"nola-3"</f>
        <v>nola-3</v>
      </c>
      <c r="Q2078" s="4">
        <v>13.087960779866499</v>
      </c>
      <c r="R2078" s="4">
        <v>13.5317401299103</v>
      </c>
      <c r="S2078" s="4">
        <v>13.7911636934602</v>
      </c>
      <c r="T2078" s="4">
        <f t="shared" si="130"/>
        <v>13.470288201079001</v>
      </c>
      <c r="W2078" s="4" t="str">
        <f>"dpy-26"</f>
        <v>dpy-26</v>
      </c>
      <c r="X2078" s="4">
        <v>13.492559983593001</v>
      </c>
      <c r="Y2078" s="4">
        <v>13.6081001370433</v>
      </c>
      <c r="Z2078" s="4">
        <v>13.4898663201819</v>
      </c>
      <c r="AA2078" s="4">
        <f t="shared" si="131"/>
        <v>13.530175480272732</v>
      </c>
    </row>
    <row r="2079" spans="2:27" x14ac:dyDescent="0.2">
      <c r="B2079" s="4" t="s">
        <v>3885</v>
      </c>
      <c r="C2079" s="4">
        <v>13.5633</v>
      </c>
      <c r="D2079" s="4">
        <v>14.2903</v>
      </c>
      <c r="E2079" s="4">
        <v>13.933999999999999</v>
      </c>
      <c r="F2079" s="4">
        <f t="shared" si="128"/>
        <v>13.9292</v>
      </c>
      <c r="I2079" s="4" t="s">
        <v>2763</v>
      </c>
      <c r="J2079" s="4">
        <v>13.9682</v>
      </c>
      <c r="K2079" s="4">
        <v>13.9939</v>
      </c>
      <c r="L2079" s="4">
        <v>13.736499999999999</v>
      </c>
      <c r="M2079" s="4">
        <f t="shared" si="129"/>
        <v>13.899533333333332</v>
      </c>
      <c r="P2079" s="4" t="str">
        <f>"hip-1"</f>
        <v>hip-1</v>
      </c>
      <c r="Q2079" s="4">
        <v>13.2974136605886</v>
      </c>
      <c r="R2079" s="4">
        <v>13.346906655707301</v>
      </c>
      <c r="S2079" s="4">
        <v>13.763529109147701</v>
      </c>
      <c r="T2079" s="4">
        <f t="shared" si="130"/>
        <v>13.469283141814534</v>
      </c>
      <c r="W2079" s="4" t="str">
        <f>"age-1"</f>
        <v>age-1</v>
      </c>
      <c r="X2079" s="4">
        <v>13.454259480682801</v>
      </c>
      <c r="Y2079" s="4">
        <v>13.771038451211099</v>
      </c>
      <c r="Z2079" s="4">
        <v>13.357471937720099</v>
      </c>
      <c r="AA2079" s="4">
        <f t="shared" si="131"/>
        <v>13.527589956538</v>
      </c>
    </row>
    <row r="2080" spans="2:27" x14ac:dyDescent="0.2">
      <c r="B2080" s="4" t="s">
        <v>3955</v>
      </c>
      <c r="C2080" s="4">
        <v>14.1662</v>
      </c>
      <c r="D2080" s="4">
        <v>13.9443</v>
      </c>
      <c r="E2080" s="4">
        <v>13.676399999999999</v>
      </c>
      <c r="F2080" s="4">
        <f t="shared" si="128"/>
        <v>13.928966666666668</v>
      </c>
      <c r="I2080" s="4" t="s">
        <v>558</v>
      </c>
      <c r="J2080" s="4">
        <v>13.8515</v>
      </c>
      <c r="K2080" s="4">
        <v>14.2699</v>
      </c>
      <c r="L2080" s="4">
        <v>13.5763</v>
      </c>
      <c r="M2080" s="4">
        <f t="shared" si="129"/>
        <v>13.899233333333333</v>
      </c>
      <c r="P2080" s="4" t="str">
        <f>"mcd-1"</f>
        <v>mcd-1</v>
      </c>
      <c r="Q2080" s="4">
        <v>13.873572852710399</v>
      </c>
      <c r="R2080" s="4">
        <v>13.3629355539217</v>
      </c>
      <c r="S2080" s="4">
        <v>13.170337865362299</v>
      </c>
      <c r="T2080" s="4">
        <f t="shared" si="130"/>
        <v>13.468948757331466</v>
      </c>
      <c r="W2080" s="4" t="str">
        <f>"mau-2"</f>
        <v>mau-2</v>
      </c>
      <c r="X2080" s="4">
        <v>13.681577723874</v>
      </c>
      <c r="Y2080" s="4">
        <v>13.559952964503101</v>
      </c>
      <c r="Z2080" s="4">
        <v>13.330955771347501</v>
      </c>
      <c r="AA2080" s="4">
        <f t="shared" si="131"/>
        <v>13.524162153241534</v>
      </c>
    </row>
    <row r="2081" spans="2:27" x14ac:dyDescent="0.2">
      <c r="B2081" s="4" t="s">
        <v>960</v>
      </c>
      <c r="C2081" s="4">
        <v>14.0131</v>
      </c>
      <c r="D2081" s="4">
        <v>13.8935</v>
      </c>
      <c r="E2081" s="4">
        <v>13.876200000000001</v>
      </c>
      <c r="F2081" s="4">
        <f t="shared" si="128"/>
        <v>13.927599999999998</v>
      </c>
      <c r="I2081" s="4" t="s">
        <v>1800</v>
      </c>
      <c r="J2081" s="4">
        <v>13.679500000000001</v>
      </c>
      <c r="K2081" s="4">
        <v>13.7661</v>
      </c>
      <c r="L2081" s="4">
        <v>14.249700000000001</v>
      </c>
      <c r="M2081" s="4">
        <f t="shared" si="129"/>
        <v>13.898433333333335</v>
      </c>
      <c r="P2081" s="4" t="str">
        <f>"ccm-3"</f>
        <v>ccm-3</v>
      </c>
      <c r="Q2081" s="4">
        <v>12.994921878204</v>
      </c>
      <c r="R2081" s="4">
        <v>13.8050040339914</v>
      </c>
      <c r="S2081" s="4">
        <v>13.6047683352496</v>
      </c>
      <c r="T2081" s="4">
        <f t="shared" si="130"/>
        <v>13.468231415815</v>
      </c>
      <c r="W2081" s="4" t="str">
        <f>"lin-33"</f>
        <v>lin-33</v>
      </c>
      <c r="X2081" s="4">
        <v>13.1626469858025</v>
      </c>
      <c r="Y2081" s="4">
        <v>13.686540046878299</v>
      </c>
      <c r="Z2081" s="4">
        <v>13.721978002647001</v>
      </c>
      <c r="AA2081" s="4">
        <f t="shared" si="131"/>
        <v>13.5237216784426</v>
      </c>
    </row>
    <row r="2082" spans="2:27" x14ac:dyDescent="0.2">
      <c r="B2082" s="4" t="s">
        <v>1353</v>
      </c>
      <c r="C2082" s="4">
        <v>13.8848</v>
      </c>
      <c r="D2082" s="4">
        <v>13.891299999999999</v>
      </c>
      <c r="E2082" s="4">
        <v>14.0063</v>
      </c>
      <c r="F2082" s="4">
        <f t="shared" si="128"/>
        <v>13.927466666666666</v>
      </c>
      <c r="I2082" s="4" t="s">
        <v>405</v>
      </c>
      <c r="J2082" s="4">
        <v>13.993399999999999</v>
      </c>
      <c r="K2082" s="4">
        <v>13.8832</v>
      </c>
      <c r="L2082" s="4">
        <v>13.8096</v>
      </c>
      <c r="M2082" s="4">
        <f t="shared" si="129"/>
        <v>13.8954</v>
      </c>
      <c r="P2082" s="4" t="str">
        <f>"T04C9.1"</f>
        <v>T04C9.1</v>
      </c>
      <c r="Q2082" s="4">
        <v>13.350620704728</v>
      </c>
      <c r="R2082" s="4">
        <v>13.4052108474059</v>
      </c>
      <c r="S2082" s="4">
        <v>13.6477593319064</v>
      </c>
      <c r="T2082" s="4">
        <f t="shared" si="130"/>
        <v>13.467863628013433</v>
      </c>
      <c r="W2082" s="4" t="str">
        <f>"acdh-8"</f>
        <v>acdh-8</v>
      </c>
      <c r="X2082" s="4">
        <v>13.519592928804499</v>
      </c>
      <c r="Y2082" s="4">
        <v>13.3778176292911</v>
      </c>
      <c r="Z2082" s="4">
        <v>13.6728075168097</v>
      </c>
      <c r="AA2082" s="4">
        <f t="shared" si="131"/>
        <v>13.523406024968432</v>
      </c>
    </row>
    <row r="2083" spans="2:27" x14ac:dyDescent="0.2">
      <c r="B2083" s="4" t="s">
        <v>2712</v>
      </c>
      <c r="C2083" s="4">
        <v>14.045400000000001</v>
      </c>
      <c r="D2083" s="4">
        <v>13.5913</v>
      </c>
      <c r="E2083" s="4">
        <v>14.144500000000001</v>
      </c>
      <c r="F2083" s="4">
        <f t="shared" si="128"/>
        <v>13.927066666666667</v>
      </c>
      <c r="I2083" s="4" t="s">
        <v>2358</v>
      </c>
      <c r="J2083" s="4">
        <v>13.867800000000001</v>
      </c>
      <c r="K2083" s="4">
        <v>13.786799999999999</v>
      </c>
      <c r="L2083" s="4">
        <v>14.029</v>
      </c>
      <c r="M2083" s="4">
        <f t="shared" si="129"/>
        <v>13.894533333333333</v>
      </c>
      <c r="P2083" s="4" t="str">
        <f>"magu-4"</f>
        <v>magu-4</v>
      </c>
      <c r="Q2083" s="4">
        <v>13.444383773234399</v>
      </c>
      <c r="R2083" s="4">
        <v>13.548076228377001</v>
      </c>
      <c r="S2083" s="4">
        <v>13.409823507107401</v>
      </c>
      <c r="T2083" s="4">
        <f t="shared" si="130"/>
        <v>13.467427836239599</v>
      </c>
      <c r="W2083" s="4" t="str">
        <f>"Y116A8C.27"</f>
        <v>Y116A8C.27</v>
      </c>
      <c r="X2083" s="4">
        <v>13.5836731831257</v>
      </c>
      <c r="Y2083" s="4">
        <v>13.305737361676099</v>
      </c>
      <c r="Z2083" s="4">
        <v>13.6780495461144</v>
      </c>
      <c r="AA2083" s="4">
        <f t="shared" si="131"/>
        <v>13.522486696972067</v>
      </c>
    </row>
    <row r="2084" spans="2:27" x14ac:dyDescent="0.2">
      <c r="B2084" s="4" t="s">
        <v>4461</v>
      </c>
      <c r="C2084" s="4">
        <v>13.779299999999999</v>
      </c>
      <c r="D2084" s="4">
        <v>14.3317</v>
      </c>
      <c r="E2084" s="4">
        <v>13.6616</v>
      </c>
      <c r="F2084" s="4">
        <f t="shared" si="128"/>
        <v>13.924199999999999</v>
      </c>
      <c r="I2084" s="4" t="s">
        <v>1482</v>
      </c>
      <c r="J2084" s="4">
        <v>13.972200000000001</v>
      </c>
      <c r="K2084" s="4">
        <v>13.747400000000001</v>
      </c>
      <c r="L2084" s="4">
        <v>13.9628</v>
      </c>
      <c r="M2084" s="4">
        <f t="shared" si="129"/>
        <v>13.894133333333334</v>
      </c>
      <c r="P2084" s="4" t="str">
        <f>"nstp-10"</f>
        <v>nstp-10</v>
      </c>
      <c r="Q2084" s="4">
        <v>13.2897688303321</v>
      </c>
      <c r="R2084" s="4">
        <v>13.417078534038801</v>
      </c>
      <c r="S2084" s="4">
        <v>13.684905590696101</v>
      </c>
      <c r="T2084" s="4">
        <f t="shared" si="130"/>
        <v>13.463917651689002</v>
      </c>
      <c r="W2084" s="4" t="str">
        <f>"D2030.3"</f>
        <v>D2030.3</v>
      </c>
      <c r="X2084" s="4">
        <v>14.178461378664799</v>
      </c>
      <c r="Y2084" s="4">
        <v>13.227635308515</v>
      </c>
      <c r="Z2084" s="4">
        <v>13.160187585007099</v>
      </c>
      <c r="AA2084" s="4">
        <f t="shared" si="131"/>
        <v>13.522094757395633</v>
      </c>
    </row>
    <row r="2085" spans="2:27" x14ac:dyDescent="0.2">
      <c r="B2085" s="4" t="s">
        <v>2233</v>
      </c>
      <c r="C2085" s="4">
        <v>13.9145</v>
      </c>
      <c r="D2085" s="4">
        <v>13.9497</v>
      </c>
      <c r="E2085" s="4">
        <v>13.9016</v>
      </c>
      <c r="F2085" s="4">
        <f t="shared" si="128"/>
        <v>13.921933333333333</v>
      </c>
      <c r="I2085" s="4" t="s">
        <v>541</v>
      </c>
      <c r="J2085" s="4">
        <v>13.6485</v>
      </c>
      <c r="K2085" s="4">
        <v>14.1197</v>
      </c>
      <c r="L2085" s="4">
        <v>13.9137</v>
      </c>
      <c r="M2085" s="4">
        <f t="shared" si="129"/>
        <v>13.893966666666666</v>
      </c>
      <c r="P2085" s="4" t="str">
        <f>"C05C10.2"</f>
        <v>C05C10.2</v>
      </c>
      <c r="Q2085" s="4">
        <v>13.5390604664557</v>
      </c>
      <c r="R2085" s="4">
        <v>13.4381383250757</v>
      </c>
      <c r="S2085" s="4">
        <v>13.411341483497599</v>
      </c>
      <c r="T2085" s="4">
        <f t="shared" si="130"/>
        <v>13.462846758343</v>
      </c>
      <c r="W2085" s="4" t="str">
        <f>"ccpp-1"</f>
        <v>ccpp-1</v>
      </c>
      <c r="X2085" s="4">
        <v>12.9381480350015</v>
      </c>
      <c r="Y2085" s="4">
        <v>13.0113232812215</v>
      </c>
      <c r="Z2085" s="4">
        <v>14.610507120386</v>
      </c>
      <c r="AA2085" s="4">
        <f t="shared" si="131"/>
        <v>13.519992812203</v>
      </c>
    </row>
    <row r="2086" spans="2:27" x14ac:dyDescent="0.2">
      <c r="B2086" s="4" t="s">
        <v>1448</v>
      </c>
      <c r="C2086" s="4">
        <v>14.198399999999999</v>
      </c>
      <c r="D2086" s="4">
        <v>13.748200000000001</v>
      </c>
      <c r="E2086" s="4">
        <v>13.8178</v>
      </c>
      <c r="F2086" s="4">
        <f t="shared" si="128"/>
        <v>13.921466666666667</v>
      </c>
      <c r="I2086" s="4" t="s">
        <v>1242</v>
      </c>
      <c r="J2086" s="4">
        <v>14.0831</v>
      </c>
      <c r="K2086" s="4">
        <v>13.652200000000001</v>
      </c>
      <c r="L2086" s="4">
        <v>13.9397</v>
      </c>
      <c r="M2086" s="4">
        <f t="shared" si="129"/>
        <v>13.891666666666667</v>
      </c>
      <c r="P2086" s="4" t="str">
        <f>"Y54G11A.7"</f>
        <v>Y54G11A.7</v>
      </c>
      <c r="Q2086" s="4">
        <v>13.528063581729601</v>
      </c>
      <c r="R2086" s="4">
        <v>13.598634893440799</v>
      </c>
      <c r="S2086" s="4">
        <v>13.2614313888065</v>
      </c>
      <c r="T2086" s="4">
        <f t="shared" si="130"/>
        <v>13.462709954658967</v>
      </c>
      <c r="W2086" s="4" t="str">
        <f>"pde-6"</f>
        <v>pde-6</v>
      </c>
      <c r="X2086" s="4">
        <v>13.422487840013501</v>
      </c>
      <c r="Y2086" s="4">
        <v>13.941555887485899</v>
      </c>
      <c r="Z2086" s="4">
        <v>13.1914905277937</v>
      </c>
      <c r="AA2086" s="4">
        <f t="shared" si="131"/>
        <v>13.518511418431032</v>
      </c>
    </row>
    <row r="2087" spans="2:27" x14ac:dyDescent="0.2">
      <c r="B2087" s="4" t="s">
        <v>2875</v>
      </c>
      <c r="C2087" s="4">
        <v>14.1616</v>
      </c>
      <c r="D2087" s="4">
        <v>13.562200000000001</v>
      </c>
      <c r="E2087" s="4">
        <v>14.039899999999999</v>
      </c>
      <c r="F2087" s="4">
        <f t="shared" si="128"/>
        <v>13.921233333333333</v>
      </c>
      <c r="I2087" s="4" t="s">
        <v>3953</v>
      </c>
      <c r="J2087" s="4">
        <v>13.844900000000001</v>
      </c>
      <c r="K2087" s="4">
        <v>13.8919</v>
      </c>
      <c r="L2087" s="4">
        <v>13.9339</v>
      </c>
      <c r="M2087" s="4">
        <f t="shared" si="129"/>
        <v>13.890233333333335</v>
      </c>
      <c r="P2087" s="4" t="str">
        <f>"mrpl-34"</f>
        <v>mrpl-34</v>
      </c>
      <c r="Q2087" s="4">
        <v>13.5615522796503</v>
      </c>
      <c r="R2087" s="4">
        <v>13.410564681893501</v>
      </c>
      <c r="S2087" s="4">
        <v>13.4156321973116</v>
      </c>
      <c r="T2087" s="4">
        <f t="shared" si="130"/>
        <v>13.4625830529518</v>
      </c>
      <c r="W2087" s="4" t="str">
        <f>"lact-1"</f>
        <v>lact-1</v>
      </c>
      <c r="X2087" s="4">
        <v>14.036545929655199</v>
      </c>
      <c r="Y2087" s="4">
        <v>13.232302460425601</v>
      </c>
      <c r="Z2087" s="4">
        <v>13.2860010178498</v>
      </c>
      <c r="AA2087" s="4">
        <f t="shared" si="131"/>
        <v>13.518283135976866</v>
      </c>
    </row>
    <row r="2088" spans="2:27" x14ac:dyDescent="0.2">
      <c r="B2088" s="4" t="s">
        <v>430</v>
      </c>
      <c r="C2088" s="4">
        <v>13.9055</v>
      </c>
      <c r="D2088" s="4">
        <v>14.162699999999999</v>
      </c>
      <c r="E2088" s="4">
        <v>13.6889</v>
      </c>
      <c r="F2088" s="4">
        <f t="shared" si="128"/>
        <v>13.919033333333331</v>
      </c>
      <c r="I2088" s="4" t="s">
        <v>2418</v>
      </c>
      <c r="J2088" s="4">
        <v>13.9129</v>
      </c>
      <c r="K2088" s="4">
        <v>13.7003</v>
      </c>
      <c r="L2088" s="4">
        <v>14.0565</v>
      </c>
      <c r="M2088" s="4">
        <f t="shared" si="129"/>
        <v>13.889899999999999</v>
      </c>
      <c r="P2088" s="4" t="str">
        <f>"atgp-1"</f>
        <v>atgp-1</v>
      </c>
      <c r="Q2088" s="4">
        <v>13.655105127331399</v>
      </c>
      <c r="R2088" s="4">
        <v>13.323255341042</v>
      </c>
      <c r="S2088" s="4">
        <v>13.4069676580826</v>
      </c>
      <c r="T2088" s="4">
        <f t="shared" si="130"/>
        <v>13.461776042152001</v>
      </c>
      <c r="W2088" s="4" t="str">
        <f>"mtcu-1"</f>
        <v>mtcu-1</v>
      </c>
      <c r="X2088" s="4">
        <v>13.590429586678001</v>
      </c>
      <c r="Y2088" s="4">
        <v>13.1394021772355</v>
      </c>
      <c r="Z2088" s="4">
        <v>13.819740183935799</v>
      </c>
      <c r="AA2088" s="4">
        <f t="shared" si="131"/>
        <v>13.516523982616434</v>
      </c>
    </row>
    <row r="2089" spans="2:27" x14ac:dyDescent="0.2">
      <c r="B2089" s="4" t="s">
        <v>1701</v>
      </c>
      <c r="C2089" s="4">
        <v>13.994400000000001</v>
      </c>
      <c r="D2089" s="4">
        <v>14.1439</v>
      </c>
      <c r="E2089" s="4">
        <v>13.617900000000001</v>
      </c>
      <c r="F2089" s="4">
        <f t="shared" si="128"/>
        <v>13.918733333333334</v>
      </c>
      <c r="I2089" s="4" t="s">
        <v>3360</v>
      </c>
      <c r="J2089" s="4">
        <v>13.9308</v>
      </c>
      <c r="K2089" s="4">
        <v>13.623200000000001</v>
      </c>
      <c r="L2089" s="4">
        <v>14.114599999999999</v>
      </c>
      <c r="M2089" s="4">
        <f t="shared" si="129"/>
        <v>13.889533333333333</v>
      </c>
      <c r="P2089" s="4" t="str">
        <f>"mab-31"</f>
        <v>mab-31</v>
      </c>
      <c r="Q2089" s="4">
        <v>13.5279945464051</v>
      </c>
      <c r="R2089" s="4">
        <v>13.3948607998156</v>
      </c>
      <c r="S2089" s="4">
        <v>13.4550146970466</v>
      </c>
      <c r="T2089" s="4">
        <f t="shared" si="130"/>
        <v>13.459290014422434</v>
      </c>
      <c r="W2089" s="4" t="str">
        <f>"inx-22"</f>
        <v>inx-22</v>
      </c>
      <c r="X2089" s="4">
        <v>14.737575060927201</v>
      </c>
      <c r="Y2089" s="4">
        <v>13.231898093336699</v>
      </c>
      <c r="Z2089" s="4">
        <v>12.579044013395499</v>
      </c>
      <c r="AA2089" s="4">
        <f t="shared" si="131"/>
        <v>13.516172389219799</v>
      </c>
    </row>
    <row r="2090" spans="2:27" x14ac:dyDescent="0.2">
      <c r="B2090" s="4" t="s">
        <v>4454</v>
      </c>
      <c r="C2090" s="4">
        <v>14.122</v>
      </c>
      <c r="D2090" s="4">
        <v>14.0906</v>
      </c>
      <c r="E2090" s="4">
        <v>13.5413</v>
      </c>
      <c r="F2090" s="4">
        <f t="shared" si="128"/>
        <v>13.917966666666667</v>
      </c>
      <c r="I2090" s="4" t="s">
        <v>4120</v>
      </c>
      <c r="J2090" s="4">
        <v>13.847799999999999</v>
      </c>
      <c r="K2090" s="4">
        <v>14.0402</v>
      </c>
      <c r="L2090" s="4">
        <v>13.7796</v>
      </c>
      <c r="M2090" s="4">
        <f t="shared" si="129"/>
        <v>13.889200000000001</v>
      </c>
      <c r="P2090" s="4" t="str">
        <f>"rpl-29"</f>
        <v>rpl-29</v>
      </c>
      <c r="Q2090" s="4">
        <v>12.714612738627199</v>
      </c>
      <c r="R2090" s="4">
        <v>13.6322300979036</v>
      </c>
      <c r="S2090" s="4">
        <v>14.0261809650834</v>
      </c>
      <c r="T2090" s="4">
        <f t="shared" si="130"/>
        <v>13.457674600538065</v>
      </c>
      <c r="W2090" s="4" t="str">
        <f>"asah-1"</f>
        <v>asah-1</v>
      </c>
      <c r="X2090" s="4">
        <v>13.5213193689078</v>
      </c>
      <c r="Y2090" s="4">
        <v>13.371189358922001</v>
      </c>
      <c r="Z2090" s="4">
        <v>13.6543205409268</v>
      </c>
      <c r="AA2090" s="4">
        <f t="shared" si="131"/>
        <v>13.515609756252198</v>
      </c>
    </row>
    <row r="2091" spans="2:27" x14ac:dyDescent="0.2">
      <c r="B2091" s="4" t="s">
        <v>1410</v>
      </c>
      <c r="C2091" s="4">
        <v>13.4916</v>
      </c>
      <c r="D2091" s="4">
        <v>14.6736</v>
      </c>
      <c r="E2091" s="4">
        <v>13.5883</v>
      </c>
      <c r="F2091" s="4">
        <f t="shared" si="128"/>
        <v>13.917833333333334</v>
      </c>
      <c r="I2091" s="4" t="s">
        <v>996</v>
      </c>
      <c r="J2091" s="4">
        <v>13.9803</v>
      </c>
      <c r="K2091" s="4">
        <v>13.5344</v>
      </c>
      <c r="L2091" s="4">
        <v>14.1417</v>
      </c>
      <c r="M2091" s="4">
        <f t="shared" si="129"/>
        <v>13.885466666666666</v>
      </c>
      <c r="P2091" s="4" t="str">
        <f>"R05H10.3"</f>
        <v>R05H10.3</v>
      </c>
      <c r="Q2091" s="4">
        <v>13.5422215750276</v>
      </c>
      <c r="R2091" s="4">
        <v>13.6319414091917</v>
      </c>
      <c r="S2091" s="4">
        <v>13.1958203544171</v>
      </c>
      <c r="T2091" s="4">
        <f t="shared" si="130"/>
        <v>13.4566611128788</v>
      </c>
      <c r="W2091" s="4" t="str">
        <f>"F42F12.3"</f>
        <v>F42F12.3</v>
      </c>
      <c r="X2091" s="4">
        <v>13.694041490618501</v>
      </c>
      <c r="Y2091" s="4">
        <v>13.592481194174599</v>
      </c>
      <c r="Z2091" s="4">
        <v>13.259973402869999</v>
      </c>
      <c r="AA2091" s="4">
        <f t="shared" si="131"/>
        <v>13.5154986958877</v>
      </c>
    </row>
    <row r="2092" spans="2:27" x14ac:dyDescent="0.2">
      <c r="B2092" s="4" t="s">
        <v>2220</v>
      </c>
      <c r="C2092" s="4">
        <v>13.883699999999999</v>
      </c>
      <c r="D2092" s="4">
        <v>13.493499999999999</v>
      </c>
      <c r="E2092" s="4">
        <v>14.3743</v>
      </c>
      <c r="F2092" s="4">
        <f t="shared" si="128"/>
        <v>13.917166666666667</v>
      </c>
      <c r="I2092" s="4" t="s">
        <v>4701</v>
      </c>
      <c r="J2092" s="4">
        <v>13.4781</v>
      </c>
      <c r="K2092" s="4">
        <v>13.7935</v>
      </c>
      <c r="L2092" s="4">
        <v>14.382899999999999</v>
      </c>
      <c r="M2092" s="4">
        <f t="shared" si="129"/>
        <v>13.884833333333333</v>
      </c>
      <c r="P2092" s="4" t="str">
        <f>"lsm-4"</f>
        <v>lsm-4</v>
      </c>
      <c r="Q2092" s="4">
        <v>13.445039309942199</v>
      </c>
      <c r="R2092" s="4">
        <v>13.645453932808101</v>
      </c>
      <c r="S2092" s="4">
        <v>13.277898814496499</v>
      </c>
      <c r="T2092" s="4">
        <f t="shared" si="130"/>
        <v>13.456130685748931</v>
      </c>
      <c r="W2092" s="4" t="str">
        <f>"F55A11.4"</f>
        <v>F55A11.4</v>
      </c>
      <c r="X2092" s="4">
        <v>13.3219285553416</v>
      </c>
      <c r="Y2092" s="4">
        <v>13.612521537439701</v>
      </c>
      <c r="Z2092" s="4">
        <v>13.609850170125499</v>
      </c>
      <c r="AA2092" s="4">
        <f t="shared" si="131"/>
        <v>13.514766754302267</v>
      </c>
    </row>
    <row r="2093" spans="2:27" x14ac:dyDescent="0.2">
      <c r="B2093" s="4" t="s">
        <v>3430</v>
      </c>
      <c r="C2093" s="4">
        <v>13.8856</v>
      </c>
      <c r="D2093" s="4">
        <v>13.934799999999999</v>
      </c>
      <c r="E2093" s="4">
        <v>13.926</v>
      </c>
      <c r="F2093" s="4">
        <f t="shared" si="128"/>
        <v>13.915466666666667</v>
      </c>
      <c r="I2093" s="4" t="s">
        <v>3677</v>
      </c>
      <c r="J2093" s="4">
        <v>14.5662</v>
      </c>
      <c r="K2093" s="4">
        <v>12.936299999999999</v>
      </c>
      <c r="L2093" s="4">
        <v>14.150499999999999</v>
      </c>
      <c r="M2093" s="4">
        <f t="shared" si="129"/>
        <v>13.884333333333332</v>
      </c>
      <c r="P2093" s="4" t="str">
        <f>"gsp-3"</f>
        <v>gsp-3</v>
      </c>
      <c r="Q2093" s="4">
        <v>13.4536355756616</v>
      </c>
      <c r="R2093" s="4">
        <v>13.7405031631901</v>
      </c>
      <c r="S2093" s="4">
        <v>13.172459899490899</v>
      </c>
      <c r="T2093" s="4">
        <f t="shared" si="130"/>
        <v>13.455532879447532</v>
      </c>
      <c r="W2093" s="4" t="str">
        <f>"alh-10"</f>
        <v>alh-10</v>
      </c>
      <c r="X2093" s="4">
        <v>13.481998206821499</v>
      </c>
      <c r="Y2093" s="4">
        <v>13.7233951495011</v>
      </c>
      <c r="Z2093" s="4">
        <v>13.3376884624754</v>
      </c>
      <c r="AA2093" s="4">
        <f t="shared" si="131"/>
        <v>13.514360606266001</v>
      </c>
    </row>
    <row r="2094" spans="2:27" x14ac:dyDescent="0.2">
      <c r="B2094" s="4" t="s">
        <v>84</v>
      </c>
      <c r="C2094" s="4">
        <v>14.1943</v>
      </c>
      <c r="D2094" s="4">
        <v>13.655799999999999</v>
      </c>
      <c r="E2094" s="4">
        <v>13.8947</v>
      </c>
      <c r="F2094" s="4">
        <f t="shared" si="128"/>
        <v>13.914933333333332</v>
      </c>
      <c r="I2094" s="4" t="s">
        <v>3318</v>
      </c>
      <c r="J2094" s="4">
        <v>13.5443</v>
      </c>
      <c r="K2094" s="4">
        <v>13.7394</v>
      </c>
      <c r="L2094" s="4">
        <v>14.367100000000001</v>
      </c>
      <c r="M2094" s="4">
        <f t="shared" si="129"/>
        <v>13.883600000000001</v>
      </c>
      <c r="P2094" s="4" t="str">
        <f>"rpb-3"</f>
        <v>rpb-3</v>
      </c>
      <c r="Q2094" s="4">
        <v>13.3298270772643</v>
      </c>
      <c r="R2094" s="4">
        <v>13.592743999050301</v>
      </c>
      <c r="S2094" s="4">
        <v>13.438429268255</v>
      </c>
      <c r="T2094" s="4">
        <f t="shared" si="130"/>
        <v>13.453666781523202</v>
      </c>
      <c r="W2094" s="4" t="str">
        <f>"Y39A1A.22"</f>
        <v>Y39A1A.22</v>
      </c>
      <c r="X2094" s="4">
        <v>13.9501443061722</v>
      </c>
      <c r="Y2094" s="4">
        <v>13.443160269957501</v>
      </c>
      <c r="Z2094" s="4">
        <v>13.1497280447105</v>
      </c>
      <c r="AA2094" s="4">
        <f t="shared" si="131"/>
        <v>13.514344206946733</v>
      </c>
    </row>
    <row r="2095" spans="2:27" x14ac:dyDescent="0.2">
      <c r="B2095" s="4" t="s">
        <v>3299</v>
      </c>
      <c r="C2095" s="4">
        <v>14.056800000000001</v>
      </c>
      <c r="D2095" s="4">
        <v>13.7361</v>
      </c>
      <c r="E2095" s="4">
        <v>13.943</v>
      </c>
      <c r="F2095" s="4">
        <f t="shared" si="128"/>
        <v>13.911966666666666</v>
      </c>
      <c r="I2095" s="4" t="s">
        <v>740</v>
      </c>
      <c r="J2095" s="4">
        <v>13.666600000000001</v>
      </c>
      <c r="K2095" s="4">
        <v>14.221299999999999</v>
      </c>
      <c r="L2095" s="4">
        <v>13.7622</v>
      </c>
      <c r="M2095" s="4">
        <f t="shared" si="129"/>
        <v>13.883366666666667</v>
      </c>
      <c r="P2095" s="4" t="str">
        <f>"fbxa-19"</f>
        <v>fbxa-19</v>
      </c>
      <c r="Q2095" s="4">
        <v>13.246939499459099</v>
      </c>
      <c r="R2095" s="4">
        <v>13.8808032095553</v>
      </c>
      <c r="S2095" s="4">
        <v>13.232174288580801</v>
      </c>
      <c r="T2095" s="4">
        <f t="shared" si="130"/>
        <v>13.453305665865066</v>
      </c>
      <c r="W2095" s="4" t="str">
        <f>"anat-1"</f>
        <v>anat-1</v>
      </c>
      <c r="X2095" s="4">
        <v>13.445410717630001</v>
      </c>
      <c r="Y2095" s="4">
        <v>13.8729960616309</v>
      </c>
      <c r="Z2095" s="4">
        <v>13.2113653150485</v>
      </c>
      <c r="AA2095" s="4">
        <f t="shared" si="131"/>
        <v>13.509924031436467</v>
      </c>
    </row>
    <row r="2096" spans="2:27" x14ac:dyDescent="0.2">
      <c r="B2096" s="4" t="s">
        <v>864</v>
      </c>
      <c r="C2096" s="4">
        <v>13.8515</v>
      </c>
      <c r="D2096" s="4">
        <v>13.885400000000001</v>
      </c>
      <c r="E2096" s="4">
        <v>13.988</v>
      </c>
      <c r="F2096" s="4">
        <f t="shared" si="128"/>
        <v>13.908299999999999</v>
      </c>
      <c r="I2096" s="4" t="s">
        <v>640</v>
      </c>
      <c r="J2096" s="4">
        <v>13.6792</v>
      </c>
      <c r="K2096" s="4">
        <v>14.014200000000001</v>
      </c>
      <c r="L2096" s="4">
        <v>13.9513</v>
      </c>
      <c r="M2096" s="4">
        <f t="shared" si="129"/>
        <v>13.881566666666666</v>
      </c>
      <c r="P2096" s="4" t="str">
        <f>"R74.8"</f>
        <v>R74.8</v>
      </c>
      <c r="Q2096" s="4">
        <v>13.2935839121449</v>
      </c>
      <c r="R2096" s="4">
        <v>13.381211356169199</v>
      </c>
      <c r="S2096" s="4">
        <v>13.6757238062588</v>
      </c>
      <c r="T2096" s="4">
        <f t="shared" si="130"/>
        <v>13.450173024857634</v>
      </c>
      <c r="W2096" s="4" t="str">
        <f>"ran-3"</f>
        <v>ran-3</v>
      </c>
      <c r="X2096" s="4">
        <v>13.553565067847201</v>
      </c>
      <c r="Y2096" s="4">
        <v>13.618320442251701</v>
      </c>
      <c r="Z2096" s="4">
        <v>13.3564203476071</v>
      </c>
      <c r="AA2096" s="4">
        <f t="shared" si="131"/>
        <v>13.509435285902001</v>
      </c>
    </row>
    <row r="2097" spans="2:27" x14ac:dyDescent="0.2">
      <c r="B2097" s="4" t="s">
        <v>2725</v>
      </c>
      <c r="C2097" s="4">
        <v>13.95</v>
      </c>
      <c r="D2097" s="4">
        <v>13.8125</v>
      </c>
      <c r="E2097" s="4">
        <v>13.962199999999999</v>
      </c>
      <c r="F2097" s="4">
        <f t="shared" si="128"/>
        <v>13.908233333333333</v>
      </c>
      <c r="I2097" s="4" t="s">
        <v>4753</v>
      </c>
      <c r="J2097" s="4">
        <v>13.8527</v>
      </c>
      <c r="K2097" s="4">
        <v>14.1168</v>
      </c>
      <c r="L2097" s="4">
        <v>13.6623</v>
      </c>
      <c r="M2097" s="4">
        <f t="shared" si="129"/>
        <v>13.877266666666666</v>
      </c>
      <c r="P2097" s="4" t="str">
        <f>"F53F4.16"</f>
        <v>F53F4.16</v>
      </c>
      <c r="Q2097" s="4">
        <v>13.164423203800199</v>
      </c>
      <c r="R2097" s="4">
        <v>13.629853708726801</v>
      </c>
      <c r="S2097" s="4">
        <v>13.5433912255455</v>
      </c>
      <c r="T2097" s="4">
        <f t="shared" si="130"/>
        <v>13.445889379357501</v>
      </c>
      <c r="W2097" s="4" t="str">
        <f>"H35B03.1"</f>
        <v>H35B03.1</v>
      </c>
      <c r="X2097" s="4">
        <v>13.759640421962899</v>
      </c>
      <c r="Y2097" s="4">
        <v>13.468383849862199</v>
      </c>
      <c r="Z2097" s="4">
        <v>13.2977149962448</v>
      </c>
      <c r="AA2097" s="4">
        <f t="shared" si="131"/>
        <v>13.5085797560233</v>
      </c>
    </row>
    <row r="2098" spans="2:27" x14ac:dyDescent="0.2">
      <c r="B2098" s="4" t="s">
        <v>3660</v>
      </c>
      <c r="C2098" s="4">
        <v>13.9574</v>
      </c>
      <c r="D2098" s="4">
        <v>13.6585</v>
      </c>
      <c r="E2098" s="4">
        <v>14.1053</v>
      </c>
      <c r="F2098" s="4">
        <f t="shared" si="128"/>
        <v>13.907066666666665</v>
      </c>
      <c r="I2098" s="4" t="s">
        <v>28</v>
      </c>
      <c r="J2098" s="4">
        <v>13.726800000000001</v>
      </c>
      <c r="K2098" s="4">
        <v>13.7849</v>
      </c>
      <c r="L2098" s="4">
        <v>14.118</v>
      </c>
      <c r="M2098" s="4">
        <f t="shared" si="129"/>
        <v>13.876566666666667</v>
      </c>
      <c r="P2098" s="4" t="str">
        <f>"F28C6.8"</f>
        <v>F28C6.8</v>
      </c>
      <c r="Q2098" s="4">
        <v>13.556195872460499</v>
      </c>
      <c r="R2098" s="4">
        <v>13.598509168295699</v>
      </c>
      <c r="S2098" s="4">
        <v>13.1793111432263</v>
      </c>
      <c r="T2098" s="4">
        <f t="shared" si="130"/>
        <v>13.4446720613275</v>
      </c>
      <c r="W2098" s="4" t="str">
        <f>"atic-1"</f>
        <v>atic-1</v>
      </c>
      <c r="X2098" s="4">
        <v>13.644614726145299</v>
      </c>
      <c r="Y2098" s="4">
        <v>13.587869511564</v>
      </c>
      <c r="Z2098" s="4">
        <v>13.2873698497781</v>
      </c>
      <c r="AA2098" s="4">
        <f t="shared" si="131"/>
        <v>13.506618029162468</v>
      </c>
    </row>
    <row r="2099" spans="2:27" x14ac:dyDescent="0.2">
      <c r="B2099" s="4" t="s">
        <v>4747</v>
      </c>
      <c r="C2099" s="4">
        <v>13.8894</v>
      </c>
      <c r="D2099" s="4">
        <v>13.8225</v>
      </c>
      <c r="E2099" s="4">
        <v>14.0092</v>
      </c>
      <c r="F2099" s="4">
        <f t="shared" si="128"/>
        <v>13.907033333333333</v>
      </c>
      <c r="I2099" s="4" t="s">
        <v>4754</v>
      </c>
      <c r="J2099" s="4">
        <v>14.2235</v>
      </c>
      <c r="K2099" s="4">
        <v>13.709899999999999</v>
      </c>
      <c r="L2099" s="4">
        <v>13.6943</v>
      </c>
      <c r="M2099" s="4">
        <f t="shared" si="129"/>
        <v>13.8759</v>
      </c>
      <c r="P2099" s="4" t="str">
        <f>"emb-27"</f>
        <v>emb-27</v>
      </c>
      <c r="Q2099" s="4">
        <v>13.5258352217626</v>
      </c>
      <c r="R2099" s="4">
        <v>13.4798634581356</v>
      </c>
      <c r="S2099" s="4">
        <v>13.326807366772099</v>
      </c>
      <c r="T2099" s="4">
        <f t="shared" si="130"/>
        <v>13.444168682223435</v>
      </c>
      <c r="W2099" s="4" t="str">
        <f>"C42C1.8"</f>
        <v>C42C1.8</v>
      </c>
      <c r="X2099" s="4">
        <v>14.021177053357</v>
      </c>
      <c r="Y2099" s="4">
        <v>13.6442486576648</v>
      </c>
      <c r="Z2099" s="4">
        <v>12.852291149727799</v>
      </c>
      <c r="AA2099" s="4">
        <f t="shared" si="131"/>
        <v>13.505905620249868</v>
      </c>
    </row>
    <row r="2100" spans="2:27" x14ac:dyDescent="0.2">
      <c r="B2100" s="4" t="s">
        <v>4755</v>
      </c>
      <c r="C2100" s="4">
        <v>14.224</v>
      </c>
      <c r="D2100" s="4">
        <v>14.0693</v>
      </c>
      <c r="E2100" s="4">
        <v>13.426500000000001</v>
      </c>
      <c r="F2100" s="4">
        <f t="shared" si="128"/>
        <v>13.906600000000003</v>
      </c>
      <c r="I2100" s="4" t="s">
        <v>3416</v>
      </c>
      <c r="J2100" s="4">
        <v>14.4709</v>
      </c>
      <c r="K2100" s="4">
        <v>13.6905</v>
      </c>
      <c r="L2100" s="4">
        <v>13.457000000000001</v>
      </c>
      <c r="M2100" s="4">
        <f t="shared" si="129"/>
        <v>13.8728</v>
      </c>
      <c r="P2100" s="4" t="str">
        <f>"nrde-3"</f>
        <v>nrde-3</v>
      </c>
      <c r="Q2100" s="4">
        <v>13.680383233609</v>
      </c>
      <c r="R2100" s="4">
        <v>13.3119470785239</v>
      </c>
      <c r="S2100" s="4">
        <v>13.339876671744101</v>
      </c>
      <c r="T2100" s="4">
        <f t="shared" si="130"/>
        <v>13.444068994625667</v>
      </c>
      <c r="W2100" s="4" t="str">
        <f>"mspn-1"</f>
        <v>mspn-1</v>
      </c>
      <c r="X2100" s="4">
        <v>13.453961659720299</v>
      </c>
      <c r="Y2100" s="4">
        <v>13.600301837371701</v>
      </c>
      <c r="Z2100" s="4">
        <v>13.4632510209755</v>
      </c>
      <c r="AA2100" s="4">
        <f t="shared" si="131"/>
        <v>13.505838172689167</v>
      </c>
    </row>
    <row r="2101" spans="2:27" x14ac:dyDescent="0.2">
      <c r="B2101" s="4" t="s">
        <v>2909</v>
      </c>
      <c r="C2101" s="4">
        <v>14.3249</v>
      </c>
      <c r="D2101" s="4">
        <v>14.5444</v>
      </c>
      <c r="E2101" s="4">
        <v>12.85</v>
      </c>
      <c r="F2101" s="4">
        <f t="shared" si="128"/>
        <v>13.906433333333332</v>
      </c>
      <c r="I2101" s="4" t="s">
        <v>3067</v>
      </c>
      <c r="J2101" s="4">
        <v>13.741400000000001</v>
      </c>
      <c r="K2101" s="4">
        <v>14.231199999999999</v>
      </c>
      <c r="L2101" s="4">
        <v>13.643700000000001</v>
      </c>
      <c r="M2101" s="4">
        <f t="shared" si="129"/>
        <v>13.872100000000001</v>
      </c>
      <c r="P2101" s="4" t="str">
        <f>"epg-2"</f>
        <v>epg-2</v>
      </c>
      <c r="Q2101" s="4">
        <v>13.8010220936251</v>
      </c>
      <c r="R2101" s="4">
        <v>13.130860372955301</v>
      </c>
      <c r="S2101" s="4">
        <v>13.3965525785324</v>
      </c>
      <c r="T2101" s="4">
        <f t="shared" si="130"/>
        <v>13.442811681704265</v>
      </c>
      <c r="W2101" s="4" t="str">
        <f>"pes-8"</f>
        <v>pes-8</v>
      </c>
      <c r="X2101" s="4">
        <v>12.4926496530316</v>
      </c>
      <c r="Y2101" s="4">
        <v>13.9586796460214</v>
      </c>
      <c r="Z2101" s="4">
        <v>14.060747892395</v>
      </c>
      <c r="AA2101" s="4">
        <f t="shared" si="131"/>
        <v>13.504025730482667</v>
      </c>
    </row>
    <row r="2102" spans="2:27" x14ac:dyDescent="0.2">
      <c r="B2102" s="4" t="s">
        <v>4749</v>
      </c>
      <c r="C2102" s="4">
        <v>14.164899999999999</v>
      </c>
      <c r="D2102" s="4">
        <v>14.0877</v>
      </c>
      <c r="E2102" s="4">
        <v>13.4596</v>
      </c>
      <c r="F2102" s="4">
        <f t="shared" si="128"/>
        <v>13.904066666666667</v>
      </c>
      <c r="I2102" s="4" t="s">
        <v>4731</v>
      </c>
      <c r="J2102" s="4">
        <v>14.4284</v>
      </c>
      <c r="K2102" s="4">
        <v>14.1492</v>
      </c>
      <c r="L2102" s="4">
        <v>13.0383</v>
      </c>
      <c r="M2102" s="4">
        <f t="shared" si="129"/>
        <v>13.871966666666665</v>
      </c>
      <c r="P2102" s="4" t="str">
        <f>"sek-4"</f>
        <v>sek-4</v>
      </c>
      <c r="Q2102" s="4">
        <v>13.4879912750049</v>
      </c>
      <c r="R2102" s="4">
        <v>13.4389840970112</v>
      </c>
      <c r="S2102" s="4">
        <v>13.391077632721499</v>
      </c>
      <c r="T2102" s="4">
        <f t="shared" si="130"/>
        <v>13.439351001579199</v>
      </c>
      <c r="W2102" s="4" t="str">
        <f>"ifet-1"</f>
        <v>ifet-1</v>
      </c>
      <c r="X2102" s="4">
        <v>13.4697723559045</v>
      </c>
      <c r="Y2102" s="4">
        <v>13.561510857786001</v>
      </c>
      <c r="Z2102" s="4">
        <v>13.475725709128399</v>
      </c>
      <c r="AA2102" s="4">
        <f t="shared" si="131"/>
        <v>13.502336307606299</v>
      </c>
    </row>
    <row r="2103" spans="2:27" x14ac:dyDescent="0.2">
      <c r="B2103" s="4" t="s">
        <v>3235</v>
      </c>
      <c r="C2103" s="4">
        <v>13.9086</v>
      </c>
      <c r="D2103" s="4">
        <v>13.7889</v>
      </c>
      <c r="E2103" s="4">
        <v>14.012499999999999</v>
      </c>
      <c r="F2103" s="4">
        <f t="shared" si="128"/>
        <v>13.903333333333331</v>
      </c>
      <c r="I2103" s="4" t="s">
        <v>3317</v>
      </c>
      <c r="J2103" s="4">
        <v>13.9153</v>
      </c>
      <c r="K2103" s="4">
        <v>13.7789</v>
      </c>
      <c r="L2103" s="4">
        <v>13.917</v>
      </c>
      <c r="M2103" s="4">
        <f t="shared" si="129"/>
        <v>13.870400000000002</v>
      </c>
      <c r="P2103" s="4" t="str">
        <f>"Y57G11C.3"</f>
        <v>Y57G11C.3</v>
      </c>
      <c r="Q2103" s="4">
        <v>13.2414288136458</v>
      </c>
      <c r="R2103" s="4">
        <v>13.6709988157737</v>
      </c>
      <c r="S2103" s="4">
        <v>13.405129210559201</v>
      </c>
      <c r="T2103" s="4">
        <f t="shared" si="130"/>
        <v>13.439185613326233</v>
      </c>
      <c r="W2103" s="4" t="str">
        <f>"hmg-11"</f>
        <v>hmg-11</v>
      </c>
      <c r="X2103" s="4">
        <v>13.078198429877601</v>
      </c>
      <c r="Y2103" s="4">
        <v>14.076694508652199</v>
      </c>
      <c r="Z2103" s="4">
        <v>13.346662027891099</v>
      </c>
      <c r="AA2103" s="4">
        <f t="shared" si="131"/>
        <v>13.5005183221403</v>
      </c>
    </row>
    <row r="2104" spans="2:27" x14ac:dyDescent="0.2">
      <c r="B2104" s="4" t="s">
        <v>311</v>
      </c>
      <c r="C2104" s="4">
        <v>13.908099999999999</v>
      </c>
      <c r="D2104" s="4">
        <v>14.314500000000001</v>
      </c>
      <c r="E2104" s="4">
        <v>13.483700000000001</v>
      </c>
      <c r="F2104" s="4">
        <f t="shared" si="128"/>
        <v>13.902099999999999</v>
      </c>
      <c r="I2104" s="4" t="s">
        <v>2448</v>
      </c>
      <c r="J2104" s="4">
        <v>13.7994</v>
      </c>
      <c r="K2104" s="4">
        <v>14.2883</v>
      </c>
      <c r="L2104" s="4">
        <v>13.52</v>
      </c>
      <c r="M2104" s="4">
        <f t="shared" si="129"/>
        <v>13.869233333333332</v>
      </c>
      <c r="P2104" s="4" t="str">
        <f>"nkcc-1"</f>
        <v>nkcc-1</v>
      </c>
      <c r="Q2104" s="4">
        <v>13.211937471353</v>
      </c>
      <c r="R2104" s="4">
        <v>13.4683827577659</v>
      </c>
      <c r="S2104" s="4">
        <v>13.6372219121212</v>
      </c>
      <c r="T2104" s="4">
        <f t="shared" si="130"/>
        <v>13.439180713746699</v>
      </c>
      <c r="W2104" s="4" t="str">
        <f>"ric-8"</f>
        <v>ric-8</v>
      </c>
      <c r="X2104" s="4">
        <v>13.345955500362001</v>
      </c>
      <c r="Y2104" s="4">
        <v>13.701289512788501</v>
      </c>
      <c r="Z2104" s="4">
        <v>13.452235764508099</v>
      </c>
      <c r="AA2104" s="4">
        <f t="shared" si="131"/>
        <v>13.499826925886202</v>
      </c>
    </row>
    <row r="2105" spans="2:27" x14ac:dyDescent="0.2">
      <c r="B2105" s="4" t="s">
        <v>4756</v>
      </c>
      <c r="C2105" s="4">
        <v>13.7316</v>
      </c>
      <c r="D2105" s="4">
        <v>14.1433</v>
      </c>
      <c r="E2105" s="4">
        <v>13.8309</v>
      </c>
      <c r="F2105" s="4">
        <f t="shared" si="128"/>
        <v>13.901933333333332</v>
      </c>
      <c r="I2105" s="4" t="s">
        <v>637</v>
      </c>
      <c r="J2105" s="4">
        <v>13.786300000000001</v>
      </c>
      <c r="K2105" s="4">
        <v>14.1271</v>
      </c>
      <c r="L2105" s="4">
        <v>13.693099999999999</v>
      </c>
      <c r="M2105" s="4">
        <f t="shared" si="129"/>
        <v>13.868833333333335</v>
      </c>
      <c r="P2105" s="4" t="str">
        <f>"mlc-4"</f>
        <v>mlc-4</v>
      </c>
      <c r="Q2105" s="4">
        <v>13.292853251902001</v>
      </c>
      <c r="R2105" s="4">
        <v>13.416012961981499</v>
      </c>
      <c r="S2105" s="4">
        <v>13.5996809697115</v>
      </c>
      <c r="T2105" s="4">
        <f t="shared" si="130"/>
        <v>13.436182394531665</v>
      </c>
      <c r="W2105" s="4" t="str">
        <f>"tat-5"</f>
        <v>tat-5</v>
      </c>
      <c r="X2105" s="4">
        <v>13.672090827122201</v>
      </c>
      <c r="Y2105" s="4">
        <v>13.5431589881874</v>
      </c>
      <c r="Z2105" s="4">
        <v>13.278778700117799</v>
      </c>
      <c r="AA2105" s="4">
        <f t="shared" si="131"/>
        <v>13.498009505142468</v>
      </c>
    </row>
    <row r="2106" spans="2:27" x14ac:dyDescent="0.2">
      <c r="B2106" s="4" t="s">
        <v>234</v>
      </c>
      <c r="C2106" s="4">
        <v>13.918200000000001</v>
      </c>
      <c r="D2106" s="4">
        <v>13.8414</v>
      </c>
      <c r="E2106" s="4">
        <v>13.9457</v>
      </c>
      <c r="F2106" s="4">
        <f t="shared" si="128"/>
        <v>13.901766666666667</v>
      </c>
      <c r="I2106" s="4" t="s">
        <v>4736</v>
      </c>
      <c r="J2106" s="4">
        <v>13.834199999999999</v>
      </c>
      <c r="K2106" s="4">
        <v>13.911</v>
      </c>
      <c r="L2106" s="4">
        <v>13.8552</v>
      </c>
      <c r="M2106" s="4">
        <f t="shared" si="129"/>
        <v>13.866799999999998</v>
      </c>
      <c r="P2106" s="4" t="str">
        <f>"efr-3"</f>
        <v>efr-3</v>
      </c>
      <c r="Q2106" s="4">
        <v>13.116517191803499</v>
      </c>
      <c r="R2106" s="4">
        <v>13.472913753610399</v>
      </c>
      <c r="S2106" s="4">
        <v>13.7179147799335</v>
      </c>
      <c r="T2106" s="4">
        <f t="shared" si="130"/>
        <v>13.435781908449131</v>
      </c>
      <c r="W2106" s="4" t="str">
        <f>"lin-23"</f>
        <v>lin-23</v>
      </c>
      <c r="X2106" s="4">
        <v>13.5695063703507</v>
      </c>
      <c r="Y2106" s="4">
        <v>13.494400016459799</v>
      </c>
      <c r="Z2106" s="4">
        <v>13.4249166264638</v>
      </c>
      <c r="AA2106" s="4">
        <f t="shared" si="131"/>
        <v>13.4962743377581</v>
      </c>
    </row>
    <row r="2107" spans="2:27" x14ac:dyDescent="0.2">
      <c r="B2107" s="4" t="s">
        <v>1010</v>
      </c>
      <c r="C2107" s="4">
        <v>13.8653</v>
      </c>
      <c r="D2107" s="4">
        <v>14.031700000000001</v>
      </c>
      <c r="E2107" s="4">
        <v>13.807700000000001</v>
      </c>
      <c r="F2107" s="4">
        <f t="shared" si="128"/>
        <v>13.901566666666668</v>
      </c>
      <c r="I2107" s="4" t="s">
        <v>2180</v>
      </c>
      <c r="J2107" s="4">
        <v>13.772600000000001</v>
      </c>
      <c r="K2107" s="4">
        <v>14.008100000000001</v>
      </c>
      <c r="L2107" s="4">
        <v>13.8192</v>
      </c>
      <c r="M2107" s="4">
        <f t="shared" si="129"/>
        <v>13.866633333333334</v>
      </c>
      <c r="P2107" s="4" t="str">
        <f>"znf-622"</f>
        <v>znf-622</v>
      </c>
      <c r="Q2107" s="4">
        <v>13.437114724566699</v>
      </c>
      <c r="R2107" s="4">
        <v>13.5265737311852</v>
      </c>
      <c r="S2107" s="4">
        <v>13.3380410952138</v>
      </c>
      <c r="T2107" s="4">
        <f t="shared" si="130"/>
        <v>13.433909850321902</v>
      </c>
      <c r="W2107" s="4" t="str">
        <f>"ZK1098.2"</f>
        <v>ZK1098.2</v>
      </c>
      <c r="X2107" s="4">
        <v>13.381821209666899</v>
      </c>
      <c r="Y2107" s="4">
        <v>13.4517759488623</v>
      </c>
      <c r="Z2107" s="4">
        <v>13.651678707138601</v>
      </c>
      <c r="AA2107" s="4">
        <f t="shared" si="131"/>
        <v>13.4950919552226</v>
      </c>
    </row>
    <row r="2108" spans="2:27" x14ac:dyDescent="0.2">
      <c r="B2108" s="4" t="s">
        <v>1401</v>
      </c>
      <c r="C2108" s="4">
        <v>13.5581</v>
      </c>
      <c r="D2108" s="4">
        <v>14.1624</v>
      </c>
      <c r="E2108" s="4">
        <v>13.9833</v>
      </c>
      <c r="F2108" s="4">
        <f t="shared" si="128"/>
        <v>13.901266666666666</v>
      </c>
      <c r="I2108" s="4" t="s">
        <v>1618</v>
      </c>
      <c r="J2108" s="4">
        <v>13.8635</v>
      </c>
      <c r="K2108" s="4">
        <v>13.997199999999999</v>
      </c>
      <c r="L2108" s="4">
        <v>13.735799999999999</v>
      </c>
      <c r="M2108" s="4">
        <f t="shared" si="129"/>
        <v>13.865499999999999</v>
      </c>
      <c r="P2108" s="4" t="str">
        <f>"pde-6"</f>
        <v>pde-6</v>
      </c>
      <c r="Q2108" s="4">
        <v>13.640335033698801</v>
      </c>
      <c r="R2108" s="4">
        <v>13.2918331087469</v>
      </c>
      <c r="S2108" s="4">
        <v>13.3683069251991</v>
      </c>
      <c r="T2108" s="4">
        <f t="shared" si="130"/>
        <v>13.433491689214932</v>
      </c>
      <c r="W2108" s="4" t="str">
        <f>"cyp-31a2"</f>
        <v>cyp-31a2</v>
      </c>
      <c r="X2108" s="4">
        <v>13.566528011113901</v>
      </c>
      <c r="Y2108" s="4">
        <v>13.6181731186485</v>
      </c>
      <c r="Z2108" s="4">
        <v>13.2971637739592</v>
      </c>
      <c r="AA2108" s="4">
        <f t="shared" si="131"/>
        <v>13.4939549679072</v>
      </c>
    </row>
    <row r="2109" spans="2:27" x14ac:dyDescent="0.2">
      <c r="B2109" s="4" t="s">
        <v>4757</v>
      </c>
      <c r="C2109" s="4">
        <v>14.071899999999999</v>
      </c>
      <c r="D2109" s="4">
        <v>14.0039</v>
      </c>
      <c r="E2109" s="4">
        <v>13.625500000000001</v>
      </c>
      <c r="F2109" s="4">
        <f t="shared" si="128"/>
        <v>13.900433333333334</v>
      </c>
      <c r="I2109" s="4" t="s">
        <v>207</v>
      </c>
      <c r="J2109" s="4">
        <v>13.741899999999999</v>
      </c>
      <c r="K2109" s="4">
        <v>14.1678</v>
      </c>
      <c r="L2109" s="4">
        <v>13.686199999999999</v>
      </c>
      <c r="M2109" s="4">
        <f t="shared" si="129"/>
        <v>13.8653</v>
      </c>
      <c r="P2109" s="4" t="str">
        <f>"epg-9"</f>
        <v>epg-9</v>
      </c>
      <c r="Q2109" s="4">
        <v>13.425955914854701</v>
      </c>
      <c r="R2109" s="4">
        <v>13.5397254075675</v>
      </c>
      <c r="S2109" s="4">
        <v>13.3341367090534</v>
      </c>
      <c r="T2109" s="4">
        <f t="shared" si="130"/>
        <v>13.433272677158532</v>
      </c>
      <c r="W2109" s="4" t="str">
        <f>"M01G12.9"</f>
        <v>M01G12.9</v>
      </c>
      <c r="X2109" s="4">
        <v>13.949628666226401</v>
      </c>
      <c r="Y2109" s="4">
        <v>13.383248688129701</v>
      </c>
      <c r="Z2109" s="4">
        <v>13.142541835939999</v>
      </c>
      <c r="AA2109" s="4">
        <f t="shared" si="131"/>
        <v>13.491806396765368</v>
      </c>
    </row>
    <row r="2110" spans="2:27" x14ac:dyDescent="0.2">
      <c r="B2110" s="4" t="s">
        <v>560</v>
      </c>
      <c r="C2110" s="4">
        <v>13.819699999999999</v>
      </c>
      <c r="D2110" s="4">
        <v>13.924300000000001</v>
      </c>
      <c r="E2110" s="4">
        <v>13.956799999999999</v>
      </c>
      <c r="F2110" s="4">
        <f t="shared" si="128"/>
        <v>13.900266666666667</v>
      </c>
      <c r="I2110" s="4" t="s">
        <v>310</v>
      </c>
      <c r="J2110" s="4">
        <v>13.9153</v>
      </c>
      <c r="K2110" s="4">
        <v>13.851900000000001</v>
      </c>
      <c r="L2110" s="4">
        <v>13.821899999999999</v>
      </c>
      <c r="M2110" s="4">
        <f t="shared" si="129"/>
        <v>13.863033333333334</v>
      </c>
      <c r="P2110" s="4" t="str">
        <f>"unc-97"</f>
        <v>unc-97</v>
      </c>
      <c r="Q2110" s="4">
        <v>13.478885327487999</v>
      </c>
      <c r="R2110" s="4">
        <v>13.1861429326663</v>
      </c>
      <c r="S2110" s="4">
        <v>13.626594388666099</v>
      </c>
      <c r="T2110" s="4">
        <f t="shared" si="130"/>
        <v>13.430540882940134</v>
      </c>
      <c r="W2110" s="4" t="str">
        <f>"pak-2"</f>
        <v>pak-2</v>
      </c>
      <c r="X2110" s="4">
        <v>13.2523943860106</v>
      </c>
      <c r="Y2110" s="4">
        <v>13.4499385916868</v>
      </c>
      <c r="Z2110" s="4">
        <v>13.766640624858599</v>
      </c>
      <c r="AA2110" s="4">
        <f t="shared" si="131"/>
        <v>13.489657867518668</v>
      </c>
    </row>
    <row r="2111" spans="2:27" x14ac:dyDescent="0.2">
      <c r="B2111" s="4" t="s">
        <v>1018</v>
      </c>
      <c r="C2111" s="4">
        <v>14.1218</v>
      </c>
      <c r="D2111" s="4">
        <v>14.1364</v>
      </c>
      <c r="E2111" s="4">
        <v>13.4422</v>
      </c>
      <c r="F2111" s="4">
        <f t="shared" si="128"/>
        <v>13.900133333333335</v>
      </c>
      <c r="I2111" s="4" t="s">
        <v>2057</v>
      </c>
      <c r="J2111" s="4">
        <v>13.2805</v>
      </c>
      <c r="K2111" s="4">
        <v>14.0763</v>
      </c>
      <c r="L2111" s="4">
        <v>14.2308</v>
      </c>
      <c r="M2111" s="4">
        <f t="shared" si="129"/>
        <v>13.862533333333333</v>
      </c>
      <c r="P2111" s="4" t="str">
        <f>"sql-1"</f>
        <v>sql-1</v>
      </c>
      <c r="Q2111" s="4">
        <v>13.239026264226901</v>
      </c>
      <c r="R2111" s="4">
        <v>13.4583559035683</v>
      </c>
      <c r="S2111" s="4">
        <v>13.593055182765401</v>
      </c>
      <c r="T2111" s="4">
        <f t="shared" si="130"/>
        <v>13.430145783520201</v>
      </c>
      <c r="W2111" s="4" t="str">
        <f>"H03A11.2"</f>
        <v>H03A11.2</v>
      </c>
      <c r="X2111" s="4">
        <v>13.6993382607439</v>
      </c>
      <c r="Y2111" s="4">
        <v>13.4764772584608</v>
      </c>
      <c r="Z2111" s="4">
        <v>13.288862352511099</v>
      </c>
      <c r="AA2111" s="4">
        <f t="shared" si="131"/>
        <v>13.488225957238599</v>
      </c>
    </row>
    <row r="2112" spans="2:27" x14ac:dyDescent="0.2">
      <c r="B2112" s="4" t="s">
        <v>4728</v>
      </c>
      <c r="C2112" s="4">
        <v>14.049300000000001</v>
      </c>
      <c r="D2112" s="4">
        <v>13.7605</v>
      </c>
      <c r="E2112" s="4">
        <v>13.8855</v>
      </c>
      <c r="F2112" s="4">
        <f t="shared" si="128"/>
        <v>13.898433333333335</v>
      </c>
      <c r="I2112" s="4" t="s">
        <v>1357</v>
      </c>
      <c r="J2112" s="4">
        <v>13.9773</v>
      </c>
      <c r="K2112" s="4">
        <v>13.7599</v>
      </c>
      <c r="L2112" s="4">
        <v>13.8483</v>
      </c>
      <c r="M2112" s="4">
        <f t="shared" si="129"/>
        <v>13.861833333333335</v>
      </c>
      <c r="P2112" s="4" t="str">
        <f>"gst-42"</f>
        <v>gst-42</v>
      </c>
      <c r="Q2112" s="4">
        <v>13.1191330159724</v>
      </c>
      <c r="R2112" s="4">
        <v>13.598526654418</v>
      </c>
      <c r="S2112" s="4">
        <v>13.5725817344366</v>
      </c>
      <c r="T2112" s="4">
        <f t="shared" si="130"/>
        <v>13.430080468275667</v>
      </c>
      <c r="W2112" s="4" t="str">
        <f>"F36A2.9"</f>
        <v>F36A2.9</v>
      </c>
      <c r="X2112" s="4">
        <v>13.7120904059329</v>
      </c>
      <c r="Y2112" s="4">
        <v>13.882006918621901</v>
      </c>
      <c r="Z2112" s="4">
        <v>12.8692297718658</v>
      </c>
      <c r="AA2112" s="4">
        <f t="shared" si="131"/>
        <v>13.487775698806866</v>
      </c>
    </row>
    <row r="2113" spans="2:27" x14ac:dyDescent="0.2">
      <c r="B2113" s="4" t="s">
        <v>142</v>
      </c>
      <c r="C2113" s="4">
        <v>14.129099999999999</v>
      </c>
      <c r="D2113" s="4">
        <v>13.7995</v>
      </c>
      <c r="E2113" s="4">
        <v>13.7629</v>
      </c>
      <c r="F2113" s="4">
        <f t="shared" si="128"/>
        <v>13.897166666666665</v>
      </c>
      <c r="I2113" s="4" t="s">
        <v>2928</v>
      </c>
      <c r="J2113" s="4">
        <v>13.2523</v>
      </c>
      <c r="K2113" s="4">
        <v>13.512499999999999</v>
      </c>
      <c r="L2113" s="4">
        <v>14.812099999999999</v>
      </c>
      <c r="M2113" s="4">
        <f t="shared" si="129"/>
        <v>13.858966666666667</v>
      </c>
      <c r="P2113" s="4" t="str">
        <f>"vha-1"</f>
        <v>vha-1</v>
      </c>
      <c r="Q2113" s="4">
        <v>13.0289385579566</v>
      </c>
      <c r="R2113" s="4">
        <v>13.658605675787101</v>
      </c>
      <c r="S2113" s="4">
        <v>13.602395873056899</v>
      </c>
      <c r="T2113" s="4">
        <f t="shared" si="130"/>
        <v>13.429980035600201</v>
      </c>
      <c r="W2113" s="4" t="str">
        <f>"acl-9"</f>
        <v>acl-9</v>
      </c>
      <c r="X2113" s="4">
        <v>13.634814065560899</v>
      </c>
      <c r="Y2113" s="4">
        <v>13.420590624172499</v>
      </c>
      <c r="Z2113" s="4">
        <v>13.397759773002299</v>
      </c>
      <c r="AA2113" s="4">
        <f t="shared" si="131"/>
        <v>13.484388154245233</v>
      </c>
    </row>
    <row r="2114" spans="2:27" x14ac:dyDescent="0.2">
      <c r="B2114" s="4" t="s">
        <v>39</v>
      </c>
      <c r="C2114" s="4">
        <v>13.8453</v>
      </c>
      <c r="D2114" s="4">
        <v>14.2552</v>
      </c>
      <c r="E2114" s="4">
        <v>13.5779</v>
      </c>
      <c r="F2114" s="4">
        <f t="shared" ref="F2114:F2177" si="132">(C2114+D2114+E2114)/3</f>
        <v>13.892799999999999</v>
      </c>
      <c r="I2114" s="4" t="s">
        <v>3763</v>
      </c>
      <c r="J2114" s="4">
        <v>13.797800000000001</v>
      </c>
      <c r="K2114" s="4">
        <v>14.042400000000001</v>
      </c>
      <c r="L2114" s="4">
        <v>13.7354</v>
      </c>
      <c r="M2114" s="4">
        <f t="shared" ref="M2114:M2177" si="133">(J2114+K2114+L2114)/3</f>
        <v>13.858533333333334</v>
      </c>
      <c r="P2114" s="4" t="str">
        <f>"deps-1"</f>
        <v>deps-1</v>
      </c>
      <c r="Q2114" s="4">
        <v>13.638538317415099</v>
      </c>
      <c r="R2114" s="4">
        <v>13.229090392831401</v>
      </c>
      <c r="S2114" s="4">
        <v>13.4212324785695</v>
      </c>
      <c r="T2114" s="4">
        <f t="shared" ref="T2114:T2177" si="134">(Q2114+R2114+S2114)/3</f>
        <v>13.429620396272</v>
      </c>
      <c r="W2114" s="4" t="str">
        <f>"R05H10.3"</f>
        <v>R05H10.3</v>
      </c>
      <c r="X2114" s="4">
        <v>13.7052742998914</v>
      </c>
      <c r="Y2114" s="4">
        <v>13.350086711785501</v>
      </c>
      <c r="Z2114" s="4">
        <v>13.3956600833948</v>
      </c>
      <c r="AA2114" s="4">
        <f t="shared" ref="AA2114:AA2177" si="135">(X2114+Y2114+Z2114)/3</f>
        <v>13.483673698357235</v>
      </c>
    </row>
    <row r="2115" spans="2:27" x14ac:dyDescent="0.2">
      <c r="B2115" s="4" t="s">
        <v>2361</v>
      </c>
      <c r="C2115" s="4">
        <v>13.7607</v>
      </c>
      <c r="D2115" s="4">
        <v>13.953099999999999</v>
      </c>
      <c r="E2115" s="4">
        <v>13.963100000000001</v>
      </c>
      <c r="F2115" s="4">
        <f t="shared" si="132"/>
        <v>13.892300000000001</v>
      </c>
      <c r="I2115" s="4" t="s">
        <v>4017</v>
      </c>
      <c r="J2115" s="4">
        <v>13.749499999999999</v>
      </c>
      <c r="K2115" s="4">
        <v>13.863099999999999</v>
      </c>
      <c r="L2115" s="4">
        <v>13.962999999999999</v>
      </c>
      <c r="M2115" s="4">
        <f t="shared" si="133"/>
        <v>13.858533333333334</v>
      </c>
      <c r="P2115" s="4" t="str">
        <f>"Y57A10A.27"</f>
        <v>Y57A10A.27</v>
      </c>
      <c r="Q2115" s="4">
        <v>13.6671785646099</v>
      </c>
      <c r="R2115" s="4">
        <v>13.493390877033899</v>
      </c>
      <c r="S2115" s="4">
        <v>13.1281786353176</v>
      </c>
      <c r="T2115" s="4">
        <f t="shared" si="134"/>
        <v>13.429582692320466</v>
      </c>
      <c r="W2115" s="4" t="str">
        <f>"W02H5.2"</f>
        <v>W02H5.2</v>
      </c>
      <c r="X2115" s="4">
        <v>13.517306802705001</v>
      </c>
      <c r="Y2115" s="4">
        <v>13.417957776258101</v>
      </c>
      <c r="Z2115" s="4">
        <v>13.508150476854301</v>
      </c>
      <c r="AA2115" s="4">
        <f t="shared" si="135"/>
        <v>13.481138351939132</v>
      </c>
    </row>
    <row r="2116" spans="2:27" x14ac:dyDescent="0.2">
      <c r="B2116" s="4" t="s">
        <v>2229</v>
      </c>
      <c r="C2116" s="4">
        <v>13.7859</v>
      </c>
      <c r="D2116" s="4">
        <v>14.0435</v>
      </c>
      <c r="E2116" s="4">
        <v>13.8436</v>
      </c>
      <c r="F2116" s="4">
        <f t="shared" si="132"/>
        <v>13.891</v>
      </c>
      <c r="I2116" s="4" t="s">
        <v>3407</v>
      </c>
      <c r="J2116" s="4">
        <v>14.0161</v>
      </c>
      <c r="K2116" s="4">
        <v>13.9252</v>
      </c>
      <c r="L2116" s="4">
        <v>13.6289</v>
      </c>
      <c r="M2116" s="4">
        <f t="shared" si="133"/>
        <v>13.856733333333333</v>
      </c>
      <c r="P2116" s="4" t="str">
        <f>"mel-32"</f>
        <v>mel-32</v>
      </c>
      <c r="Q2116" s="4">
        <v>13.3284485211608</v>
      </c>
      <c r="R2116" s="4">
        <v>13.413871275795</v>
      </c>
      <c r="S2116" s="4">
        <v>13.5456681199445</v>
      </c>
      <c r="T2116" s="4">
        <f t="shared" si="134"/>
        <v>13.429329305633432</v>
      </c>
      <c r="W2116" s="4" t="str">
        <f>"let-355"</f>
        <v>let-355</v>
      </c>
      <c r="X2116" s="4">
        <v>13.4599702110701</v>
      </c>
      <c r="Y2116" s="4">
        <v>13.525965138355801</v>
      </c>
      <c r="Z2116" s="4">
        <v>13.4562010768642</v>
      </c>
      <c r="AA2116" s="4">
        <f t="shared" si="135"/>
        <v>13.480712142096701</v>
      </c>
    </row>
    <row r="2117" spans="2:27" x14ac:dyDescent="0.2">
      <c r="B2117" s="4" t="s">
        <v>4758</v>
      </c>
      <c r="C2117" s="4">
        <v>13.661899999999999</v>
      </c>
      <c r="D2117" s="4">
        <v>14.394399999999999</v>
      </c>
      <c r="E2117" s="4">
        <v>13.6134</v>
      </c>
      <c r="F2117" s="4">
        <f t="shared" si="132"/>
        <v>13.889899999999999</v>
      </c>
      <c r="I2117" s="4" t="s">
        <v>2562</v>
      </c>
      <c r="J2117" s="4">
        <v>13.6884</v>
      </c>
      <c r="K2117" s="4">
        <v>13.9316</v>
      </c>
      <c r="L2117" s="4">
        <v>13.9468</v>
      </c>
      <c r="M2117" s="4">
        <f t="shared" si="133"/>
        <v>13.855600000000001</v>
      </c>
      <c r="P2117" s="4" t="str">
        <f>"B0361.6"</f>
        <v>B0361.6</v>
      </c>
      <c r="Q2117" s="4">
        <v>13.3548066522775</v>
      </c>
      <c r="R2117" s="4">
        <v>13.3263723298447</v>
      </c>
      <c r="S2117" s="4">
        <v>13.603938864682901</v>
      </c>
      <c r="T2117" s="4">
        <f t="shared" si="134"/>
        <v>13.428372615601701</v>
      </c>
      <c r="W2117" s="4" t="str">
        <f>"C27A7.5"</f>
        <v>C27A7.5</v>
      </c>
      <c r="X2117" s="4">
        <v>13.5412083625782</v>
      </c>
      <c r="Y2117" s="4">
        <v>13.636911852362299</v>
      </c>
      <c r="Z2117" s="4">
        <v>13.2632897358294</v>
      </c>
      <c r="AA2117" s="4">
        <f t="shared" si="135"/>
        <v>13.480469983589964</v>
      </c>
    </row>
    <row r="2118" spans="2:27" x14ac:dyDescent="0.2">
      <c r="B2118" s="4" t="s">
        <v>933</v>
      </c>
      <c r="C2118" s="4">
        <v>13.9421</v>
      </c>
      <c r="D2118" s="4">
        <v>14.0884</v>
      </c>
      <c r="E2118" s="4">
        <v>13.6387</v>
      </c>
      <c r="F2118" s="4">
        <f t="shared" si="132"/>
        <v>13.889733333333334</v>
      </c>
      <c r="I2118" s="4" t="s">
        <v>390</v>
      </c>
      <c r="J2118" s="4">
        <v>13.9795</v>
      </c>
      <c r="K2118" s="4">
        <v>13.8531</v>
      </c>
      <c r="L2118" s="4">
        <v>13.7216</v>
      </c>
      <c r="M2118" s="4">
        <f t="shared" si="133"/>
        <v>13.8514</v>
      </c>
      <c r="P2118" s="4" t="str">
        <f>"F54F7.3"</f>
        <v>F54F7.3</v>
      </c>
      <c r="Q2118" s="4">
        <v>13.4620099520598</v>
      </c>
      <c r="R2118" s="4">
        <v>13.4202337658113</v>
      </c>
      <c r="S2118" s="4">
        <v>13.3952207107245</v>
      </c>
      <c r="T2118" s="4">
        <f t="shared" si="134"/>
        <v>13.425821476198534</v>
      </c>
      <c r="W2118" s="4" t="str">
        <f>"klp-7"</f>
        <v>klp-7</v>
      </c>
      <c r="X2118" s="4">
        <v>13.528007042354201</v>
      </c>
      <c r="Y2118" s="4">
        <v>13.3866693133353</v>
      </c>
      <c r="Z2118" s="4">
        <v>13.5263240521816</v>
      </c>
      <c r="AA2118" s="4">
        <f t="shared" si="135"/>
        <v>13.480333469290366</v>
      </c>
    </row>
    <row r="2119" spans="2:27" x14ac:dyDescent="0.2">
      <c r="B2119" s="4" t="s">
        <v>2453</v>
      </c>
      <c r="C2119" s="4">
        <v>14.130800000000001</v>
      </c>
      <c r="D2119" s="4">
        <v>13.4834</v>
      </c>
      <c r="E2119" s="4">
        <v>14.046799999999999</v>
      </c>
      <c r="F2119" s="4">
        <f t="shared" si="132"/>
        <v>13.887</v>
      </c>
      <c r="I2119" s="4" t="s">
        <v>3917</v>
      </c>
      <c r="J2119" s="4">
        <v>13.510199999999999</v>
      </c>
      <c r="K2119" s="4">
        <v>13.9941</v>
      </c>
      <c r="L2119" s="4">
        <v>14.0463</v>
      </c>
      <c r="M2119" s="4">
        <f t="shared" si="133"/>
        <v>13.850200000000001</v>
      </c>
      <c r="P2119" s="4" t="str">
        <f>"F16B12.6"</f>
        <v>F16B12.6</v>
      </c>
      <c r="Q2119" s="4">
        <v>13.4478952885075</v>
      </c>
      <c r="R2119" s="4">
        <v>13.4287307680117</v>
      </c>
      <c r="S2119" s="4">
        <v>13.390201757841499</v>
      </c>
      <c r="T2119" s="4">
        <f t="shared" si="134"/>
        <v>13.422275938120231</v>
      </c>
      <c r="W2119" s="4" t="str">
        <f>"M05D6.2"</f>
        <v>M05D6.2</v>
      </c>
      <c r="X2119" s="4">
        <v>13.548998770114199</v>
      </c>
      <c r="Y2119" s="4">
        <v>13.4944069457592</v>
      </c>
      <c r="Z2119" s="4">
        <v>13.392413580048199</v>
      </c>
      <c r="AA2119" s="4">
        <f t="shared" si="135"/>
        <v>13.478606431973866</v>
      </c>
    </row>
    <row r="2120" spans="2:27" x14ac:dyDescent="0.2">
      <c r="B2120" s="4" t="s">
        <v>414</v>
      </c>
      <c r="C2120" s="4">
        <v>13.528600000000001</v>
      </c>
      <c r="D2120" s="4">
        <v>14.246</v>
      </c>
      <c r="E2120" s="4">
        <v>13.885</v>
      </c>
      <c r="F2120" s="4">
        <f t="shared" si="132"/>
        <v>13.886533333333333</v>
      </c>
      <c r="I2120" s="4" t="s">
        <v>4532</v>
      </c>
      <c r="J2120" s="4">
        <v>14.0482</v>
      </c>
      <c r="K2120" s="4">
        <v>13.8443</v>
      </c>
      <c r="L2120" s="4">
        <v>13.6576</v>
      </c>
      <c r="M2120" s="4">
        <f t="shared" si="133"/>
        <v>13.850033333333334</v>
      </c>
      <c r="P2120" s="4" t="str">
        <f>"R07E5.15"</f>
        <v>R07E5.15</v>
      </c>
      <c r="Q2120" s="4">
        <v>12.6282493601451</v>
      </c>
      <c r="R2120" s="4">
        <v>13.857895815453199</v>
      </c>
      <c r="S2120" s="4">
        <v>13.7786332659204</v>
      </c>
      <c r="T2120" s="4">
        <f t="shared" si="134"/>
        <v>13.421592813839567</v>
      </c>
      <c r="W2120" s="4" t="str">
        <f>"ubc-12"</f>
        <v>ubc-12</v>
      </c>
      <c r="X2120" s="4">
        <v>13.5838542136737</v>
      </c>
      <c r="Y2120" s="4">
        <v>13.4225859766648</v>
      </c>
      <c r="Z2120" s="4">
        <v>13.4259165667322</v>
      </c>
      <c r="AA2120" s="4">
        <f t="shared" si="135"/>
        <v>13.477452252356899</v>
      </c>
    </row>
    <row r="2121" spans="2:27" x14ac:dyDescent="0.2">
      <c r="B2121" s="4" t="s">
        <v>3618</v>
      </c>
      <c r="C2121" s="4">
        <v>13.7698</v>
      </c>
      <c r="D2121" s="4">
        <v>13.954499999999999</v>
      </c>
      <c r="E2121" s="4">
        <v>13.934799999999999</v>
      </c>
      <c r="F2121" s="4">
        <f t="shared" si="132"/>
        <v>13.886366666666666</v>
      </c>
      <c r="I2121" s="4" t="s">
        <v>4759</v>
      </c>
      <c r="J2121" s="4">
        <v>13.9872</v>
      </c>
      <c r="K2121" s="4">
        <v>13.892200000000001</v>
      </c>
      <c r="L2121" s="4">
        <v>13.6693</v>
      </c>
      <c r="M2121" s="4">
        <f t="shared" si="133"/>
        <v>13.849566666666666</v>
      </c>
      <c r="P2121" s="4" t="str">
        <f>"fubl-1"</f>
        <v>fubl-1</v>
      </c>
      <c r="Q2121" s="4">
        <v>13.149940056760601</v>
      </c>
      <c r="R2121" s="4">
        <v>13.4600990599662</v>
      </c>
      <c r="S2121" s="4">
        <v>13.6516361268925</v>
      </c>
      <c r="T2121" s="4">
        <f t="shared" si="134"/>
        <v>13.420558414539768</v>
      </c>
      <c r="W2121" s="4" t="str">
        <f>"mrp-1"</f>
        <v>mrp-1</v>
      </c>
      <c r="X2121" s="4">
        <v>13.4796597549896</v>
      </c>
      <c r="Y2121" s="4">
        <v>13.415957140216699</v>
      </c>
      <c r="Z2121" s="4">
        <v>13.5366236027866</v>
      </c>
      <c r="AA2121" s="4">
        <f t="shared" si="135"/>
        <v>13.477413499330966</v>
      </c>
    </row>
    <row r="2122" spans="2:27" x14ac:dyDescent="0.2">
      <c r="B2122" s="4" t="s">
        <v>4760</v>
      </c>
      <c r="C2122" s="4">
        <v>14.025700000000001</v>
      </c>
      <c r="D2122" s="4">
        <v>14.020799999999999</v>
      </c>
      <c r="E2122" s="4">
        <v>13.6113</v>
      </c>
      <c r="F2122" s="4">
        <f t="shared" si="132"/>
        <v>13.885933333333334</v>
      </c>
      <c r="I2122" s="4" t="s">
        <v>4271</v>
      </c>
      <c r="J2122" s="4">
        <v>14.041700000000001</v>
      </c>
      <c r="K2122" s="4">
        <v>13.8003</v>
      </c>
      <c r="L2122" s="4">
        <v>13.7011</v>
      </c>
      <c r="M2122" s="4">
        <f t="shared" si="133"/>
        <v>13.847699999999998</v>
      </c>
      <c r="P2122" s="4" t="str">
        <f>"perm-2"</f>
        <v>perm-2</v>
      </c>
      <c r="Q2122" s="4">
        <v>13.2549123397333</v>
      </c>
      <c r="R2122" s="4">
        <v>13.4610803202178</v>
      </c>
      <c r="S2122" s="4">
        <v>13.543607972874</v>
      </c>
      <c r="T2122" s="4">
        <f t="shared" si="134"/>
        <v>13.419866877608365</v>
      </c>
      <c r="W2122" s="4" t="str">
        <f>"cth-1"</f>
        <v>cth-1</v>
      </c>
      <c r="X2122" s="4">
        <v>13.9125668501093</v>
      </c>
      <c r="Y2122" s="4">
        <v>13.1369531051528</v>
      </c>
      <c r="Z2122" s="4">
        <v>13.365308189454501</v>
      </c>
      <c r="AA2122" s="4">
        <f t="shared" si="135"/>
        <v>13.4716093815722</v>
      </c>
    </row>
    <row r="2123" spans="2:27" x14ac:dyDescent="0.2">
      <c r="B2123" s="4" t="s">
        <v>2180</v>
      </c>
      <c r="C2123" s="4">
        <v>13.9732</v>
      </c>
      <c r="D2123" s="4">
        <v>13.836499999999999</v>
      </c>
      <c r="E2123" s="4">
        <v>13.8451</v>
      </c>
      <c r="F2123" s="4">
        <f t="shared" si="132"/>
        <v>13.884933333333334</v>
      </c>
      <c r="I2123" s="4" t="s">
        <v>2759</v>
      </c>
      <c r="J2123" s="4">
        <v>13.9138</v>
      </c>
      <c r="K2123" s="4">
        <v>13.813000000000001</v>
      </c>
      <c r="L2123" s="4">
        <v>13.8155</v>
      </c>
      <c r="M2123" s="4">
        <f t="shared" si="133"/>
        <v>13.847433333333333</v>
      </c>
      <c r="P2123" s="4" t="str">
        <f>"lotr-1"</f>
        <v>lotr-1</v>
      </c>
      <c r="Q2123" s="4">
        <v>13.396587467326899</v>
      </c>
      <c r="R2123" s="4">
        <v>13.4058213104235</v>
      </c>
      <c r="S2123" s="4">
        <v>13.453502051302801</v>
      </c>
      <c r="T2123" s="4">
        <f t="shared" si="134"/>
        <v>13.418636943017733</v>
      </c>
      <c r="W2123" s="4" t="str">
        <f>"ZK632.12"</f>
        <v>ZK632.12</v>
      </c>
      <c r="X2123" s="4">
        <v>13.595489865302101</v>
      </c>
      <c r="Y2123" s="4">
        <v>13.517543568937899</v>
      </c>
      <c r="Z2123" s="4">
        <v>13.300614425814899</v>
      </c>
      <c r="AA2123" s="4">
        <f t="shared" si="135"/>
        <v>13.471215953351633</v>
      </c>
    </row>
    <row r="2124" spans="2:27" x14ac:dyDescent="0.2">
      <c r="B2124" s="4" t="s">
        <v>3416</v>
      </c>
      <c r="C2124" s="4">
        <v>14.4237</v>
      </c>
      <c r="D2124" s="4">
        <v>13.3964</v>
      </c>
      <c r="E2124" s="4">
        <v>13.832100000000001</v>
      </c>
      <c r="F2124" s="4">
        <f t="shared" si="132"/>
        <v>13.884066666666667</v>
      </c>
      <c r="I2124" s="4" t="s">
        <v>3277</v>
      </c>
      <c r="J2124" s="4">
        <v>13.601900000000001</v>
      </c>
      <c r="K2124" s="4">
        <v>13.5014</v>
      </c>
      <c r="L2124" s="4">
        <v>14.4366</v>
      </c>
      <c r="M2124" s="4">
        <f t="shared" si="133"/>
        <v>13.846633333333335</v>
      </c>
      <c r="P2124" s="4" t="str">
        <f>"ndua-7"</f>
        <v>ndua-7</v>
      </c>
      <c r="Q2124" s="4">
        <v>13.5174109969931</v>
      </c>
      <c r="R2124" s="4">
        <v>13.089250207706501</v>
      </c>
      <c r="S2124" s="4">
        <v>13.644920367188201</v>
      </c>
      <c r="T2124" s="4">
        <f t="shared" si="134"/>
        <v>13.417193857295933</v>
      </c>
      <c r="W2124" s="4" t="str">
        <f>"dnj-1"</f>
        <v>dnj-1</v>
      </c>
      <c r="X2124" s="4">
        <v>13.4784048601793</v>
      </c>
      <c r="Y2124" s="4">
        <v>13.664690185344799</v>
      </c>
      <c r="Z2124" s="4">
        <v>13.269923066432099</v>
      </c>
      <c r="AA2124" s="4">
        <f t="shared" si="135"/>
        <v>13.471006037318732</v>
      </c>
    </row>
    <row r="2125" spans="2:27" x14ac:dyDescent="0.2">
      <c r="B2125" s="4" t="s">
        <v>3777</v>
      </c>
      <c r="C2125" s="4">
        <v>13.962899999999999</v>
      </c>
      <c r="D2125" s="4">
        <v>13.9725</v>
      </c>
      <c r="E2125" s="4">
        <v>13.711</v>
      </c>
      <c r="F2125" s="4">
        <f t="shared" si="132"/>
        <v>13.882133333333334</v>
      </c>
      <c r="I2125" s="4" t="s">
        <v>286</v>
      </c>
      <c r="J2125" s="4">
        <v>14.014200000000001</v>
      </c>
      <c r="K2125" s="4">
        <v>13.650600000000001</v>
      </c>
      <c r="L2125" s="4">
        <v>13.8735</v>
      </c>
      <c r="M2125" s="4">
        <f t="shared" si="133"/>
        <v>13.8461</v>
      </c>
      <c r="P2125" s="4" t="str">
        <f>"lin-38"</f>
        <v>lin-38</v>
      </c>
      <c r="Q2125" s="4">
        <v>13.6438545684357</v>
      </c>
      <c r="R2125" s="4">
        <v>13.170402637387999</v>
      </c>
      <c r="S2125" s="4">
        <v>13.436984023416301</v>
      </c>
      <c r="T2125" s="4">
        <f t="shared" si="134"/>
        <v>13.417080409746667</v>
      </c>
      <c r="W2125" s="4" t="str">
        <f>"ctn-1"</f>
        <v>ctn-1</v>
      </c>
      <c r="X2125" s="4">
        <v>13.355277651185601</v>
      </c>
      <c r="Y2125" s="4">
        <v>13.6127182298639</v>
      </c>
      <c r="Z2125" s="4">
        <v>13.444045101740199</v>
      </c>
      <c r="AA2125" s="4">
        <f t="shared" si="135"/>
        <v>13.470680327596567</v>
      </c>
    </row>
    <row r="2126" spans="2:27" x14ac:dyDescent="0.2">
      <c r="B2126" s="4" t="s">
        <v>3135</v>
      </c>
      <c r="C2126" s="4">
        <v>13.667299999999999</v>
      </c>
      <c r="D2126" s="4">
        <v>14.134499999999999</v>
      </c>
      <c r="E2126" s="4">
        <v>13.8431</v>
      </c>
      <c r="F2126" s="4">
        <f t="shared" si="132"/>
        <v>13.881633333333333</v>
      </c>
      <c r="I2126" s="4" t="s">
        <v>3622</v>
      </c>
      <c r="J2126" s="4">
        <v>13.9009</v>
      </c>
      <c r="K2126" s="4">
        <v>13.976599999999999</v>
      </c>
      <c r="L2126" s="4">
        <v>13.657999999999999</v>
      </c>
      <c r="M2126" s="4">
        <f t="shared" si="133"/>
        <v>13.845166666666666</v>
      </c>
      <c r="P2126" s="4" t="str">
        <f>"rnp-1"</f>
        <v>rnp-1</v>
      </c>
      <c r="Q2126" s="4">
        <v>13.645408567954499</v>
      </c>
      <c r="R2126" s="4">
        <v>13.121121405122301</v>
      </c>
      <c r="S2126" s="4">
        <v>13.483551136850499</v>
      </c>
      <c r="T2126" s="4">
        <f t="shared" si="134"/>
        <v>13.4166937033091</v>
      </c>
      <c r="W2126" s="4" t="str">
        <f>"inx-8"</f>
        <v>inx-8</v>
      </c>
      <c r="X2126" s="4">
        <v>13.635626142648199</v>
      </c>
      <c r="Y2126" s="4">
        <v>13.466920791351299</v>
      </c>
      <c r="Z2126" s="4">
        <v>13.309360811344799</v>
      </c>
      <c r="AA2126" s="4">
        <f t="shared" si="135"/>
        <v>13.470635915114764</v>
      </c>
    </row>
    <row r="2127" spans="2:27" x14ac:dyDescent="0.2">
      <c r="B2127" s="4" t="s">
        <v>405</v>
      </c>
      <c r="C2127" s="4">
        <v>13.4917</v>
      </c>
      <c r="D2127" s="4">
        <v>14.2539</v>
      </c>
      <c r="E2127" s="4">
        <v>13.8956</v>
      </c>
      <c r="F2127" s="4">
        <f t="shared" si="132"/>
        <v>13.8804</v>
      </c>
      <c r="I2127" s="4" t="s">
        <v>2913</v>
      </c>
      <c r="J2127" s="4">
        <v>13.6241</v>
      </c>
      <c r="K2127" s="4">
        <v>13.7707</v>
      </c>
      <c r="L2127" s="4">
        <v>14.1333</v>
      </c>
      <c r="M2127" s="4">
        <f t="shared" si="133"/>
        <v>13.842700000000001</v>
      </c>
      <c r="P2127" s="4" t="str">
        <f>"nstp-5"</f>
        <v>nstp-5</v>
      </c>
      <c r="Q2127" s="4">
        <v>13.0180077902713</v>
      </c>
      <c r="R2127" s="4">
        <v>13.4978810466885</v>
      </c>
      <c r="S2127" s="4">
        <v>13.728391379412701</v>
      </c>
      <c r="T2127" s="4">
        <f t="shared" si="134"/>
        <v>13.414760072124167</v>
      </c>
      <c r="W2127" s="4" t="str">
        <f>"unc-97"</f>
        <v>unc-97</v>
      </c>
      <c r="X2127" s="4">
        <v>13.3921104397541</v>
      </c>
      <c r="Y2127" s="4">
        <v>13.2778527259842</v>
      </c>
      <c r="Z2127" s="4">
        <v>13.7417048092088</v>
      </c>
      <c r="AA2127" s="4">
        <f t="shared" si="135"/>
        <v>13.470555991649034</v>
      </c>
    </row>
    <row r="2128" spans="2:27" x14ac:dyDescent="0.2">
      <c r="B2128" s="4" t="s">
        <v>1381</v>
      </c>
      <c r="C2128" s="4">
        <v>13.7157</v>
      </c>
      <c r="D2128" s="4">
        <v>14.652100000000001</v>
      </c>
      <c r="E2128" s="4">
        <v>13.2682</v>
      </c>
      <c r="F2128" s="4">
        <f t="shared" si="132"/>
        <v>13.878666666666668</v>
      </c>
      <c r="I2128" s="4" t="s">
        <v>1509</v>
      </c>
      <c r="J2128" s="4">
        <v>13.893000000000001</v>
      </c>
      <c r="K2128" s="4">
        <v>14.0814</v>
      </c>
      <c r="L2128" s="4">
        <v>13.5532</v>
      </c>
      <c r="M2128" s="4">
        <f t="shared" si="133"/>
        <v>13.842533333333336</v>
      </c>
      <c r="P2128" s="4" t="str">
        <f>"F54C9.9"</f>
        <v>F54C9.9</v>
      </c>
      <c r="Q2128" s="4">
        <v>13.2455269516878</v>
      </c>
      <c r="R2128" s="4">
        <v>13.738781666851599</v>
      </c>
      <c r="S2128" s="4">
        <v>13.2591742033768</v>
      </c>
      <c r="T2128" s="4">
        <f t="shared" si="134"/>
        <v>13.414494273972068</v>
      </c>
      <c r="W2128" s="4" t="str">
        <f>"lap-1"</f>
        <v>lap-1</v>
      </c>
      <c r="X2128" s="4">
        <v>13.587830534976501</v>
      </c>
      <c r="Y2128" s="4">
        <v>13.5413511891903</v>
      </c>
      <c r="Z2128" s="4">
        <v>13.2822576123581</v>
      </c>
      <c r="AA2128" s="4">
        <f t="shared" si="135"/>
        <v>13.470479778841634</v>
      </c>
    </row>
    <row r="2129" spans="2:27" x14ac:dyDescent="0.2">
      <c r="B2129" s="4" t="s">
        <v>3658</v>
      </c>
      <c r="C2129" s="4">
        <v>13.556699999999999</v>
      </c>
      <c r="D2129" s="4">
        <v>14.043100000000001</v>
      </c>
      <c r="E2129" s="4">
        <v>14.0357</v>
      </c>
      <c r="F2129" s="4">
        <f t="shared" si="132"/>
        <v>13.878500000000001</v>
      </c>
      <c r="I2129" s="4" t="s">
        <v>3972</v>
      </c>
      <c r="J2129" s="4">
        <v>14.0352</v>
      </c>
      <c r="K2129" s="4">
        <v>14.048299999999999</v>
      </c>
      <c r="L2129" s="4">
        <v>13.439500000000001</v>
      </c>
      <c r="M2129" s="4">
        <f t="shared" si="133"/>
        <v>13.841000000000001</v>
      </c>
      <c r="P2129" s="4" t="str">
        <f>"ugt-25"</f>
        <v>ugt-25</v>
      </c>
      <c r="Q2129" s="4">
        <v>13.1496475165177</v>
      </c>
      <c r="R2129" s="4">
        <v>13.817419870558799</v>
      </c>
      <c r="S2129" s="4">
        <v>13.2762262030071</v>
      </c>
      <c r="T2129" s="4">
        <f t="shared" si="134"/>
        <v>13.414431196694531</v>
      </c>
      <c r="W2129" s="4" t="str">
        <f>"mrps-2"</f>
        <v>mrps-2</v>
      </c>
      <c r="X2129" s="4">
        <v>13.1234793927947</v>
      </c>
      <c r="Y2129" s="4">
        <v>13.687961076034499</v>
      </c>
      <c r="Z2129" s="4">
        <v>13.5986734061295</v>
      </c>
      <c r="AA2129" s="4">
        <f t="shared" si="135"/>
        <v>13.470037958319566</v>
      </c>
    </row>
    <row r="2130" spans="2:27" x14ac:dyDescent="0.2">
      <c r="B2130" s="4" t="s">
        <v>3996</v>
      </c>
      <c r="C2130" s="4">
        <v>13.9239</v>
      </c>
      <c r="D2130" s="4">
        <v>13.798400000000001</v>
      </c>
      <c r="E2130" s="4">
        <v>13.9078</v>
      </c>
      <c r="F2130" s="4">
        <f t="shared" si="132"/>
        <v>13.8767</v>
      </c>
      <c r="I2130" s="4" t="s">
        <v>2386</v>
      </c>
      <c r="J2130" s="4">
        <v>13.559699999999999</v>
      </c>
      <c r="K2130" s="4">
        <v>13.8559</v>
      </c>
      <c r="L2130" s="4">
        <v>14.107100000000001</v>
      </c>
      <c r="M2130" s="4">
        <f t="shared" si="133"/>
        <v>13.8409</v>
      </c>
      <c r="P2130" s="4" t="str">
        <f>"C27A7.5"</f>
        <v>C27A7.5</v>
      </c>
      <c r="Q2130" s="4">
        <v>13.3647751172792</v>
      </c>
      <c r="R2130" s="4">
        <v>13.406770367149401</v>
      </c>
      <c r="S2130" s="4">
        <v>13.4693342086209</v>
      </c>
      <c r="T2130" s="4">
        <f t="shared" si="134"/>
        <v>13.413626564349833</v>
      </c>
      <c r="W2130" s="4" t="str">
        <f>"Y48G8AL.13"</f>
        <v>Y48G8AL.13</v>
      </c>
      <c r="X2130" s="4">
        <v>13.0041138314643</v>
      </c>
      <c r="Y2130" s="4">
        <v>13.4698649765705</v>
      </c>
      <c r="Z2130" s="4">
        <v>13.934823002113699</v>
      </c>
      <c r="AA2130" s="4">
        <f t="shared" si="135"/>
        <v>13.469600603382835</v>
      </c>
    </row>
    <row r="2131" spans="2:27" x14ac:dyDescent="0.2">
      <c r="B2131" s="4" t="s">
        <v>2543</v>
      </c>
      <c r="C2131" s="4">
        <v>13.556900000000001</v>
      </c>
      <c r="D2131" s="4">
        <v>13.8027</v>
      </c>
      <c r="E2131" s="4">
        <v>14.2675</v>
      </c>
      <c r="F2131" s="4">
        <f t="shared" si="132"/>
        <v>13.8757</v>
      </c>
      <c r="I2131" s="4" t="s">
        <v>1815</v>
      </c>
      <c r="J2131" s="4">
        <v>13.431800000000001</v>
      </c>
      <c r="K2131" s="4">
        <v>14.271599999999999</v>
      </c>
      <c r="L2131" s="4">
        <v>13.818300000000001</v>
      </c>
      <c r="M2131" s="4">
        <f t="shared" si="133"/>
        <v>13.840566666666668</v>
      </c>
      <c r="P2131" s="4" t="str">
        <f>"tbc-17"</f>
        <v>tbc-17</v>
      </c>
      <c r="Q2131" s="4">
        <v>13.4985012626189</v>
      </c>
      <c r="R2131" s="4">
        <v>13.448553790931401</v>
      </c>
      <c r="S2131" s="4">
        <v>13.2932637324332</v>
      </c>
      <c r="T2131" s="4">
        <f t="shared" si="134"/>
        <v>13.413439595327835</v>
      </c>
      <c r="W2131" s="4" t="str">
        <f>"ndua-7"</f>
        <v>ndua-7</v>
      </c>
      <c r="X2131" s="4">
        <v>13.6922336966211</v>
      </c>
      <c r="Y2131" s="4">
        <v>13.264177026775</v>
      </c>
      <c r="Z2131" s="4">
        <v>13.4508830388787</v>
      </c>
      <c r="AA2131" s="4">
        <f t="shared" si="135"/>
        <v>13.469097920758268</v>
      </c>
    </row>
    <row r="2132" spans="2:27" x14ac:dyDescent="0.2">
      <c r="B2132" s="4" t="s">
        <v>2896</v>
      </c>
      <c r="C2132" s="4">
        <v>13.7668</v>
      </c>
      <c r="D2132" s="4">
        <v>13.946</v>
      </c>
      <c r="E2132" s="4">
        <v>13.911300000000001</v>
      </c>
      <c r="F2132" s="4">
        <f t="shared" si="132"/>
        <v>13.874699999999999</v>
      </c>
      <c r="I2132" s="4" t="s">
        <v>26</v>
      </c>
      <c r="J2132" s="4">
        <v>13.983700000000001</v>
      </c>
      <c r="K2132" s="4">
        <v>14.0411</v>
      </c>
      <c r="L2132" s="4">
        <v>13.492000000000001</v>
      </c>
      <c r="M2132" s="4">
        <f t="shared" si="133"/>
        <v>13.838933333333335</v>
      </c>
      <c r="P2132" s="4" t="str">
        <f>"sec-61.G"</f>
        <v>sec-61.G</v>
      </c>
      <c r="Q2132" s="4">
        <v>13.593647779142101</v>
      </c>
      <c r="R2132" s="4">
        <v>13.256132302924501</v>
      </c>
      <c r="S2132" s="4">
        <v>13.3867015817109</v>
      </c>
      <c r="T2132" s="4">
        <f t="shared" si="134"/>
        <v>13.412160554592502</v>
      </c>
      <c r="W2132" s="4" t="str">
        <f>"npp-7"</f>
        <v>npp-7</v>
      </c>
      <c r="X2132" s="4">
        <v>13.512091132677901</v>
      </c>
      <c r="Y2132" s="4">
        <v>13.3992078217389</v>
      </c>
      <c r="Z2132" s="4">
        <v>13.4942930840449</v>
      </c>
      <c r="AA2132" s="4">
        <f t="shared" si="135"/>
        <v>13.468530679487232</v>
      </c>
    </row>
    <row r="2133" spans="2:27" x14ac:dyDescent="0.2">
      <c r="B2133" s="4" t="s">
        <v>4596</v>
      </c>
      <c r="C2133" s="4">
        <v>14.0595</v>
      </c>
      <c r="D2133" s="4">
        <v>13.6374</v>
      </c>
      <c r="E2133" s="4">
        <v>13.9255</v>
      </c>
      <c r="F2133" s="4">
        <f t="shared" si="132"/>
        <v>13.874133333333333</v>
      </c>
      <c r="I2133" s="4" t="s">
        <v>1562</v>
      </c>
      <c r="J2133" s="4">
        <v>13.732699999999999</v>
      </c>
      <c r="K2133" s="4">
        <v>13.742900000000001</v>
      </c>
      <c r="L2133" s="4">
        <v>14.0382</v>
      </c>
      <c r="M2133" s="4">
        <f t="shared" si="133"/>
        <v>13.837933333333334</v>
      </c>
      <c r="P2133" s="4" t="str">
        <f>"usip-1"</f>
        <v>usip-1</v>
      </c>
      <c r="Q2133" s="4">
        <v>12.6773886274114</v>
      </c>
      <c r="R2133" s="4">
        <v>13.687140093762601</v>
      </c>
      <c r="S2133" s="4">
        <v>13.8679699964121</v>
      </c>
      <c r="T2133" s="4">
        <f t="shared" si="134"/>
        <v>13.410832905862032</v>
      </c>
      <c r="W2133" s="4" t="str">
        <f>"san-1"</f>
        <v>san-1</v>
      </c>
      <c r="X2133" s="4">
        <v>13.2048771148373</v>
      </c>
      <c r="Y2133" s="4">
        <v>13.551656367166601</v>
      </c>
      <c r="Z2133" s="4">
        <v>13.648299959876301</v>
      </c>
      <c r="AA2133" s="4">
        <f t="shared" si="135"/>
        <v>13.468277813960066</v>
      </c>
    </row>
    <row r="2134" spans="2:27" x14ac:dyDescent="0.2">
      <c r="B2134" s="4" t="s">
        <v>3147</v>
      </c>
      <c r="C2134" s="4">
        <v>13.511900000000001</v>
      </c>
      <c r="D2134" s="4">
        <v>14.090299999999999</v>
      </c>
      <c r="E2134" s="4">
        <v>14.0168</v>
      </c>
      <c r="F2134" s="4">
        <f t="shared" si="132"/>
        <v>13.872999999999999</v>
      </c>
      <c r="I2134" s="4" t="s">
        <v>3595</v>
      </c>
      <c r="J2134" s="4">
        <v>13.7836</v>
      </c>
      <c r="K2134" s="4">
        <v>13.537599999999999</v>
      </c>
      <c r="L2134" s="4">
        <v>14.1911</v>
      </c>
      <c r="M2134" s="4">
        <f t="shared" si="133"/>
        <v>13.837433333333331</v>
      </c>
      <c r="P2134" s="4" t="str">
        <f>"svh-2"</f>
        <v>svh-2</v>
      </c>
      <c r="Q2134" s="4">
        <v>13.2359771421521</v>
      </c>
      <c r="R2134" s="4">
        <v>13.5317604702333</v>
      </c>
      <c r="S2134" s="4">
        <v>13.4643860026114</v>
      </c>
      <c r="T2134" s="4">
        <f t="shared" si="134"/>
        <v>13.410707871665601</v>
      </c>
      <c r="W2134" s="4" t="str">
        <f>"epg-2"</f>
        <v>epg-2</v>
      </c>
      <c r="X2134" s="4">
        <v>13.2754191962501</v>
      </c>
      <c r="Y2134" s="4">
        <v>13.353656352797</v>
      </c>
      <c r="Z2134" s="4">
        <v>13.7527579029456</v>
      </c>
      <c r="AA2134" s="4">
        <f t="shared" si="135"/>
        <v>13.460611150664235</v>
      </c>
    </row>
    <row r="2135" spans="2:27" x14ac:dyDescent="0.2">
      <c r="B2135" s="4" t="s">
        <v>3724</v>
      </c>
      <c r="C2135" s="4">
        <v>13.8027</v>
      </c>
      <c r="D2135" s="4">
        <v>13.726699999999999</v>
      </c>
      <c r="E2135" s="4">
        <v>14.0853</v>
      </c>
      <c r="F2135" s="4">
        <f t="shared" si="132"/>
        <v>13.871566666666666</v>
      </c>
      <c r="I2135" s="4" t="s">
        <v>1010</v>
      </c>
      <c r="J2135" s="4">
        <v>13.758100000000001</v>
      </c>
      <c r="K2135" s="4">
        <v>14.044</v>
      </c>
      <c r="L2135" s="4">
        <v>13.7065</v>
      </c>
      <c r="M2135" s="4">
        <f t="shared" si="133"/>
        <v>13.8362</v>
      </c>
      <c r="P2135" s="4" t="str">
        <f>"pes-9"</f>
        <v>pes-9</v>
      </c>
      <c r="Q2135" s="4">
        <v>13.3640169821303</v>
      </c>
      <c r="R2135" s="4">
        <v>13.363699925605101</v>
      </c>
      <c r="S2135" s="4">
        <v>13.5001408890764</v>
      </c>
      <c r="T2135" s="4">
        <f t="shared" si="134"/>
        <v>13.409285932270599</v>
      </c>
      <c r="W2135" s="4" t="str">
        <f>"R119.2"</f>
        <v>R119.2</v>
      </c>
      <c r="X2135" s="4">
        <v>12.985707314905699</v>
      </c>
      <c r="Y2135" s="4">
        <v>13.4902081305483</v>
      </c>
      <c r="Z2135" s="4">
        <v>13.9057295910725</v>
      </c>
      <c r="AA2135" s="4">
        <f t="shared" si="135"/>
        <v>13.460548345508833</v>
      </c>
    </row>
    <row r="2136" spans="2:27" x14ac:dyDescent="0.2">
      <c r="B2136" s="4" t="s">
        <v>503</v>
      </c>
      <c r="C2136" s="4">
        <v>13.397500000000001</v>
      </c>
      <c r="D2136" s="4">
        <v>14.394399999999999</v>
      </c>
      <c r="E2136" s="4">
        <v>13.819599999999999</v>
      </c>
      <c r="F2136" s="4">
        <f t="shared" si="132"/>
        <v>13.8705</v>
      </c>
      <c r="I2136" s="4" t="s">
        <v>2470</v>
      </c>
      <c r="J2136" s="4">
        <v>14.1508</v>
      </c>
      <c r="K2136" s="4">
        <v>13.588800000000001</v>
      </c>
      <c r="L2136" s="4">
        <v>13.7652</v>
      </c>
      <c r="M2136" s="4">
        <f t="shared" si="133"/>
        <v>13.834933333333334</v>
      </c>
      <c r="P2136" s="4" t="str">
        <f>"sco-1"</f>
        <v>sco-1</v>
      </c>
      <c r="Q2136" s="4">
        <v>13.4789096489566</v>
      </c>
      <c r="R2136" s="4">
        <v>13.292832623252</v>
      </c>
      <c r="S2136" s="4">
        <v>13.449303856781899</v>
      </c>
      <c r="T2136" s="4">
        <f t="shared" si="134"/>
        <v>13.407015376330165</v>
      </c>
      <c r="W2136" s="4" t="str">
        <f>"F32D8.4"</f>
        <v>F32D8.4</v>
      </c>
      <c r="X2136" s="4">
        <v>13.5987442778539</v>
      </c>
      <c r="Y2136" s="4">
        <v>13.380520851457399</v>
      </c>
      <c r="Z2136" s="4">
        <v>13.400858469647901</v>
      </c>
      <c r="AA2136" s="4">
        <f t="shared" si="135"/>
        <v>13.460041199653068</v>
      </c>
    </row>
    <row r="2137" spans="2:27" x14ac:dyDescent="0.2">
      <c r="B2137" s="4" t="s">
        <v>4674</v>
      </c>
      <c r="C2137" s="4">
        <v>13.8668</v>
      </c>
      <c r="D2137" s="4">
        <v>13.825900000000001</v>
      </c>
      <c r="E2137" s="4">
        <v>13.9183</v>
      </c>
      <c r="F2137" s="4">
        <f t="shared" si="132"/>
        <v>13.870333333333335</v>
      </c>
      <c r="I2137" s="4" t="s">
        <v>4006</v>
      </c>
      <c r="J2137" s="4">
        <v>14.0016</v>
      </c>
      <c r="K2137" s="4">
        <v>13.5487</v>
      </c>
      <c r="L2137" s="4">
        <v>13.9488</v>
      </c>
      <c r="M2137" s="4">
        <f t="shared" si="133"/>
        <v>13.833033333333333</v>
      </c>
      <c r="P2137" s="4" t="str">
        <f>"wago-1"</f>
        <v>wago-1</v>
      </c>
      <c r="Q2137" s="4">
        <v>13.107529017328</v>
      </c>
      <c r="R2137" s="4">
        <v>13.5340167080908</v>
      </c>
      <c r="S2137" s="4">
        <v>13.5786381847534</v>
      </c>
      <c r="T2137" s="4">
        <f t="shared" si="134"/>
        <v>13.406727970057402</v>
      </c>
      <c r="W2137" s="4" t="str">
        <f>"xnp-1"</f>
        <v>xnp-1</v>
      </c>
      <c r="X2137" s="4">
        <v>13.4560614079891</v>
      </c>
      <c r="Y2137" s="4">
        <v>13.522054774291099</v>
      </c>
      <c r="Z2137" s="4">
        <v>13.4014921489452</v>
      </c>
      <c r="AA2137" s="4">
        <f t="shared" si="135"/>
        <v>13.4598694437418</v>
      </c>
    </row>
    <row r="2138" spans="2:27" x14ac:dyDescent="0.2">
      <c r="B2138" s="4" t="s">
        <v>1628</v>
      </c>
      <c r="C2138" s="4">
        <v>14.106</v>
      </c>
      <c r="D2138" s="4">
        <v>13.755699999999999</v>
      </c>
      <c r="E2138" s="4">
        <v>13.7493</v>
      </c>
      <c r="F2138" s="4">
        <f t="shared" si="132"/>
        <v>13.870333333333333</v>
      </c>
      <c r="I2138" s="4" t="s">
        <v>3951</v>
      </c>
      <c r="J2138" s="4">
        <v>14.1279</v>
      </c>
      <c r="K2138" s="4">
        <v>13.6828</v>
      </c>
      <c r="L2138" s="4">
        <v>13.6828</v>
      </c>
      <c r="M2138" s="4">
        <f t="shared" si="133"/>
        <v>13.831166666666666</v>
      </c>
      <c r="P2138" s="4" t="str">
        <f>"ints-4"</f>
        <v>ints-4</v>
      </c>
      <c r="Q2138" s="4">
        <v>13.2506017670574</v>
      </c>
      <c r="R2138" s="4">
        <v>13.4774264405547</v>
      </c>
      <c r="S2138" s="4">
        <v>13.4904633790507</v>
      </c>
      <c r="T2138" s="4">
        <f t="shared" si="134"/>
        <v>13.406163862220934</v>
      </c>
      <c r="W2138" s="4" t="str">
        <f>"B0464.9"</f>
        <v>B0464.9</v>
      </c>
      <c r="X2138" s="4">
        <v>13.547500665542101</v>
      </c>
      <c r="Y2138" s="4">
        <v>13.381119085741901</v>
      </c>
      <c r="Z2138" s="4">
        <v>13.4502164971948</v>
      </c>
      <c r="AA2138" s="4">
        <f t="shared" si="135"/>
        <v>13.459612082826268</v>
      </c>
    </row>
    <row r="2139" spans="2:27" x14ac:dyDescent="0.2">
      <c r="B2139" s="4" t="s">
        <v>232</v>
      </c>
      <c r="C2139" s="4">
        <v>13.8009</v>
      </c>
      <c r="D2139" s="4">
        <v>14.077500000000001</v>
      </c>
      <c r="E2139" s="4">
        <v>13.729900000000001</v>
      </c>
      <c r="F2139" s="4">
        <f t="shared" si="132"/>
        <v>13.869433333333333</v>
      </c>
      <c r="I2139" s="4" t="s">
        <v>4761</v>
      </c>
      <c r="J2139" s="4">
        <v>13.8811</v>
      </c>
      <c r="K2139" s="4">
        <v>13.788600000000001</v>
      </c>
      <c r="L2139" s="4">
        <v>13.8216</v>
      </c>
      <c r="M2139" s="4">
        <f t="shared" si="133"/>
        <v>13.830433333333332</v>
      </c>
      <c r="P2139" s="4" t="str">
        <f>"sec-16a.2"</f>
        <v>sec-16a.2</v>
      </c>
      <c r="Q2139" s="4">
        <v>13.591927256335</v>
      </c>
      <c r="R2139" s="4">
        <v>13.3590764621361</v>
      </c>
      <c r="S2139" s="4">
        <v>13.2597736480549</v>
      </c>
      <c r="T2139" s="4">
        <f t="shared" si="134"/>
        <v>13.403592455508667</v>
      </c>
      <c r="W2139" s="4" t="str">
        <f>"F56B3.4"</f>
        <v>F56B3.4</v>
      </c>
      <c r="X2139" s="4">
        <v>13.4360631819376</v>
      </c>
      <c r="Y2139" s="4">
        <v>13.556468368439001</v>
      </c>
      <c r="Z2139" s="4">
        <v>13.3790896581729</v>
      </c>
      <c r="AA2139" s="4">
        <f t="shared" si="135"/>
        <v>13.4572070695165</v>
      </c>
    </row>
    <row r="2140" spans="2:27" x14ac:dyDescent="0.2">
      <c r="B2140" s="4" t="s">
        <v>4216</v>
      </c>
      <c r="C2140" s="4">
        <v>14.1798</v>
      </c>
      <c r="D2140" s="4">
        <v>13.7212</v>
      </c>
      <c r="E2140" s="4">
        <v>13.701599999999999</v>
      </c>
      <c r="F2140" s="4">
        <f t="shared" si="132"/>
        <v>13.867533333333332</v>
      </c>
      <c r="I2140" s="4" t="s">
        <v>933</v>
      </c>
      <c r="J2140" s="4">
        <v>13.823700000000001</v>
      </c>
      <c r="K2140" s="4">
        <v>13.744999999999999</v>
      </c>
      <c r="L2140" s="4">
        <v>13.9214</v>
      </c>
      <c r="M2140" s="4">
        <f t="shared" si="133"/>
        <v>13.830033333333333</v>
      </c>
      <c r="P2140" s="4" t="str">
        <f>"H40L08.1"</f>
        <v>H40L08.1</v>
      </c>
      <c r="Q2140" s="4">
        <v>13.0968397137583</v>
      </c>
      <c r="R2140" s="4">
        <v>13.5260074114685</v>
      </c>
      <c r="S2140" s="4">
        <v>13.586766540978999</v>
      </c>
      <c r="T2140" s="4">
        <f t="shared" si="134"/>
        <v>13.403204555401933</v>
      </c>
      <c r="W2140" s="4" t="str">
        <f>"cul-2"</f>
        <v>cul-2</v>
      </c>
      <c r="X2140" s="4">
        <v>13.392710860531199</v>
      </c>
      <c r="Y2140" s="4">
        <v>13.480215246902199</v>
      </c>
      <c r="Z2140" s="4">
        <v>13.491622838495701</v>
      </c>
      <c r="AA2140" s="4">
        <f t="shared" si="135"/>
        <v>13.454849648643034</v>
      </c>
    </row>
    <row r="2141" spans="2:27" x14ac:dyDescent="0.2">
      <c r="B2141" s="4" t="s">
        <v>1638</v>
      </c>
      <c r="C2141" s="4">
        <v>13.8408</v>
      </c>
      <c r="D2141" s="4">
        <v>13.881500000000001</v>
      </c>
      <c r="E2141" s="4">
        <v>13.8795</v>
      </c>
      <c r="F2141" s="4">
        <f t="shared" si="132"/>
        <v>13.867266666666666</v>
      </c>
      <c r="I2141" s="4" t="s">
        <v>4762</v>
      </c>
      <c r="J2141" s="4">
        <v>13.9344</v>
      </c>
      <c r="K2141" s="4">
        <v>13.7315</v>
      </c>
      <c r="L2141" s="4">
        <v>13.815799999999999</v>
      </c>
      <c r="M2141" s="4">
        <f t="shared" si="133"/>
        <v>13.827233333333334</v>
      </c>
      <c r="P2141" s="4" t="str">
        <f>"rab-28"</f>
        <v>rab-28</v>
      </c>
      <c r="Q2141" s="4">
        <v>13.6767685267835</v>
      </c>
      <c r="R2141" s="4">
        <v>13.1422883993504</v>
      </c>
      <c r="S2141" s="4">
        <v>13.3891216001189</v>
      </c>
      <c r="T2141" s="4">
        <f t="shared" si="134"/>
        <v>13.4027261754176</v>
      </c>
      <c r="W2141" s="4" t="str">
        <f>"saps-1"</f>
        <v>saps-1</v>
      </c>
      <c r="X2141" s="4">
        <v>13.501763333543099</v>
      </c>
      <c r="Y2141" s="4">
        <v>13.5134280942753</v>
      </c>
      <c r="Z2141" s="4">
        <v>13.3455660797264</v>
      </c>
      <c r="AA2141" s="4">
        <f t="shared" si="135"/>
        <v>13.453585835848267</v>
      </c>
    </row>
    <row r="2142" spans="2:27" x14ac:dyDescent="0.2">
      <c r="B2142" s="4" t="s">
        <v>1020</v>
      </c>
      <c r="C2142" s="4">
        <v>13.8903</v>
      </c>
      <c r="D2142" s="4">
        <v>13.862</v>
      </c>
      <c r="E2142" s="4">
        <v>13.8452</v>
      </c>
      <c r="F2142" s="4">
        <f t="shared" si="132"/>
        <v>13.865833333333333</v>
      </c>
      <c r="I2142" s="4" t="s">
        <v>605</v>
      </c>
      <c r="J2142" s="4">
        <v>13.928699999999999</v>
      </c>
      <c r="K2142" s="4">
        <v>14.1433</v>
      </c>
      <c r="L2142" s="4">
        <v>13.401300000000001</v>
      </c>
      <c r="M2142" s="4">
        <f t="shared" si="133"/>
        <v>13.824433333333333</v>
      </c>
      <c r="P2142" s="4" t="str">
        <f>"gln-3"</f>
        <v>gln-3</v>
      </c>
      <c r="Q2142" s="4">
        <v>13.513438593486301</v>
      </c>
      <c r="R2142" s="4">
        <v>13.276376403942299</v>
      </c>
      <c r="S2142" s="4">
        <v>13.4143532722051</v>
      </c>
      <c r="T2142" s="4">
        <f t="shared" si="134"/>
        <v>13.401389423211233</v>
      </c>
      <c r="W2142" s="4" t="str">
        <f>"mrpl-18"</f>
        <v>mrpl-18</v>
      </c>
      <c r="X2142" s="4">
        <v>13.3932962658458</v>
      </c>
      <c r="Y2142" s="4">
        <v>13.4682576029651</v>
      </c>
      <c r="Z2142" s="4">
        <v>13.4964079585469</v>
      </c>
      <c r="AA2142" s="4">
        <f t="shared" si="135"/>
        <v>13.452653942452599</v>
      </c>
    </row>
    <row r="2143" spans="2:27" x14ac:dyDescent="0.2">
      <c r="B2143" s="4" t="s">
        <v>2590</v>
      </c>
      <c r="C2143" s="4">
        <v>13.6485</v>
      </c>
      <c r="D2143" s="4">
        <v>13.7822</v>
      </c>
      <c r="E2143" s="4">
        <v>14.1656</v>
      </c>
      <c r="F2143" s="4">
        <f t="shared" si="132"/>
        <v>13.865433333333334</v>
      </c>
      <c r="I2143" s="4" t="s">
        <v>1622</v>
      </c>
      <c r="J2143" s="4">
        <v>13.805099999999999</v>
      </c>
      <c r="K2143" s="4">
        <v>14.293200000000001</v>
      </c>
      <c r="L2143" s="4">
        <v>13.375</v>
      </c>
      <c r="M2143" s="4">
        <f t="shared" si="133"/>
        <v>13.824433333333333</v>
      </c>
      <c r="P2143" s="4" t="str">
        <f>"mel-46"</f>
        <v>mel-46</v>
      </c>
      <c r="Q2143" s="4">
        <v>13.246955997426101</v>
      </c>
      <c r="R2143" s="4">
        <v>13.570945488369</v>
      </c>
      <c r="S2143" s="4">
        <v>13.385107004329701</v>
      </c>
      <c r="T2143" s="4">
        <f t="shared" si="134"/>
        <v>13.4010028300416</v>
      </c>
      <c r="W2143" s="4" t="str">
        <f>"haf-6"</f>
        <v>haf-6</v>
      </c>
      <c r="X2143" s="4">
        <v>13.396138193821001</v>
      </c>
      <c r="Y2143" s="4">
        <v>13.5106803004258</v>
      </c>
      <c r="Z2143" s="4">
        <v>13.4470709493404</v>
      </c>
      <c r="AA2143" s="4">
        <f t="shared" si="135"/>
        <v>13.451296481195733</v>
      </c>
    </row>
    <row r="2144" spans="2:27" x14ac:dyDescent="0.2">
      <c r="B2144" s="4" t="s">
        <v>4197</v>
      </c>
      <c r="C2144" s="4">
        <v>14.013999999999999</v>
      </c>
      <c r="D2144" s="4">
        <v>13.954800000000001</v>
      </c>
      <c r="E2144" s="4">
        <v>13.6196</v>
      </c>
      <c r="F2144" s="4">
        <f t="shared" si="132"/>
        <v>13.8628</v>
      </c>
      <c r="I2144" s="4" t="s">
        <v>1368</v>
      </c>
      <c r="J2144" s="4">
        <v>13.809200000000001</v>
      </c>
      <c r="K2144" s="4">
        <v>13.6366</v>
      </c>
      <c r="L2144" s="4">
        <v>14.0268</v>
      </c>
      <c r="M2144" s="4">
        <f t="shared" si="133"/>
        <v>13.824199999999999</v>
      </c>
      <c r="P2144" s="4" t="str">
        <f>"stc-1"</f>
        <v>stc-1</v>
      </c>
      <c r="Q2144" s="4">
        <v>13.514782623012801</v>
      </c>
      <c r="R2144" s="4">
        <v>13.356983609219601</v>
      </c>
      <c r="S2144" s="4">
        <v>13.3268269853289</v>
      </c>
      <c r="T2144" s="4">
        <f t="shared" si="134"/>
        <v>13.399531072520434</v>
      </c>
      <c r="W2144" s="4" t="str">
        <f>"Y57G11C.3"</f>
        <v>Y57G11C.3</v>
      </c>
      <c r="X2144" s="4">
        <v>13.551533577745699</v>
      </c>
      <c r="Y2144" s="4">
        <v>13.368524297726299</v>
      </c>
      <c r="Z2144" s="4">
        <v>13.4337403467651</v>
      </c>
      <c r="AA2144" s="4">
        <f t="shared" si="135"/>
        <v>13.451266074079031</v>
      </c>
    </row>
    <row r="2145" spans="2:27" x14ac:dyDescent="0.2">
      <c r="B2145" s="4" t="s">
        <v>3924</v>
      </c>
      <c r="C2145" s="4">
        <v>13.826700000000001</v>
      </c>
      <c r="D2145" s="4">
        <v>13.9847</v>
      </c>
      <c r="E2145" s="4">
        <v>13.7768</v>
      </c>
      <c r="F2145" s="4">
        <f t="shared" si="132"/>
        <v>13.862733333333333</v>
      </c>
      <c r="I2145" s="4" t="s">
        <v>4526</v>
      </c>
      <c r="J2145" s="4">
        <v>13.823700000000001</v>
      </c>
      <c r="K2145" s="4">
        <v>13.551600000000001</v>
      </c>
      <c r="L2145" s="4">
        <v>14.091699999999999</v>
      </c>
      <c r="M2145" s="4">
        <f t="shared" si="133"/>
        <v>13.822333333333333</v>
      </c>
      <c r="P2145" s="4" t="str">
        <f>"ivns-1"</f>
        <v>ivns-1</v>
      </c>
      <c r="Q2145" s="4">
        <v>13.544356263367201</v>
      </c>
      <c r="R2145" s="4">
        <v>13.152236034400101</v>
      </c>
      <c r="S2145" s="4">
        <v>13.501318264107599</v>
      </c>
      <c r="T2145" s="4">
        <f t="shared" si="134"/>
        <v>13.399303520624969</v>
      </c>
      <c r="W2145" s="4" t="str">
        <f>"slc-25a26"</f>
        <v>slc-25a26</v>
      </c>
      <c r="X2145" s="4">
        <v>13.8574473660832</v>
      </c>
      <c r="Y2145" s="4">
        <v>13.098113144165399</v>
      </c>
      <c r="Z2145" s="4">
        <v>13.397743729884899</v>
      </c>
      <c r="AA2145" s="4">
        <f t="shared" si="135"/>
        <v>13.451101413377833</v>
      </c>
    </row>
    <row r="2146" spans="2:27" x14ac:dyDescent="0.2">
      <c r="B2146" s="4" t="s">
        <v>4763</v>
      </c>
      <c r="C2146" s="4">
        <v>14.069800000000001</v>
      </c>
      <c r="D2146" s="4">
        <v>13.646800000000001</v>
      </c>
      <c r="E2146" s="4">
        <v>13.871499999999999</v>
      </c>
      <c r="F2146" s="4">
        <f t="shared" si="132"/>
        <v>13.862699999999998</v>
      </c>
      <c r="I2146" s="4" t="s">
        <v>3570</v>
      </c>
      <c r="J2146" s="4">
        <v>14.009399999999999</v>
      </c>
      <c r="K2146" s="4">
        <v>13.801299999999999</v>
      </c>
      <c r="L2146" s="4">
        <v>13.6524</v>
      </c>
      <c r="M2146" s="4">
        <f t="shared" si="133"/>
        <v>13.821033333333332</v>
      </c>
      <c r="P2146" s="4" t="str">
        <f>"alh-4"</f>
        <v>alh-4</v>
      </c>
      <c r="Q2146" s="4">
        <v>13.381215138767301</v>
      </c>
      <c r="R2146" s="4">
        <v>13.3794233031622</v>
      </c>
      <c r="S2146" s="4">
        <v>13.4355328089583</v>
      </c>
      <c r="T2146" s="4">
        <f t="shared" si="134"/>
        <v>13.398723750295934</v>
      </c>
      <c r="W2146" s="4" t="str">
        <f>"smc-5"</f>
        <v>smc-5</v>
      </c>
      <c r="X2146" s="4">
        <v>13.524229601054</v>
      </c>
      <c r="Y2146" s="4">
        <v>13.516460395708</v>
      </c>
      <c r="Z2146" s="4">
        <v>13.3110703650845</v>
      </c>
      <c r="AA2146" s="4">
        <f t="shared" si="135"/>
        <v>13.450586787282168</v>
      </c>
    </row>
    <row r="2147" spans="2:27" x14ac:dyDescent="0.2">
      <c r="B2147" s="4" t="s">
        <v>3607</v>
      </c>
      <c r="C2147" s="4">
        <v>13.784599999999999</v>
      </c>
      <c r="D2147" s="4">
        <v>13.984500000000001</v>
      </c>
      <c r="E2147" s="4">
        <v>13.818899999999999</v>
      </c>
      <c r="F2147" s="4">
        <f t="shared" si="132"/>
        <v>13.862666666666668</v>
      </c>
      <c r="I2147" s="4" t="s">
        <v>2453</v>
      </c>
      <c r="J2147" s="4">
        <v>13.9657</v>
      </c>
      <c r="K2147" s="4">
        <v>13.883900000000001</v>
      </c>
      <c r="L2147" s="4">
        <v>13.6119</v>
      </c>
      <c r="M2147" s="4">
        <f t="shared" si="133"/>
        <v>13.820500000000001</v>
      </c>
      <c r="P2147" s="4" t="str">
        <f>"eol-1"</f>
        <v>eol-1</v>
      </c>
      <c r="Q2147" s="4">
        <v>13.3199960139863</v>
      </c>
      <c r="R2147" s="4">
        <v>13.377563506019101</v>
      </c>
      <c r="S2147" s="4">
        <v>13.495025340120501</v>
      </c>
      <c r="T2147" s="4">
        <f t="shared" si="134"/>
        <v>13.397528286708633</v>
      </c>
      <c r="W2147" s="4" t="str">
        <f>"ipla-1"</f>
        <v>ipla-1</v>
      </c>
      <c r="X2147" s="4">
        <v>13.6787212265638</v>
      </c>
      <c r="Y2147" s="4">
        <v>13.334085517801</v>
      </c>
      <c r="Z2147" s="4">
        <v>13.3374045333741</v>
      </c>
      <c r="AA2147" s="4">
        <f t="shared" si="135"/>
        <v>13.450070425912967</v>
      </c>
    </row>
    <row r="2148" spans="2:27" x14ac:dyDescent="0.2">
      <c r="B2148" s="4" t="s">
        <v>4764</v>
      </c>
      <c r="C2148" s="4">
        <v>13.6608</v>
      </c>
      <c r="D2148" s="4">
        <v>13.2446</v>
      </c>
      <c r="E2148" s="4">
        <v>14.6762</v>
      </c>
      <c r="F2148" s="4">
        <f t="shared" si="132"/>
        <v>13.860533333333334</v>
      </c>
      <c r="I2148" s="4" t="s">
        <v>4734</v>
      </c>
      <c r="J2148" s="4">
        <v>13.6135</v>
      </c>
      <c r="K2148" s="4">
        <v>14.1601</v>
      </c>
      <c r="L2148" s="4">
        <v>13.6867</v>
      </c>
      <c r="M2148" s="4">
        <f t="shared" si="133"/>
        <v>13.820100000000002</v>
      </c>
      <c r="P2148" s="4" t="str">
        <f>"lfe-2"</f>
        <v>lfe-2</v>
      </c>
      <c r="Q2148" s="4">
        <v>13.3329335323218</v>
      </c>
      <c r="R2148" s="4">
        <v>13.493752259348099</v>
      </c>
      <c r="S2148" s="4">
        <v>13.361821695043</v>
      </c>
      <c r="T2148" s="4">
        <f t="shared" si="134"/>
        <v>13.396169162237634</v>
      </c>
      <c r="W2148" s="4" t="str">
        <f>"maph-1.3"</f>
        <v>maph-1.3</v>
      </c>
      <c r="X2148" s="4">
        <v>13.662062877987999</v>
      </c>
      <c r="Y2148" s="4">
        <v>13.406261525819501</v>
      </c>
      <c r="Z2148" s="4">
        <v>13.2815697662564</v>
      </c>
      <c r="AA2148" s="4">
        <f t="shared" si="135"/>
        <v>13.449964723354634</v>
      </c>
    </row>
    <row r="2149" spans="2:27" x14ac:dyDescent="0.2">
      <c r="B2149" s="4" t="s">
        <v>594</v>
      </c>
      <c r="C2149" s="4">
        <v>13.0253</v>
      </c>
      <c r="D2149" s="4">
        <v>14.2539</v>
      </c>
      <c r="E2149" s="4">
        <v>14.301500000000001</v>
      </c>
      <c r="F2149" s="4">
        <f t="shared" si="132"/>
        <v>13.860233333333333</v>
      </c>
      <c r="I2149" s="4" t="s">
        <v>572</v>
      </c>
      <c r="J2149" s="4">
        <v>13.9863</v>
      </c>
      <c r="K2149" s="4">
        <v>14.0474</v>
      </c>
      <c r="L2149" s="4">
        <v>13.4255</v>
      </c>
      <c r="M2149" s="4">
        <f t="shared" si="133"/>
        <v>13.819733333333332</v>
      </c>
      <c r="P2149" s="4" t="str">
        <f>"mpc-1"</f>
        <v>mpc-1</v>
      </c>
      <c r="Q2149" s="4">
        <v>13.014772304049201</v>
      </c>
      <c r="R2149" s="4">
        <v>13.5745475705387</v>
      </c>
      <c r="S2149" s="4">
        <v>13.591650912364701</v>
      </c>
      <c r="T2149" s="4">
        <f t="shared" si="134"/>
        <v>13.3936569289842</v>
      </c>
      <c r="W2149" s="4" t="str">
        <f>"dcaf-1"</f>
        <v>dcaf-1</v>
      </c>
      <c r="X2149" s="4">
        <v>13.768136503808901</v>
      </c>
      <c r="Y2149" s="4">
        <v>13.092188443424799</v>
      </c>
      <c r="Z2149" s="4">
        <v>13.4870850912744</v>
      </c>
      <c r="AA2149" s="4">
        <f t="shared" si="135"/>
        <v>13.449136679502701</v>
      </c>
    </row>
    <row r="2150" spans="2:27" x14ac:dyDescent="0.2">
      <c r="B2150" s="4" t="s">
        <v>1503</v>
      </c>
      <c r="C2150" s="4">
        <v>13.6501</v>
      </c>
      <c r="D2150" s="4">
        <v>13.577</v>
      </c>
      <c r="E2150" s="4">
        <v>14.35</v>
      </c>
      <c r="F2150" s="4">
        <f t="shared" si="132"/>
        <v>13.859033333333334</v>
      </c>
      <c r="I2150" s="4" t="s">
        <v>4699</v>
      </c>
      <c r="J2150" s="4">
        <v>14.1579</v>
      </c>
      <c r="K2150" s="4">
        <v>13.627800000000001</v>
      </c>
      <c r="L2150" s="4">
        <v>13.672499999999999</v>
      </c>
      <c r="M2150" s="4">
        <f t="shared" si="133"/>
        <v>13.8194</v>
      </c>
      <c r="P2150" s="4" t="str">
        <f>"C38C10.2"</f>
        <v>C38C10.2</v>
      </c>
      <c r="Q2150" s="4">
        <v>13.045849409950799</v>
      </c>
      <c r="R2150" s="4">
        <v>13.563515111983101</v>
      </c>
      <c r="S2150" s="4">
        <v>13.569137564349999</v>
      </c>
      <c r="T2150" s="4">
        <f t="shared" si="134"/>
        <v>13.3928340287613</v>
      </c>
      <c r="W2150" s="4" t="str">
        <f>"C27F2.4"</f>
        <v>C27F2.4</v>
      </c>
      <c r="X2150" s="4">
        <v>13.540221198202699</v>
      </c>
      <c r="Y2150" s="4">
        <v>13.2453743941113</v>
      </c>
      <c r="Z2150" s="4">
        <v>13.559087249354</v>
      </c>
      <c r="AA2150" s="4">
        <f t="shared" si="135"/>
        <v>13.448227613889335</v>
      </c>
    </row>
    <row r="2151" spans="2:27" x14ac:dyDescent="0.2">
      <c r="B2151" s="4" t="s">
        <v>828</v>
      </c>
      <c r="C2151" s="4">
        <v>14.238899999999999</v>
      </c>
      <c r="D2151" s="4">
        <v>13.7058</v>
      </c>
      <c r="E2151" s="4">
        <v>13.632400000000001</v>
      </c>
      <c r="F2151" s="4">
        <f t="shared" si="132"/>
        <v>13.859033333333334</v>
      </c>
      <c r="I2151" s="4" t="s">
        <v>3783</v>
      </c>
      <c r="J2151" s="4">
        <v>14.165800000000001</v>
      </c>
      <c r="K2151" s="4">
        <v>13.7668</v>
      </c>
      <c r="L2151" s="4">
        <v>13.5237</v>
      </c>
      <c r="M2151" s="4">
        <f t="shared" si="133"/>
        <v>13.818766666666667</v>
      </c>
      <c r="P2151" s="4" t="str">
        <f>"H14E04.2"</f>
        <v>H14E04.2</v>
      </c>
      <c r="Q2151" s="4">
        <v>13.293209089602501</v>
      </c>
      <c r="R2151" s="4">
        <v>13.266558391158201</v>
      </c>
      <c r="S2151" s="4">
        <v>13.6166993646651</v>
      </c>
      <c r="T2151" s="4">
        <f t="shared" si="134"/>
        <v>13.392155615141933</v>
      </c>
      <c r="W2151" s="4" t="str">
        <f>"aps-1"</f>
        <v>aps-1</v>
      </c>
      <c r="X2151" s="4">
        <v>13.3961894204909</v>
      </c>
      <c r="Y2151" s="4">
        <v>13.4946819460807</v>
      </c>
      <c r="Z2151" s="4">
        <v>13.4522965734031</v>
      </c>
      <c r="AA2151" s="4">
        <f t="shared" si="135"/>
        <v>13.447722646658235</v>
      </c>
    </row>
    <row r="2152" spans="2:27" x14ac:dyDescent="0.2">
      <c r="B2152" s="4" t="s">
        <v>4765</v>
      </c>
      <c r="C2152" s="4">
        <v>13.6776</v>
      </c>
      <c r="D2152" s="4">
        <v>13.934900000000001</v>
      </c>
      <c r="E2152" s="4">
        <v>13.9617</v>
      </c>
      <c r="F2152" s="4">
        <f t="shared" si="132"/>
        <v>13.858066666666668</v>
      </c>
      <c r="I2152" s="4" t="s">
        <v>3139</v>
      </c>
      <c r="J2152" s="4">
        <v>14.364800000000001</v>
      </c>
      <c r="K2152" s="4">
        <v>14.1152</v>
      </c>
      <c r="L2152" s="4">
        <v>12.9688</v>
      </c>
      <c r="M2152" s="4">
        <f t="shared" si="133"/>
        <v>13.816266666666666</v>
      </c>
      <c r="P2152" s="4" t="str">
        <f>"acs-3"</f>
        <v>acs-3</v>
      </c>
      <c r="Q2152" s="4">
        <v>13.666608618490599</v>
      </c>
      <c r="R2152" s="4">
        <v>13.242138683587299</v>
      </c>
      <c r="S2152" s="4">
        <v>13.267694928300701</v>
      </c>
      <c r="T2152" s="4">
        <f t="shared" si="134"/>
        <v>13.392147410126199</v>
      </c>
      <c r="W2152" s="4" t="str">
        <f>"lys-1"</f>
        <v>lys-1</v>
      </c>
      <c r="X2152" s="4">
        <v>13.1081563940156</v>
      </c>
      <c r="Y2152" s="4">
        <v>13.0752775426272</v>
      </c>
      <c r="Z2152" s="4">
        <v>14.159644337064</v>
      </c>
      <c r="AA2152" s="4">
        <f t="shared" si="135"/>
        <v>13.447692757902267</v>
      </c>
    </row>
    <row r="2153" spans="2:27" x14ac:dyDescent="0.2">
      <c r="B2153" s="4" t="s">
        <v>3664</v>
      </c>
      <c r="C2153" s="4">
        <v>13.5227</v>
      </c>
      <c r="D2153" s="4">
        <v>14.1517</v>
      </c>
      <c r="E2153" s="4">
        <v>13.893700000000001</v>
      </c>
      <c r="F2153" s="4">
        <f t="shared" si="132"/>
        <v>13.856033333333334</v>
      </c>
      <c r="I2153" s="4" t="s">
        <v>4451</v>
      </c>
      <c r="J2153" s="4">
        <v>13.744400000000001</v>
      </c>
      <c r="K2153" s="4">
        <v>14.1401</v>
      </c>
      <c r="L2153" s="4">
        <v>13.5639</v>
      </c>
      <c r="M2153" s="4">
        <f t="shared" si="133"/>
        <v>13.816133333333335</v>
      </c>
      <c r="P2153" s="4" t="str">
        <f>"pmt-1"</f>
        <v>pmt-1</v>
      </c>
      <c r="Q2153" s="4">
        <v>13.1088629932456</v>
      </c>
      <c r="R2153" s="4">
        <v>13.713428447242</v>
      </c>
      <c r="S2153" s="4">
        <v>13.3532060567432</v>
      </c>
      <c r="T2153" s="4">
        <f t="shared" si="134"/>
        <v>13.391832499076934</v>
      </c>
      <c r="W2153" s="4" t="str">
        <f>"nola-3"</f>
        <v>nola-3</v>
      </c>
      <c r="X2153" s="4">
        <v>13.0468520066675</v>
      </c>
      <c r="Y2153" s="4">
        <v>13.4244898235994</v>
      </c>
      <c r="Z2153" s="4">
        <v>13.867949727892301</v>
      </c>
      <c r="AA2153" s="4">
        <f t="shared" si="135"/>
        <v>13.446430519386402</v>
      </c>
    </row>
    <row r="2154" spans="2:27" x14ac:dyDescent="0.2">
      <c r="B2154" s="4" t="s">
        <v>1454</v>
      </c>
      <c r="C2154" s="4">
        <v>13.8538</v>
      </c>
      <c r="D2154" s="4">
        <v>13.955</v>
      </c>
      <c r="E2154" s="4">
        <v>13.742100000000001</v>
      </c>
      <c r="F2154" s="4">
        <f t="shared" si="132"/>
        <v>13.850299999999999</v>
      </c>
      <c r="I2154" s="4" t="s">
        <v>4523</v>
      </c>
      <c r="J2154" s="4">
        <v>13.812799999999999</v>
      </c>
      <c r="K2154" s="4">
        <v>14.162100000000001</v>
      </c>
      <c r="L2154" s="4">
        <v>13.4732</v>
      </c>
      <c r="M2154" s="4">
        <f t="shared" si="133"/>
        <v>13.816033333333332</v>
      </c>
      <c r="P2154" s="4" t="str">
        <f>"T16G12.6"</f>
        <v>T16G12.6</v>
      </c>
      <c r="Q2154" s="4">
        <v>13.289685324310099</v>
      </c>
      <c r="R2154" s="4">
        <v>13.508781716833701</v>
      </c>
      <c r="S2154" s="4">
        <v>13.375676699982799</v>
      </c>
      <c r="T2154" s="4">
        <f t="shared" si="134"/>
        <v>13.391381247042199</v>
      </c>
      <c r="W2154" s="4" t="str">
        <f>"F35D11.4"</f>
        <v>F35D11.4</v>
      </c>
      <c r="X2154" s="4">
        <v>12.6721222291873</v>
      </c>
      <c r="Y2154" s="4">
        <v>14.250208048553</v>
      </c>
      <c r="Z2154" s="4">
        <v>13.4136001539079</v>
      </c>
      <c r="AA2154" s="4">
        <f t="shared" si="135"/>
        <v>13.445310143882734</v>
      </c>
    </row>
    <row r="2155" spans="2:27" x14ac:dyDescent="0.2">
      <c r="B2155" s="4" t="s">
        <v>759</v>
      </c>
      <c r="C2155" s="4">
        <v>13.7563</v>
      </c>
      <c r="D2155" s="4">
        <v>14.057</v>
      </c>
      <c r="E2155" s="4">
        <v>13.734299999999999</v>
      </c>
      <c r="F2155" s="4">
        <f t="shared" si="132"/>
        <v>13.849199999999998</v>
      </c>
      <c r="I2155" s="4" t="s">
        <v>3129</v>
      </c>
      <c r="J2155" s="4">
        <v>13.972200000000001</v>
      </c>
      <c r="K2155" s="4">
        <v>13.3378</v>
      </c>
      <c r="L2155" s="4">
        <v>14.1319</v>
      </c>
      <c r="M2155" s="4">
        <f t="shared" si="133"/>
        <v>13.813966666666667</v>
      </c>
      <c r="P2155" s="4" t="str">
        <f>"dve-1"</f>
        <v>dve-1</v>
      </c>
      <c r="Q2155" s="4">
        <v>13.285025878120001</v>
      </c>
      <c r="R2155" s="4">
        <v>13.355955815596101</v>
      </c>
      <c r="S2155" s="4">
        <v>13.532003591770099</v>
      </c>
      <c r="T2155" s="4">
        <f t="shared" si="134"/>
        <v>13.390995095162067</v>
      </c>
      <c r="W2155" s="4" t="str">
        <f>"atg-4.1"</f>
        <v>atg-4.1</v>
      </c>
      <c r="X2155" s="4">
        <v>13.6130527606353</v>
      </c>
      <c r="Y2155" s="4">
        <v>13.6109885763895</v>
      </c>
      <c r="Z2155" s="4">
        <v>13.1083057105562</v>
      </c>
      <c r="AA2155" s="4">
        <f t="shared" si="135"/>
        <v>13.444115682527</v>
      </c>
    </row>
    <row r="2156" spans="2:27" x14ac:dyDescent="0.2">
      <c r="B2156" s="4" t="s">
        <v>4766</v>
      </c>
      <c r="C2156" s="4">
        <v>13.5479</v>
      </c>
      <c r="D2156" s="4">
        <v>14.308199999999999</v>
      </c>
      <c r="E2156" s="4">
        <v>13.6913</v>
      </c>
      <c r="F2156" s="4">
        <f t="shared" si="132"/>
        <v>13.849133333333333</v>
      </c>
      <c r="I2156" s="4" t="s">
        <v>4224</v>
      </c>
      <c r="J2156" s="4">
        <v>12.767899999999999</v>
      </c>
      <c r="K2156" s="4">
        <v>13.771800000000001</v>
      </c>
      <c r="L2156" s="4">
        <v>14.900700000000001</v>
      </c>
      <c r="M2156" s="4">
        <f t="shared" si="133"/>
        <v>13.813466666666665</v>
      </c>
      <c r="P2156" s="4" t="str">
        <f>"nta-1"</f>
        <v>nta-1</v>
      </c>
      <c r="Q2156" s="4">
        <v>13.293572627561399</v>
      </c>
      <c r="R2156" s="4">
        <v>13.3820534914821</v>
      </c>
      <c r="S2156" s="4">
        <v>13.495341853399999</v>
      </c>
      <c r="T2156" s="4">
        <f t="shared" si="134"/>
        <v>13.390322657481166</v>
      </c>
      <c r="W2156" s="4" t="str">
        <f>"Y55F3AM.9"</f>
        <v>Y55F3AM.9</v>
      </c>
      <c r="X2156" s="4">
        <v>14.063841600511401</v>
      </c>
      <c r="Y2156" s="4">
        <v>13.3872427911207</v>
      </c>
      <c r="Z2156" s="4">
        <v>12.8805760619399</v>
      </c>
      <c r="AA2156" s="4">
        <f t="shared" si="135"/>
        <v>13.443886817857333</v>
      </c>
    </row>
    <row r="2157" spans="2:27" x14ac:dyDescent="0.2">
      <c r="B2157" s="4" t="s">
        <v>2323</v>
      </c>
      <c r="C2157" s="4">
        <v>13.7736</v>
      </c>
      <c r="D2157" s="4">
        <v>13.9541</v>
      </c>
      <c r="E2157" s="4">
        <v>13.8024</v>
      </c>
      <c r="F2157" s="4">
        <f t="shared" si="132"/>
        <v>13.843366666666666</v>
      </c>
      <c r="I2157" s="4" t="s">
        <v>2940</v>
      </c>
      <c r="J2157" s="4">
        <v>13.8834</v>
      </c>
      <c r="K2157" s="4">
        <v>13.812200000000001</v>
      </c>
      <c r="L2157" s="4">
        <v>13.744400000000001</v>
      </c>
      <c r="M2157" s="4">
        <f t="shared" si="133"/>
        <v>13.813333333333333</v>
      </c>
      <c r="P2157" s="4" t="str">
        <f>"fbf-2"</f>
        <v>fbf-2</v>
      </c>
      <c r="Q2157" s="4">
        <v>12.936236355451699</v>
      </c>
      <c r="R2157" s="4">
        <v>13.684182764969</v>
      </c>
      <c r="S2157" s="4">
        <v>13.550175982163401</v>
      </c>
      <c r="T2157" s="4">
        <f t="shared" si="134"/>
        <v>13.390198367528034</v>
      </c>
      <c r="W2157" s="4" t="str">
        <f>"cah-3"</f>
        <v>cah-3</v>
      </c>
      <c r="X2157" s="4">
        <v>13.339360625781801</v>
      </c>
      <c r="Y2157" s="4">
        <v>13.511533719809201</v>
      </c>
      <c r="Z2157" s="4">
        <v>13.4786093850332</v>
      </c>
      <c r="AA2157" s="4">
        <f t="shared" si="135"/>
        <v>13.443167910208068</v>
      </c>
    </row>
    <row r="2158" spans="2:27" x14ac:dyDescent="0.2">
      <c r="B2158" s="4" t="s">
        <v>294</v>
      </c>
      <c r="C2158" s="4">
        <v>13.7148</v>
      </c>
      <c r="D2158" s="4">
        <v>14.2203</v>
      </c>
      <c r="E2158" s="4">
        <v>13.589499999999999</v>
      </c>
      <c r="F2158" s="4">
        <f t="shared" si="132"/>
        <v>13.841533333333333</v>
      </c>
      <c r="I2158" s="4" t="s">
        <v>79</v>
      </c>
      <c r="J2158" s="4">
        <v>13.5808</v>
      </c>
      <c r="K2158" s="4">
        <v>13.716100000000001</v>
      </c>
      <c r="L2158" s="4">
        <v>14.1409</v>
      </c>
      <c r="M2158" s="4">
        <f t="shared" si="133"/>
        <v>13.812600000000002</v>
      </c>
      <c r="P2158" s="4" t="str">
        <f>"fat-1"</f>
        <v>fat-1</v>
      </c>
      <c r="Q2158" s="4">
        <v>13.1217825993118</v>
      </c>
      <c r="R2158" s="4">
        <v>13.513715996994501</v>
      </c>
      <c r="S2158" s="4">
        <v>13.533084706332099</v>
      </c>
      <c r="T2158" s="4">
        <f t="shared" si="134"/>
        <v>13.389527767546133</v>
      </c>
      <c r="W2158" s="4" t="str">
        <f>"teg-4"</f>
        <v>teg-4</v>
      </c>
      <c r="X2158" s="4">
        <v>13.4941590881326</v>
      </c>
      <c r="Y2158" s="4">
        <v>13.383931022156</v>
      </c>
      <c r="Z2158" s="4">
        <v>13.4479898331826</v>
      </c>
      <c r="AA2158" s="4">
        <f t="shared" si="135"/>
        <v>13.442026647823733</v>
      </c>
    </row>
    <row r="2159" spans="2:27" x14ac:dyDescent="0.2">
      <c r="B2159" s="4" t="s">
        <v>4767</v>
      </c>
      <c r="C2159" s="4">
        <v>13.928800000000001</v>
      </c>
      <c r="D2159" s="4">
        <v>13.5855</v>
      </c>
      <c r="E2159" s="4">
        <v>14.009499999999999</v>
      </c>
      <c r="F2159" s="4">
        <f t="shared" si="132"/>
        <v>13.841266666666664</v>
      </c>
      <c r="I2159" s="4" t="s">
        <v>3964</v>
      </c>
      <c r="J2159" s="4">
        <v>14.005599999999999</v>
      </c>
      <c r="K2159" s="4">
        <v>13.678699999999999</v>
      </c>
      <c r="L2159" s="4">
        <v>13.7517</v>
      </c>
      <c r="M2159" s="4">
        <f t="shared" si="133"/>
        <v>13.811999999999999</v>
      </c>
      <c r="P2159" s="4" t="str">
        <f>"C08F8.2"</f>
        <v>C08F8.2</v>
      </c>
      <c r="Q2159" s="4">
        <v>13.734210865095299</v>
      </c>
      <c r="R2159" s="4">
        <v>13.3339070172234</v>
      </c>
      <c r="S2159" s="4">
        <v>13.100166032259899</v>
      </c>
      <c r="T2159" s="4">
        <f t="shared" si="134"/>
        <v>13.389427971526198</v>
      </c>
      <c r="W2159" s="4" t="str">
        <f>"C53H9.2"</f>
        <v>C53H9.2</v>
      </c>
      <c r="X2159" s="4">
        <v>13.616023347316601</v>
      </c>
      <c r="Y2159" s="4">
        <v>13.4262822870081</v>
      </c>
      <c r="Z2159" s="4">
        <v>13.2799409700594</v>
      </c>
      <c r="AA2159" s="4">
        <f t="shared" si="135"/>
        <v>13.440748868128033</v>
      </c>
    </row>
    <row r="2160" spans="2:27" x14ac:dyDescent="0.2">
      <c r="B2160" s="4" t="s">
        <v>1943</v>
      </c>
      <c r="C2160" s="4">
        <v>13.886799999999999</v>
      </c>
      <c r="D2160" s="4">
        <v>13.8246</v>
      </c>
      <c r="E2160" s="4">
        <v>13.81</v>
      </c>
      <c r="F2160" s="4">
        <f t="shared" si="132"/>
        <v>13.840466666666666</v>
      </c>
      <c r="I2160" s="4" t="s">
        <v>242</v>
      </c>
      <c r="J2160" s="4">
        <v>13.9293</v>
      </c>
      <c r="K2160" s="4">
        <v>13.3658</v>
      </c>
      <c r="L2160" s="4">
        <v>14.1358</v>
      </c>
      <c r="M2160" s="4">
        <f t="shared" si="133"/>
        <v>13.810299999999998</v>
      </c>
      <c r="P2160" s="4" t="str">
        <f>"cerk-1"</f>
        <v>cerk-1</v>
      </c>
      <c r="Q2160" s="4">
        <v>13.4398400826105</v>
      </c>
      <c r="R2160" s="4">
        <v>13.3575309728039</v>
      </c>
      <c r="S2160" s="4">
        <v>13.3676163698432</v>
      </c>
      <c r="T2160" s="4">
        <f t="shared" si="134"/>
        <v>13.388329141752534</v>
      </c>
      <c r="W2160" s="4" t="str">
        <f>"such-1"</f>
        <v>such-1</v>
      </c>
      <c r="X2160" s="4">
        <v>13.747750799602599</v>
      </c>
      <c r="Y2160" s="4">
        <v>13.3719524929515</v>
      </c>
      <c r="Z2160" s="4">
        <v>13.1990172854325</v>
      </c>
      <c r="AA2160" s="4">
        <f t="shared" si="135"/>
        <v>13.439573525995533</v>
      </c>
    </row>
    <row r="2161" spans="2:27" x14ac:dyDescent="0.2">
      <c r="B2161" s="4" t="s">
        <v>2440</v>
      </c>
      <c r="C2161" s="4">
        <v>13.9762</v>
      </c>
      <c r="D2161" s="4">
        <v>13.7805</v>
      </c>
      <c r="E2161" s="4">
        <v>13.7613</v>
      </c>
      <c r="F2161" s="4">
        <f t="shared" si="132"/>
        <v>13.839333333333334</v>
      </c>
      <c r="I2161" s="4" t="s">
        <v>3908</v>
      </c>
      <c r="J2161" s="4">
        <v>14.192600000000001</v>
      </c>
      <c r="K2161" s="4">
        <v>13.718299999999999</v>
      </c>
      <c r="L2161" s="4">
        <v>13.518599999999999</v>
      </c>
      <c r="M2161" s="4">
        <f t="shared" si="133"/>
        <v>13.809833333333332</v>
      </c>
      <c r="P2161" s="4" t="str">
        <f>"riok-3"</f>
        <v>riok-3</v>
      </c>
      <c r="Q2161" s="4">
        <v>13.6653915300036</v>
      </c>
      <c r="R2161" s="4">
        <v>13.2760537747084</v>
      </c>
      <c r="S2161" s="4">
        <v>13.2232558058809</v>
      </c>
      <c r="T2161" s="4">
        <f t="shared" si="134"/>
        <v>13.388233703530966</v>
      </c>
      <c r="W2161" s="4" t="str">
        <f>"swsn-2.2"</f>
        <v>swsn-2.2</v>
      </c>
      <c r="X2161" s="4">
        <v>13.537795047866499</v>
      </c>
      <c r="Y2161" s="4">
        <v>13.315213125603901</v>
      </c>
      <c r="Z2161" s="4">
        <v>13.4633781555622</v>
      </c>
      <c r="AA2161" s="4">
        <f t="shared" si="135"/>
        <v>13.438795443010866</v>
      </c>
    </row>
    <row r="2162" spans="2:27" x14ac:dyDescent="0.2">
      <c r="B2162" s="4" t="s">
        <v>3484</v>
      </c>
      <c r="C2162" s="4">
        <v>13.9885</v>
      </c>
      <c r="D2162" s="4">
        <v>13.877700000000001</v>
      </c>
      <c r="E2162" s="4">
        <v>13.6502</v>
      </c>
      <c r="F2162" s="4">
        <f t="shared" si="132"/>
        <v>13.838799999999999</v>
      </c>
      <c r="I2162" s="4" t="s">
        <v>4170</v>
      </c>
      <c r="J2162" s="4">
        <v>13.6502</v>
      </c>
      <c r="K2162" s="4">
        <v>14.056800000000001</v>
      </c>
      <c r="L2162" s="4">
        <v>13.721399999999999</v>
      </c>
      <c r="M2162" s="4">
        <f t="shared" si="133"/>
        <v>13.809466666666665</v>
      </c>
      <c r="P2162" s="4" t="str">
        <f>"ubc-26"</f>
        <v>ubc-26</v>
      </c>
      <c r="Q2162" s="4">
        <v>13.6489471945369</v>
      </c>
      <c r="R2162" s="4">
        <v>13.413542003915801</v>
      </c>
      <c r="S2162" s="4">
        <v>13.100971405480101</v>
      </c>
      <c r="T2162" s="4">
        <f t="shared" si="134"/>
        <v>13.387820201310936</v>
      </c>
      <c r="W2162" s="4" t="str">
        <f>"cul-5"</f>
        <v>cul-5</v>
      </c>
      <c r="X2162" s="4">
        <v>13.324934655819501</v>
      </c>
      <c r="Y2162" s="4">
        <v>13.4309596735164</v>
      </c>
      <c r="Z2162" s="4">
        <v>13.557403707946699</v>
      </c>
      <c r="AA2162" s="4">
        <f t="shared" si="135"/>
        <v>13.437766012427533</v>
      </c>
    </row>
    <row r="2163" spans="2:27" x14ac:dyDescent="0.2">
      <c r="B2163" s="4" t="s">
        <v>4386</v>
      </c>
      <c r="C2163" s="4">
        <v>14.138999999999999</v>
      </c>
      <c r="D2163" s="4">
        <v>13.398899999999999</v>
      </c>
      <c r="E2163" s="4">
        <v>13.9701</v>
      </c>
      <c r="F2163" s="4">
        <f t="shared" si="132"/>
        <v>13.836</v>
      </c>
      <c r="I2163" s="4" t="s">
        <v>1582</v>
      </c>
      <c r="J2163" s="4">
        <v>13.785500000000001</v>
      </c>
      <c r="K2163" s="4">
        <v>13.791700000000001</v>
      </c>
      <c r="L2163" s="4">
        <v>13.8469</v>
      </c>
      <c r="M2163" s="4">
        <f t="shared" si="133"/>
        <v>13.808033333333334</v>
      </c>
      <c r="P2163" s="4" t="str">
        <f>"cpr-2"</f>
        <v>cpr-2</v>
      </c>
      <c r="Q2163" s="4">
        <v>13.854120457393501</v>
      </c>
      <c r="R2163" s="4">
        <v>13.143074975617701</v>
      </c>
      <c r="S2163" s="4">
        <v>13.163785441204</v>
      </c>
      <c r="T2163" s="4">
        <f t="shared" si="134"/>
        <v>13.3869936247384</v>
      </c>
      <c r="W2163" s="4" t="str">
        <f>"C14C10.2"</f>
        <v>C14C10.2</v>
      </c>
      <c r="X2163" s="4">
        <v>13.442641200031</v>
      </c>
      <c r="Y2163" s="4">
        <v>13.387315648157999</v>
      </c>
      <c r="Z2163" s="4">
        <v>13.481662595503</v>
      </c>
      <c r="AA2163" s="4">
        <f t="shared" si="135"/>
        <v>13.437206481230666</v>
      </c>
    </row>
    <row r="2164" spans="2:27" x14ac:dyDescent="0.2">
      <c r="B2164" s="4" t="s">
        <v>3518</v>
      </c>
      <c r="C2164" s="4">
        <v>13.709</v>
      </c>
      <c r="D2164" s="4">
        <v>14.0305</v>
      </c>
      <c r="E2164" s="4">
        <v>13.7666</v>
      </c>
      <c r="F2164" s="4">
        <f t="shared" si="132"/>
        <v>13.835366666666667</v>
      </c>
      <c r="I2164" s="4" t="s">
        <v>2550</v>
      </c>
      <c r="J2164" s="4">
        <v>13.682</v>
      </c>
      <c r="K2164" s="4">
        <v>13.952400000000001</v>
      </c>
      <c r="L2164" s="4">
        <v>13.7858</v>
      </c>
      <c r="M2164" s="4">
        <f t="shared" si="133"/>
        <v>13.806733333333334</v>
      </c>
      <c r="P2164" s="4" t="str">
        <f>"aos-1"</f>
        <v>aos-1</v>
      </c>
      <c r="Q2164" s="4">
        <v>13.4941483450114</v>
      </c>
      <c r="R2164" s="4">
        <v>13.373583711864899</v>
      </c>
      <c r="S2164" s="4">
        <v>13.291970038726401</v>
      </c>
      <c r="T2164" s="4">
        <f t="shared" si="134"/>
        <v>13.386567365200898</v>
      </c>
      <c r="W2164" s="4" t="str">
        <f>"tbcd-1"</f>
        <v>tbcd-1</v>
      </c>
      <c r="X2164" s="4">
        <v>13.3492753760358</v>
      </c>
      <c r="Y2164" s="4">
        <v>13.405055478215299</v>
      </c>
      <c r="Z2164" s="4">
        <v>13.551927727641999</v>
      </c>
      <c r="AA2164" s="4">
        <f t="shared" si="135"/>
        <v>13.435419527297702</v>
      </c>
    </row>
    <row r="2165" spans="2:27" x14ac:dyDescent="0.2">
      <c r="B2165" s="4" t="s">
        <v>3377</v>
      </c>
      <c r="C2165" s="4">
        <v>13.7735</v>
      </c>
      <c r="D2165" s="4">
        <v>13.751200000000001</v>
      </c>
      <c r="E2165" s="4">
        <v>13.9803</v>
      </c>
      <c r="F2165" s="4">
        <f t="shared" si="132"/>
        <v>13.835000000000001</v>
      </c>
      <c r="I2165" s="4" t="s">
        <v>1614</v>
      </c>
      <c r="J2165" s="4">
        <v>13.572900000000001</v>
      </c>
      <c r="K2165" s="4">
        <v>13.511100000000001</v>
      </c>
      <c r="L2165" s="4">
        <v>14.326499999999999</v>
      </c>
      <c r="M2165" s="4">
        <f t="shared" si="133"/>
        <v>13.8035</v>
      </c>
      <c r="P2165" s="4" t="str">
        <f>"C27F2.4"</f>
        <v>C27F2.4</v>
      </c>
      <c r="Q2165" s="4">
        <v>13.3144667413232</v>
      </c>
      <c r="R2165" s="4">
        <v>13.261135171299101</v>
      </c>
      <c r="S2165" s="4">
        <v>13.580944872796699</v>
      </c>
      <c r="T2165" s="4">
        <f t="shared" si="134"/>
        <v>13.385515595139665</v>
      </c>
      <c r="W2165" s="4" t="str">
        <f>"ocrl-1"</f>
        <v>ocrl-1</v>
      </c>
      <c r="X2165" s="4">
        <v>13.4818590830914</v>
      </c>
      <c r="Y2165" s="4">
        <v>13.459701971818101</v>
      </c>
      <c r="Z2165" s="4">
        <v>13.3634378259231</v>
      </c>
      <c r="AA2165" s="4">
        <f t="shared" si="135"/>
        <v>13.434999626944199</v>
      </c>
    </row>
    <row r="2166" spans="2:27" x14ac:dyDescent="0.2">
      <c r="B2166" s="4" t="s">
        <v>3461</v>
      </c>
      <c r="C2166" s="4">
        <v>13.677099999999999</v>
      </c>
      <c r="D2166" s="4">
        <v>14.057</v>
      </c>
      <c r="E2166" s="4">
        <v>13.766299999999999</v>
      </c>
      <c r="F2166" s="4">
        <f t="shared" si="132"/>
        <v>13.833466666666666</v>
      </c>
      <c r="I2166" s="4" t="s">
        <v>2276</v>
      </c>
      <c r="J2166" s="4">
        <v>13.8086</v>
      </c>
      <c r="K2166" s="4">
        <v>13.766500000000001</v>
      </c>
      <c r="L2166" s="4">
        <v>13.8353</v>
      </c>
      <c r="M2166" s="4">
        <f t="shared" si="133"/>
        <v>13.803466666666665</v>
      </c>
      <c r="P2166" s="4" t="str">
        <f>"pbs-2"</f>
        <v>pbs-2</v>
      </c>
      <c r="Q2166" s="4">
        <v>13.5860036846196</v>
      </c>
      <c r="R2166" s="4">
        <v>13.207198956213199</v>
      </c>
      <c r="S2166" s="4">
        <v>13.363262566806901</v>
      </c>
      <c r="T2166" s="4">
        <f t="shared" si="134"/>
        <v>13.385488402546565</v>
      </c>
      <c r="W2166" s="4" t="str">
        <f>"oig-2"</f>
        <v>oig-2</v>
      </c>
      <c r="X2166" s="4">
        <v>13.4451687207661</v>
      </c>
      <c r="Y2166" s="4">
        <v>13.452643524743101</v>
      </c>
      <c r="Z2166" s="4">
        <v>13.384538369179801</v>
      </c>
      <c r="AA2166" s="4">
        <f t="shared" si="135"/>
        <v>13.427450204896333</v>
      </c>
    </row>
    <row r="2167" spans="2:27" x14ac:dyDescent="0.2">
      <c r="B2167" s="4" t="s">
        <v>1582</v>
      </c>
      <c r="C2167" s="4">
        <v>13.7143</v>
      </c>
      <c r="D2167" s="4">
        <v>14.036199999999999</v>
      </c>
      <c r="E2167" s="4">
        <v>13.7477</v>
      </c>
      <c r="F2167" s="4">
        <f t="shared" si="132"/>
        <v>13.832733333333332</v>
      </c>
      <c r="I2167" s="4" t="s">
        <v>1219</v>
      </c>
      <c r="J2167" s="4">
        <v>13.6614</v>
      </c>
      <c r="K2167" s="4">
        <v>13.443300000000001</v>
      </c>
      <c r="L2167" s="4">
        <v>14.305099999999999</v>
      </c>
      <c r="M2167" s="4">
        <f t="shared" si="133"/>
        <v>13.803266666666667</v>
      </c>
      <c r="P2167" s="4" t="str">
        <f>"denn-4"</f>
        <v>denn-4</v>
      </c>
      <c r="Q2167" s="4">
        <v>13.4098368234883</v>
      </c>
      <c r="R2167" s="4">
        <v>13.3725937417419</v>
      </c>
      <c r="S2167" s="4">
        <v>13.3670221874655</v>
      </c>
      <c r="T2167" s="4">
        <f t="shared" si="134"/>
        <v>13.383150917565233</v>
      </c>
      <c r="W2167" s="4" t="str">
        <f>"bmk-1"</f>
        <v>bmk-1</v>
      </c>
      <c r="X2167" s="4">
        <v>13.7838987055363</v>
      </c>
      <c r="Y2167" s="4">
        <v>13.3270503665648</v>
      </c>
      <c r="Z2167" s="4">
        <v>13.1686347282977</v>
      </c>
      <c r="AA2167" s="4">
        <f t="shared" si="135"/>
        <v>13.426527933466266</v>
      </c>
    </row>
    <row r="2168" spans="2:27" x14ac:dyDescent="0.2">
      <c r="B2168" s="4" t="s">
        <v>1032</v>
      </c>
      <c r="C2168" s="4">
        <v>13.634600000000001</v>
      </c>
      <c r="D2168" s="4">
        <v>14.1043</v>
      </c>
      <c r="E2168" s="4">
        <v>13.7554</v>
      </c>
      <c r="F2168" s="4">
        <f t="shared" si="132"/>
        <v>13.831433333333335</v>
      </c>
      <c r="I2168" s="4" t="s">
        <v>8</v>
      </c>
      <c r="J2168" s="4">
        <v>13.8169</v>
      </c>
      <c r="K2168" s="4">
        <v>13.8787</v>
      </c>
      <c r="L2168" s="4">
        <v>13.7134</v>
      </c>
      <c r="M2168" s="4">
        <f t="shared" si="133"/>
        <v>13.802999999999999</v>
      </c>
      <c r="P2168" s="4" t="str">
        <f>"gob-1"</f>
        <v>gob-1</v>
      </c>
      <c r="Q2168" s="4">
        <v>13.6827813013451</v>
      </c>
      <c r="R2168" s="4">
        <v>13.251289302307899</v>
      </c>
      <c r="S2168" s="4">
        <v>13.213138286452599</v>
      </c>
      <c r="T2168" s="4">
        <f t="shared" si="134"/>
        <v>13.382402963368532</v>
      </c>
      <c r="W2168" s="4" t="str">
        <f>"gly-3"</f>
        <v>gly-3</v>
      </c>
      <c r="X2168" s="4">
        <v>13.475301766598299</v>
      </c>
      <c r="Y2168" s="4">
        <v>13.411144788276101</v>
      </c>
      <c r="Z2168" s="4">
        <v>13.3752179426392</v>
      </c>
      <c r="AA2168" s="4">
        <f t="shared" si="135"/>
        <v>13.420554832504534</v>
      </c>
    </row>
    <row r="2169" spans="2:27" x14ac:dyDescent="0.2">
      <c r="B2169" s="4" t="s">
        <v>1648</v>
      </c>
      <c r="C2169" s="4">
        <v>13.8066</v>
      </c>
      <c r="D2169" s="4">
        <v>13.9108</v>
      </c>
      <c r="E2169" s="4">
        <v>13.773099999999999</v>
      </c>
      <c r="F2169" s="4">
        <f t="shared" si="132"/>
        <v>13.830166666666665</v>
      </c>
      <c r="I2169" s="4" t="s">
        <v>1775</v>
      </c>
      <c r="J2169" s="4">
        <v>13.757099999999999</v>
      </c>
      <c r="K2169" s="4">
        <v>13.8369</v>
      </c>
      <c r="L2169" s="4">
        <v>13.813700000000001</v>
      </c>
      <c r="M2169" s="4">
        <f t="shared" si="133"/>
        <v>13.802566666666669</v>
      </c>
      <c r="P2169" s="4" t="str">
        <f>"rbg-2"</f>
        <v>rbg-2</v>
      </c>
      <c r="Q2169" s="4">
        <v>13.1802966619827</v>
      </c>
      <c r="R2169" s="4">
        <v>13.552240093312999</v>
      </c>
      <c r="S2169" s="4">
        <v>13.4101045256359</v>
      </c>
      <c r="T2169" s="4">
        <f t="shared" si="134"/>
        <v>13.3808804269772</v>
      </c>
      <c r="W2169" s="4" t="str">
        <f>"Y47G6A.5"</f>
        <v>Y47G6A.5</v>
      </c>
      <c r="X2169" s="4">
        <v>13.557263560100001</v>
      </c>
      <c r="Y2169" s="4">
        <v>13.3942444821522</v>
      </c>
      <c r="Z2169" s="4">
        <v>13.3079952968792</v>
      </c>
      <c r="AA2169" s="4">
        <f t="shared" si="135"/>
        <v>13.419834446377132</v>
      </c>
    </row>
    <row r="2170" spans="2:27" x14ac:dyDescent="0.2">
      <c r="B2170" s="4" t="s">
        <v>3092</v>
      </c>
      <c r="C2170" s="4">
        <v>13.9292</v>
      </c>
      <c r="D2170" s="4">
        <v>13.671900000000001</v>
      </c>
      <c r="E2170" s="4">
        <v>13.888299999999999</v>
      </c>
      <c r="F2170" s="4">
        <f t="shared" si="132"/>
        <v>13.829800000000001</v>
      </c>
      <c r="I2170" s="4" t="s">
        <v>3235</v>
      </c>
      <c r="J2170" s="4">
        <v>14.056800000000001</v>
      </c>
      <c r="K2170" s="4">
        <v>13.455399999999999</v>
      </c>
      <c r="L2170" s="4">
        <v>13.891500000000001</v>
      </c>
      <c r="M2170" s="4">
        <f t="shared" si="133"/>
        <v>13.801233333333334</v>
      </c>
      <c r="P2170" s="4" t="str">
        <f>"pak-1"</f>
        <v>pak-1</v>
      </c>
      <c r="Q2170" s="4">
        <v>13.4108246408233</v>
      </c>
      <c r="R2170" s="4">
        <v>13.3750460755638</v>
      </c>
      <c r="S2170" s="4">
        <v>13.3545710475805</v>
      </c>
      <c r="T2170" s="4">
        <f t="shared" si="134"/>
        <v>13.380147254655867</v>
      </c>
      <c r="W2170" s="4" t="str">
        <f>"fcd-2"</f>
        <v>fcd-2</v>
      </c>
      <c r="X2170" s="4">
        <v>13.2917482004944</v>
      </c>
      <c r="Y2170" s="4">
        <v>13.550581694393101</v>
      </c>
      <c r="Z2170" s="4">
        <v>13.414598067895</v>
      </c>
      <c r="AA2170" s="4">
        <f t="shared" si="135"/>
        <v>13.418975987594166</v>
      </c>
    </row>
    <row r="2171" spans="2:27" x14ac:dyDescent="0.2">
      <c r="B2171" s="4" t="s">
        <v>1588</v>
      </c>
      <c r="C2171" s="4">
        <v>13.8626</v>
      </c>
      <c r="D2171" s="4">
        <v>13.853400000000001</v>
      </c>
      <c r="E2171" s="4">
        <v>13.766400000000001</v>
      </c>
      <c r="F2171" s="4">
        <f t="shared" si="132"/>
        <v>13.827466666666666</v>
      </c>
      <c r="I2171" s="4" t="s">
        <v>598</v>
      </c>
      <c r="J2171" s="4">
        <v>14.295299999999999</v>
      </c>
      <c r="K2171" s="4">
        <v>13.4245</v>
      </c>
      <c r="L2171" s="4">
        <v>13.6838</v>
      </c>
      <c r="M2171" s="4">
        <f t="shared" si="133"/>
        <v>13.8012</v>
      </c>
      <c r="P2171" s="4" t="str">
        <f>"slc-36.2"</f>
        <v>slc-36.2</v>
      </c>
      <c r="Q2171" s="4">
        <v>13.025909782254899</v>
      </c>
      <c r="R2171" s="4">
        <v>13.584237751539099</v>
      </c>
      <c r="S2171" s="4">
        <v>13.528759298330201</v>
      </c>
      <c r="T2171" s="4">
        <f t="shared" si="134"/>
        <v>13.379635610708066</v>
      </c>
      <c r="W2171" s="4" t="str">
        <f>"klp-12"</f>
        <v>klp-12</v>
      </c>
      <c r="X2171" s="4">
        <v>13.3483715568451</v>
      </c>
      <c r="Y2171" s="4">
        <v>13.495410023106899</v>
      </c>
      <c r="Z2171" s="4">
        <v>13.4096172901186</v>
      </c>
      <c r="AA2171" s="4">
        <f t="shared" si="135"/>
        <v>13.417799623356865</v>
      </c>
    </row>
    <row r="2172" spans="2:27" x14ac:dyDescent="0.2">
      <c r="B2172" s="4" t="s">
        <v>2716</v>
      </c>
      <c r="C2172" s="4">
        <v>13.7523</v>
      </c>
      <c r="D2172" s="4">
        <v>13.8391</v>
      </c>
      <c r="E2172" s="4">
        <v>13.881399999999999</v>
      </c>
      <c r="F2172" s="4">
        <f t="shared" si="132"/>
        <v>13.824266666666666</v>
      </c>
      <c r="I2172" s="4" t="s">
        <v>2682</v>
      </c>
      <c r="J2172" s="4">
        <v>13.771800000000001</v>
      </c>
      <c r="K2172" s="4">
        <v>13.9422</v>
      </c>
      <c r="L2172" s="4">
        <v>13.6868</v>
      </c>
      <c r="M2172" s="4">
        <f t="shared" si="133"/>
        <v>13.800266666666666</v>
      </c>
      <c r="P2172" s="4" t="str">
        <f>"C47D12.2"</f>
        <v>C47D12.2</v>
      </c>
      <c r="Q2172" s="4">
        <v>13.2859890102348</v>
      </c>
      <c r="R2172" s="4">
        <v>13.607843093552599</v>
      </c>
      <c r="S2172" s="4">
        <v>13.243271143958999</v>
      </c>
      <c r="T2172" s="4">
        <f t="shared" si="134"/>
        <v>13.379034415915465</v>
      </c>
      <c r="W2172" s="4" t="str">
        <f>"npp-23"</f>
        <v>npp-23</v>
      </c>
      <c r="X2172" s="4">
        <v>13.6425997895986</v>
      </c>
      <c r="Y2172" s="4">
        <v>13.2651518878213</v>
      </c>
      <c r="Z2172" s="4">
        <v>13.341052999513099</v>
      </c>
      <c r="AA2172" s="4">
        <f t="shared" si="135"/>
        <v>13.416268225644336</v>
      </c>
    </row>
    <row r="2173" spans="2:27" x14ac:dyDescent="0.2">
      <c r="B2173" s="4" t="s">
        <v>1277</v>
      </c>
      <c r="C2173" s="4">
        <v>14.0373</v>
      </c>
      <c r="D2173" s="4">
        <v>13.7584</v>
      </c>
      <c r="E2173" s="4">
        <v>13.6731</v>
      </c>
      <c r="F2173" s="4">
        <f t="shared" si="132"/>
        <v>13.822933333333333</v>
      </c>
      <c r="I2173" s="4" t="s">
        <v>1051</v>
      </c>
      <c r="J2173" s="4">
        <v>13.169499999999999</v>
      </c>
      <c r="K2173" s="4">
        <v>13.639900000000001</v>
      </c>
      <c r="L2173" s="4">
        <v>14.5847</v>
      </c>
      <c r="M2173" s="4">
        <f t="shared" si="133"/>
        <v>13.798033333333334</v>
      </c>
      <c r="P2173" s="4" t="str">
        <f>"ZK287.7"</f>
        <v>ZK287.7</v>
      </c>
      <c r="Q2173" s="4">
        <v>13.552517603527001</v>
      </c>
      <c r="R2173" s="4">
        <v>13.302568842793599</v>
      </c>
      <c r="S2173" s="4">
        <v>13.280747410401</v>
      </c>
      <c r="T2173" s="4">
        <f t="shared" si="134"/>
        <v>13.378611285573866</v>
      </c>
      <c r="W2173" s="4" t="str">
        <f>"B0361.3"</f>
        <v>B0361.3</v>
      </c>
      <c r="X2173" s="4">
        <v>13.347187120296001</v>
      </c>
      <c r="Y2173" s="4">
        <v>13.0628404830361</v>
      </c>
      <c r="Z2173" s="4">
        <v>13.8348879867309</v>
      </c>
      <c r="AA2173" s="4">
        <f t="shared" si="135"/>
        <v>13.414971863354333</v>
      </c>
    </row>
    <row r="2174" spans="2:27" x14ac:dyDescent="0.2">
      <c r="B2174" s="4" t="s">
        <v>358</v>
      </c>
      <c r="C2174" s="4">
        <v>14.046799999999999</v>
      </c>
      <c r="D2174" s="4">
        <v>13.6473</v>
      </c>
      <c r="E2174" s="4">
        <v>13.7722</v>
      </c>
      <c r="F2174" s="4">
        <f t="shared" si="132"/>
        <v>13.822099999999999</v>
      </c>
      <c r="I2174" s="4" t="s">
        <v>156</v>
      </c>
      <c r="J2174" s="4">
        <v>13.624000000000001</v>
      </c>
      <c r="K2174" s="4">
        <v>13.9689</v>
      </c>
      <c r="L2174" s="4">
        <v>13.796799999999999</v>
      </c>
      <c r="M2174" s="4">
        <f t="shared" si="133"/>
        <v>13.796566666666665</v>
      </c>
      <c r="P2174" s="4" t="str">
        <f>"ZK418.5"</f>
        <v>ZK418.5</v>
      </c>
      <c r="Q2174" s="4">
        <v>13.1065940835968</v>
      </c>
      <c r="R2174" s="4">
        <v>13.271617205533</v>
      </c>
      <c r="S2174" s="4">
        <v>13.7566201354312</v>
      </c>
      <c r="T2174" s="4">
        <f t="shared" si="134"/>
        <v>13.378277141520334</v>
      </c>
      <c r="W2174" s="4" t="str">
        <f>"tgs-1"</f>
        <v>tgs-1</v>
      </c>
      <c r="X2174" s="4">
        <v>13.5278570414188</v>
      </c>
      <c r="Y2174" s="4">
        <v>13.339858972517099</v>
      </c>
      <c r="Z2174" s="4">
        <v>13.376473200614701</v>
      </c>
      <c r="AA2174" s="4">
        <f t="shared" si="135"/>
        <v>13.414729738183533</v>
      </c>
    </row>
    <row r="2175" spans="2:27" x14ac:dyDescent="0.2">
      <c r="B2175" s="4" t="s">
        <v>4704</v>
      </c>
      <c r="C2175" s="4">
        <v>13.630699999999999</v>
      </c>
      <c r="D2175" s="4">
        <v>14.010400000000001</v>
      </c>
      <c r="E2175" s="4">
        <v>13.8231</v>
      </c>
      <c r="F2175" s="4">
        <f t="shared" si="132"/>
        <v>13.821400000000002</v>
      </c>
      <c r="I2175" s="4" t="s">
        <v>3398</v>
      </c>
      <c r="J2175" s="4">
        <v>13.7536</v>
      </c>
      <c r="K2175" s="4">
        <v>13.786899999999999</v>
      </c>
      <c r="L2175" s="4">
        <v>13.8485</v>
      </c>
      <c r="M2175" s="4">
        <f t="shared" si="133"/>
        <v>13.796333333333335</v>
      </c>
      <c r="P2175" s="4" t="str">
        <f>"C05D11.8"</f>
        <v>C05D11.8</v>
      </c>
      <c r="Q2175" s="4">
        <v>13.0896087514722</v>
      </c>
      <c r="R2175" s="4">
        <v>13.421410564591699</v>
      </c>
      <c r="S2175" s="4">
        <v>13.6215975480676</v>
      </c>
      <c r="T2175" s="4">
        <f t="shared" si="134"/>
        <v>13.3775389547105</v>
      </c>
      <c r="W2175" s="4" t="str">
        <f>"K06G5.1"</f>
        <v>K06G5.1</v>
      </c>
      <c r="X2175" s="4">
        <v>13.414082937635399</v>
      </c>
      <c r="Y2175" s="4">
        <v>13.476154489272499</v>
      </c>
      <c r="Z2175" s="4">
        <v>13.3502590960373</v>
      </c>
      <c r="AA2175" s="4">
        <f t="shared" si="135"/>
        <v>13.413498840981733</v>
      </c>
    </row>
    <row r="2176" spans="2:27" x14ac:dyDescent="0.2">
      <c r="B2176" s="4" t="s">
        <v>786</v>
      </c>
      <c r="C2176" s="4">
        <v>13.829800000000001</v>
      </c>
      <c r="D2176" s="4">
        <v>13.791600000000001</v>
      </c>
      <c r="E2176" s="4">
        <v>13.8424</v>
      </c>
      <c r="F2176" s="4">
        <f t="shared" si="132"/>
        <v>13.821266666666666</v>
      </c>
      <c r="I2176" s="4" t="s">
        <v>3943</v>
      </c>
      <c r="J2176" s="4">
        <v>13.319699999999999</v>
      </c>
      <c r="K2176" s="4">
        <v>14.0557</v>
      </c>
      <c r="L2176" s="4">
        <v>14.010999999999999</v>
      </c>
      <c r="M2176" s="4">
        <f t="shared" si="133"/>
        <v>13.795466666666664</v>
      </c>
      <c r="P2176" s="4" t="str">
        <f>"inx-8"</f>
        <v>inx-8</v>
      </c>
      <c r="Q2176" s="4">
        <v>13.8235860519182</v>
      </c>
      <c r="R2176" s="4">
        <v>13.476882161008101</v>
      </c>
      <c r="S2176" s="4">
        <v>12.822606978294401</v>
      </c>
      <c r="T2176" s="4">
        <f t="shared" si="134"/>
        <v>13.374358397073566</v>
      </c>
      <c r="W2176" s="4" t="str">
        <f>"ztf-7"</f>
        <v>ztf-7</v>
      </c>
      <c r="X2176" s="4">
        <v>13.597976085854601</v>
      </c>
      <c r="Y2176" s="4">
        <v>13.3641387945753</v>
      </c>
      <c r="Z2176" s="4">
        <v>13.273658035986401</v>
      </c>
      <c r="AA2176" s="4">
        <f t="shared" si="135"/>
        <v>13.4119243054721</v>
      </c>
    </row>
    <row r="2177" spans="2:27" x14ac:dyDescent="0.2">
      <c r="B2177" s="4" t="s">
        <v>776</v>
      </c>
      <c r="C2177" s="4">
        <v>13.583399999999999</v>
      </c>
      <c r="D2177" s="4">
        <v>14.122299999999999</v>
      </c>
      <c r="E2177" s="4">
        <v>13.757300000000001</v>
      </c>
      <c r="F2177" s="4">
        <f t="shared" si="132"/>
        <v>13.821</v>
      </c>
      <c r="I2177" s="4" t="s">
        <v>4750</v>
      </c>
      <c r="J2177" s="4">
        <v>14.1075</v>
      </c>
      <c r="K2177" s="4">
        <v>13.846</v>
      </c>
      <c r="L2177" s="4">
        <v>13.4232</v>
      </c>
      <c r="M2177" s="4">
        <f t="shared" si="133"/>
        <v>13.792233333333334</v>
      </c>
      <c r="P2177" s="4" t="str">
        <f>"csk-1"</f>
        <v>csk-1</v>
      </c>
      <c r="Q2177" s="4">
        <v>13.2952657582399</v>
      </c>
      <c r="R2177" s="4">
        <v>13.2087978129644</v>
      </c>
      <c r="S2177" s="4">
        <v>13.6176987396098</v>
      </c>
      <c r="T2177" s="4">
        <f t="shared" si="134"/>
        <v>13.373920770271367</v>
      </c>
      <c r="W2177" s="4" t="str">
        <f>"Y59E9AL.36"</f>
        <v>Y59E9AL.36</v>
      </c>
      <c r="X2177" s="4">
        <v>13.8617601975659</v>
      </c>
      <c r="Y2177" s="4">
        <v>13.132241910681399</v>
      </c>
      <c r="Z2177" s="4">
        <v>13.236499827451</v>
      </c>
      <c r="AA2177" s="4">
        <f t="shared" si="135"/>
        <v>13.410167311899434</v>
      </c>
    </row>
    <row r="2178" spans="2:27" x14ac:dyDescent="0.2">
      <c r="B2178" s="4" t="s">
        <v>4066</v>
      </c>
      <c r="C2178" s="4">
        <v>13.9678</v>
      </c>
      <c r="D2178" s="4">
        <v>13.6622</v>
      </c>
      <c r="E2178" s="4">
        <v>13.8308</v>
      </c>
      <c r="F2178" s="4">
        <f t="shared" ref="F2178:F2241" si="136">(C2178+D2178+E2178)/3</f>
        <v>13.820266666666669</v>
      </c>
      <c r="I2178" s="4" t="s">
        <v>727</v>
      </c>
      <c r="J2178" s="4">
        <v>13.4704</v>
      </c>
      <c r="K2178" s="4">
        <v>14.1837</v>
      </c>
      <c r="L2178" s="4">
        <v>13.7226</v>
      </c>
      <c r="M2178" s="4">
        <f t="shared" ref="M2178:M2241" si="137">(J2178+K2178+L2178)/3</f>
        <v>13.792233333333334</v>
      </c>
      <c r="P2178" s="4" t="str">
        <f>"cyn-13"</f>
        <v>cyn-13</v>
      </c>
      <c r="Q2178" s="4">
        <v>13.2941369075126</v>
      </c>
      <c r="R2178" s="4">
        <v>13.4341671896115</v>
      </c>
      <c r="S2178" s="4">
        <v>13.3913672201215</v>
      </c>
      <c r="T2178" s="4">
        <f t="shared" ref="T2178:T2241" si="138">(Q2178+R2178+S2178)/3</f>
        <v>13.373223772415201</v>
      </c>
      <c r="W2178" s="4" t="str">
        <f>"snn-1"</f>
        <v>snn-1</v>
      </c>
      <c r="X2178" s="4">
        <v>13.209052197619901</v>
      </c>
      <c r="Y2178" s="4">
        <v>13.4736057197516</v>
      </c>
      <c r="Z2178" s="4">
        <v>13.536789626404</v>
      </c>
      <c r="AA2178" s="4">
        <f t="shared" ref="AA2178:AA2241" si="139">(X2178+Y2178+Z2178)/3</f>
        <v>13.406482514591834</v>
      </c>
    </row>
    <row r="2179" spans="2:27" x14ac:dyDescent="0.2">
      <c r="B2179" s="4" t="s">
        <v>4759</v>
      </c>
      <c r="C2179" s="4">
        <v>13.9565</v>
      </c>
      <c r="D2179" s="4">
        <v>13.519299999999999</v>
      </c>
      <c r="E2179" s="4">
        <v>13.9826</v>
      </c>
      <c r="F2179" s="4">
        <f t="shared" si="136"/>
        <v>13.819466666666665</v>
      </c>
      <c r="I2179" s="4" t="s">
        <v>2362</v>
      </c>
      <c r="J2179" s="4">
        <v>14.202199999999999</v>
      </c>
      <c r="K2179" s="4">
        <v>13.6492</v>
      </c>
      <c r="L2179" s="4">
        <v>13.524100000000001</v>
      </c>
      <c r="M2179" s="4">
        <f t="shared" si="137"/>
        <v>13.791833333333335</v>
      </c>
      <c r="P2179" s="4" t="str">
        <f>"pqn-87"</f>
        <v>pqn-87</v>
      </c>
      <c r="Q2179" s="4">
        <v>13.6024824100432</v>
      </c>
      <c r="R2179" s="4">
        <v>13.1698627656236</v>
      </c>
      <c r="S2179" s="4">
        <v>13.3462647666835</v>
      </c>
      <c r="T2179" s="4">
        <f t="shared" si="138"/>
        <v>13.372869980783435</v>
      </c>
      <c r="W2179" s="4" t="str">
        <f>"dkf-1"</f>
        <v>dkf-1</v>
      </c>
      <c r="X2179" s="4">
        <v>13.7015702901993</v>
      </c>
      <c r="Y2179" s="4">
        <v>13.0788198091896</v>
      </c>
      <c r="Z2179" s="4">
        <v>13.4346826982695</v>
      </c>
      <c r="AA2179" s="4">
        <f t="shared" si="139"/>
        <v>13.405024265886134</v>
      </c>
    </row>
    <row r="2180" spans="2:27" x14ac:dyDescent="0.2">
      <c r="B2180" s="4" t="s">
        <v>3850</v>
      </c>
      <c r="C2180" s="4">
        <v>13.7812</v>
      </c>
      <c r="D2180" s="4">
        <v>13.876300000000001</v>
      </c>
      <c r="E2180" s="4">
        <v>13.7942</v>
      </c>
      <c r="F2180" s="4">
        <f t="shared" si="136"/>
        <v>13.817233333333334</v>
      </c>
      <c r="I2180" s="4" t="s">
        <v>2785</v>
      </c>
      <c r="J2180" s="4">
        <v>13.996600000000001</v>
      </c>
      <c r="K2180" s="4">
        <v>13.5221</v>
      </c>
      <c r="L2180" s="4">
        <v>13.8567</v>
      </c>
      <c r="M2180" s="4">
        <f t="shared" si="137"/>
        <v>13.7918</v>
      </c>
      <c r="P2180" s="4" t="str">
        <f>"Y54F10AL.1"</f>
        <v>Y54F10AL.1</v>
      </c>
      <c r="Q2180" s="4">
        <v>12.9081477745803</v>
      </c>
      <c r="R2180" s="4">
        <v>13.3872189996291</v>
      </c>
      <c r="S2180" s="4">
        <v>13.822186285718301</v>
      </c>
      <c r="T2180" s="4">
        <f t="shared" si="138"/>
        <v>13.372517686642567</v>
      </c>
      <c r="W2180" s="4" t="str">
        <f>"ZK524.4"</f>
        <v>ZK524.4</v>
      </c>
      <c r="X2180" s="4">
        <v>13.386395004520899</v>
      </c>
      <c r="Y2180" s="4">
        <v>13.626387663071601</v>
      </c>
      <c r="Z2180" s="4">
        <v>13.19549972315</v>
      </c>
      <c r="AA2180" s="4">
        <f t="shared" si="139"/>
        <v>13.402760796914166</v>
      </c>
    </row>
    <row r="2181" spans="2:27" x14ac:dyDescent="0.2">
      <c r="B2181" s="4" t="s">
        <v>2984</v>
      </c>
      <c r="C2181" s="4">
        <v>14.3484</v>
      </c>
      <c r="D2181" s="4">
        <v>14.350300000000001</v>
      </c>
      <c r="E2181" s="4">
        <v>12.752800000000001</v>
      </c>
      <c r="F2181" s="4">
        <f t="shared" si="136"/>
        <v>13.817166666666667</v>
      </c>
      <c r="I2181" s="4" t="s">
        <v>2480</v>
      </c>
      <c r="J2181" s="4">
        <v>13.9579</v>
      </c>
      <c r="K2181" s="4">
        <v>13.5524</v>
      </c>
      <c r="L2181" s="4">
        <v>13.8635</v>
      </c>
      <c r="M2181" s="4">
        <f t="shared" si="137"/>
        <v>13.791266666666667</v>
      </c>
      <c r="P2181" s="4" t="str">
        <f>"lec-6"</f>
        <v>lec-6</v>
      </c>
      <c r="Q2181" s="4">
        <v>12.7583444514494</v>
      </c>
      <c r="R2181" s="4">
        <v>13.692477518644299</v>
      </c>
      <c r="S2181" s="4">
        <v>13.665446830521001</v>
      </c>
      <c r="T2181" s="4">
        <f t="shared" si="138"/>
        <v>13.3720896002049</v>
      </c>
      <c r="W2181" s="4" t="str">
        <f>"maea-1"</f>
        <v>maea-1</v>
      </c>
      <c r="X2181" s="4">
        <v>13.3315365027737</v>
      </c>
      <c r="Y2181" s="4">
        <v>13.697862116698101</v>
      </c>
      <c r="Z2181" s="4">
        <v>13.1757471552416</v>
      </c>
      <c r="AA2181" s="4">
        <f t="shared" si="139"/>
        <v>13.4017152582378</v>
      </c>
    </row>
    <row r="2182" spans="2:27" x14ac:dyDescent="0.2">
      <c r="B2182" s="4" t="s">
        <v>1394</v>
      </c>
      <c r="C2182" s="4">
        <v>14.0227</v>
      </c>
      <c r="D2182" s="4">
        <v>13.3188</v>
      </c>
      <c r="E2182" s="4">
        <v>14.104699999999999</v>
      </c>
      <c r="F2182" s="4">
        <f t="shared" si="136"/>
        <v>13.815399999999999</v>
      </c>
      <c r="I2182" s="4" t="s">
        <v>228</v>
      </c>
      <c r="J2182" s="4">
        <v>14.116</v>
      </c>
      <c r="K2182" s="4">
        <v>13.7073</v>
      </c>
      <c r="L2182" s="4">
        <v>13.5486</v>
      </c>
      <c r="M2182" s="4">
        <f t="shared" si="137"/>
        <v>13.790633333333332</v>
      </c>
      <c r="P2182" s="4" t="str">
        <f>"nduo-4"</f>
        <v>nduo-4</v>
      </c>
      <c r="Q2182" s="4">
        <v>12.909918244461201</v>
      </c>
      <c r="R2182" s="4">
        <v>13.407089172331499</v>
      </c>
      <c r="S2182" s="4">
        <v>13.797102189778499</v>
      </c>
      <c r="T2182" s="4">
        <f t="shared" si="138"/>
        <v>13.371369868857066</v>
      </c>
      <c r="W2182" s="4" t="str">
        <f>"chd-7"</f>
        <v>chd-7</v>
      </c>
      <c r="X2182" s="4">
        <v>13.258762939742001</v>
      </c>
      <c r="Y2182" s="4">
        <v>13.5887526631443</v>
      </c>
      <c r="Z2182" s="4">
        <v>13.3572803665978</v>
      </c>
      <c r="AA2182" s="4">
        <f t="shared" si="139"/>
        <v>13.4015986564947</v>
      </c>
    </row>
    <row r="2183" spans="2:27" x14ac:dyDescent="0.2">
      <c r="B2183" s="4" t="s">
        <v>3645</v>
      </c>
      <c r="C2183" s="4">
        <v>14.083500000000001</v>
      </c>
      <c r="D2183" s="4">
        <v>13.5983</v>
      </c>
      <c r="E2183" s="4">
        <v>13.7637</v>
      </c>
      <c r="F2183" s="4">
        <f t="shared" si="136"/>
        <v>13.815166666666668</v>
      </c>
      <c r="I2183" s="4" t="s">
        <v>3297</v>
      </c>
      <c r="J2183" s="4">
        <v>14.0143</v>
      </c>
      <c r="K2183" s="4">
        <v>13.9579</v>
      </c>
      <c r="L2183" s="4">
        <v>13.3987</v>
      </c>
      <c r="M2183" s="4">
        <f t="shared" si="137"/>
        <v>13.7903</v>
      </c>
      <c r="P2183" s="4" t="str">
        <f>"stau-1"</f>
        <v>stau-1</v>
      </c>
      <c r="Q2183" s="4">
        <v>13.548473939679701</v>
      </c>
      <c r="R2183" s="4">
        <v>13.258289694358499</v>
      </c>
      <c r="S2183" s="4">
        <v>13.301640366349099</v>
      </c>
      <c r="T2183" s="4">
        <f t="shared" si="138"/>
        <v>13.369468000129098</v>
      </c>
      <c r="W2183" s="4" t="str">
        <f>"Y10G11A.1"</f>
        <v>Y10G11A.1</v>
      </c>
      <c r="X2183" s="4">
        <v>13.445928080352299</v>
      </c>
      <c r="Y2183" s="4">
        <v>13.269147557596501</v>
      </c>
      <c r="Z2183" s="4">
        <v>13.4871182281231</v>
      </c>
      <c r="AA2183" s="4">
        <f t="shared" si="139"/>
        <v>13.400731288690634</v>
      </c>
    </row>
    <row r="2184" spans="2:27" x14ac:dyDescent="0.2">
      <c r="B2184" s="4" t="s">
        <v>3707</v>
      </c>
      <c r="C2184" s="4">
        <v>14.0627</v>
      </c>
      <c r="D2184" s="4">
        <v>13.5296</v>
      </c>
      <c r="E2184" s="4">
        <v>13.8485</v>
      </c>
      <c r="F2184" s="4">
        <f t="shared" si="136"/>
        <v>13.813600000000001</v>
      </c>
      <c r="I2184" s="4" t="s">
        <v>3834</v>
      </c>
      <c r="J2184" s="4">
        <v>14.0152</v>
      </c>
      <c r="K2184" s="4">
        <v>13.844900000000001</v>
      </c>
      <c r="L2184" s="4">
        <v>13.507099999999999</v>
      </c>
      <c r="M2184" s="4">
        <f t="shared" si="137"/>
        <v>13.789066666666669</v>
      </c>
      <c r="P2184" s="4" t="str">
        <f>"R13H4.5"</f>
        <v>R13H4.5</v>
      </c>
      <c r="Q2184" s="4">
        <v>12.9780766960134</v>
      </c>
      <c r="R2184" s="4">
        <v>13.4718095814744</v>
      </c>
      <c r="S2184" s="4">
        <v>13.655357759084</v>
      </c>
      <c r="T2184" s="4">
        <f t="shared" si="138"/>
        <v>13.368414678857265</v>
      </c>
      <c r="W2184" s="4" t="str">
        <f>"rbm-39"</f>
        <v>rbm-39</v>
      </c>
      <c r="X2184" s="4">
        <v>13.4693317809896</v>
      </c>
      <c r="Y2184" s="4">
        <v>13.0797924811403</v>
      </c>
      <c r="Z2184" s="4">
        <v>13.6493690391281</v>
      </c>
      <c r="AA2184" s="4">
        <f t="shared" si="139"/>
        <v>13.399497767085998</v>
      </c>
    </row>
    <row r="2185" spans="2:27" x14ac:dyDescent="0.2">
      <c r="B2185" s="4" t="s">
        <v>122</v>
      </c>
      <c r="C2185" s="4">
        <v>13.657299999999999</v>
      </c>
      <c r="D2185" s="4">
        <v>14.3354</v>
      </c>
      <c r="E2185" s="4">
        <v>13.4458</v>
      </c>
      <c r="F2185" s="4">
        <f t="shared" si="136"/>
        <v>13.812833333333332</v>
      </c>
      <c r="I2185" s="4" t="s">
        <v>1564</v>
      </c>
      <c r="J2185" s="4">
        <v>14.288600000000001</v>
      </c>
      <c r="K2185" s="4">
        <v>13.2723</v>
      </c>
      <c r="L2185" s="4">
        <v>13.801399999999999</v>
      </c>
      <c r="M2185" s="4">
        <f t="shared" si="137"/>
        <v>13.787433333333333</v>
      </c>
      <c r="P2185" s="4" t="str">
        <f>"suox-1"</f>
        <v>suox-1</v>
      </c>
      <c r="Q2185" s="4">
        <v>13.576971136778599</v>
      </c>
      <c r="R2185" s="4">
        <v>13.233753929167101</v>
      </c>
      <c r="S2185" s="4">
        <v>13.294426916183999</v>
      </c>
      <c r="T2185" s="4">
        <f t="shared" si="138"/>
        <v>13.368383994043233</v>
      </c>
      <c r="W2185" s="4" t="str">
        <f>"T13H5.8"</f>
        <v>T13H5.8</v>
      </c>
      <c r="X2185" s="4">
        <v>13.4720816048803</v>
      </c>
      <c r="Y2185" s="4">
        <v>13.5337733173985</v>
      </c>
      <c r="Z2185" s="4">
        <v>13.1922269215467</v>
      </c>
      <c r="AA2185" s="4">
        <f t="shared" si="139"/>
        <v>13.399360614608499</v>
      </c>
    </row>
    <row r="2186" spans="2:27" x14ac:dyDescent="0.2">
      <c r="B2186" s="4" t="s">
        <v>2551</v>
      </c>
      <c r="C2186" s="4">
        <v>13.8994</v>
      </c>
      <c r="D2186" s="4">
        <v>13.788600000000001</v>
      </c>
      <c r="E2186" s="4">
        <v>13.746700000000001</v>
      </c>
      <c r="F2186" s="4">
        <f t="shared" si="136"/>
        <v>13.811566666666669</v>
      </c>
      <c r="I2186" s="4" t="s">
        <v>107</v>
      </c>
      <c r="J2186" s="4">
        <v>13.8215</v>
      </c>
      <c r="K2186" s="4">
        <v>13.534599999999999</v>
      </c>
      <c r="L2186" s="4">
        <v>14.0045</v>
      </c>
      <c r="M2186" s="4">
        <f t="shared" si="137"/>
        <v>13.786866666666667</v>
      </c>
      <c r="P2186" s="4" t="str">
        <f>"cni-1"</f>
        <v>cni-1</v>
      </c>
      <c r="Q2186" s="4">
        <v>12.678135261219801</v>
      </c>
      <c r="R2186" s="4">
        <v>13.9365767557039</v>
      </c>
      <c r="S2186" s="4">
        <v>13.4866297335453</v>
      </c>
      <c r="T2186" s="4">
        <f t="shared" si="138"/>
        <v>13.367113916823001</v>
      </c>
      <c r="W2186" s="4" t="str">
        <f>"gsr-1"</f>
        <v>gsr-1</v>
      </c>
      <c r="X2186" s="4">
        <v>13.4876591460923</v>
      </c>
      <c r="Y2186" s="4">
        <v>13.325685072966101</v>
      </c>
      <c r="Z2186" s="4">
        <v>13.382457856474399</v>
      </c>
      <c r="AA2186" s="4">
        <f t="shared" si="139"/>
        <v>13.398600691844265</v>
      </c>
    </row>
    <row r="2187" spans="2:27" x14ac:dyDescent="0.2">
      <c r="B2187" s="4" t="s">
        <v>4768</v>
      </c>
      <c r="C2187" s="4">
        <v>13.834099999999999</v>
      </c>
      <c r="D2187" s="4">
        <v>13.7531</v>
      </c>
      <c r="E2187" s="4">
        <v>13.8451</v>
      </c>
      <c r="F2187" s="4">
        <f t="shared" si="136"/>
        <v>13.810766666666666</v>
      </c>
      <c r="I2187" s="4" t="s">
        <v>116</v>
      </c>
      <c r="J2187" s="4">
        <v>14.0862</v>
      </c>
      <c r="K2187" s="4">
        <v>13.1898</v>
      </c>
      <c r="L2187" s="4">
        <v>14.084</v>
      </c>
      <c r="M2187" s="4">
        <f t="shared" si="137"/>
        <v>13.786666666666667</v>
      </c>
      <c r="P2187" s="4" t="str">
        <f>"ugt-23"</f>
        <v>ugt-23</v>
      </c>
      <c r="Q2187" s="4">
        <v>13.308563896906101</v>
      </c>
      <c r="R2187" s="4">
        <v>13.325906762143401</v>
      </c>
      <c r="S2187" s="4">
        <v>13.465149460703399</v>
      </c>
      <c r="T2187" s="4">
        <f t="shared" si="138"/>
        <v>13.366540039917632</v>
      </c>
      <c r="W2187" s="4" t="str">
        <f>"lin-5"</f>
        <v>lin-5</v>
      </c>
      <c r="X2187" s="4">
        <v>13.5450029364044</v>
      </c>
      <c r="Y2187" s="4">
        <v>13.2911249885325</v>
      </c>
      <c r="Z2187" s="4">
        <v>13.3566926740887</v>
      </c>
      <c r="AA2187" s="4">
        <f t="shared" si="139"/>
        <v>13.397606866341867</v>
      </c>
    </row>
    <row r="2188" spans="2:27" x14ac:dyDescent="0.2">
      <c r="B2188" s="4" t="s">
        <v>35</v>
      </c>
      <c r="C2188" s="4">
        <v>13.837899999999999</v>
      </c>
      <c r="D2188" s="4">
        <v>13.904199999999999</v>
      </c>
      <c r="E2188" s="4">
        <v>13.683299999999999</v>
      </c>
      <c r="F2188" s="4">
        <f t="shared" si="136"/>
        <v>13.808466666666666</v>
      </c>
      <c r="I2188" s="4" t="s">
        <v>2030</v>
      </c>
      <c r="J2188" s="4">
        <v>13.924799999999999</v>
      </c>
      <c r="K2188" s="4">
        <v>13.7629</v>
      </c>
      <c r="L2188" s="4">
        <v>13.6721</v>
      </c>
      <c r="M2188" s="4">
        <f t="shared" si="137"/>
        <v>13.7866</v>
      </c>
      <c r="P2188" s="24" t="str">
        <f>"nekl-3"</f>
        <v>nekl-3</v>
      </c>
      <c r="Q2188" s="24">
        <v>13.088709025413999</v>
      </c>
      <c r="R2188" s="24">
        <v>13.2325639564363</v>
      </c>
      <c r="S2188" s="24">
        <v>13.7781149338582</v>
      </c>
      <c r="T2188" s="4">
        <f t="shared" si="138"/>
        <v>13.3664626385695</v>
      </c>
      <c r="W2188" s="4" t="str">
        <f>"Y48A6C.4"</f>
        <v>Y48A6C.4</v>
      </c>
      <c r="X2188" s="4">
        <v>12.8699883351537</v>
      </c>
      <c r="Y2188" s="4">
        <v>14.316751534292401</v>
      </c>
      <c r="Z2188" s="4">
        <v>13.0035173019384</v>
      </c>
      <c r="AA2188" s="4">
        <f t="shared" si="139"/>
        <v>13.396752390461501</v>
      </c>
    </row>
    <row r="2189" spans="2:27" x14ac:dyDescent="0.2">
      <c r="B2189" s="4" t="s">
        <v>2656</v>
      </c>
      <c r="C2189" s="4">
        <v>13.958600000000001</v>
      </c>
      <c r="D2189" s="4">
        <v>13.719900000000001</v>
      </c>
      <c r="E2189" s="4">
        <v>13.743499999999999</v>
      </c>
      <c r="F2189" s="4">
        <f t="shared" si="136"/>
        <v>13.807333333333332</v>
      </c>
      <c r="I2189" s="4" t="s">
        <v>1300</v>
      </c>
      <c r="J2189" s="4">
        <v>13.7987</v>
      </c>
      <c r="K2189" s="4">
        <v>13.7735</v>
      </c>
      <c r="L2189" s="4">
        <v>13.7875</v>
      </c>
      <c r="M2189" s="4">
        <f t="shared" si="137"/>
        <v>13.786566666666667</v>
      </c>
      <c r="P2189" s="4" t="str">
        <f>"grl-16"</f>
        <v>grl-16</v>
      </c>
      <c r="Q2189" s="4">
        <v>13.2619199970616</v>
      </c>
      <c r="R2189" s="4">
        <v>12.9673382720433</v>
      </c>
      <c r="S2189" s="4">
        <v>13.8696335560864</v>
      </c>
      <c r="T2189" s="4">
        <f t="shared" si="138"/>
        <v>13.366297275063767</v>
      </c>
      <c r="W2189" s="4" t="str">
        <f>"mup-2"</f>
        <v>mup-2</v>
      </c>
      <c r="X2189" s="4">
        <v>13.3582639749392</v>
      </c>
      <c r="Y2189" s="4">
        <v>13.3619221801129</v>
      </c>
      <c r="Z2189" s="4">
        <v>13.4680913081309</v>
      </c>
      <c r="AA2189" s="4">
        <f t="shared" si="139"/>
        <v>13.396092487727666</v>
      </c>
    </row>
    <row r="2190" spans="2:27" x14ac:dyDescent="0.2">
      <c r="B2190" s="4" t="s">
        <v>4769</v>
      </c>
      <c r="C2190" s="4">
        <v>13.687200000000001</v>
      </c>
      <c r="D2190" s="4">
        <v>14.090999999999999</v>
      </c>
      <c r="E2190" s="4">
        <v>13.638400000000001</v>
      </c>
      <c r="F2190" s="4">
        <f t="shared" si="136"/>
        <v>13.805533333333335</v>
      </c>
      <c r="I2190" s="4" t="s">
        <v>1943</v>
      </c>
      <c r="J2190" s="4">
        <v>13.7003</v>
      </c>
      <c r="K2190" s="4">
        <v>13.861000000000001</v>
      </c>
      <c r="L2190" s="4">
        <v>13.7963</v>
      </c>
      <c r="M2190" s="4">
        <f t="shared" si="137"/>
        <v>13.785866666666669</v>
      </c>
      <c r="P2190" s="4" t="str">
        <f>"dtmk-1"</f>
        <v>dtmk-1</v>
      </c>
      <c r="Q2190" s="4">
        <v>13.4477596080919</v>
      </c>
      <c r="R2190" s="4">
        <v>13.2855006238826</v>
      </c>
      <c r="S2190" s="4">
        <v>13.3637688660317</v>
      </c>
      <c r="T2190" s="4">
        <f t="shared" si="138"/>
        <v>13.365676366002065</v>
      </c>
      <c r="W2190" s="4" t="str">
        <f>"inx-12"</f>
        <v>inx-12</v>
      </c>
      <c r="X2190" s="4">
        <v>13.448726351185</v>
      </c>
      <c r="Y2190" s="4">
        <v>13.6015743357991</v>
      </c>
      <c r="Z2190" s="4">
        <v>13.135130757836601</v>
      </c>
      <c r="AA2190" s="4">
        <f t="shared" si="139"/>
        <v>13.395143814940234</v>
      </c>
    </row>
    <row r="2191" spans="2:27" x14ac:dyDescent="0.2">
      <c r="B2191" s="4" t="s">
        <v>685</v>
      </c>
      <c r="C2191" s="4">
        <v>13.5318</v>
      </c>
      <c r="D2191" s="4">
        <v>14.3111</v>
      </c>
      <c r="E2191" s="4">
        <v>13.571999999999999</v>
      </c>
      <c r="F2191" s="4">
        <f t="shared" si="136"/>
        <v>13.804966666666667</v>
      </c>
      <c r="I2191" s="4" t="s">
        <v>2420</v>
      </c>
      <c r="J2191" s="4">
        <v>13.655900000000001</v>
      </c>
      <c r="K2191" s="4">
        <v>13.9131</v>
      </c>
      <c r="L2191" s="4">
        <v>13.7858</v>
      </c>
      <c r="M2191" s="4">
        <f t="shared" si="137"/>
        <v>13.784933333333335</v>
      </c>
      <c r="P2191" s="4" t="str">
        <f>"atg-4.1"</f>
        <v>atg-4.1</v>
      </c>
      <c r="Q2191" s="4">
        <v>13.4504347267707</v>
      </c>
      <c r="R2191" s="4">
        <v>13.4663067908042</v>
      </c>
      <c r="S2191" s="4">
        <v>13.178168014272099</v>
      </c>
      <c r="T2191" s="4">
        <f t="shared" si="138"/>
        <v>13.364969843948998</v>
      </c>
      <c r="W2191" s="4" t="str">
        <f>"Y51A2D.13"</f>
        <v>Y51A2D.13</v>
      </c>
      <c r="X2191" s="4">
        <v>13.436663875951901</v>
      </c>
      <c r="Y2191" s="4">
        <v>13.633169470188299</v>
      </c>
      <c r="Z2191" s="4">
        <v>13.1137363513454</v>
      </c>
      <c r="AA2191" s="4">
        <f t="shared" si="139"/>
        <v>13.394523232495201</v>
      </c>
    </row>
    <row r="2192" spans="2:27" x14ac:dyDescent="0.2">
      <c r="B2192" s="4" t="s">
        <v>694</v>
      </c>
      <c r="C2192" s="4">
        <v>13.459899999999999</v>
      </c>
      <c r="D2192" s="4">
        <v>13.8485</v>
      </c>
      <c r="E2192" s="4">
        <v>14.0984</v>
      </c>
      <c r="F2192" s="4">
        <f t="shared" si="136"/>
        <v>13.802266666666666</v>
      </c>
      <c r="I2192" s="4" t="s">
        <v>2431</v>
      </c>
      <c r="J2192" s="4">
        <v>13.8954</v>
      </c>
      <c r="K2192" s="4">
        <v>13.4656</v>
      </c>
      <c r="L2192" s="4">
        <v>13.9924</v>
      </c>
      <c r="M2192" s="4">
        <f t="shared" si="137"/>
        <v>13.784466666666667</v>
      </c>
      <c r="P2192" s="4" t="str">
        <f>"tlk-1"</f>
        <v>tlk-1</v>
      </c>
      <c r="Q2192" s="4">
        <v>13.5186765471135</v>
      </c>
      <c r="R2192" s="4">
        <v>13.170234189927401</v>
      </c>
      <c r="S2192" s="4">
        <v>13.4050777339991</v>
      </c>
      <c r="T2192" s="4">
        <f t="shared" si="138"/>
        <v>13.36466282368</v>
      </c>
      <c r="W2192" s="4" t="str">
        <f>"dhhc-10"</f>
        <v>dhhc-10</v>
      </c>
      <c r="X2192" s="4">
        <v>13.196474569203399</v>
      </c>
      <c r="Y2192" s="4">
        <v>13.630999156582799</v>
      </c>
      <c r="Z2192" s="4">
        <v>13.3512594651983</v>
      </c>
      <c r="AA2192" s="4">
        <f t="shared" si="139"/>
        <v>13.392911063661501</v>
      </c>
    </row>
    <row r="2193" spans="2:27" x14ac:dyDescent="0.2">
      <c r="B2193" s="4" t="s">
        <v>3249</v>
      </c>
      <c r="C2193" s="4">
        <v>13.682600000000001</v>
      </c>
      <c r="D2193" s="4">
        <v>14.264200000000001</v>
      </c>
      <c r="E2193" s="4">
        <v>13.458</v>
      </c>
      <c r="F2193" s="4">
        <f t="shared" si="136"/>
        <v>13.801600000000001</v>
      </c>
      <c r="I2193" s="4" t="s">
        <v>1032</v>
      </c>
      <c r="J2193" s="4">
        <v>13.812900000000001</v>
      </c>
      <c r="K2193" s="4">
        <v>13.8401</v>
      </c>
      <c r="L2193" s="4">
        <v>13.6996</v>
      </c>
      <c r="M2193" s="4">
        <f t="shared" si="137"/>
        <v>13.784199999999998</v>
      </c>
      <c r="P2193" s="4" t="str">
        <f>"fmo-4"</f>
        <v>fmo-4</v>
      </c>
      <c r="Q2193" s="4">
        <v>13.186661035677201</v>
      </c>
      <c r="R2193" s="4">
        <v>13.431649853410899</v>
      </c>
      <c r="S2193" s="4">
        <v>13.4751046770645</v>
      </c>
      <c r="T2193" s="4">
        <f t="shared" si="138"/>
        <v>13.364471855384201</v>
      </c>
      <c r="W2193" s="4" t="str">
        <f>"arl-3"</f>
        <v>arl-3</v>
      </c>
      <c r="X2193" s="4">
        <v>13.101129259900199</v>
      </c>
      <c r="Y2193" s="4">
        <v>13.5972766839859</v>
      </c>
      <c r="Z2193" s="4">
        <v>13.477926438947801</v>
      </c>
      <c r="AA2193" s="4">
        <f t="shared" si="139"/>
        <v>13.392110794277968</v>
      </c>
    </row>
    <row r="2194" spans="2:27" x14ac:dyDescent="0.2">
      <c r="B2194" s="4" t="s">
        <v>2913</v>
      </c>
      <c r="C2194" s="4">
        <v>13.959</v>
      </c>
      <c r="D2194" s="4">
        <v>13.842000000000001</v>
      </c>
      <c r="E2194" s="4">
        <v>13.6022</v>
      </c>
      <c r="F2194" s="4">
        <f t="shared" si="136"/>
        <v>13.801066666666665</v>
      </c>
      <c r="I2194" s="4" t="s">
        <v>158</v>
      </c>
      <c r="J2194" s="4">
        <v>14.0687</v>
      </c>
      <c r="K2194" s="4">
        <v>13.784599999999999</v>
      </c>
      <c r="L2194" s="4">
        <v>13.4992</v>
      </c>
      <c r="M2194" s="4">
        <f t="shared" si="137"/>
        <v>13.784166666666666</v>
      </c>
      <c r="P2194" s="4" t="str">
        <f>"ntl-2"</f>
        <v>ntl-2</v>
      </c>
      <c r="Q2194" s="4">
        <v>12.9451792035483</v>
      </c>
      <c r="R2194" s="4">
        <v>13.477557535200701</v>
      </c>
      <c r="S2194" s="4">
        <v>13.669973721655801</v>
      </c>
      <c r="T2194" s="4">
        <f t="shared" si="138"/>
        <v>13.364236820134934</v>
      </c>
      <c r="W2194" s="4" t="str">
        <f>"Y53G8B.2"</f>
        <v>Y53G8B.2</v>
      </c>
      <c r="X2194" s="4">
        <v>13.6904606019182</v>
      </c>
      <c r="Y2194" s="4">
        <v>12.6469063738017</v>
      </c>
      <c r="Z2194" s="4">
        <v>13.838100961945701</v>
      </c>
      <c r="AA2194" s="4">
        <f t="shared" si="139"/>
        <v>13.391822645888533</v>
      </c>
    </row>
    <row r="2195" spans="2:27" x14ac:dyDescent="0.2">
      <c r="B2195" s="4" t="s">
        <v>2218</v>
      </c>
      <c r="C2195" s="4">
        <v>13.6531</v>
      </c>
      <c r="D2195" s="4">
        <v>13.8125</v>
      </c>
      <c r="E2195" s="4">
        <v>13.935700000000001</v>
      </c>
      <c r="F2195" s="4">
        <f t="shared" si="136"/>
        <v>13.800433333333336</v>
      </c>
      <c r="I2195" s="4" t="s">
        <v>3926</v>
      </c>
      <c r="J2195" s="4">
        <v>13.7121</v>
      </c>
      <c r="K2195" s="4">
        <v>13.657500000000001</v>
      </c>
      <c r="L2195" s="4">
        <v>13.976599999999999</v>
      </c>
      <c r="M2195" s="4">
        <f t="shared" si="137"/>
        <v>13.782066666666665</v>
      </c>
      <c r="P2195" s="4" t="str">
        <f>"ego-1"</f>
        <v>ego-1</v>
      </c>
      <c r="Q2195" s="4">
        <v>13.4019450787126</v>
      </c>
      <c r="R2195" s="4">
        <v>13.4945898389056</v>
      </c>
      <c r="S2195" s="4">
        <v>13.196072661068399</v>
      </c>
      <c r="T2195" s="4">
        <f t="shared" si="138"/>
        <v>13.364202526228866</v>
      </c>
      <c r="W2195" s="4" t="str">
        <f>"C39D10.8"</f>
        <v>C39D10.8</v>
      </c>
      <c r="X2195" s="4">
        <v>13.367205938826199</v>
      </c>
      <c r="Y2195" s="4">
        <v>13.619544024483</v>
      </c>
      <c r="Z2195" s="4">
        <v>13.1869638540247</v>
      </c>
      <c r="AA2195" s="4">
        <f t="shared" si="139"/>
        <v>13.391237939111301</v>
      </c>
    </row>
    <row r="2196" spans="2:27" x14ac:dyDescent="0.2">
      <c r="B2196" s="4" t="s">
        <v>1207</v>
      </c>
      <c r="C2196" s="4">
        <v>13.4886</v>
      </c>
      <c r="D2196" s="4">
        <v>13.526</v>
      </c>
      <c r="E2196" s="4">
        <v>14.3858</v>
      </c>
      <c r="F2196" s="4">
        <f t="shared" si="136"/>
        <v>13.800133333333335</v>
      </c>
      <c r="I2196" s="4" t="s">
        <v>1207</v>
      </c>
      <c r="J2196" s="4">
        <v>13.803100000000001</v>
      </c>
      <c r="K2196" s="4">
        <v>13.372999999999999</v>
      </c>
      <c r="L2196" s="4">
        <v>14.163399999999999</v>
      </c>
      <c r="M2196" s="4">
        <f t="shared" si="137"/>
        <v>13.779833333333334</v>
      </c>
      <c r="P2196" s="4" t="str">
        <f>"F30A10.9"</f>
        <v>F30A10.9</v>
      </c>
      <c r="Q2196" s="4">
        <v>13.4774287865523</v>
      </c>
      <c r="R2196" s="4">
        <v>13.430344111747999</v>
      </c>
      <c r="S2196" s="4">
        <v>13.183051638660499</v>
      </c>
      <c r="T2196" s="4">
        <f t="shared" si="138"/>
        <v>13.363608178986935</v>
      </c>
      <c r="W2196" s="4" t="str">
        <f>"svh-2"</f>
        <v>svh-2</v>
      </c>
      <c r="X2196" s="4">
        <v>13.519100679799401</v>
      </c>
      <c r="Y2196" s="4">
        <v>13.3700979400879</v>
      </c>
      <c r="Z2196" s="4">
        <v>13.281175424542701</v>
      </c>
      <c r="AA2196" s="4">
        <f t="shared" si="139"/>
        <v>13.390124681476669</v>
      </c>
    </row>
    <row r="2197" spans="2:27" x14ac:dyDescent="0.2">
      <c r="B2197" s="4" t="s">
        <v>861</v>
      </c>
      <c r="C2197" s="4">
        <v>13.776199999999999</v>
      </c>
      <c r="D2197" s="4">
        <v>13.692500000000001</v>
      </c>
      <c r="E2197" s="4">
        <v>13.9239</v>
      </c>
      <c r="F2197" s="4">
        <f t="shared" si="136"/>
        <v>13.797533333333334</v>
      </c>
      <c r="I2197" s="4" t="s">
        <v>3069</v>
      </c>
      <c r="J2197" s="4">
        <v>14.590999999999999</v>
      </c>
      <c r="K2197" s="4">
        <v>13.0215</v>
      </c>
      <c r="L2197" s="4">
        <v>13.725300000000001</v>
      </c>
      <c r="M2197" s="4">
        <f t="shared" si="137"/>
        <v>13.779266666666667</v>
      </c>
      <c r="P2197" s="4" t="str">
        <f>"dnj-9"</f>
        <v>dnj-9</v>
      </c>
      <c r="Q2197" s="4">
        <v>13.268833229644599</v>
      </c>
      <c r="R2197" s="4">
        <v>13.478814614230799</v>
      </c>
      <c r="S2197" s="4">
        <v>13.3404132130602</v>
      </c>
      <c r="T2197" s="4">
        <f t="shared" si="138"/>
        <v>13.362687018978534</v>
      </c>
      <c r="W2197" s="4" t="str">
        <f>"ech-8"</f>
        <v>ech-8</v>
      </c>
      <c r="X2197" s="4">
        <v>13.6916343686167</v>
      </c>
      <c r="Y2197" s="4">
        <v>13.413671621281299</v>
      </c>
      <c r="Z2197" s="4">
        <v>13.0648933697271</v>
      </c>
      <c r="AA2197" s="4">
        <f t="shared" si="139"/>
        <v>13.390066453208368</v>
      </c>
    </row>
    <row r="2198" spans="2:27" x14ac:dyDescent="0.2">
      <c r="B2198" s="4" t="s">
        <v>38</v>
      </c>
      <c r="C2198" s="4">
        <v>13.7903</v>
      </c>
      <c r="D2198" s="4">
        <v>14.0756</v>
      </c>
      <c r="E2198" s="4">
        <v>13.5236</v>
      </c>
      <c r="F2198" s="4">
        <f t="shared" si="136"/>
        <v>13.7965</v>
      </c>
      <c r="I2198" s="4" t="s">
        <v>1181</v>
      </c>
      <c r="J2198" s="4">
        <v>13.6556</v>
      </c>
      <c r="K2198" s="4">
        <v>13.807700000000001</v>
      </c>
      <c r="L2198" s="4">
        <v>13.868399999999999</v>
      </c>
      <c r="M2198" s="4">
        <f t="shared" si="137"/>
        <v>13.777233333333333</v>
      </c>
      <c r="P2198" s="4" t="str">
        <f>"tspo-1"</f>
        <v>tspo-1</v>
      </c>
      <c r="Q2198" s="4">
        <v>12.9955561142769</v>
      </c>
      <c r="R2198" s="4">
        <v>13.489526845565299</v>
      </c>
      <c r="S2198" s="4">
        <v>13.597864724590501</v>
      </c>
      <c r="T2198" s="4">
        <f t="shared" si="138"/>
        <v>13.360982561477565</v>
      </c>
      <c r="W2198" s="4" t="str">
        <f>"rpb-3"</f>
        <v>rpb-3</v>
      </c>
      <c r="X2198" s="4">
        <v>13.6642704208368</v>
      </c>
      <c r="Y2198" s="4">
        <v>13.0585402666329</v>
      </c>
      <c r="Z2198" s="4">
        <v>13.4431122145974</v>
      </c>
      <c r="AA2198" s="4">
        <f t="shared" si="139"/>
        <v>13.3886409673557</v>
      </c>
    </row>
    <row r="2199" spans="2:27" x14ac:dyDescent="0.2">
      <c r="B2199" s="4" t="s">
        <v>2499</v>
      </c>
      <c r="C2199" s="4">
        <v>14.1198</v>
      </c>
      <c r="D2199" s="4">
        <v>13.3245</v>
      </c>
      <c r="E2199" s="4">
        <v>13.940300000000001</v>
      </c>
      <c r="F2199" s="4">
        <f t="shared" si="136"/>
        <v>13.794866666666666</v>
      </c>
      <c r="I2199" s="4" t="s">
        <v>2645</v>
      </c>
      <c r="J2199" s="4">
        <v>13.743399999999999</v>
      </c>
      <c r="K2199" s="4">
        <v>13.7097</v>
      </c>
      <c r="L2199" s="4">
        <v>13.871499999999999</v>
      </c>
      <c r="M2199" s="4">
        <f t="shared" si="137"/>
        <v>13.774866666666666</v>
      </c>
      <c r="P2199" s="4" t="str">
        <f>"Y39A3CL.1"</f>
        <v>Y39A3CL.1</v>
      </c>
      <c r="Q2199" s="4">
        <v>13.430741917875601</v>
      </c>
      <c r="R2199" s="4">
        <v>13.1718954214506</v>
      </c>
      <c r="S2199" s="4">
        <v>13.4770920051942</v>
      </c>
      <c r="T2199" s="4">
        <f t="shared" si="138"/>
        <v>13.359909781506801</v>
      </c>
      <c r="W2199" s="4" t="str">
        <f>"E01A2.1"</f>
        <v>E01A2.1</v>
      </c>
      <c r="X2199" s="4">
        <v>13.511455742781401</v>
      </c>
      <c r="Y2199" s="4">
        <v>13.398360666759199</v>
      </c>
      <c r="Z2199" s="4">
        <v>13.256096266291101</v>
      </c>
      <c r="AA2199" s="4">
        <f t="shared" si="139"/>
        <v>13.388637558610567</v>
      </c>
    </row>
    <row r="2200" spans="2:27" x14ac:dyDescent="0.2">
      <c r="B2200" s="4" t="s">
        <v>1660</v>
      </c>
      <c r="C2200" s="4">
        <v>13.729799999999999</v>
      </c>
      <c r="D2200" s="4">
        <v>14.0685</v>
      </c>
      <c r="E2200" s="4">
        <v>13.5725</v>
      </c>
      <c r="F2200" s="4">
        <f t="shared" si="136"/>
        <v>13.790266666666666</v>
      </c>
      <c r="I2200" s="4" t="s">
        <v>3892</v>
      </c>
      <c r="J2200" s="4">
        <v>13.9374</v>
      </c>
      <c r="K2200" s="4">
        <v>13.8811</v>
      </c>
      <c r="L2200" s="4">
        <v>13.505599999999999</v>
      </c>
      <c r="M2200" s="4">
        <f t="shared" si="137"/>
        <v>13.774700000000001</v>
      </c>
      <c r="P2200" s="4" t="str">
        <f>"mtrr-1"</f>
        <v>mtrr-1</v>
      </c>
      <c r="Q2200" s="4">
        <v>13.406816556442999</v>
      </c>
      <c r="R2200" s="4">
        <v>13.4523926822816</v>
      </c>
      <c r="S2200" s="4">
        <v>13.219663258307801</v>
      </c>
      <c r="T2200" s="4">
        <f t="shared" si="138"/>
        <v>13.359624165677467</v>
      </c>
      <c r="W2200" s="4" t="str">
        <f>"toe-2"</f>
        <v>toe-2</v>
      </c>
      <c r="X2200" s="4">
        <v>13.4042522378677</v>
      </c>
      <c r="Y2200" s="4">
        <v>13.3868047717013</v>
      </c>
      <c r="Z2200" s="4">
        <v>13.3738719364496</v>
      </c>
      <c r="AA2200" s="4">
        <f t="shared" si="139"/>
        <v>13.388309648672868</v>
      </c>
    </row>
    <row r="2201" spans="2:27" x14ac:dyDescent="0.2">
      <c r="B2201" s="4" t="s">
        <v>4725</v>
      </c>
      <c r="C2201" s="4">
        <v>13.6503</v>
      </c>
      <c r="D2201" s="4">
        <v>13.9587</v>
      </c>
      <c r="E2201" s="4">
        <v>13.759</v>
      </c>
      <c r="F2201" s="4">
        <f t="shared" si="136"/>
        <v>13.789333333333333</v>
      </c>
      <c r="I2201" s="4" t="s">
        <v>4058</v>
      </c>
      <c r="J2201" s="4">
        <v>13.751200000000001</v>
      </c>
      <c r="K2201" s="4">
        <v>13.848599999999999</v>
      </c>
      <c r="L2201" s="4">
        <v>13.720599999999999</v>
      </c>
      <c r="M2201" s="4">
        <f t="shared" si="137"/>
        <v>13.773466666666666</v>
      </c>
      <c r="P2201" s="4" t="str">
        <f>"aakg-4"</f>
        <v>aakg-4</v>
      </c>
      <c r="Q2201" s="4">
        <v>13.218051956818901</v>
      </c>
      <c r="R2201" s="4">
        <v>13.4742881433026</v>
      </c>
      <c r="S2201" s="4">
        <v>13.384760205164399</v>
      </c>
      <c r="T2201" s="4">
        <f t="shared" si="138"/>
        <v>13.359033435095299</v>
      </c>
      <c r="W2201" s="4" t="str">
        <f>"lin-41"</f>
        <v>lin-41</v>
      </c>
      <c r="X2201" s="4">
        <v>13.646676285004199</v>
      </c>
      <c r="Y2201" s="4">
        <v>13.3814440256634</v>
      </c>
      <c r="Z2201" s="4">
        <v>13.1366663284397</v>
      </c>
      <c r="AA2201" s="4">
        <f t="shared" si="139"/>
        <v>13.388262213035766</v>
      </c>
    </row>
    <row r="2202" spans="2:27" x14ac:dyDescent="0.2">
      <c r="B2202" s="4" t="s">
        <v>1369</v>
      </c>
      <c r="C2202" s="4">
        <v>13.7591</v>
      </c>
      <c r="D2202" s="4">
        <v>14.5067</v>
      </c>
      <c r="E2202" s="4">
        <v>13.0992</v>
      </c>
      <c r="F2202" s="4">
        <f t="shared" si="136"/>
        <v>13.788333333333332</v>
      </c>
      <c r="I2202" s="4" t="s">
        <v>528</v>
      </c>
      <c r="J2202" s="4">
        <v>14.024100000000001</v>
      </c>
      <c r="K2202" s="4">
        <v>13.650700000000001</v>
      </c>
      <c r="L2202" s="4">
        <v>13.6409</v>
      </c>
      <c r="M2202" s="4">
        <f t="shared" si="137"/>
        <v>13.7719</v>
      </c>
      <c r="P2202" s="4" t="str">
        <f>"daf-1"</f>
        <v>daf-1</v>
      </c>
      <c r="Q2202" s="4">
        <v>13.531625156109101</v>
      </c>
      <c r="R2202" s="4">
        <v>13.440753910364901</v>
      </c>
      <c r="S2202" s="4">
        <v>13.1018163501346</v>
      </c>
      <c r="T2202" s="4">
        <f t="shared" si="138"/>
        <v>13.358065138869534</v>
      </c>
      <c r="W2202" s="4" t="str">
        <f>"symk-1"</f>
        <v>symk-1</v>
      </c>
      <c r="X2202" s="4">
        <v>13.398730365132799</v>
      </c>
      <c r="Y2202" s="4">
        <v>13.429001254376701</v>
      </c>
      <c r="Z2202" s="4">
        <v>13.3357472545603</v>
      </c>
      <c r="AA2202" s="4">
        <f t="shared" si="139"/>
        <v>13.387826291356598</v>
      </c>
    </row>
    <row r="2203" spans="2:27" x14ac:dyDescent="0.2">
      <c r="B2203" s="4" t="s">
        <v>2516</v>
      </c>
      <c r="C2203" s="4">
        <v>13.8142</v>
      </c>
      <c r="D2203" s="4">
        <v>13.690200000000001</v>
      </c>
      <c r="E2203" s="4">
        <v>13.8596</v>
      </c>
      <c r="F2203" s="4">
        <f t="shared" si="136"/>
        <v>13.788000000000002</v>
      </c>
      <c r="I2203" s="4" t="s">
        <v>4589</v>
      </c>
      <c r="J2203" s="4">
        <v>13.837300000000001</v>
      </c>
      <c r="K2203" s="4">
        <v>13.863799999999999</v>
      </c>
      <c r="L2203" s="4">
        <v>13.6107</v>
      </c>
      <c r="M2203" s="4">
        <f t="shared" si="137"/>
        <v>13.7706</v>
      </c>
      <c r="P2203" s="4" t="str">
        <f>"rpn-8"</f>
        <v>rpn-8</v>
      </c>
      <c r="Q2203" s="4">
        <v>13.0671884868152</v>
      </c>
      <c r="R2203" s="4">
        <v>13.411648551905101</v>
      </c>
      <c r="S2203" s="4">
        <v>13.593637756954699</v>
      </c>
      <c r="T2203" s="4">
        <f t="shared" si="138"/>
        <v>13.357491598558333</v>
      </c>
      <c r="W2203" s="4" t="str">
        <f>"pigu-1"</f>
        <v>pigu-1</v>
      </c>
      <c r="X2203" s="4">
        <v>14.132447732507901</v>
      </c>
      <c r="Y2203" s="4">
        <v>13.1375571797607</v>
      </c>
      <c r="Z2203" s="4">
        <v>12.890813937709501</v>
      </c>
      <c r="AA2203" s="4">
        <f t="shared" si="139"/>
        <v>13.386939616659367</v>
      </c>
    </row>
    <row r="2204" spans="2:27" x14ac:dyDescent="0.2">
      <c r="B2204" s="4" t="s">
        <v>4770</v>
      </c>
      <c r="C2204" s="4">
        <v>13.6782</v>
      </c>
      <c r="D2204" s="4">
        <v>14.0053</v>
      </c>
      <c r="E2204" s="4">
        <v>13.669600000000001</v>
      </c>
      <c r="F2204" s="4">
        <f t="shared" si="136"/>
        <v>13.784366666666669</v>
      </c>
      <c r="I2204" s="4" t="s">
        <v>4185</v>
      </c>
      <c r="J2204" s="4">
        <v>13.716100000000001</v>
      </c>
      <c r="K2204" s="4">
        <v>14.1166</v>
      </c>
      <c r="L2204" s="4">
        <v>13.4786</v>
      </c>
      <c r="M2204" s="4">
        <f t="shared" si="137"/>
        <v>13.770433333333335</v>
      </c>
      <c r="P2204" s="4" t="str">
        <f>"rsp-6"</f>
        <v>rsp-6</v>
      </c>
      <c r="Q2204" s="4">
        <v>13.5342765892368</v>
      </c>
      <c r="R2204" s="4">
        <v>13.227355373338099</v>
      </c>
      <c r="S2204" s="4">
        <v>13.3052144389414</v>
      </c>
      <c r="T2204" s="4">
        <f t="shared" si="138"/>
        <v>13.3556154671721</v>
      </c>
      <c r="W2204" s="4" t="str">
        <f>"ceh-99"</f>
        <v>ceh-99</v>
      </c>
      <c r="X2204" s="4">
        <v>13.378860007356399</v>
      </c>
      <c r="Y2204" s="4">
        <v>13.3969562256888</v>
      </c>
      <c r="Z2204" s="4">
        <v>13.3722176680575</v>
      </c>
      <c r="AA2204" s="4">
        <f t="shared" si="139"/>
        <v>13.382677967034233</v>
      </c>
    </row>
    <row r="2205" spans="2:27" x14ac:dyDescent="0.2">
      <c r="B2205" s="4" t="s">
        <v>418</v>
      </c>
      <c r="C2205" s="4">
        <v>14.3308</v>
      </c>
      <c r="D2205" s="4">
        <v>14.011699999999999</v>
      </c>
      <c r="E2205" s="4">
        <v>13.0078</v>
      </c>
      <c r="F2205" s="4">
        <f t="shared" si="136"/>
        <v>13.783433333333335</v>
      </c>
      <c r="I2205" s="4" t="s">
        <v>47</v>
      </c>
      <c r="J2205" s="4">
        <v>13.9253</v>
      </c>
      <c r="K2205" s="4">
        <v>13.735300000000001</v>
      </c>
      <c r="L2205" s="4">
        <v>13.649800000000001</v>
      </c>
      <c r="M2205" s="4">
        <f t="shared" si="137"/>
        <v>13.770133333333334</v>
      </c>
      <c r="P2205" s="4" t="str">
        <f>"npp-23"</f>
        <v>npp-23</v>
      </c>
      <c r="Q2205" s="4">
        <v>13.316544188805301</v>
      </c>
      <c r="R2205" s="4">
        <v>13.3179193206485</v>
      </c>
      <c r="S2205" s="4">
        <v>13.4307954837493</v>
      </c>
      <c r="T2205" s="4">
        <f t="shared" si="138"/>
        <v>13.355086331067701</v>
      </c>
      <c r="W2205" s="4" t="str">
        <f>"T16G1.7"</f>
        <v>T16G1.7</v>
      </c>
      <c r="X2205" s="4">
        <v>13.583109735771201</v>
      </c>
      <c r="Y2205" s="4">
        <v>13.078812547156801</v>
      </c>
      <c r="Z2205" s="4">
        <v>13.484506151923</v>
      </c>
      <c r="AA2205" s="4">
        <f t="shared" si="139"/>
        <v>13.382142811617001</v>
      </c>
    </row>
    <row r="2206" spans="2:27" x14ac:dyDescent="0.2">
      <c r="B2206" s="4" t="s">
        <v>840</v>
      </c>
      <c r="C2206" s="4">
        <v>13.9453</v>
      </c>
      <c r="D2206" s="4">
        <v>13.9095</v>
      </c>
      <c r="E2206" s="4">
        <v>13.488</v>
      </c>
      <c r="F2206" s="4">
        <f t="shared" si="136"/>
        <v>13.780933333333332</v>
      </c>
      <c r="I2206" s="4" t="s">
        <v>2516</v>
      </c>
      <c r="J2206" s="4">
        <v>13.659800000000001</v>
      </c>
      <c r="K2206" s="4">
        <v>13.886799999999999</v>
      </c>
      <c r="L2206" s="4">
        <v>13.763299999999999</v>
      </c>
      <c r="M2206" s="4">
        <f t="shared" si="137"/>
        <v>13.769966666666667</v>
      </c>
      <c r="P2206" s="4" t="str">
        <f>"melo-1"</f>
        <v>melo-1</v>
      </c>
      <c r="Q2206" s="4">
        <v>13.4181758541154</v>
      </c>
      <c r="R2206" s="4">
        <v>13.253255405889799</v>
      </c>
      <c r="S2206" s="4">
        <v>13.393619239142399</v>
      </c>
      <c r="T2206" s="4">
        <f t="shared" si="138"/>
        <v>13.3550168330492</v>
      </c>
      <c r="W2206" s="4" t="str">
        <f>"Y110A7A.15"</f>
        <v>Y110A7A.15</v>
      </c>
      <c r="X2206" s="4">
        <v>13.6784518955302</v>
      </c>
      <c r="Y2206" s="4">
        <v>13.349534478351501</v>
      </c>
      <c r="Z2206" s="4">
        <v>13.1160196205657</v>
      </c>
      <c r="AA2206" s="4">
        <f t="shared" si="139"/>
        <v>13.381335331482468</v>
      </c>
    </row>
    <row r="2207" spans="2:27" x14ac:dyDescent="0.2">
      <c r="B2207" s="4" t="s">
        <v>153</v>
      </c>
      <c r="C2207" s="4">
        <v>14.042299999999999</v>
      </c>
      <c r="D2207" s="4">
        <v>13.577199999999999</v>
      </c>
      <c r="E2207" s="4">
        <v>13.7178</v>
      </c>
      <c r="F2207" s="4">
        <f t="shared" si="136"/>
        <v>13.7791</v>
      </c>
      <c r="I2207" s="4" t="s">
        <v>743</v>
      </c>
      <c r="J2207" s="4">
        <v>13.850099999999999</v>
      </c>
      <c r="K2207" s="4">
        <v>13.523899999999999</v>
      </c>
      <c r="L2207" s="4">
        <v>13.935700000000001</v>
      </c>
      <c r="M2207" s="4">
        <f t="shared" si="137"/>
        <v>13.7699</v>
      </c>
      <c r="P2207" s="4" t="str">
        <f>"glh-2"</f>
        <v>glh-2</v>
      </c>
      <c r="Q2207" s="4">
        <v>13.2881601706877</v>
      </c>
      <c r="R2207" s="4">
        <v>13.340539864867401</v>
      </c>
      <c r="S2207" s="4">
        <v>13.4317059865975</v>
      </c>
      <c r="T2207" s="4">
        <f t="shared" si="138"/>
        <v>13.353468674050866</v>
      </c>
      <c r="W2207" s="4" t="str">
        <f>"tmem-24"</f>
        <v>tmem-24</v>
      </c>
      <c r="X2207" s="4">
        <v>13.490268186817</v>
      </c>
      <c r="Y2207" s="4">
        <v>13.552235644523201</v>
      </c>
      <c r="Z2207" s="4">
        <v>13.0973625808456</v>
      </c>
      <c r="AA2207" s="4">
        <f t="shared" si="139"/>
        <v>13.379955470728598</v>
      </c>
    </row>
    <row r="2208" spans="2:27" x14ac:dyDescent="0.2">
      <c r="B2208" s="4" t="s">
        <v>3264</v>
      </c>
      <c r="C2208" s="4">
        <v>13.9565</v>
      </c>
      <c r="D2208" s="4">
        <v>13.827999999999999</v>
      </c>
      <c r="E2208" s="4">
        <v>13.5486</v>
      </c>
      <c r="F2208" s="4">
        <f t="shared" si="136"/>
        <v>13.777700000000001</v>
      </c>
      <c r="I2208" s="4" t="s">
        <v>197</v>
      </c>
      <c r="J2208" s="4">
        <v>14.027100000000001</v>
      </c>
      <c r="K2208" s="4">
        <v>14.2882</v>
      </c>
      <c r="L2208" s="4">
        <v>12.9941</v>
      </c>
      <c r="M2208" s="4">
        <f t="shared" si="137"/>
        <v>13.769799999999998</v>
      </c>
      <c r="P2208" s="4" t="str">
        <f>"mau-2"</f>
        <v>mau-2</v>
      </c>
      <c r="Q2208" s="4">
        <v>13.3114450295324</v>
      </c>
      <c r="R2208" s="4">
        <v>13.277741289635999</v>
      </c>
      <c r="S2208" s="4">
        <v>13.4695746232945</v>
      </c>
      <c r="T2208" s="4">
        <f t="shared" si="138"/>
        <v>13.352920314154298</v>
      </c>
      <c r="W2208" s="4" t="str">
        <f>"sfxn-5"</f>
        <v>sfxn-5</v>
      </c>
      <c r="X2208" s="4">
        <v>13.4023412009661</v>
      </c>
      <c r="Y2208" s="4">
        <v>13.487365974208799</v>
      </c>
      <c r="Z2208" s="4">
        <v>13.249395283598799</v>
      </c>
      <c r="AA2208" s="4">
        <f t="shared" si="139"/>
        <v>13.379700819591234</v>
      </c>
    </row>
    <row r="2209" spans="2:27" x14ac:dyDescent="0.2">
      <c r="B2209" s="4" t="s">
        <v>3417</v>
      </c>
      <c r="C2209" s="4">
        <v>14.0594</v>
      </c>
      <c r="D2209" s="4">
        <v>13.8132</v>
      </c>
      <c r="E2209" s="4">
        <v>13.459300000000001</v>
      </c>
      <c r="F2209" s="4">
        <f t="shared" si="136"/>
        <v>13.777299999999999</v>
      </c>
      <c r="I2209" s="4" t="s">
        <v>3435</v>
      </c>
      <c r="J2209" s="4">
        <v>13.729200000000001</v>
      </c>
      <c r="K2209" s="4">
        <v>14.0946</v>
      </c>
      <c r="L2209" s="4">
        <v>13.4795</v>
      </c>
      <c r="M2209" s="4">
        <f t="shared" si="137"/>
        <v>13.767766666666667</v>
      </c>
      <c r="P2209" s="4" t="str">
        <f>"cul-4"</f>
        <v>cul-4</v>
      </c>
      <c r="Q2209" s="4">
        <v>13.1508815422773</v>
      </c>
      <c r="R2209" s="4">
        <v>13.601861851717301</v>
      </c>
      <c r="S2209" s="4">
        <v>13.303410242031299</v>
      </c>
      <c r="T2209" s="4">
        <f t="shared" si="138"/>
        <v>13.352051212008632</v>
      </c>
      <c r="W2209" s="4" t="str">
        <f>"cle-1"</f>
        <v>cle-1</v>
      </c>
      <c r="X2209" s="4">
        <v>12.7586613137806</v>
      </c>
      <c r="Y2209" s="4">
        <v>13.691098976990601</v>
      </c>
      <c r="Z2209" s="4">
        <v>13.687565061603101</v>
      </c>
      <c r="AA2209" s="4">
        <f t="shared" si="139"/>
        <v>13.379108450791435</v>
      </c>
    </row>
    <row r="2210" spans="2:27" x14ac:dyDescent="0.2">
      <c r="B2210" s="4" t="s">
        <v>2306</v>
      </c>
      <c r="C2210" s="4">
        <v>13.9237</v>
      </c>
      <c r="D2210" s="4">
        <v>13.6769</v>
      </c>
      <c r="E2210" s="4">
        <v>13.7256</v>
      </c>
      <c r="F2210" s="4">
        <f t="shared" si="136"/>
        <v>13.775399999999999</v>
      </c>
      <c r="I2210" s="4" t="s">
        <v>2364</v>
      </c>
      <c r="J2210" s="4">
        <v>13.733700000000001</v>
      </c>
      <c r="K2210" s="4">
        <v>13.748699999999999</v>
      </c>
      <c r="L2210" s="4">
        <v>13.820600000000001</v>
      </c>
      <c r="M2210" s="4">
        <f t="shared" si="137"/>
        <v>13.767666666666665</v>
      </c>
      <c r="P2210" s="4" t="str">
        <f>"disl-2"</f>
        <v>disl-2</v>
      </c>
      <c r="Q2210" s="4">
        <v>13.104169279048699</v>
      </c>
      <c r="R2210" s="4">
        <v>13.4462518374503</v>
      </c>
      <c r="S2210" s="4">
        <v>13.5052028287355</v>
      </c>
      <c r="T2210" s="4">
        <f t="shared" si="138"/>
        <v>13.351874648411501</v>
      </c>
      <c r="W2210" s="4" t="str">
        <f>"mrpl-34"</f>
        <v>mrpl-34</v>
      </c>
      <c r="X2210" s="4">
        <v>13.1859043293714</v>
      </c>
      <c r="Y2210" s="4">
        <v>13.4635739649949</v>
      </c>
      <c r="Z2210" s="4">
        <v>13.487227526303901</v>
      </c>
      <c r="AA2210" s="4">
        <f t="shared" si="139"/>
        <v>13.3789019402234</v>
      </c>
    </row>
    <row r="2211" spans="2:27" x14ac:dyDescent="0.2">
      <c r="B2211" s="4" t="s">
        <v>4771</v>
      </c>
      <c r="C2211" s="4">
        <v>14.404199999999999</v>
      </c>
      <c r="D2211" s="4">
        <v>13.734500000000001</v>
      </c>
      <c r="E2211" s="4">
        <v>13.186500000000001</v>
      </c>
      <c r="F2211" s="4">
        <f t="shared" si="136"/>
        <v>13.775066666666667</v>
      </c>
      <c r="I2211" s="4" t="s">
        <v>530</v>
      </c>
      <c r="J2211" s="4">
        <v>13.999599999999999</v>
      </c>
      <c r="K2211" s="4">
        <v>13.374599999999999</v>
      </c>
      <c r="L2211" s="4">
        <v>13.928100000000001</v>
      </c>
      <c r="M2211" s="4">
        <f t="shared" si="137"/>
        <v>13.767433333333335</v>
      </c>
      <c r="P2211" s="4" t="str">
        <f>"T26A5.6"</f>
        <v>T26A5.6</v>
      </c>
      <c r="Q2211" s="4">
        <v>13.453562031745401</v>
      </c>
      <c r="R2211" s="4">
        <v>13.3663030168204</v>
      </c>
      <c r="S2211" s="4">
        <v>13.235620721455399</v>
      </c>
      <c r="T2211" s="4">
        <f t="shared" si="138"/>
        <v>13.351828590007067</v>
      </c>
      <c r="W2211" s="4" t="str">
        <f>"F33H2.6"</f>
        <v>F33H2.6</v>
      </c>
      <c r="X2211" s="4">
        <v>13.128876300691299</v>
      </c>
      <c r="Y2211" s="4">
        <v>13.4193653925267</v>
      </c>
      <c r="Z2211" s="4">
        <v>13.588164129765399</v>
      </c>
      <c r="AA2211" s="4">
        <f t="shared" si="139"/>
        <v>13.378801940994466</v>
      </c>
    </row>
    <row r="2212" spans="2:27" x14ac:dyDescent="0.2">
      <c r="B2212" s="4" t="s">
        <v>1512</v>
      </c>
      <c r="C2212" s="4">
        <v>13.2805</v>
      </c>
      <c r="D2212" s="4">
        <v>13.7761</v>
      </c>
      <c r="E2212" s="4">
        <v>14.263</v>
      </c>
      <c r="F2212" s="4">
        <f t="shared" si="136"/>
        <v>13.773200000000001</v>
      </c>
      <c r="I2212" s="4" t="s">
        <v>2583</v>
      </c>
      <c r="J2212" s="4">
        <v>14.019</v>
      </c>
      <c r="K2212" s="4">
        <v>13.693899999999999</v>
      </c>
      <c r="L2212" s="4">
        <v>13.5883</v>
      </c>
      <c r="M2212" s="4">
        <f t="shared" si="137"/>
        <v>13.767066666666665</v>
      </c>
      <c r="P2212" s="4" t="str">
        <f>"F53F1.3"</f>
        <v>F53F1.3</v>
      </c>
      <c r="Q2212" s="4">
        <v>13.2726019252265</v>
      </c>
      <c r="R2212" s="4">
        <v>13.7279632160154</v>
      </c>
      <c r="S2212" s="4">
        <v>13.0544355952023</v>
      </c>
      <c r="T2212" s="4">
        <f t="shared" si="138"/>
        <v>13.351666912148067</v>
      </c>
      <c r="W2212" s="4" t="str">
        <f>"ced-5"</f>
        <v>ced-5</v>
      </c>
      <c r="X2212" s="4">
        <v>13.439948457362799</v>
      </c>
      <c r="Y2212" s="4">
        <v>13.4176404360643</v>
      </c>
      <c r="Z2212" s="4">
        <v>13.271861060571499</v>
      </c>
      <c r="AA2212" s="4">
        <f t="shared" si="139"/>
        <v>13.376483317999535</v>
      </c>
    </row>
    <row r="2213" spans="2:27" x14ac:dyDescent="0.2">
      <c r="B2213" s="4" t="s">
        <v>3220</v>
      </c>
      <c r="C2213" s="4">
        <v>13.148199999999999</v>
      </c>
      <c r="D2213" s="4">
        <v>14.369400000000001</v>
      </c>
      <c r="E2213" s="4">
        <v>13.798</v>
      </c>
      <c r="F2213" s="4">
        <f t="shared" si="136"/>
        <v>13.771866666666668</v>
      </c>
      <c r="I2213" s="4" t="s">
        <v>3339</v>
      </c>
      <c r="J2213" s="4">
        <v>12.982200000000001</v>
      </c>
      <c r="K2213" s="4">
        <v>13.4313</v>
      </c>
      <c r="L2213" s="4">
        <v>14.885899999999999</v>
      </c>
      <c r="M2213" s="4">
        <f t="shared" si="137"/>
        <v>13.766466666666666</v>
      </c>
      <c r="P2213" s="4" t="str">
        <f>"F44B9.5"</f>
        <v>F44B9.5</v>
      </c>
      <c r="Q2213" s="4">
        <v>12.939571081614901</v>
      </c>
      <c r="R2213" s="4">
        <v>13.556624816496701</v>
      </c>
      <c r="S2213" s="4">
        <v>13.5572768636567</v>
      </c>
      <c r="T2213" s="4">
        <f t="shared" si="138"/>
        <v>13.351157587256102</v>
      </c>
      <c r="W2213" s="4" t="str">
        <f>"Y48G9A.9"</f>
        <v>Y48G9A.9</v>
      </c>
      <c r="X2213" s="4">
        <v>13.551604398077799</v>
      </c>
      <c r="Y2213" s="4">
        <v>13.1230426870233</v>
      </c>
      <c r="Z2213" s="4">
        <v>13.442838688295</v>
      </c>
      <c r="AA2213" s="4">
        <f t="shared" si="139"/>
        <v>13.372495257798699</v>
      </c>
    </row>
    <row r="2214" spans="2:27" x14ac:dyDescent="0.2">
      <c r="B2214" s="4" t="s">
        <v>2865</v>
      </c>
      <c r="C2214" s="4">
        <v>13.7712</v>
      </c>
      <c r="D2214" s="4">
        <v>13.7898</v>
      </c>
      <c r="E2214" s="4">
        <v>13.754300000000001</v>
      </c>
      <c r="F2214" s="4">
        <f t="shared" si="136"/>
        <v>13.771766666666666</v>
      </c>
      <c r="I2214" s="4" t="s">
        <v>2896</v>
      </c>
      <c r="J2214" s="4">
        <v>13.591900000000001</v>
      </c>
      <c r="K2214" s="4">
        <v>13.705299999999999</v>
      </c>
      <c r="L2214" s="4">
        <v>14.001799999999999</v>
      </c>
      <c r="M2214" s="4">
        <f t="shared" si="137"/>
        <v>13.766333333333334</v>
      </c>
      <c r="P2214" s="4" t="str">
        <f>"exc-1"</f>
        <v>exc-1</v>
      </c>
      <c r="Q2214" s="4">
        <v>13.256525622292299</v>
      </c>
      <c r="R2214" s="4">
        <v>13.379890916675</v>
      </c>
      <c r="S2214" s="4">
        <v>13.4111371406961</v>
      </c>
      <c r="T2214" s="4">
        <f t="shared" si="138"/>
        <v>13.349184559887801</v>
      </c>
      <c r="W2214" s="4" t="str">
        <f>"hum-6"</f>
        <v>hum-6</v>
      </c>
      <c r="X2214" s="4">
        <v>13.267606386839001</v>
      </c>
      <c r="Y2214" s="4">
        <v>13.2990417863794</v>
      </c>
      <c r="Z2214" s="4">
        <v>13.545609241704801</v>
      </c>
      <c r="AA2214" s="4">
        <f t="shared" si="139"/>
        <v>13.370752471641067</v>
      </c>
    </row>
    <row r="2215" spans="2:27" x14ac:dyDescent="0.2">
      <c r="B2215" s="4" t="s">
        <v>904</v>
      </c>
      <c r="C2215" s="4">
        <v>13.775399999999999</v>
      </c>
      <c r="D2215" s="4">
        <v>13.5397</v>
      </c>
      <c r="E2215" s="4">
        <v>13.9991</v>
      </c>
      <c r="F2215" s="4">
        <f t="shared" si="136"/>
        <v>13.7714</v>
      </c>
      <c r="I2215" s="4" t="s">
        <v>683</v>
      </c>
      <c r="J2215" s="4">
        <v>13.891999999999999</v>
      </c>
      <c r="K2215" s="4">
        <v>14.0848</v>
      </c>
      <c r="L2215" s="4">
        <v>13.321400000000001</v>
      </c>
      <c r="M2215" s="4">
        <f t="shared" si="137"/>
        <v>13.766066666666665</v>
      </c>
      <c r="P2215" s="4" t="str">
        <f>"F49E8.7"</f>
        <v>F49E8.7</v>
      </c>
      <c r="Q2215" s="4">
        <v>13.154290423894601</v>
      </c>
      <c r="R2215" s="4">
        <v>13.6298818724949</v>
      </c>
      <c r="S2215" s="4">
        <v>13.260060705977899</v>
      </c>
      <c r="T2215" s="4">
        <f t="shared" si="138"/>
        <v>13.348077667455799</v>
      </c>
      <c r="W2215" s="4" t="str">
        <f>"C27F2.10"</f>
        <v>C27F2.10</v>
      </c>
      <c r="X2215" s="4">
        <v>13.5415035553919</v>
      </c>
      <c r="Y2215" s="4">
        <v>13.425997479679699</v>
      </c>
      <c r="Z2215" s="4">
        <v>13.139002140788399</v>
      </c>
      <c r="AA2215" s="4">
        <f t="shared" si="139"/>
        <v>13.368834391953333</v>
      </c>
    </row>
    <row r="2216" spans="2:27" x14ac:dyDescent="0.2">
      <c r="B2216" s="4" t="s">
        <v>390</v>
      </c>
      <c r="C2216" s="4">
        <v>13.675000000000001</v>
      </c>
      <c r="D2216" s="4">
        <v>14.001099999999999</v>
      </c>
      <c r="E2216" s="4">
        <v>13.632899999999999</v>
      </c>
      <c r="F2216" s="4">
        <f t="shared" si="136"/>
        <v>13.769666666666666</v>
      </c>
      <c r="I2216" s="4" t="s">
        <v>35</v>
      </c>
      <c r="J2216" s="4">
        <v>14.208299999999999</v>
      </c>
      <c r="K2216" s="4">
        <v>13.4124</v>
      </c>
      <c r="L2216" s="4">
        <v>13.674300000000001</v>
      </c>
      <c r="M2216" s="4">
        <f t="shared" si="137"/>
        <v>13.765000000000001</v>
      </c>
      <c r="P2216" s="4" t="str">
        <f>"dip-2"</f>
        <v>dip-2</v>
      </c>
      <c r="Q2216" s="4">
        <v>13.178018030775</v>
      </c>
      <c r="R2216" s="4">
        <v>13.3993440793883</v>
      </c>
      <c r="S2216" s="4">
        <v>13.4634221884477</v>
      </c>
      <c r="T2216" s="4">
        <f t="shared" si="138"/>
        <v>13.346928099537001</v>
      </c>
      <c r="W2216" s="4" t="str">
        <f>"F54F7.3"</f>
        <v>F54F7.3</v>
      </c>
      <c r="X2216" s="4">
        <v>13.3833082433071</v>
      </c>
      <c r="Y2216" s="4">
        <v>13.2486661357622</v>
      </c>
      <c r="Z2216" s="4">
        <v>13.471546022361601</v>
      </c>
      <c r="AA2216" s="4">
        <f t="shared" si="139"/>
        <v>13.367840133810299</v>
      </c>
    </row>
    <row r="2217" spans="2:27" x14ac:dyDescent="0.2">
      <c r="B2217" s="4" t="s">
        <v>4772</v>
      </c>
      <c r="C2217" s="4">
        <v>14.196999999999999</v>
      </c>
      <c r="D2217" s="4">
        <v>13.6546</v>
      </c>
      <c r="E2217" s="4">
        <v>13.4565</v>
      </c>
      <c r="F2217" s="4">
        <f t="shared" si="136"/>
        <v>13.769366666666665</v>
      </c>
      <c r="I2217" s="4" t="s">
        <v>1389</v>
      </c>
      <c r="J2217" s="4">
        <v>14.2399</v>
      </c>
      <c r="K2217" s="4">
        <v>13.5512</v>
      </c>
      <c r="L2217" s="4">
        <v>13.4975</v>
      </c>
      <c r="M2217" s="4">
        <f t="shared" si="137"/>
        <v>13.762866666666667</v>
      </c>
      <c r="P2217" s="4" t="str">
        <f>"hmg-3"</f>
        <v>hmg-3</v>
      </c>
      <c r="Q2217" s="4">
        <v>12.954280017502599</v>
      </c>
      <c r="R2217" s="4">
        <v>13.6856146237877</v>
      </c>
      <c r="S2217" s="4">
        <v>13.391311637832599</v>
      </c>
      <c r="T2217" s="4">
        <f t="shared" si="138"/>
        <v>13.3437354263743</v>
      </c>
      <c r="W2217" s="4" t="str">
        <f>"F25H2.6"</f>
        <v>F25H2.6</v>
      </c>
      <c r="X2217" s="4">
        <v>13.5361941948052</v>
      </c>
      <c r="Y2217" s="4">
        <v>13.3365227308988</v>
      </c>
      <c r="Z2217" s="4">
        <v>13.228124281717401</v>
      </c>
      <c r="AA2217" s="4">
        <f t="shared" si="139"/>
        <v>13.366947069140465</v>
      </c>
    </row>
    <row r="2218" spans="2:27" x14ac:dyDescent="0.2">
      <c r="B2218" s="4" t="s">
        <v>4532</v>
      </c>
      <c r="C2218" s="4">
        <v>13.9145</v>
      </c>
      <c r="D2218" s="4">
        <v>13.714499999999999</v>
      </c>
      <c r="E2218" s="4">
        <v>13.6782</v>
      </c>
      <c r="F2218" s="4">
        <f t="shared" si="136"/>
        <v>13.769066666666665</v>
      </c>
      <c r="I2218" s="4" t="s">
        <v>3838</v>
      </c>
      <c r="J2218" s="4">
        <v>13.597799999999999</v>
      </c>
      <c r="K2218" s="4">
        <v>13.7323</v>
      </c>
      <c r="L2218" s="4">
        <v>13.956200000000001</v>
      </c>
      <c r="M2218" s="4">
        <f t="shared" si="137"/>
        <v>13.762100000000002</v>
      </c>
      <c r="P2218" s="4" t="str">
        <f>"F33H2.6"</f>
        <v>F33H2.6</v>
      </c>
      <c r="Q2218" s="4">
        <v>13.0026584635304</v>
      </c>
      <c r="R2218" s="4">
        <v>13.579528433362499</v>
      </c>
      <c r="S2218" s="4">
        <v>13.4464066255549</v>
      </c>
      <c r="T2218" s="4">
        <f t="shared" si="138"/>
        <v>13.3428645074826</v>
      </c>
      <c r="W2218" s="4" t="str">
        <f>"ZK643.5"</f>
        <v>ZK643.5</v>
      </c>
      <c r="X2218" s="4">
        <v>13.4524041429914</v>
      </c>
      <c r="Y2218" s="4">
        <v>13.0855817081087</v>
      </c>
      <c r="Z2218" s="4">
        <v>13.5607981250213</v>
      </c>
      <c r="AA2218" s="4">
        <f t="shared" si="139"/>
        <v>13.366261325373799</v>
      </c>
    </row>
    <row r="2219" spans="2:27" x14ac:dyDescent="0.2">
      <c r="B2219" s="4" t="s">
        <v>3745</v>
      </c>
      <c r="C2219" s="4">
        <v>12.9169</v>
      </c>
      <c r="D2219" s="4">
        <v>14.483499999999999</v>
      </c>
      <c r="E2219" s="4">
        <v>13.9049</v>
      </c>
      <c r="F2219" s="4">
        <f t="shared" si="136"/>
        <v>13.768433333333332</v>
      </c>
      <c r="I2219" s="4" t="s">
        <v>1768</v>
      </c>
      <c r="J2219" s="4">
        <v>13.871600000000001</v>
      </c>
      <c r="K2219" s="4">
        <v>13.8688</v>
      </c>
      <c r="L2219" s="4">
        <v>13.545400000000001</v>
      </c>
      <c r="M2219" s="4">
        <f t="shared" si="137"/>
        <v>13.761933333333333</v>
      </c>
      <c r="P2219" s="4" t="str">
        <f>"T10B5.3"</f>
        <v>T10B5.3</v>
      </c>
      <c r="Q2219" s="4">
        <v>13.277381329916199</v>
      </c>
      <c r="R2219" s="4">
        <v>13.5743412083081</v>
      </c>
      <c r="S2219" s="4">
        <v>13.1767975236249</v>
      </c>
      <c r="T2219" s="4">
        <f t="shared" si="138"/>
        <v>13.3428400206164</v>
      </c>
      <c r="W2219" s="4" t="str">
        <f>"emb-27"</f>
        <v>emb-27</v>
      </c>
      <c r="X2219" s="4">
        <v>13.5483282824508</v>
      </c>
      <c r="Y2219" s="4">
        <v>13.334036473385099</v>
      </c>
      <c r="Z2219" s="4">
        <v>13.215700609848399</v>
      </c>
      <c r="AA2219" s="4">
        <f t="shared" si="139"/>
        <v>13.366021788561433</v>
      </c>
    </row>
    <row r="2220" spans="2:27" x14ac:dyDescent="0.2">
      <c r="B2220" s="4" t="s">
        <v>4773</v>
      </c>
      <c r="C2220" s="4">
        <v>13.778700000000001</v>
      </c>
      <c r="D2220" s="4">
        <v>14.014200000000001</v>
      </c>
      <c r="E2220" s="4">
        <v>13.508800000000001</v>
      </c>
      <c r="F2220" s="4">
        <f t="shared" si="136"/>
        <v>13.767233333333335</v>
      </c>
      <c r="I2220" s="4" t="s">
        <v>2533</v>
      </c>
      <c r="J2220" s="4">
        <v>13.6227</v>
      </c>
      <c r="K2220" s="4">
        <v>13.5548</v>
      </c>
      <c r="L2220" s="4">
        <v>14.1076</v>
      </c>
      <c r="M2220" s="4">
        <f t="shared" si="137"/>
        <v>13.761699999999999</v>
      </c>
      <c r="P2220" s="4" t="str">
        <f>"ced-5"</f>
        <v>ced-5</v>
      </c>
      <c r="Q2220" s="4">
        <v>13.2895465087574</v>
      </c>
      <c r="R2220" s="4">
        <v>13.290591936055099</v>
      </c>
      <c r="S2220" s="4">
        <v>13.4457336158485</v>
      </c>
      <c r="T2220" s="4">
        <f t="shared" si="138"/>
        <v>13.341957353553667</v>
      </c>
      <c r="W2220" s="4" t="str">
        <f>"ept-1"</f>
        <v>ept-1</v>
      </c>
      <c r="X2220" s="4">
        <v>13.1427259014978</v>
      </c>
      <c r="Y2220" s="4">
        <v>13.4293564928278</v>
      </c>
      <c r="Z2220" s="4">
        <v>13.5237482625392</v>
      </c>
      <c r="AA2220" s="4">
        <f t="shared" si="139"/>
        <v>13.365276885621599</v>
      </c>
    </row>
    <row r="2221" spans="2:27" x14ac:dyDescent="0.2">
      <c r="B2221" s="4" t="s">
        <v>3439</v>
      </c>
      <c r="C2221" s="4">
        <v>13.631600000000001</v>
      </c>
      <c r="D2221" s="4">
        <v>13.370100000000001</v>
      </c>
      <c r="E2221" s="4">
        <v>14.299899999999999</v>
      </c>
      <c r="F2221" s="4">
        <f t="shared" si="136"/>
        <v>13.767200000000001</v>
      </c>
      <c r="I2221" s="4" t="s">
        <v>3349</v>
      </c>
      <c r="J2221" s="4">
        <v>13.741</v>
      </c>
      <c r="K2221" s="4">
        <v>13.432499999999999</v>
      </c>
      <c r="L2221" s="4">
        <v>14.106</v>
      </c>
      <c r="M2221" s="4">
        <f t="shared" si="137"/>
        <v>13.759833333333333</v>
      </c>
      <c r="P2221" s="4" t="str">
        <f>"slc-36.1"</f>
        <v>slc-36.1</v>
      </c>
      <c r="Q2221" s="4">
        <v>13.284466179810099</v>
      </c>
      <c r="R2221" s="4">
        <v>13.589358354946199</v>
      </c>
      <c r="S2221" s="4">
        <v>13.150153136446599</v>
      </c>
      <c r="T2221" s="4">
        <f t="shared" si="138"/>
        <v>13.341325890400967</v>
      </c>
      <c r="W2221" s="4" t="str">
        <f>"trxr-2"</f>
        <v>trxr-2</v>
      </c>
      <c r="X2221" s="4">
        <v>13.0704456943559</v>
      </c>
      <c r="Y2221" s="4">
        <v>13.4285629546459</v>
      </c>
      <c r="Z2221" s="4">
        <v>13.5966542122944</v>
      </c>
      <c r="AA2221" s="4">
        <f t="shared" si="139"/>
        <v>13.365220953765402</v>
      </c>
    </row>
    <row r="2222" spans="2:27" x14ac:dyDescent="0.2">
      <c r="B2222" s="4" t="s">
        <v>3298</v>
      </c>
      <c r="C2222" s="4">
        <v>13.8231</v>
      </c>
      <c r="D2222" s="4">
        <v>13.7477</v>
      </c>
      <c r="E2222" s="4">
        <v>13.723599999999999</v>
      </c>
      <c r="F2222" s="4">
        <f t="shared" si="136"/>
        <v>13.764799999999999</v>
      </c>
      <c r="I2222" s="4" t="s">
        <v>1055</v>
      </c>
      <c r="J2222" s="4">
        <v>12.791499999999999</v>
      </c>
      <c r="K2222" s="4">
        <v>13.6829</v>
      </c>
      <c r="L2222" s="4">
        <v>14.7986</v>
      </c>
      <c r="M2222" s="4">
        <f t="shared" si="137"/>
        <v>13.757666666666665</v>
      </c>
      <c r="P2222" s="4" t="str">
        <f>"taf-3"</f>
        <v>taf-3</v>
      </c>
      <c r="Q2222" s="4">
        <v>13.151617593201699</v>
      </c>
      <c r="R2222" s="4">
        <v>13.2761274005064</v>
      </c>
      <c r="S2222" s="4">
        <v>13.595639568463399</v>
      </c>
      <c r="T2222" s="4">
        <f t="shared" si="138"/>
        <v>13.341128187390501</v>
      </c>
      <c r="W2222" s="4" t="str">
        <f>"fcp-1"</f>
        <v>fcp-1</v>
      </c>
      <c r="X2222" s="4">
        <v>13.325758224978101</v>
      </c>
      <c r="Y2222" s="4">
        <v>13.3754653697462</v>
      </c>
      <c r="Z2222" s="4">
        <v>13.3940483483421</v>
      </c>
      <c r="AA2222" s="4">
        <f t="shared" si="139"/>
        <v>13.365090647688801</v>
      </c>
    </row>
    <row r="2223" spans="2:27" x14ac:dyDescent="0.2">
      <c r="B2223" s="4" t="s">
        <v>2777</v>
      </c>
      <c r="C2223" s="4">
        <v>13.891999999999999</v>
      </c>
      <c r="D2223" s="4">
        <v>13.5161</v>
      </c>
      <c r="E2223" s="4">
        <v>13.8858</v>
      </c>
      <c r="F2223" s="4">
        <f t="shared" si="136"/>
        <v>13.764633333333331</v>
      </c>
      <c r="I2223" s="4" t="s">
        <v>1707</v>
      </c>
      <c r="J2223" s="4">
        <v>14.212400000000001</v>
      </c>
      <c r="K2223" s="4">
        <v>13.7943</v>
      </c>
      <c r="L2223" s="4">
        <v>13.2653</v>
      </c>
      <c r="M2223" s="4">
        <f t="shared" si="137"/>
        <v>13.757333333333335</v>
      </c>
      <c r="P2223" s="4" t="str">
        <f>"abhd-12"</f>
        <v>abhd-12</v>
      </c>
      <c r="Q2223" s="4">
        <v>12.999809814022599</v>
      </c>
      <c r="R2223" s="4">
        <v>13.5154865099785</v>
      </c>
      <c r="S2223" s="4">
        <v>13.4989381106568</v>
      </c>
      <c r="T2223" s="4">
        <f t="shared" si="138"/>
        <v>13.338078144885968</v>
      </c>
      <c r="W2223" s="4" t="str">
        <f>"mrps-6"</f>
        <v>mrps-6</v>
      </c>
      <c r="X2223" s="4">
        <v>13.2164701749158</v>
      </c>
      <c r="Y2223" s="4">
        <v>13.4222627152862</v>
      </c>
      <c r="Z2223" s="4">
        <v>13.4558026210969</v>
      </c>
      <c r="AA2223" s="4">
        <f t="shared" si="139"/>
        <v>13.364845170432966</v>
      </c>
    </row>
    <row r="2224" spans="2:27" x14ac:dyDescent="0.2">
      <c r="B2224" s="4" t="s">
        <v>3929</v>
      </c>
      <c r="C2224" s="4">
        <v>13.97</v>
      </c>
      <c r="D2224" s="4">
        <v>13.3865</v>
      </c>
      <c r="E2224" s="4">
        <v>13.9345</v>
      </c>
      <c r="F2224" s="4">
        <f t="shared" si="136"/>
        <v>13.763666666666666</v>
      </c>
      <c r="I2224" s="4" t="s">
        <v>2768</v>
      </c>
      <c r="J2224" s="4">
        <v>13.5854</v>
      </c>
      <c r="K2224" s="4">
        <v>13.908899999999999</v>
      </c>
      <c r="L2224" s="4">
        <v>13.772399999999999</v>
      </c>
      <c r="M2224" s="4">
        <f t="shared" si="137"/>
        <v>13.755566666666667</v>
      </c>
      <c r="P2224" s="4" t="str">
        <f>"ima-2"</f>
        <v>ima-2</v>
      </c>
      <c r="Q2224" s="4">
        <v>13.072995649739401</v>
      </c>
      <c r="R2224" s="4">
        <v>13.5355127659743</v>
      </c>
      <c r="S2224" s="4">
        <v>13.4051572564321</v>
      </c>
      <c r="T2224" s="4">
        <f t="shared" si="138"/>
        <v>13.337888557381932</v>
      </c>
      <c r="W2224" s="4" t="str">
        <f>"C53B7.2"</f>
        <v>C53B7.2</v>
      </c>
      <c r="X2224" s="4">
        <v>13.370159410337701</v>
      </c>
      <c r="Y2224" s="4">
        <v>12.9751105907179</v>
      </c>
      <c r="Z2224" s="4">
        <v>13.7416212375807</v>
      </c>
      <c r="AA2224" s="4">
        <f t="shared" si="139"/>
        <v>13.362297079545435</v>
      </c>
    </row>
    <row r="2225" spans="2:27" x14ac:dyDescent="0.2">
      <c r="B2225" s="4" t="s">
        <v>1001</v>
      </c>
      <c r="C2225" s="4">
        <v>13.7303</v>
      </c>
      <c r="D2225" s="4">
        <v>14.402799999999999</v>
      </c>
      <c r="E2225" s="4">
        <v>13.150600000000001</v>
      </c>
      <c r="F2225" s="4">
        <f t="shared" si="136"/>
        <v>13.761233333333331</v>
      </c>
      <c r="I2225" s="4" t="s">
        <v>3532</v>
      </c>
      <c r="J2225" s="4">
        <v>13.8142</v>
      </c>
      <c r="K2225" s="4">
        <v>13.6243</v>
      </c>
      <c r="L2225" s="4">
        <v>13.817299999999999</v>
      </c>
      <c r="M2225" s="4">
        <f t="shared" si="137"/>
        <v>13.751933333333332</v>
      </c>
      <c r="P2225" s="4" t="str">
        <f>"nrfl-1"</f>
        <v>nrfl-1</v>
      </c>
      <c r="Q2225" s="4">
        <v>14.0271115321148</v>
      </c>
      <c r="R2225" s="4">
        <v>13.0787218312565</v>
      </c>
      <c r="S2225" s="4">
        <v>12.9063829885201</v>
      </c>
      <c r="T2225" s="4">
        <f t="shared" si="138"/>
        <v>13.337405450630465</v>
      </c>
      <c r="W2225" s="4" t="str">
        <f>"F44E2.8"</f>
        <v>F44E2.8</v>
      </c>
      <c r="X2225" s="4">
        <v>13.305581309669799</v>
      </c>
      <c r="Y2225" s="4">
        <v>13.4780274484486</v>
      </c>
      <c r="Z2225" s="4">
        <v>13.302469627247399</v>
      </c>
      <c r="AA2225" s="4">
        <f t="shared" si="139"/>
        <v>13.362026128455264</v>
      </c>
    </row>
    <row r="2226" spans="2:27" x14ac:dyDescent="0.2">
      <c r="B2226" s="4" t="s">
        <v>4774</v>
      </c>
      <c r="C2226" s="4">
        <v>13.3908</v>
      </c>
      <c r="D2226" s="4">
        <v>14.0328</v>
      </c>
      <c r="E2226" s="4">
        <v>13.8584</v>
      </c>
      <c r="F2226" s="4">
        <f t="shared" si="136"/>
        <v>13.760666666666665</v>
      </c>
      <c r="I2226" s="4" t="s">
        <v>3132</v>
      </c>
      <c r="J2226" s="4">
        <v>13.8749</v>
      </c>
      <c r="K2226" s="4">
        <v>13.721299999999999</v>
      </c>
      <c r="L2226" s="4">
        <v>13.6578</v>
      </c>
      <c r="M2226" s="4">
        <f t="shared" si="137"/>
        <v>13.751333333333333</v>
      </c>
      <c r="P2226" s="4" t="str">
        <f>"rnp-6"</f>
        <v>rnp-6</v>
      </c>
      <c r="Q2226" s="4">
        <v>13.2209231378606</v>
      </c>
      <c r="R2226" s="4">
        <v>13.465071691106999</v>
      </c>
      <c r="S2226" s="4">
        <v>13.3248685666321</v>
      </c>
      <c r="T2226" s="4">
        <f t="shared" si="138"/>
        <v>13.3369544651999</v>
      </c>
      <c r="W2226" s="4" t="str">
        <f>"gsp-2"</f>
        <v>gsp-2</v>
      </c>
      <c r="X2226" s="4">
        <v>13.2154443390873</v>
      </c>
      <c r="Y2226" s="4">
        <v>13.4975209349731</v>
      </c>
      <c r="Z2226" s="4">
        <v>13.370855428528801</v>
      </c>
      <c r="AA2226" s="4">
        <f t="shared" si="139"/>
        <v>13.361273567529734</v>
      </c>
    </row>
    <row r="2227" spans="2:27" x14ac:dyDescent="0.2">
      <c r="B2227" s="4" t="s">
        <v>3534</v>
      </c>
      <c r="C2227" s="4">
        <v>13.8521</v>
      </c>
      <c r="D2227" s="4">
        <v>13.456899999999999</v>
      </c>
      <c r="E2227" s="4">
        <v>13.969099999999999</v>
      </c>
      <c r="F2227" s="4">
        <f t="shared" si="136"/>
        <v>13.759366666666665</v>
      </c>
      <c r="I2227" s="4" t="s">
        <v>1381</v>
      </c>
      <c r="J2227" s="4">
        <v>13.9863</v>
      </c>
      <c r="K2227" s="4">
        <v>13.548299999999999</v>
      </c>
      <c r="L2227" s="4">
        <v>13.712199999999999</v>
      </c>
      <c r="M2227" s="4">
        <f t="shared" si="137"/>
        <v>13.748933333333332</v>
      </c>
      <c r="P2227" s="4" t="str">
        <f>"mrp-1"</f>
        <v>mrp-1</v>
      </c>
      <c r="Q2227" s="4">
        <v>13.2855642628779</v>
      </c>
      <c r="R2227" s="4">
        <v>13.3893631125831</v>
      </c>
      <c r="S2227" s="4">
        <v>13.3324784366774</v>
      </c>
      <c r="T2227" s="4">
        <f t="shared" si="138"/>
        <v>13.335801937379467</v>
      </c>
      <c r="W2227" s="4" t="str">
        <f>"sek-4"</f>
        <v>sek-4</v>
      </c>
      <c r="X2227" s="4">
        <v>13.1072947245724</v>
      </c>
      <c r="Y2227" s="4">
        <v>13.384672405001</v>
      </c>
      <c r="Z2227" s="4">
        <v>13.590547881161701</v>
      </c>
      <c r="AA2227" s="4">
        <f t="shared" si="139"/>
        <v>13.3608383369117</v>
      </c>
    </row>
    <row r="2228" spans="2:27" x14ac:dyDescent="0.2">
      <c r="B2228" s="4" t="s">
        <v>530</v>
      </c>
      <c r="C2228" s="4">
        <v>13.768599999999999</v>
      </c>
      <c r="D2228" s="4">
        <v>13.817</v>
      </c>
      <c r="E2228" s="4">
        <v>13.692399999999999</v>
      </c>
      <c r="F2228" s="4">
        <f t="shared" si="136"/>
        <v>13.759333333333332</v>
      </c>
      <c r="I2228" s="4" t="s">
        <v>1018</v>
      </c>
      <c r="J2228" s="4">
        <v>13.7371</v>
      </c>
      <c r="K2228" s="4">
        <v>13.851599999999999</v>
      </c>
      <c r="L2228" s="4">
        <v>13.656700000000001</v>
      </c>
      <c r="M2228" s="4">
        <f t="shared" si="137"/>
        <v>13.748466666666667</v>
      </c>
      <c r="P2228" s="4" t="str">
        <f>"hrpf-2"</f>
        <v>hrpf-2</v>
      </c>
      <c r="Q2228" s="4">
        <v>13.5791214327741</v>
      </c>
      <c r="R2228" s="4">
        <v>13.014956326661</v>
      </c>
      <c r="S2228" s="4">
        <v>13.408229765268601</v>
      </c>
      <c r="T2228" s="4">
        <f t="shared" si="138"/>
        <v>13.334102508234567</v>
      </c>
      <c r="W2228" s="4" t="str">
        <f>"R10E4.1"</f>
        <v>R10E4.1</v>
      </c>
      <c r="X2228" s="4">
        <v>13.6806333691377</v>
      </c>
      <c r="Y2228" s="4">
        <v>13.125672797460901</v>
      </c>
      <c r="Z2228" s="4">
        <v>13.2756020329669</v>
      </c>
      <c r="AA2228" s="4">
        <f t="shared" si="139"/>
        <v>13.360636066521835</v>
      </c>
    </row>
    <row r="2229" spans="2:27" x14ac:dyDescent="0.2">
      <c r="B2229" s="4" t="s">
        <v>1618</v>
      </c>
      <c r="C2229" s="4">
        <v>13.672700000000001</v>
      </c>
      <c r="D2229" s="4">
        <v>13.782500000000001</v>
      </c>
      <c r="E2229" s="4">
        <v>13.8154</v>
      </c>
      <c r="F2229" s="4">
        <f t="shared" si="136"/>
        <v>13.756866666666667</v>
      </c>
      <c r="I2229" s="4" t="s">
        <v>193</v>
      </c>
      <c r="J2229" s="4">
        <v>13.726000000000001</v>
      </c>
      <c r="K2229" s="4">
        <v>13.8513</v>
      </c>
      <c r="L2229" s="4">
        <v>13.666</v>
      </c>
      <c r="M2229" s="4">
        <f t="shared" si="137"/>
        <v>13.747766666666669</v>
      </c>
      <c r="P2229" s="4" t="str">
        <f>"eif-3.I"</f>
        <v>eif-3.I</v>
      </c>
      <c r="Q2229" s="4">
        <v>13.3065895902346</v>
      </c>
      <c r="R2229" s="4">
        <v>13.282421893510501</v>
      </c>
      <c r="S2229" s="4">
        <v>13.412942010029401</v>
      </c>
      <c r="T2229" s="4">
        <f t="shared" si="138"/>
        <v>13.333984497924833</v>
      </c>
      <c r="W2229" s="4" t="str">
        <f>"alh-11"</f>
        <v>alh-11</v>
      </c>
      <c r="X2229" s="4">
        <v>13.3258640299238</v>
      </c>
      <c r="Y2229" s="4">
        <v>13.198402739372799</v>
      </c>
      <c r="Z2229" s="4">
        <v>13.5505799741186</v>
      </c>
      <c r="AA2229" s="4">
        <f t="shared" si="139"/>
        <v>13.358282247805066</v>
      </c>
    </row>
    <row r="2230" spans="2:27" x14ac:dyDescent="0.2">
      <c r="B2230" s="4" t="s">
        <v>1236</v>
      </c>
      <c r="C2230" s="4">
        <v>13.525499999999999</v>
      </c>
      <c r="D2230" s="4">
        <v>13.843500000000001</v>
      </c>
      <c r="E2230" s="4">
        <v>13.8866</v>
      </c>
      <c r="F2230" s="4">
        <f t="shared" si="136"/>
        <v>13.751866666666666</v>
      </c>
      <c r="I2230" s="4" t="s">
        <v>3586</v>
      </c>
      <c r="J2230" s="4">
        <v>13.7118</v>
      </c>
      <c r="K2230" s="4">
        <v>13.3781</v>
      </c>
      <c r="L2230" s="4">
        <v>14.150700000000001</v>
      </c>
      <c r="M2230" s="4">
        <f t="shared" si="137"/>
        <v>13.746866666666667</v>
      </c>
      <c r="P2230" s="4" t="str">
        <f>"F36A2.10"</f>
        <v>F36A2.10</v>
      </c>
      <c r="Q2230" s="4">
        <v>13.119362138005201</v>
      </c>
      <c r="R2230" s="4">
        <v>13.3764755533045</v>
      </c>
      <c r="S2230" s="4">
        <v>13.5042231314454</v>
      </c>
      <c r="T2230" s="4">
        <f t="shared" si="138"/>
        <v>13.333353607585034</v>
      </c>
      <c r="W2230" s="4" t="str">
        <f>"immp-1"</f>
        <v>immp-1</v>
      </c>
      <c r="X2230" s="4">
        <v>13.529974568180901</v>
      </c>
      <c r="Y2230" s="4">
        <v>13.276996231539901</v>
      </c>
      <c r="Z2230" s="4">
        <v>13.2651372934861</v>
      </c>
      <c r="AA2230" s="4">
        <f t="shared" si="139"/>
        <v>13.357369364402301</v>
      </c>
    </row>
    <row r="2231" spans="2:27" x14ac:dyDescent="0.2">
      <c r="B2231" s="4" t="s">
        <v>303</v>
      </c>
      <c r="C2231" s="4">
        <v>13.5236</v>
      </c>
      <c r="D2231" s="4">
        <v>14.045199999999999</v>
      </c>
      <c r="E2231" s="4">
        <v>13.6838</v>
      </c>
      <c r="F2231" s="4">
        <f t="shared" si="136"/>
        <v>13.750866666666667</v>
      </c>
      <c r="I2231" s="4" t="s">
        <v>124</v>
      </c>
      <c r="J2231" s="4">
        <v>13.945600000000001</v>
      </c>
      <c r="K2231" s="4">
        <v>13.6456</v>
      </c>
      <c r="L2231" s="4">
        <v>13.648199999999999</v>
      </c>
      <c r="M2231" s="4">
        <f t="shared" si="137"/>
        <v>13.746466666666668</v>
      </c>
      <c r="P2231" s="4" t="str">
        <f>"ptr-23"</f>
        <v>ptr-23</v>
      </c>
      <c r="Q2231" s="4">
        <v>13.1650801043893</v>
      </c>
      <c r="R2231" s="4">
        <v>13.4317750125307</v>
      </c>
      <c r="S2231" s="4">
        <v>13.400223190298901</v>
      </c>
      <c r="T2231" s="4">
        <f t="shared" si="138"/>
        <v>13.332359435739633</v>
      </c>
      <c r="W2231" s="4" t="str">
        <f>"stau-1"</f>
        <v>stau-1</v>
      </c>
      <c r="X2231" s="4">
        <v>13.448592913850501</v>
      </c>
      <c r="Y2231" s="4">
        <v>13.3927129943247</v>
      </c>
      <c r="Z2231" s="4">
        <v>13.227619744068001</v>
      </c>
      <c r="AA2231" s="4">
        <f t="shared" si="139"/>
        <v>13.356308550747734</v>
      </c>
    </row>
    <row r="2232" spans="2:27" x14ac:dyDescent="0.2">
      <c r="B2232" s="4" t="s">
        <v>3905</v>
      </c>
      <c r="C2232" s="4">
        <v>13.819599999999999</v>
      </c>
      <c r="D2232" s="4">
        <v>13.6854</v>
      </c>
      <c r="E2232" s="4">
        <v>13.743499999999999</v>
      </c>
      <c r="F2232" s="4">
        <f t="shared" si="136"/>
        <v>13.749499999999999</v>
      </c>
      <c r="I2232" s="4" t="s">
        <v>3254</v>
      </c>
      <c r="J2232" s="4">
        <v>13.419700000000001</v>
      </c>
      <c r="K2232" s="4">
        <v>14.2257</v>
      </c>
      <c r="L2232" s="4">
        <v>13.5936</v>
      </c>
      <c r="M2232" s="4">
        <f t="shared" si="137"/>
        <v>13.746333333333334</v>
      </c>
      <c r="P2232" s="4" t="str">
        <f>"tat-5"</f>
        <v>tat-5</v>
      </c>
      <c r="Q2232" s="4">
        <v>13.2102930533104</v>
      </c>
      <c r="R2232" s="4">
        <v>13.331861172158</v>
      </c>
      <c r="S2232" s="4">
        <v>13.453282161769</v>
      </c>
      <c r="T2232" s="4">
        <f t="shared" si="138"/>
        <v>13.331812129079134</v>
      </c>
      <c r="W2232" s="4" t="str">
        <f>"W05F2.3"</f>
        <v>W05F2.3</v>
      </c>
      <c r="X2232" s="4">
        <v>13.7050126002627</v>
      </c>
      <c r="Y2232" s="4">
        <v>12.6485414813502</v>
      </c>
      <c r="Z2232" s="4">
        <v>13.711623241654401</v>
      </c>
      <c r="AA2232" s="4">
        <f t="shared" si="139"/>
        <v>13.355059107755766</v>
      </c>
    </row>
    <row r="2233" spans="2:27" x14ac:dyDescent="0.2">
      <c r="B2233" s="4" t="s">
        <v>3422</v>
      </c>
      <c r="C2233" s="4">
        <v>13.5212</v>
      </c>
      <c r="D2233" s="4">
        <v>13.889900000000001</v>
      </c>
      <c r="E2233" s="4">
        <v>13.8369</v>
      </c>
      <c r="F2233" s="4">
        <f t="shared" si="136"/>
        <v>13.749333333333334</v>
      </c>
      <c r="I2233" s="4" t="s">
        <v>4732</v>
      </c>
      <c r="J2233" s="4">
        <v>13.8179</v>
      </c>
      <c r="K2233" s="4">
        <v>13.817600000000001</v>
      </c>
      <c r="L2233" s="4">
        <v>13.6</v>
      </c>
      <c r="M2233" s="4">
        <f t="shared" si="137"/>
        <v>13.745166666666668</v>
      </c>
      <c r="P2233" s="4" t="str">
        <f>"cyp-25a2"</f>
        <v>cyp-25a2</v>
      </c>
      <c r="Q2233" s="4">
        <v>13.092824714504101</v>
      </c>
      <c r="R2233" s="4">
        <v>13.5165184568325</v>
      </c>
      <c r="S2233" s="4">
        <v>13.3839369402688</v>
      </c>
      <c r="T2233" s="4">
        <f t="shared" si="138"/>
        <v>13.331093370535134</v>
      </c>
      <c r="W2233" s="4" t="str">
        <f>"dip-2"</f>
        <v>dip-2</v>
      </c>
      <c r="X2233" s="4">
        <v>13.4654104375148</v>
      </c>
      <c r="Y2233" s="4">
        <v>13.330793724902399</v>
      </c>
      <c r="Z2233" s="4">
        <v>13.2689689016374</v>
      </c>
      <c r="AA2233" s="4">
        <f t="shared" si="139"/>
        <v>13.355057688018199</v>
      </c>
    </row>
    <row r="2234" spans="2:27" x14ac:dyDescent="0.2">
      <c r="B2234" s="4" t="s">
        <v>2768</v>
      </c>
      <c r="C2234" s="4">
        <v>13.9246</v>
      </c>
      <c r="D2234" s="4">
        <v>13.818199999999999</v>
      </c>
      <c r="E2234" s="4">
        <v>13.498799999999999</v>
      </c>
      <c r="F2234" s="4">
        <f t="shared" si="136"/>
        <v>13.747199999999999</v>
      </c>
      <c r="I2234" s="4" t="s">
        <v>90</v>
      </c>
      <c r="J2234" s="4">
        <v>13.7339</v>
      </c>
      <c r="K2234" s="4">
        <v>13.866300000000001</v>
      </c>
      <c r="L2234" s="4">
        <v>13.6295</v>
      </c>
      <c r="M2234" s="4">
        <f t="shared" si="137"/>
        <v>13.743233333333334</v>
      </c>
      <c r="P2234" s="4" t="str">
        <f>"cdgs-1"</f>
        <v>cdgs-1</v>
      </c>
      <c r="Q2234" s="4">
        <v>13.1469319296575</v>
      </c>
      <c r="R2234" s="4">
        <v>13.229999274761299</v>
      </c>
      <c r="S2234" s="4">
        <v>13.6137663949852</v>
      </c>
      <c r="T2234" s="4">
        <f t="shared" si="138"/>
        <v>13.330232533134668</v>
      </c>
      <c r="W2234" s="4" t="str">
        <f>"F17E9.4"</f>
        <v>F17E9.4</v>
      </c>
      <c r="X2234" s="4">
        <v>14.729932107098801</v>
      </c>
      <c r="Y2234" s="4">
        <v>12.6630077637355</v>
      </c>
      <c r="Z2234" s="4">
        <v>12.6701579909732</v>
      </c>
      <c r="AA2234" s="4">
        <f t="shared" si="139"/>
        <v>13.354365953935833</v>
      </c>
    </row>
    <row r="2235" spans="2:27" x14ac:dyDescent="0.2">
      <c r="B2235" s="4" t="s">
        <v>4775</v>
      </c>
      <c r="C2235" s="4">
        <v>13.4633</v>
      </c>
      <c r="D2235" s="4">
        <v>13.882199999999999</v>
      </c>
      <c r="E2235" s="4">
        <v>13.884499999999999</v>
      </c>
      <c r="F2235" s="4">
        <f t="shared" si="136"/>
        <v>13.743333333333334</v>
      </c>
      <c r="I2235" s="4" t="s">
        <v>2042</v>
      </c>
      <c r="J2235" s="4">
        <v>13.7493</v>
      </c>
      <c r="K2235" s="4">
        <v>13.6623</v>
      </c>
      <c r="L2235" s="4">
        <v>13.817299999999999</v>
      </c>
      <c r="M2235" s="4">
        <f t="shared" si="137"/>
        <v>13.742966666666666</v>
      </c>
      <c r="P2235" s="4" t="str">
        <f>"F27C1.2"</f>
        <v>F27C1.2</v>
      </c>
      <c r="Q2235" s="4">
        <v>13.1735667096351</v>
      </c>
      <c r="R2235" s="4">
        <v>13.5504808660211</v>
      </c>
      <c r="S2235" s="4">
        <v>13.264481758217199</v>
      </c>
      <c r="T2235" s="4">
        <f t="shared" si="138"/>
        <v>13.329509777957801</v>
      </c>
      <c r="W2235" s="4" t="str">
        <f>"lec-9"</f>
        <v>lec-9</v>
      </c>
      <c r="X2235" s="4">
        <v>13.8172515063993</v>
      </c>
      <c r="Y2235" s="4">
        <v>13.1904678036604</v>
      </c>
      <c r="Z2235" s="4">
        <v>13.0502562112289</v>
      </c>
      <c r="AA2235" s="4">
        <f t="shared" si="139"/>
        <v>13.3526585070962</v>
      </c>
    </row>
    <row r="2236" spans="2:27" x14ac:dyDescent="0.2">
      <c r="B2236" s="4" t="s">
        <v>4776</v>
      </c>
      <c r="C2236" s="4">
        <v>13.863899999999999</v>
      </c>
      <c r="D2236" s="4">
        <v>13.5451</v>
      </c>
      <c r="E2236" s="4">
        <v>13.820399999999999</v>
      </c>
      <c r="F2236" s="4">
        <f t="shared" si="136"/>
        <v>13.743133333333333</v>
      </c>
      <c r="I2236" s="4" t="s">
        <v>3085</v>
      </c>
      <c r="J2236" s="4">
        <v>13.476599999999999</v>
      </c>
      <c r="K2236" s="4">
        <v>13.912100000000001</v>
      </c>
      <c r="L2236" s="4">
        <v>13.837999999999999</v>
      </c>
      <c r="M2236" s="4">
        <f t="shared" si="137"/>
        <v>13.742233333333333</v>
      </c>
      <c r="P2236" s="4" t="str">
        <f>"pkc-2"</f>
        <v>pkc-2</v>
      </c>
      <c r="Q2236" s="4">
        <v>13.2770868384307</v>
      </c>
      <c r="R2236" s="4">
        <v>13.2759880791358</v>
      </c>
      <c r="S2236" s="4">
        <v>13.4295277799825</v>
      </c>
      <c r="T2236" s="4">
        <f t="shared" si="138"/>
        <v>13.327534232516333</v>
      </c>
      <c r="W2236" s="4" t="str">
        <f>"Y52B11A.3"</f>
        <v>Y52B11A.3</v>
      </c>
      <c r="X2236" s="4">
        <v>13.325438847394199</v>
      </c>
      <c r="Y2236" s="4">
        <v>13.2867587192881</v>
      </c>
      <c r="Z2236" s="4">
        <v>13.445579627610501</v>
      </c>
      <c r="AA2236" s="4">
        <f t="shared" si="139"/>
        <v>13.352592398097599</v>
      </c>
    </row>
    <row r="2237" spans="2:27" x14ac:dyDescent="0.2">
      <c r="B2237" s="4" t="s">
        <v>4420</v>
      </c>
      <c r="C2237" s="4">
        <v>13.502800000000001</v>
      </c>
      <c r="D2237" s="4">
        <v>13.952199999999999</v>
      </c>
      <c r="E2237" s="4">
        <v>13.7666</v>
      </c>
      <c r="F2237" s="4">
        <f t="shared" si="136"/>
        <v>13.740533333333332</v>
      </c>
      <c r="I2237" s="4" t="s">
        <v>3136</v>
      </c>
      <c r="J2237" s="4">
        <v>14.043900000000001</v>
      </c>
      <c r="K2237" s="4">
        <v>13.8576</v>
      </c>
      <c r="L2237" s="4">
        <v>13.315899999999999</v>
      </c>
      <c r="M2237" s="4">
        <f t="shared" si="137"/>
        <v>13.739133333333333</v>
      </c>
      <c r="P2237" s="4" t="str">
        <f>"lec-1"</f>
        <v>lec-1</v>
      </c>
      <c r="Q2237" s="4">
        <v>12.708733232603199</v>
      </c>
      <c r="R2237" s="4">
        <v>13.7317394800596</v>
      </c>
      <c r="S2237" s="4">
        <v>13.5398782548671</v>
      </c>
      <c r="T2237" s="4">
        <f t="shared" si="138"/>
        <v>13.3267836558433</v>
      </c>
      <c r="W2237" s="4" t="str">
        <f>"denn-4"</f>
        <v>denn-4</v>
      </c>
      <c r="X2237" s="4">
        <v>13.457505500800901</v>
      </c>
      <c r="Y2237" s="4">
        <v>13.280408350658099</v>
      </c>
      <c r="Z2237" s="4">
        <v>13.317670214214299</v>
      </c>
      <c r="AA2237" s="4">
        <f t="shared" si="139"/>
        <v>13.351861355224434</v>
      </c>
    </row>
    <row r="2238" spans="2:27" x14ac:dyDescent="0.2">
      <c r="B2238" s="4" t="s">
        <v>4754</v>
      </c>
      <c r="C2238" s="4">
        <v>13.7996</v>
      </c>
      <c r="D2238" s="4">
        <v>14.086399999999999</v>
      </c>
      <c r="E2238" s="4">
        <v>13.3354</v>
      </c>
      <c r="F2238" s="4">
        <f t="shared" si="136"/>
        <v>13.740466666666668</v>
      </c>
      <c r="I2238" s="4" t="s">
        <v>117</v>
      </c>
      <c r="J2238" s="4">
        <v>14.0322</v>
      </c>
      <c r="K2238" s="4">
        <v>14.073</v>
      </c>
      <c r="L2238" s="4">
        <v>13.1119</v>
      </c>
      <c r="M2238" s="4">
        <f t="shared" si="137"/>
        <v>13.739033333333333</v>
      </c>
      <c r="P2238" s="4" t="str">
        <f>"tpp-2"</f>
        <v>tpp-2</v>
      </c>
      <c r="Q2238" s="4">
        <v>13.3951090777232</v>
      </c>
      <c r="R2238" s="4">
        <v>13.318416504005301</v>
      </c>
      <c r="S2238" s="4">
        <v>13.2655052537432</v>
      </c>
      <c r="T2238" s="4">
        <f t="shared" si="138"/>
        <v>13.326343611823901</v>
      </c>
      <c r="W2238" s="4" t="str">
        <f>"dph-5"</f>
        <v>dph-5</v>
      </c>
      <c r="X2238" s="4">
        <v>12.6823275258634</v>
      </c>
      <c r="Y2238" s="4">
        <v>13.5081624398117</v>
      </c>
      <c r="Z2238" s="4">
        <v>13.862293927242799</v>
      </c>
      <c r="AA2238" s="4">
        <f t="shared" si="139"/>
        <v>13.350927964305967</v>
      </c>
    </row>
    <row r="2239" spans="2:27" x14ac:dyDescent="0.2">
      <c r="B2239" s="4" t="s">
        <v>4291</v>
      </c>
      <c r="C2239" s="4">
        <v>13.8812</v>
      </c>
      <c r="D2239" s="4">
        <v>13.623200000000001</v>
      </c>
      <c r="E2239" s="4">
        <v>13.7074</v>
      </c>
      <c r="F2239" s="4">
        <f t="shared" si="136"/>
        <v>13.737266666666665</v>
      </c>
      <c r="I2239" s="4" t="s">
        <v>790</v>
      </c>
      <c r="J2239" s="4">
        <v>13.6182</v>
      </c>
      <c r="K2239" s="4">
        <v>13.7715</v>
      </c>
      <c r="L2239" s="4">
        <v>13.826499999999999</v>
      </c>
      <c r="M2239" s="4">
        <f t="shared" si="137"/>
        <v>13.738733333333334</v>
      </c>
      <c r="P2239" s="4" t="str">
        <f>"cul-5"</f>
        <v>cul-5</v>
      </c>
      <c r="Q2239" s="4">
        <v>13.2288141727272</v>
      </c>
      <c r="R2239" s="4">
        <v>13.3624340707948</v>
      </c>
      <c r="S2239" s="4">
        <v>13.3852031991158</v>
      </c>
      <c r="T2239" s="4">
        <f t="shared" si="138"/>
        <v>13.325483814212598</v>
      </c>
      <c r="W2239" s="4" t="str">
        <f>"btf-1"</f>
        <v>btf-1</v>
      </c>
      <c r="X2239" s="4">
        <v>13.2790308046914</v>
      </c>
      <c r="Y2239" s="4">
        <v>13.3963795335365</v>
      </c>
      <c r="Z2239" s="4">
        <v>13.375207459402001</v>
      </c>
      <c r="AA2239" s="4">
        <f t="shared" si="139"/>
        <v>13.350205932543298</v>
      </c>
    </row>
    <row r="2240" spans="2:27" x14ac:dyDescent="0.2">
      <c r="B2240" s="4" t="s">
        <v>2420</v>
      </c>
      <c r="C2240" s="4">
        <v>13.9693</v>
      </c>
      <c r="D2240" s="4">
        <v>13.539899999999999</v>
      </c>
      <c r="E2240" s="4">
        <v>13.698700000000001</v>
      </c>
      <c r="F2240" s="4">
        <f t="shared" si="136"/>
        <v>13.735966666666668</v>
      </c>
      <c r="I2240" s="4" t="s">
        <v>4777</v>
      </c>
      <c r="J2240" s="4">
        <v>13.557600000000001</v>
      </c>
      <c r="K2240" s="4">
        <v>13.966100000000001</v>
      </c>
      <c r="L2240" s="4">
        <v>13.691000000000001</v>
      </c>
      <c r="M2240" s="4">
        <f t="shared" si="137"/>
        <v>13.738233333333334</v>
      </c>
      <c r="P2240" s="4" t="str">
        <f>"pdi-3"</f>
        <v>pdi-3</v>
      </c>
      <c r="Q2240" s="4">
        <v>12.9258180069146</v>
      </c>
      <c r="R2240" s="4">
        <v>13.465863993548499</v>
      </c>
      <c r="S2240" s="4">
        <v>13.5819078494336</v>
      </c>
      <c r="T2240" s="4">
        <f t="shared" si="138"/>
        <v>13.324529949965566</v>
      </c>
      <c r="W2240" s="4" t="str">
        <f>"gly-8"</f>
        <v>gly-8</v>
      </c>
      <c r="X2240" s="4">
        <v>13.348543894691</v>
      </c>
      <c r="Y2240" s="4">
        <v>12.8860784566743</v>
      </c>
      <c r="Z2240" s="4">
        <v>13.8154195425991</v>
      </c>
      <c r="AA2240" s="4">
        <f t="shared" si="139"/>
        <v>13.350013964654799</v>
      </c>
    </row>
    <row r="2241" spans="2:27" x14ac:dyDescent="0.2">
      <c r="B2241" s="4" t="s">
        <v>2051</v>
      </c>
      <c r="C2241" s="4">
        <v>13.5953</v>
      </c>
      <c r="D2241" s="4">
        <v>13.994400000000001</v>
      </c>
      <c r="E2241" s="4">
        <v>13.6151</v>
      </c>
      <c r="F2241" s="4">
        <f t="shared" si="136"/>
        <v>13.734933333333332</v>
      </c>
      <c r="I2241" s="4" t="s">
        <v>4719</v>
      </c>
      <c r="J2241" s="4">
        <v>13.8978</v>
      </c>
      <c r="K2241" s="4">
        <v>14.0237</v>
      </c>
      <c r="L2241" s="4">
        <v>13.2896</v>
      </c>
      <c r="M2241" s="4">
        <f t="shared" si="137"/>
        <v>13.737033333333335</v>
      </c>
      <c r="P2241" s="4" t="str">
        <f>"Y10G11A.1"</f>
        <v>Y10G11A.1</v>
      </c>
      <c r="Q2241" s="4">
        <v>13.2366238405701</v>
      </c>
      <c r="R2241" s="4">
        <v>13.4731701694576</v>
      </c>
      <c r="S2241" s="4">
        <v>13.260762091893399</v>
      </c>
      <c r="T2241" s="4">
        <f t="shared" si="138"/>
        <v>13.323518700640365</v>
      </c>
      <c r="W2241" s="4" t="str">
        <f>"alh-4"</f>
        <v>alh-4</v>
      </c>
      <c r="X2241" s="4">
        <v>13.7213423510634</v>
      </c>
      <c r="Y2241" s="4">
        <v>13.0914237140813</v>
      </c>
      <c r="Z2241" s="4">
        <v>13.2361561777885</v>
      </c>
      <c r="AA2241" s="4">
        <f t="shared" si="139"/>
        <v>13.349640747644401</v>
      </c>
    </row>
    <row r="2242" spans="2:27" x14ac:dyDescent="0.2">
      <c r="B2242" s="4" t="s">
        <v>2042</v>
      </c>
      <c r="C2242" s="4">
        <v>13.7216</v>
      </c>
      <c r="D2242" s="4">
        <v>13.704700000000001</v>
      </c>
      <c r="E2242" s="4">
        <v>13.777100000000001</v>
      </c>
      <c r="F2242" s="4">
        <f t="shared" ref="F2242:F2305" si="140">(C2242+D2242+E2242)/3</f>
        <v>13.734466666666668</v>
      </c>
      <c r="I2242" s="4" t="s">
        <v>2648</v>
      </c>
      <c r="J2242" s="4">
        <v>13.7598</v>
      </c>
      <c r="K2242" s="4">
        <v>13.4933</v>
      </c>
      <c r="L2242" s="4">
        <v>13.950100000000001</v>
      </c>
      <c r="M2242" s="4">
        <f t="shared" ref="M2242:M2305" si="141">(J2242+K2242+L2242)/3</f>
        <v>13.734400000000001</v>
      </c>
      <c r="P2242" s="4" t="str">
        <f>"gst-1"</f>
        <v>gst-1</v>
      </c>
      <c r="Q2242" s="4">
        <v>13.3614011587359</v>
      </c>
      <c r="R2242" s="4">
        <v>13.467498894398499</v>
      </c>
      <c r="S2242" s="4">
        <v>13.140732423050199</v>
      </c>
      <c r="T2242" s="4">
        <f t="shared" ref="T2242:T2305" si="142">(Q2242+R2242+S2242)/3</f>
        <v>13.323210825394867</v>
      </c>
      <c r="W2242" s="4" t="str">
        <f>"elb-1"</f>
        <v>elb-1</v>
      </c>
      <c r="X2242" s="4">
        <v>13.540194652883599</v>
      </c>
      <c r="Y2242" s="4">
        <v>13.3097558552245</v>
      </c>
      <c r="Z2242" s="4">
        <v>13.1987807176261</v>
      </c>
      <c r="AA2242" s="4">
        <f t="shared" ref="AA2242:AA2305" si="143">(X2242+Y2242+Z2242)/3</f>
        <v>13.349577075244733</v>
      </c>
    </row>
    <row r="2243" spans="2:27" x14ac:dyDescent="0.2">
      <c r="B2243" s="4" t="s">
        <v>3620</v>
      </c>
      <c r="C2243" s="4">
        <v>13.494899999999999</v>
      </c>
      <c r="D2243" s="4">
        <v>13.9954</v>
      </c>
      <c r="E2243" s="4">
        <v>13.7119</v>
      </c>
      <c r="F2243" s="4">
        <f t="shared" si="140"/>
        <v>13.734066666666665</v>
      </c>
      <c r="I2243" s="4" t="s">
        <v>2826</v>
      </c>
      <c r="J2243" s="4">
        <v>13.974500000000001</v>
      </c>
      <c r="K2243" s="4">
        <v>13.4358</v>
      </c>
      <c r="L2243" s="4">
        <v>13.789099999999999</v>
      </c>
      <c r="M2243" s="4">
        <f t="shared" si="141"/>
        <v>13.733133333333333</v>
      </c>
      <c r="P2243" s="4" t="str">
        <f>"cest-35.1"</f>
        <v>cest-35.1</v>
      </c>
      <c r="Q2243" s="4">
        <v>13.3555247263051</v>
      </c>
      <c r="R2243" s="4">
        <v>13.231929946865399</v>
      </c>
      <c r="S2243" s="4">
        <v>13.374349935228899</v>
      </c>
      <c r="T2243" s="4">
        <f t="shared" si="142"/>
        <v>13.320601536133132</v>
      </c>
      <c r="W2243" s="4" t="str">
        <f>"nrd-1"</f>
        <v>nrd-1</v>
      </c>
      <c r="X2243" s="4">
        <v>13.104974384511699</v>
      </c>
      <c r="Y2243" s="4">
        <v>13.611081856889101</v>
      </c>
      <c r="Z2243" s="4">
        <v>13.331192818505199</v>
      </c>
      <c r="AA2243" s="4">
        <f t="shared" si="143"/>
        <v>13.349083019968667</v>
      </c>
    </row>
    <row r="2244" spans="2:27" x14ac:dyDescent="0.2">
      <c r="B2244" s="4" t="s">
        <v>1545</v>
      </c>
      <c r="C2244" s="4">
        <v>13.264099999999999</v>
      </c>
      <c r="D2244" s="4">
        <v>14.2248</v>
      </c>
      <c r="E2244" s="4">
        <v>13.710800000000001</v>
      </c>
      <c r="F2244" s="4">
        <f t="shared" si="140"/>
        <v>13.733233333333333</v>
      </c>
      <c r="I2244" s="4" t="s">
        <v>80</v>
      </c>
      <c r="J2244" s="4">
        <v>13.6639</v>
      </c>
      <c r="K2244" s="4">
        <v>13.517799999999999</v>
      </c>
      <c r="L2244" s="4">
        <v>14.015000000000001</v>
      </c>
      <c r="M2244" s="4">
        <f t="shared" si="141"/>
        <v>13.732233333333333</v>
      </c>
      <c r="P2244" s="4" t="str">
        <f>"F10E7.9"</f>
        <v>F10E7.9</v>
      </c>
      <c r="Q2244" s="4">
        <v>13.0836191321811</v>
      </c>
      <c r="R2244" s="4">
        <v>13.357364636480799</v>
      </c>
      <c r="S2244" s="4">
        <v>13.5205322816474</v>
      </c>
      <c r="T2244" s="4">
        <f t="shared" si="142"/>
        <v>13.320505350103099</v>
      </c>
      <c r="W2244" s="4" t="str">
        <f>"ZK484.3"</f>
        <v>ZK484.3</v>
      </c>
      <c r="X2244" s="4">
        <v>13.289742499425399</v>
      </c>
      <c r="Y2244" s="4">
        <v>14.024283331183</v>
      </c>
      <c r="Z2244" s="4">
        <v>12.7327506361778</v>
      </c>
      <c r="AA2244" s="4">
        <f t="shared" si="143"/>
        <v>13.348925488928733</v>
      </c>
    </row>
    <row r="2245" spans="2:27" x14ac:dyDescent="0.2">
      <c r="B2245" s="4" t="s">
        <v>2279</v>
      </c>
      <c r="C2245" s="4">
        <v>13.915100000000001</v>
      </c>
      <c r="D2245" s="4">
        <v>13.420999999999999</v>
      </c>
      <c r="E2245" s="4">
        <v>13.859500000000001</v>
      </c>
      <c r="F2245" s="4">
        <f t="shared" si="140"/>
        <v>13.731866666666667</v>
      </c>
      <c r="I2245" s="4" t="s">
        <v>210</v>
      </c>
      <c r="J2245" s="4">
        <v>13.7157</v>
      </c>
      <c r="K2245" s="4">
        <v>13.5396</v>
      </c>
      <c r="L2245" s="4">
        <v>13.9406</v>
      </c>
      <c r="M2245" s="4">
        <f t="shared" si="141"/>
        <v>13.731966666666665</v>
      </c>
      <c r="P2245" s="4" t="str">
        <f>"oig-2"</f>
        <v>oig-2</v>
      </c>
      <c r="Q2245" s="4">
        <v>13.1639971881481</v>
      </c>
      <c r="R2245" s="4">
        <v>13.394379296363899</v>
      </c>
      <c r="S2245" s="4">
        <v>13.403103619261801</v>
      </c>
      <c r="T2245" s="4">
        <f t="shared" si="142"/>
        <v>13.3204933679246</v>
      </c>
      <c r="W2245" s="4" t="str">
        <f>"magu-4"</f>
        <v>magu-4</v>
      </c>
      <c r="X2245" s="4">
        <v>13.0916193191795</v>
      </c>
      <c r="Y2245" s="4">
        <v>13.4526712914651</v>
      </c>
      <c r="Z2245" s="4">
        <v>13.501522585743301</v>
      </c>
      <c r="AA2245" s="4">
        <f t="shared" si="143"/>
        <v>13.348604398795969</v>
      </c>
    </row>
    <row r="2246" spans="2:27" x14ac:dyDescent="0.2">
      <c r="B2246" s="4" t="s">
        <v>3181</v>
      </c>
      <c r="C2246" s="4">
        <v>13.887700000000001</v>
      </c>
      <c r="D2246" s="4">
        <v>13.999000000000001</v>
      </c>
      <c r="E2246" s="4">
        <v>13.3057</v>
      </c>
      <c r="F2246" s="4">
        <f t="shared" si="140"/>
        <v>13.7308</v>
      </c>
      <c r="I2246" s="4" t="s">
        <v>4360</v>
      </c>
      <c r="J2246" s="4">
        <v>13.618600000000001</v>
      </c>
      <c r="K2246" s="4">
        <v>13.9979</v>
      </c>
      <c r="L2246" s="4">
        <v>13.577999999999999</v>
      </c>
      <c r="M2246" s="4">
        <f t="shared" si="141"/>
        <v>13.731500000000002</v>
      </c>
      <c r="P2246" s="4" t="str">
        <f>"ebp-2"</f>
        <v>ebp-2</v>
      </c>
      <c r="Q2246" s="4">
        <v>13.3486229956447</v>
      </c>
      <c r="R2246" s="4">
        <v>13.3269248913484</v>
      </c>
      <c r="S2246" s="4">
        <v>13.285648120190301</v>
      </c>
      <c r="T2246" s="4">
        <f t="shared" si="142"/>
        <v>13.320398669061134</v>
      </c>
      <c r="W2246" s="4" t="str">
        <f>"ate-1"</f>
        <v>ate-1</v>
      </c>
      <c r="X2246" s="4">
        <v>13.5798083306035</v>
      </c>
      <c r="Y2246" s="4">
        <v>13.2685580479767</v>
      </c>
      <c r="Z2246" s="4">
        <v>13.1945300851509</v>
      </c>
      <c r="AA2246" s="4">
        <f t="shared" si="143"/>
        <v>13.347632154577035</v>
      </c>
    </row>
    <row r="2247" spans="2:27" x14ac:dyDescent="0.2">
      <c r="B2247" s="4" t="s">
        <v>3470</v>
      </c>
      <c r="C2247" s="4">
        <v>13.8255</v>
      </c>
      <c r="D2247" s="4">
        <v>13.555999999999999</v>
      </c>
      <c r="E2247" s="4">
        <v>13.8093</v>
      </c>
      <c r="F2247" s="4">
        <f t="shared" si="140"/>
        <v>13.730266666666665</v>
      </c>
      <c r="I2247" s="4" t="s">
        <v>3800</v>
      </c>
      <c r="J2247" s="4">
        <v>13.7249</v>
      </c>
      <c r="K2247" s="4">
        <v>13.7485</v>
      </c>
      <c r="L2247" s="4">
        <v>13.7203</v>
      </c>
      <c r="M2247" s="4">
        <f t="shared" si="141"/>
        <v>13.731233333333334</v>
      </c>
      <c r="P2247" s="4" t="str">
        <f>"Y47G6A.21"</f>
        <v>Y47G6A.21</v>
      </c>
      <c r="Q2247" s="4">
        <v>13.1451043076773</v>
      </c>
      <c r="R2247" s="4">
        <v>13.2608671947711</v>
      </c>
      <c r="S2247" s="4">
        <v>13.5540955293402</v>
      </c>
      <c r="T2247" s="4">
        <f t="shared" si="142"/>
        <v>13.320022343929535</v>
      </c>
      <c r="W2247" s="4" t="str">
        <f>"crml-1"</f>
        <v>crml-1</v>
      </c>
      <c r="X2247" s="4">
        <v>13.4900054565848</v>
      </c>
      <c r="Y2247" s="4">
        <v>13.214971413891</v>
      </c>
      <c r="Z2247" s="4">
        <v>13.3339830857803</v>
      </c>
      <c r="AA2247" s="4">
        <f t="shared" si="143"/>
        <v>13.346319985418701</v>
      </c>
    </row>
    <row r="2248" spans="2:27" x14ac:dyDescent="0.2">
      <c r="B2248" s="4" t="s">
        <v>2682</v>
      </c>
      <c r="C2248" s="4">
        <v>13.647</v>
      </c>
      <c r="D2248" s="4">
        <v>13.6142</v>
      </c>
      <c r="E2248" s="4">
        <v>13.926600000000001</v>
      </c>
      <c r="F2248" s="4">
        <f t="shared" si="140"/>
        <v>13.729266666666668</v>
      </c>
      <c r="I2248" s="4" t="s">
        <v>2635</v>
      </c>
      <c r="J2248" s="4">
        <v>13.423999999999999</v>
      </c>
      <c r="K2248" s="4">
        <v>13.5817</v>
      </c>
      <c r="L2248" s="4">
        <v>14.1877</v>
      </c>
      <c r="M2248" s="4">
        <f t="shared" si="141"/>
        <v>13.731133333333332</v>
      </c>
      <c r="P2248" s="4" t="str">
        <f>"C56A3.6"</f>
        <v>C56A3.6</v>
      </c>
      <c r="Q2248" s="4">
        <v>13.5317991235585</v>
      </c>
      <c r="R2248" s="4">
        <v>13.2438497927201</v>
      </c>
      <c r="S2248" s="4">
        <v>13.179449753204301</v>
      </c>
      <c r="T2248" s="4">
        <f t="shared" si="142"/>
        <v>13.318366223160966</v>
      </c>
      <c r="W2248" s="4" t="str">
        <f>"C56A3.5"</f>
        <v>C56A3.5</v>
      </c>
      <c r="X2248" s="4">
        <v>13.3428663815971</v>
      </c>
      <c r="Y2248" s="4">
        <v>13.340011567628601</v>
      </c>
      <c r="Z2248" s="4">
        <v>13.3508357970485</v>
      </c>
      <c r="AA2248" s="4">
        <f t="shared" si="143"/>
        <v>13.344571248758067</v>
      </c>
    </row>
    <row r="2249" spans="2:27" x14ac:dyDescent="0.2">
      <c r="B2249" s="4" t="s">
        <v>2917</v>
      </c>
      <c r="C2249" s="4">
        <v>14.266</v>
      </c>
      <c r="D2249" s="4">
        <v>13.307600000000001</v>
      </c>
      <c r="E2249" s="4">
        <v>13.613799999999999</v>
      </c>
      <c r="F2249" s="4">
        <f t="shared" si="140"/>
        <v>13.729133333333332</v>
      </c>
      <c r="I2249" s="4" t="s">
        <v>1125</v>
      </c>
      <c r="J2249" s="4">
        <v>13.3239</v>
      </c>
      <c r="K2249" s="4">
        <v>13.8331</v>
      </c>
      <c r="L2249" s="4">
        <v>14.0299</v>
      </c>
      <c r="M2249" s="4">
        <f t="shared" si="141"/>
        <v>13.728966666666667</v>
      </c>
      <c r="P2249" s="4" t="str">
        <f>"ugt-57"</f>
        <v>ugt-57</v>
      </c>
      <c r="Q2249" s="4">
        <v>14.3026776195577</v>
      </c>
      <c r="R2249" s="4">
        <v>13.1553332598399</v>
      </c>
      <c r="S2249" s="4">
        <v>12.4967464994631</v>
      </c>
      <c r="T2249" s="4">
        <f t="shared" si="142"/>
        <v>13.318252459620233</v>
      </c>
      <c r="W2249" s="4" t="str">
        <f>"zig-9"</f>
        <v>zig-9</v>
      </c>
      <c r="X2249" s="4">
        <v>13.2487251846403</v>
      </c>
      <c r="Y2249" s="4">
        <v>13.212020018300899</v>
      </c>
      <c r="Z2249" s="4">
        <v>13.570412611809401</v>
      </c>
      <c r="AA2249" s="4">
        <f t="shared" si="143"/>
        <v>13.343719271583533</v>
      </c>
    </row>
    <row r="2250" spans="2:27" x14ac:dyDescent="0.2">
      <c r="B2250" s="4" t="s">
        <v>2990</v>
      </c>
      <c r="C2250" s="4">
        <v>14.525399999999999</v>
      </c>
      <c r="D2250" s="4">
        <v>13.2683</v>
      </c>
      <c r="E2250" s="4">
        <v>13.3908</v>
      </c>
      <c r="F2250" s="4">
        <f t="shared" si="140"/>
        <v>13.728166666666667</v>
      </c>
      <c r="I2250" s="4" t="s">
        <v>1749</v>
      </c>
      <c r="J2250" s="4">
        <v>13.3543</v>
      </c>
      <c r="K2250" s="4">
        <v>14.2362</v>
      </c>
      <c r="L2250" s="4">
        <v>13.5951</v>
      </c>
      <c r="M2250" s="4">
        <f t="shared" si="141"/>
        <v>13.728533333333333</v>
      </c>
      <c r="P2250" s="4" t="str">
        <f>"tir-1"</f>
        <v>tir-1</v>
      </c>
      <c r="Q2250" s="4">
        <v>13.2960442267247</v>
      </c>
      <c r="R2250" s="4">
        <v>13.324287787310199</v>
      </c>
      <c r="S2250" s="4">
        <v>13.3332089422024</v>
      </c>
      <c r="T2250" s="4">
        <f t="shared" si="142"/>
        <v>13.317846985412436</v>
      </c>
      <c r="W2250" s="4" t="str">
        <f>"F53F4.16"</f>
        <v>F53F4.16</v>
      </c>
      <c r="X2250" s="4">
        <v>13.164093854612601</v>
      </c>
      <c r="Y2250" s="4">
        <v>13.6307752209661</v>
      </c>
      <c r="Z2250" s="4">
        <v>13.2357006329719</v>
      </c>
      <c r="AA2250" s="4">
        <f t="shared" si="143"/>
        <v>13.343523236183534</v>
      </c>
    </row>
    <row r="2251" spans="2:27" x14ac:dyDescent="0.2">
      <c r="B2251" s="4" t="s">
        <v>619</v>
      </c>
      <c r="C2251" s="4">
        <v>14.130599999999999</v>
      </c>
      <c r="D2251" s="4">
        <v>13.5997</v>
      </c>
      <c r="E2251" s="4">
        <v>13.4529</v>
      </c>
      <c r="F2251" s="4">
        <f t="shared" si="140"/>
        <v>13.727733333333333</v>
      </c>
      <c r="I2251" s="4" t="s">
        <v>4758</v>
      </c>
      <c r="J2251" s="4">
        <v>14.0669</v>
      </c>
      <c r="K2251" s="4">
        <v>13.1191</v>
      </c>
      <c r="L2251" s="4">
        <v>13.995100000000001</v>
      </c>
      <c r="M2251" s="4">
        <f t="shared" si="141"/>
        <v>13.727033333333333</v>
      </c>
      <c r="P2251" s="4" t="str">
        <f>"elpc-2"</f>
        <v>elpc-2</v>
      </c>
      <c r="Q2251" s="4">
        <v>13.263018972603</v>
      </c>
      <c r="R2251" s="4">
        <v>13.464574604263801</v>
      </c>
      <c r="S2251" s="4">
        <v>13.224928425800901</v>
      </c>
      <c r="T2251" s="4">
        <f t="shared" si="142"/>
        <v>13.317507334222569</v>
      </c>
      <c r="W2251" s="4" t="str">
        <f>"unc-11"</f>
        <v>unc-11</v>
      </c>
      <c r="X2251" s="4">
        <v>13.2936828609866</v>
      </c>
      <c r="Y2251" s="4">
        <v>13.5753573518754</v>
      </c>
      <c r="Z2251" s="4">
        <v>13.1582490179145</v>
      </c>
      <c r="AA2251" s="4">
        <f t="shared" si="143"/>
        <v>13.342429743592168</v>
      </c>
    </row>
    <row r="2252" spans="2:27" x14ac:dyDescent="0.2">
      <c r="B2252" s="4" t="s">
        <v>2358</v>
      </c>
      <c r="C2252" s="4">
        <v>13.5128</v>
      </c>
      <c r="D2252" s="4">
        <v>14</v>
      </c>
      <c r="E2252" s="4">
        <v>13.667199999999999</v>
      </c>
      <c r="F2252" s="4">
        <f t="shared" si="140"/>
        <v>13.726666666666667</v>
      </c>
      <c r="I2252" s="4" t="s">
        <v>2366</v>
      </c>
      <c r="J2252" s="4">
        <v>13.735200000000001</v>
      </c>
      <c r="K2252" s="4">
        <v>13.4411</v>
      </c>
      <c r="L2252" s="4">
        <v>14.0016</v>
      </c>
      <c r="M2252" s="4">
        <f t="shared" si="141"/>
        <v>13.725966666666666</v>
      </c>
      <c r="P2252" s="4" t="str">
        <f>"jhdm-1"</f>
        <v>jhdm-1</v>
      </c>
      <c r="Q2252" s="4">
        <v>13.095598766353</v>
      </c>
      <c r="R2252" s="4">
        <v>13.444146167318801</v>
      </c>
      <c r="S2252" s="4">
        <v>13.4123635674576</v>
      </c>
      <c r="T2252" s="4">
        <f t="shared" si="142"/>
        <v>13.317369500376467</v>
      </c>
      <c r="W2252" s="4" t="str">
        <f>"bus-5"</f>
        <v>bus-5</v>
      </c>
      <c r="X2252" s="4">
        <v>13.0875389380309</v>
      </c>
      <c r="Y2252" s="4">
        <v>13.3541045514019</v>
      </c>
      <c r="Z2252" s="4">
        <v>13.581992182576901</v>
      </c>
      <c r="AA2252" s="4">
        <f t="shared" si="143"/>
        <v>13.341211890669902</v>
      </c>
    </row>
    <row r="2253" spans="2:27" x14ac:dyDescent="0.2">
      <c r="B2253" s="4" t="s">
        <v>158</v>
      </c>
      <c r="C2253" s="4">
        <v>13.1629</v>
      </c>
      <c r="D2253" s="4">
        <v>14.464499999999999</v>
      </c>
      <c r="E2253" s="4">
        <v>13.5467</v>
      </c>
      <c r="F2253" s="4">
        <f t="shared" si="140"/>
        <v>13.7247</v>
      </c>
      <c r="I2253" s="4" t="s">
        <v>765</v>
      </c>
      <c r="J2253" s="4">
        <v>13.5741</v>
      </c>
      <c r="K2253" s="4">
        <v>14.209</v>
      </c>
      <c r="L2253" s="4">
        <v>13.3878</v>
      </c>
      <c r="M2253" s="4">
        <f t="shared" si="141"/>
        <v>13.723633333333332</v>
      </c>
      <c r="P2253" s="4" t="str">
        <f>"aps-1"</f>
        <v>aps-1</v>
      </c>
      <c r="Q2253" s="4">
        <v>12.892888086084101</v>
      </c>
      <c r="R2253" s="4">
        <v>13.485626583361199</v>
      </c>
      <c r="S2253" s="4">
        <v>13.5661121750114</v>
      </c>
      <c r="T2253" s="4">
        <f t="shared" si="142"/>
        <v>13.3148756148189</v>
      </c>
      <c r="W2253" s="4" t="str">
        <f>"Y32B12B.2"</f>
        <v>Y32B12B.2</v>
      </c>
      <c r="X2253" s="4">
        <v>13.3207261928381</v>
      </c>
      <c r="Y2253" s="4">
        <v>13.335055277543001</v>
      </c>
      <c r="Z2253" s="4">
        <v>13.3664776986787</v>
      </c>
      <c r="AA2253" s="4">
        <f t="shared" si="143"/>
        <v>13.340753056353266</v>
      </c>
    </row>
    <row r="2254" spans="2:27" x14ac:dyDescent="0.2">
      <c r="B2254" s="4" t="s">
        <v>883</v>
      </c>
      <c r="C2254" s="4">
        <v>14.0451</v>
      </c>
      <c r="D2254" s="4">
        <v>13.573</v>
      </c>
      <c r="E2254" s="4">
        <v>13.553100000000001</v>
      </c>
      <c r="F2254" s="4">
        <f t="shared" si="140"/>
        <v>13.723733333333334</v>
      </c>
      <c r="I2254" s="4" t="s">
        <v>707</v>
      </c>
      <c r="J2254" s="4">
        <v>13.581099999999999</v>
      </c>
      <c r="K2254" s="4">
        <v>14.0388</v>
      </c>
      <c r="L2254" s="4">
        <v>13.550599999999999</v>
      </c>
      <c r="M2254" s="4">
        <f t="shared" si="141"/>
        <v>13.723500000000001</v>
      </c>
      <c r="P2254" s="4" t="str">
        <f>"dnj-1"</f>
        <v>dnj-1</v>
      </c>
      <c r="Q2254" s="4">
        <v>13.14938512805</v>
      </c>
      <c r="R2254" s="4">
        <v>13.406646378148</v>
      </c>
      <c r="S2254" s="4">
        <v>13.3838189914374</v>
      </c>
      <c r="T2254" s="4">
        <f t="shared" si="142"/>
        <v>13.313283499211799</v>
      </c>
      <c r="W2254" s="4" t="str">
        <f>"C27H6.9"</f>
        <v>C27H6.9</v>
      </c>
      <c r="X2254" s="4">
        <v>13.0827889602001</v>
      </c>
      <c r="Y2254" s="4">
        <v>13.2503971207184</v>
      </c>
      <c r="Z2254" s="4">
        <v>13.688019962173</v>
      </c>
      <c r="AA2254" s="4">
        <f t="shared" si="143"/>
        <v>13.340402014363834</v>
      </c>
    </row>
    <row r="2255" spans="2:27" x14ac:dyDescent="0.2">
      <c r="B2255" s="4" t="s">
        <v>3634</v>
      </c>
      <c r="C2255" s="4">
        <v>13.6975</v>
      </c>
      <c r="D2255" s="4">
        <v>13.756600000000001</v>
      </c>
      <c r="E2255" s="4">
        <v>13.7135</v>
      </c>
      <c r="F2255" s="4">
        <f t="shared" si="140"/>
        <v>13.722533333333333</v>
      </c>
      <c r="I2255" s="4" t="s">
        <v>1303</v>
      </c>
      <c r="J2255" s="4">
        <v>13.452500000000001</v>
      </c>
      <c r="K2255" s="4">
        <v>13.9087</v>
      </c>
      <c r="L2255" s="4">
        <v>13.808999999999999</v>
      </c>
      <c r="M2255" s="4">
        <f t="shared" si="141"/>
        <v>13.7234</v>
      </c>
      <c r="P2255" s="4" t="str">
        <f>"H20J04.4"</f>
        <v>H20J04.4</v>
      </c>
      <c r="Q2255" s="4">
        <v>13.393551169488299</v>
      </c>
      <c r="R2255" s="4">
        <v>13.3820681446912</v>
      </c>
      <c r="S2255" s="4">
        <v>13.1621094833085</v>
      </c>
      <c r="T2255" s="4">
        <f t="shared" si="142"/>
        <v>13.312576265829334</v>
      </c>
      <c r="W2255" s="4" t="str">
        <f>"cerk-1"</f>
        <v>cerk-1</v>
      </c>
      <c r="X2255" s="4">
        <v>13.3455831492688</v>
      </c>
      <c r="Y2255" s="4">
        <v>13.1843313382129</v>
      </c>
      <c r="Z2255" s="4">
        <v>13.489675728066199</v>
      </c>
      <c r="AA2255" s="4">
        <f t="shared" si="143"/>
        <v>13.339863405182632</v>
      </c>
    </row>
    <row r="2256" spans="2:27" x14ac:dyDescent="0.2">
      <c r="B2256" s="4" t="s">
        <v>3190</v>
      </c>
      <c r="C2256" s="4">
        <v>14.0245</v>
      </c>
      <c r="D2256" s="4">
        <v>13.7974</v>
      </c>
      <c r="E2256" s="4">
        <v>13.336399999999999</v>
      </c>
      <c r="F2256" s="4">
        <f t="shared" si="140"/>
        <v>13.719433333333333</v>
      </c>
      <c r="I2256" s="4" t="s">
        <v>515</v>
      </c>
      <c r="J2256" s="4">
        <v>13.675599999999999</v>
      </c>
      <c r="K2256" s="4">
        <v>13.4472</v>
      </c>
      <c r="L2256" s="4">
        <v>14.0471</v>
      </c>
      <c r="M2256" s="4">
        <f t="shared" si="141"/>
        <v>13.7233</v>
      </c>
      <c r="P2256" s="4" t="str">
        <f>"F56B3.4"</f>
        <v>F56B3.4</v>
      </c>
      <c r="Q2256" s="4">
        <v>13.1439340022675</v>
      </c>
      <c r="R2256" s="4">
        <v>13.426866309236299</v>
      </c>
      <c r="S2256" s="4">
        <v>13.3647359476617</v>
      </c>
      <c r="T2256" s="4">
        <f t="shared" si="142"/>
        <v>13.311845419721834</v>
      </c>
      <c r="W2256" s="4" t="str">
        <f>"drd-5"</f>
        <v>drd-5</v>
      </c>
      <c r="X2256" s="4">
        <v>13.2124984235463</v>
      </c>
      <c r="Y2256" s="4">
        <v>13.5532896052217</v>
      </c>
      <c r="Z2256" s="4">
        <v>13.240443704093501</v>
      </c>
      <c r="AA2256" s="4">
        <f t="shared" si="143"/>
        <v>13.3354105776205</v>
      </c>
    </row>
    <row r="2257" spans="2:27" x14ac:dyDescent="0.2">
      <c r="B2257" s="4" t="s">
        <v>359</v>
      </c>
      <c r="C2257" s="4">
        <v>13.579700000000001</v>
      </c>
      <c r="D2257" s="4">
        <v>13.866400000000001</v>
      </c>
      <c r="E2257" s="4">
        <v>13.7028</v>
      </c>
      <c r="F2257" s="4">
        <f t="shared" si="140"/>
        <v>13.716299999999999</v>
      </c>
      <c r="I2257" s="4" t="s">
        <v>2996</v>
      </c>
      <c r="J2257" s="4">
        <v>13.6615</v>
      </c>
      <c r="K2257" s="4">
        <v>13.6966</v>
      </c>
      <c r="L2257" s="4">
        <v>13.8072</v>
      </c>
      <c r="M2257" s="4">
        <f t="shared" si="141"/>
        <v>13.721766666666667</v>
      </c>
      <c r="P2257" s="4" t="str">
        <f>"M01F1.9"</f>
        <v>M01F1.9</v>
      </c>
      <c r="Q2257" s="4">
        <v>13.127447651731201</v>
      </c>
      <c r="R2257" s="4">
        <v>13.418692946624301</v>
      </c>
      <c r="S2257" s="4">
        <v>13.3876486276778</v>
      </c>
      <c r="T2257" s="4">
        <f t="shared" si="142"/>
        <v>13.311263075344433</v>
      </c>
      <c r="W2257" s="4" t="str">
        <f>"daf-31"</f>
        <v>daf-31</v>
      </c>
      <c r="X2257" s="4">
        <v>13.3718245168417</v>
      </c>
      <c r="Y2257" s="4">
        <v>13.2911549049103</v>
      </c>
      <c r="Z2257" s="4">
        <v>13.342050211703601</v>
      </c>
      <c r="AA2257" s="4">
        <f t="shared" si="143"/>
        <v>13.335009877818534</v>
      </c>
    </row>
    <row r="2258" spans="2:27" x14ac:dyDescent="0.2">
      <c r="B2258" s="4" t="s">
        <v>4778</v>
      </c>
      <c r="C2258" s="4">
        <v>13.8918</v>
      </c>
      <c r="D2258" s="4">
        <v>13.65</v>
      </c>
      <c r="E2258" s="4">
        <v>13.605700000000001</v>
      </c>
      <c r="F2258" s="4">
        <f t="shared" si="140"/>
        <v>13.715833333333334</v>
      </c>
      <c r="I2258" s="4" t="s">
        <v>902</v>
      </c>
      <c r="J2258" s="4">
        <v>14.027200000000001</v>
      </c>
      <c r="K2258" s="4">
        <v>14.339399999999999</v>
      </c>
      <c r="L2258" s="4">
        <v>12.795199999999999</v>
      </c>
      <c r="M2258" s="4">
        <f t="shared" si="141"/>
        <v>13.720599999999999</v>
      </c>
      <c r="P2258" s="4" t="str">
        <f>"snn-1"</f>
        <v>snn-1</v>
      </c>
      <c r="Q2258" s="4">
        <v>13.663537958468901</v>
      </c>
      <c r="R2258" s="4">
        <v>13.022222747978599</v>
      </c>
      <c r="S2258" s="4">
        <v>13.2436770378182</v>
      </c>
      <c r="T2258" s="4">
        <f t="shared" si="142"/>
        <v>13.3098125814219</v>
      </c>
      <c r="W2258" s="4" t="str">
        <f>"C25F9.4"</f>
        <v>C25F9.4</v>
      </c>
      <c r="X2258" s="4">
        <v>13.1851881133229</v>
      </c>
      <c r="Y2258" s="4">
        <v>13.4103097749767</v>
      </c>
      <c r="Z2258" s="4">
        <v>13.4084052614448</v>
      </c>
      <c r="AA2258" s="4">
        <f t="shared" si="143"/>
        <v>13.334634383248131</v>
      </c>
    </row>
    <row r="2259" spans="2:27" x14ac:dyDescent="0.2">
      <c r="B2259" s="4" t="s">
        <v>2996</v>
      </c>
      <c r="C2259" s="4">
        <v>13.769299999999999</v>
      </c>
      <c r="D2259" s="4">
        <v>13.729699999999999</v>
      </c>
      <c r="E2259" s="4">
        <v>13.646800000000001</v>
      </c>
      <c r="F2259" s="4">
        <f t="shared" si="140"/>
        <v>13.715266666666666</v>
      </c>
      <c r="I2259" s="4" t="s">
        <v>4527</v>
      </c>
      <c r="J2259" s="4">
        <v>13.6128</v>
      </c>
      <c r="K2259" s="4">
        <v>13.585000000000001</v>
      </c>
      <c r="L2259" s="4">
        <v>13.9634</v>
      </c>
      <c r="M2259" s="4">
        <f t="shared" si="141"/>
        <v>13.7204</v>
      </c>
      <c r="P2259" s="4" t="str">
        <f>"prp-38"</f>
        <v>prp-38</v>
      </c>
      <c r="Q2259" s="4">
        <v>12.901035742088601</v>
      </c>
      <c r="R2259" s="4">
        <v>14.079672282176301</v>
      </c>
      <c r="S2259" s="4">
        <v>12.9464168281295</v>
      </c>
      <c r="T2259" s="4">
        <f t="shared" si="142"/>
        <v>13.3090416174648</v>
      </c>
      <c r="W2259" s="4" t="str">
        <f>"dhs-3"</f>
        <v>dhs-3</v>
      </c>
      <c r="X2259" s="4">
        <v>12.9511453888537</v>
      </c>
      <c r="Y2259" s="4">
        <v>13.395188433044799</v>
      </c>
      <c r="Z2259" s="4">
        <v>13.651761484990701</v>
      </c>
      <c r="AA2259" s="4">
        <f t="shared" si="143"/>
        <v>13.332698435629732</v>
      </c>
    </row>
    <row r="2260" spans="2:27" x14ac:dyDescent="0.2">
      <c r="B2260" s="4" t="s">
        <v>3145</v>
      </c>
      <c r="C2260" s="4">
        <v>13.572900000000001</v>
      </c>
      <c r="D2260" s="4">
        <v>13.607100000000001</v>
      </c>
      <c r="E2260" s="4">
        <v>13.962400000000001</v>
      </c>
      <c r="F2260" s="4">
        <f t="shared" si="140"/>
        <v>13.714133333333335</v>
      </c>
      <c r="I2260" s="4" t="s">
        <v>3280</v>
      </c>
      <c r="J2260" s="4">
        <v>13.6876</v>
      </c>
      <c r="K2260" s="4">
        <v>13.759</v>
      </c>
      <c r="L2260" s="4">
        <v>13.7117</v>
      </c>
      <c r="M2260" s="4">
        <f t="shared" si="141"/>
        <v>13.719433333333333</v>
      </c>
      <c r="P2260" s="4" t="str">
        <f>"M01G5.1"</f>
        <v>M01G5.1</v>
      </c>
      <c r="Q2260" s="4">
        <v>13.353883062967199</v>
      </c>
      <c r="R2260" s="4">
        <v>13.4361149850592</v>
      </c>
      <c r="S2260" s="4">
        <v>13.1336669064203</v>
      </c>
      <c r="T2260" s="4">
        <f t="shared" si="142"/>
        <v>13.307888318148899</v>
      </c>
      <c r="W2260" s="4" t="str">
        <f>"efk-1"</f>
        <v>efk-1</v>
      </c>
      <c r="X2260" s="4">
        <v>13.1528102109312</v>
      </c>
      <c r="Y2260" s="4">
        <v>13.4749866043653</v>
      </c>
      <c r="Z2260" s="4">
        <v>13.3688524509391</v>
      </c>
      <c r="AA2260" s="4">
        <f t="shared" si="143"/>
        <v>13.332216422078533</v>
      </c>
    </row>
    <row r="2261" spans="2:27" x14ac:dyDescent="0.2">
      <c r="B2261" s="4" t="s">
        <v>2091</v>
      </c>
      <c r="C2261" s="4">
        <v>13.979100000000001</v>
      </c>
      <c r="D2261" s="4">
        <v>13.5921</v>
      </c>
      <c r="E2261" s="4">
        <v>13.5656</v>
      </c>
      <c r="F2261" s="4">
        <f t="shared" si="140"/>
        <v>13.712266666666666</v>
      </c>
      <c r="I2261" s="4" t="s">
        <v>3175</v>
      </c>
      <c r="J2261" s="4">
        <v>13.997199999999999</v>
      </c>
      <c r="K2261" s="4">
        <v>13.6417</v>
      </c>
      <c r="L2261" s="4">
        <v>13.5169</v>
      </c>
      <c r="M2261" s="4">
        <f t="shared" si="141"/>
        <v>13.7186</v>
      </c>
      <c r="P2261" s="4" t="str">
        <f>"rnst-2"</f>
        <v>rnst-2</v>
      </c>
      <c r="Q2261" s="4">
        <v>13.2938032287738</v>
      </c>
      <c r="R2261" s="4">
        <v>13.374103662498401</v>
      </c>
      <c r="S2261" s="4">
        <v>13.2553351772815</v>
      </c>
      <c r="T2261" s="4">
        <f t="shared" si="142"/>
        <v>13.307747356184569</v>
      </c>
      <c r="W2261" s="4" t="str">
        <f>"ldb-1"</f>
        <v>ldb-1</v>
      </c>
      <c r="X2261" s="4">
        <v>13.373463894297901</v>
      </c>
      <c r="Y2261" s="4">
        <v>13.277531300550001</v>
      </c>
      <c r="Z2261" s="4">
        <v>13.344441836359101</v>
      </c>
      <c r="AA2261" s="4">
        <f t="shared" si="143"/>
        <v>13.331812343735669</v>
      </c>
    </row>
    <row r="2262" spans="2:27" x14ac:dyDescent="0.2">
      <c r="B2262" s="4" t="s">
        <v>369</v>
      </c>
      <c r="C2262" s="4">
        <v>13.3307</v>
      </c>
      <c r="D2262" s="4">
        <v>14.273099999999999</v>
      </c>
      <c r="E2262" s="4">
        <v>13.5319</v>
      </c>
      <c r="F2262" s="4">
        <f t="shared" si="140"/>
        <v>13.7119</v>
      </c>
      <c r="I2262" s="4" t="s">
        <v>527</v>
      </c>
      <c r="J2262" s="4">
        <v>13.9998</v>
      </c>
      <c r="K2262" s="4">
        <v>14.089600000000001</v>
      </c>
      <c r="L2262" s="4">
        <v>13.0662</v>
      </c>
      <c r="M2262" s="4">
        <f t="shared" si="141"/>
        <v>13.718533333333333</v>
      </c>
      <c r="P2262" s="4" t="str">
        <f>"pes-7"</f>
        <v>pes-7</v>
      </c>
      <c r="Q2262" s="4">
        <v>13.4185544139629</v>
      </c>
      <c r="R2262" s="4">
        <v>13.365177339651</v>
      </c>
      <c r="S2262" s="4">
        <v>13.1352100638741</v>
      </c>
      <c r="T2262" s="4">
        <f t="shared" si="142"/>
        <v>13.306313939162665</v>
      </c>
      <c r="W2262" s="4" t="str">
        <f>"mig-14"</f>
        <v>mig-14</v>
      </c>
      <c r="X2262" s="4">
        <v>13.4599758506151</v>
      </c>
      <c r="Y2262" s="4">
        <v>13.2689408901369</v>
      </c>
      <c r="Z2262" s="4">
        <v>13.265663149058099</v>
      </c>
      <c r="AA2262" s="4">
        <f t="shared" si="143"/>
        <v>13.331526629936699</v>
      </c>
    </row>
    <row r="2263" spans="2:27" x14ac:dyDescent="0.2">
      <c r="B2263" s="4" t="s">
        <v>761</v>
      </c>
      <c r="C2263" s="4">
        <v>13.551399999999999</v>
      </c>
      <c r="D2263" s="4">
        <v>13.719099999999999</v>
      </c>
      <c r="E2263" s="4">
        <v>13.8636</v>
      </c>
      <c r="F2263" s="4">
        <f t="shared" si="140"/>
        <v>13.711366666666665</v>
      </c>
      <c r="I2263" s="4" t="s">
        <v>2141</v>
      </c>
      <c r="J2263" s="4">
        <v>13.714</v>
      </c>
      <c r="K2263" s="4">
        <v>13.4869</v>
      </c>
      <c r="L2263" s="4">
        <v>13.9535</v>
      </c>
      <c r="M2263" s="4">
        <f t="shared" si="141"/>
        <v>13.718133333333334</v>
      </c>
      <c r="P2263" s="4" t="str">
        <f>"Y54F10AR.2"</f>
        <v>Y54F10AR.2</v>
      </c>
      <c r="Q2263" s="4">
        <v>13.1781189320624</v>
      </c>
      <c r="R2263" s="4">
        <v>13.3814871163157</v>
      </c>
      <c r="S2263" s="4">
        <v>13.358577233821</v>
      </c>
      <c r="T2263" s="4">
        <f t="shared" si="142"/>
        <v>13.306061094066367</v>
      </c>
      <c r="W2263" s="4" t="str">
        <f>"sec-16a.2"</f>
        <v>sec-16a.2</v>
      </c>
      <c r="X2263" s="4">
        <v>13.2443495184685</v>
      </c>
      <c r="Y2263" s="4">
        <v>13.5771028099829</v>
      </c>
      <c r="Z2263" s="4">
        <v>13.1730085622363</v>
      </c>
      <c r="AA2263" s="4">
        <f t="shared" si="143"/>
        <v>13.331486963562567</v>
      </c>
    </row>
    <row r="2264" spans="2:27" x14ac:dyDescent="0.2">
      <c r="B2264" s="4" t="s">
        <v>67</v>
      </c>
      <c r="C2264" s="4">
        <v>14.0039</v>
      </c>
      <c r="D2264" s="4">
        <v>13.5998</v>
      </c>
      <c r="E2264" s="4">
        <v>13.528700000000001</v>
      </c>
      <c r="F2264" s="4">
        <f t="shared" si="140"/>
        <v>13.710800000000001</v>
      </c>
      <c r="I2264" s="4" t="s">
        <v>2220</v>
      </c>
      <c r="J2264" s="4">
        <v>13.490399999999999</v>
      </c>
      <c r="K2264" s="4">
        <v>13.666700000000001</v>
      </c>
      <c r="L2264" s="4">
        <v>13.9938</v>
      </c>
      <c r="M2264" s="4">
        <f t="shared" si="141"/>
        <v>13.716966666666666</v>
      </c>
      <c r="P2264" s="4" t="str">
        <f>"unc-11"</f>
        <v>unc-11</v>
      </c>
      <c r="Q2264" s="4">
        <v>13.120529691507899</v>
      </c>
      <c r="R2264" s="4">
        <v>13.5283919833829</v>
      </c>
      <c r="S2264" s="4">
        <v>13.2608050800843</v>
      </c>
      <c r="T2264" s="4">
        <f t="shared" si="142"/>
        <v>13.303242251658366</v>
      </c>
      <c r="W2264" s="4" t="str">
        <f>"F57F4.1"</f>
        <v>F57F4.1</v>
      </c>
      <c r="X2264" s="4">
        <v>13.278520330031601</v>
      </c>
      <c r="Y2264" s="4">
        <v>12.794497073803401</v>
      </c>
      <c r="Z2264" s="4">
        <v>13.917206754215799</v>
      </c>
      <c r="AA2264" s="4">
        <f t="shared" si="143"/>
        <v>13.330074719350266</v>
      </c>
    </row>
    <row r="2265" spans="2:27" x14ac:dyDescent="0.2">
      <c r="B2265" s="4" t="s">
        <v>4711</v>
      </c>
      <c r="C2265" s="4">
        <v>13.4337</v>
      </c>
      <c r="D2265" s="4">
        <v>13.7248</v>
      </c>
      <c r="E2265" s="4">
        <v>13.9726</v>
      </c>
      <c r="F2265" s="4">
        <f t="shared" si="140"/>
        <v>13.710366666666667</v>
      </c>
      <c r="I2265" s="4" t="s">
        <v>3444</v>
      </c>
      <c r="J2265" s="4">
        <v>13.4183</v>
      </c>
      <c r="K2265" s="4">
        <v>14.0068</v>
      </c>
      <c r="L2265" s="4">
        <v>13.725199999999999</v>
      </c>
      <c r="M2265" s="4">
        <f t="shared" si="141"/>
        <v>13.716766666666667</v>
      </c>
      <c r="P2265" s="4" t="str">
        <f>"pfn-2"</f>
        <v>pfn-2</v>
      </c>
      <c r="Q2265" s="4">
        <v>13.119705618369901</v>
      </c>
      <c r="R2265" s="4">
        <v>13.446880765195001</v>
      </c>
      <c r="S2265" s="4">
        <v>13.342559313652901</v>
      </c>
      <c r="T2265" s="4">
        <f t="shared" si="142"/>
        <v>13.303048565739267</v>
      </c>
      <c r="W2265" s="4" t="str">
        <f>"C45G9.5"</f>
        <v>C45G9.5</v>
      </c>
      <c r="X2265" s="4">
        <v>13.375103547159</v>
      </c>
      <c r="Y2265" s="4">
        <v>13.373715157700699</v>
      </c>
      <c r="Z2265" s="4">
        <v>13.2398553346623</v>
      </c>
      <c r="AA2265" s="4">
        <f t="shared" si="143"/>
        <v>13.329558013174001</v>
      </c>
    </row>
    <row r="2266" spans="2:27" x14ac:dyDescent="0.2">
      <c r="B2266" s="4" t="s">
        <v>687</v>
      </c>
      <c r="C2266" s="4">
        <v>12.960100000000001</v>
      </c>
      <c r="D2266" s="4">
        <v>14.1592</v>
      </c>
      <c r="E2266" s="4">
        <v>14.0082</v>
      </c>
      <c r="F2266" s="4">
        <f t="shared" si="140"/>
        <v>13.709166666666668</v>
      </c>
      <c r="I2266" s="4" t="s">
        <v>4542</v>
      </c>
      <c r="J2266" s="4">
        <v>13.8599</v>
      </c>
      <c r="K2266" s="4">
        <v>14.145799999999999</v>
      </c>
      <c r="L2266" s="4">
        <v>13.1434</v>
      </c>
      <c r="M2266" s="4">
        <f t="shared" si="141"/>
        <v>13.716366666666666</v>
      </c>
      <c r="P2266" s="4" t="str">
        <f>"gst-43"</f>
        <v>gst-43</v>
      </c>
      <c r="Q2266" s="4">
        <v>13.325931781029301</v>
      </c>
      <c r="R2266" s="4">
        <v>13.3600764783294</v>
      </c>
      <c r="S2266" s="4">
        <v>13.219267486728899</v>
      </c>
      <c r="T2266" s="4">
        <f t="shared" si="142"/>
        <v>13.301758582029199</v>
      </c>
      <c r="W2266" s="4" t="str">
        <f>"M01E5.2"</f>
        <v>M01E5.2</v>
      </c>
      <c r="X2266" s="4">
        <v>13.339381501220601</v>
      </c>
      <c r="Y2266" s="4">
        <v>13.3530507134396</v>
      </c>
      <c r="Z2266" s="4">
        <v>13.290066738959499</v>
      </c>
      <c r="AA2266" s="4">
        <f t="shared" si="143"/>
        <v>13.327499651206566</v>
      </c>
    </row>
    <row r="2267" spans="2:27" x14ac:dyDescent="0.2">
      <c r="B2267" s="4" t="s">
        <v>1068</v>
      </c>
      <c r="C2267" s="4">
        <v>14.0924</v>
      </c>
      <c r="D2267" s="4">
        <v>13.6074</v>
      </c>
      <c r="E2267" s="4">
        <v>13.4276</v>
      </c>
      <c r="F2267" s="4">
        <f t="shared" si="140"/>
        <v>13.709133333333334</v>
      </c>
      <c r="I2267" s="4" t="s">
        <v>2773</v>
      </c>
      <c r="J2267" s="4">
        <v>13.225</v>
      </c>
      <c r="K2267" s="4">
        <v>13.754799999999999</v>
      </c>
      <c r="L2267" s="4">
        <v>14.165100000000001</v>
      </c>
      <c r="M2267" s="4">
        <f t="shared" si="141"/>
        <v>13.714966666666667</v>
      </c>
      <c r="P2267" s="4" t="str">
        <f>"trd-1"</f>
        <v>trd-1</v>
      </c>
      <c r="Q2267" s="4">
        <v>13.057157083106899</v>
      </c>
      <c r="R2267" s="4">
        <v>13.5797687796665</v>
      </c>
      <c r="S2267" s="4">
        <v>13.261098947234</v>
      </c>
      <c r="T2267" s="4">
        <f t="shared" si="142"/>
        <v>13.299341603335799</v>
      </c>
      <c r="W2267" s="4" t="str">
        <f>"F46B6.4"</f>
        <v>F46B6.4</v>
      </c>
      <c r="X2267" s="4">
        <v>12.971431631506301</v>
      </c>
      <c r="Y2267" s="4">
        <v>13.263274804798799</v>
      </c>
      <c r="Z2267" s="4">
        <v>13.744104581582601</v>
      </c>
      <c r="AA2267" s="4">
        <f t="shared" si="143"/>
        <v>13.326270339295901</v>
      </c>
    </row>
    <row r="2268" spans="2:27" x14ac:dyDescent="0.2">
      <c r="B2268" s="4" t="s">
        <v>778</v>
      </c>
      <c r="C2268" s="4">
        <v>13.847799999999999</v>
      </c>
      <c r="D2268" s="4">
        <v>13.3817</v>
      </c>
      <c r="E2268" s="4">
        <v>13.8925</v>
      </c>
      <c r="F2268" s="4">
        <f t="shared" si="140"/>
        <v>13.707333333333333</v>
      </c>
      <c r="I2268" s="4" t="s">
        <v>34</v>
      </c>
      <c r="J2268" s="4">
        <v>13.9428</v>
      </c>
      <c r="K2268" s="4">
        <v>13.382099999999999</v>
      </c>
      <c r="L2268" s="4">
        <v>13.814500000000001</v>
      </c>
      <c r="M2268" s="4">
        <f t="shared" si="141"/>
        <v>13.713133333333333</v>
      </c>
      <c r="P2268" s="4" t="str">
        <f>"dpy-11"</f>
        <v>dpy-11</v>
      </c>
      <c r="Q2268" s="4">
        <v>13.0240002956751</v>
      </c>
      <c r="R2268" s="4">
        <v>13.4605856019221</v>
      </c>
      <c r="S2268" s="4">
        <v>13.4132469825256</v>
      </c>
      <c r="T2268" s="4">
        <f t="shared" si="142"/>
        <v>13.2992776267076</v>
      </c>
      <c r="W2268" s="4" t="str">
        <f>"inx-16"</f>
        <v>inx-16</v>
      </c>
      <c r="X2268" s="4">
        <v>13.272617511140799</v>
      </c>
      <c r="Y2268" s="4">
        <v>13.231682951956699</v>
      </c>
      <c r="Z2268" s="4">
        <v>13.4714811647356</v>
      </c>
      <c r="AA2268" s="4">
        <f t="shared" si="143"/>
        <v>13.325260542611034</v>
      </c>
    </row>
    <row r="2269" spans="2:27" x14ac:dyDescent="0.2">
      <c r="B2269" s="4" t="s">
        <v>2807</v>
      </c>
      <c r="C2269" s="4">
        <v>13.609299999999999</v>
      </c>
      <c r="D2269" s="4">
        <v>13.6732</v>
      </c>
      <c r="E2269" s="4">
        <v>13.8384</v>
      </c>
      <c r="F2269" s="4">
        <f t="shared" si="140"/>
        <v>13.706966666666666</v>
      </c>
      <c r="I2269" s="4" t="s">
        <v>2361</v>
      </c>
      <c r="J2269" s="4">
        <v>13.950799999999999</v>
      </c>
      <c r="K2269" s="4">
        <v>13.603</v>
      </c>
      <c r="L2269" s="4">
        <v>13.585599999999999</v>
      </c>
      <c r="M2269" s="4">
        <f t="shared" si="141"/>
        <v>13.713133333333332</v>
      </c>
      <c r="P2269" s="4" t="str">
        <f>"H17B01.2"</f>
        <v>H17B01.2</v>
      </c>
      <c r="Q2269" s="4">
        <v>13.1885090220827</v>
      </c>
      <c r="R2269" s="4">
        <v>13.076974139016199</v>
      </c>
      <c r="S2269" s="4">
        <v>13.627794264224899</v>
      </c>
      <c r="T2269" s="4">
        <f t="shared" si="142"/>
        <v>13.2977591417746</v>
      </c>
      <c r="W2269" s="4" t="str">
        <f>"sinh-1"</f>
        <v>sinh-1</v>
      </c>
      <c r="X2269" s="4">
        <v>13.431692198746401</v>
      </c>
      <c r="Y2269" s="4">
        <v>13.478480253643999</v>
      </c>
      <c r="Z2269" s="4">
        <v>13.062977637775001</v>
      </c>
      <c r="AA2269" s="4">
        <f t="shared" si="143"/>
        <v>13.324383363388465</v>
      </c>
    </row>
    <row r="2270" spans="2:27" x14ac:dyDescent="0.2">
      <c r="B2270" s="4" t="s">
        <v>2635</v>
      </c>
      <c r="C2270" s="4">
        <v>14.0557</v>
      </c>
      <c r="D2270" s="4">
        <v>13.7918</v>
      </c>
      <c r="E2270" s="4">
        <v>13.2723</v>
      </c>
      <c r="F2270" s="4">
        <f t="shared" si="140"/>
        <v>13.7066</v>
      </c>
      <c r="I2270" s="4" t="s">
        <v>3618</v>
      </c>
      <c r="J2270" s="4">
        <v>13.7324</v>
      </c>
      <c r="K2270" s="4">
        <v>13.6112</v>
      </c>
      <c r="L2270" s="4">
        <v>13.792199999999999</v>
      </c>
      <c r="M2270" s="4">
        <f t="shared" si="141"/>
        <v>13.711933333333334</v>
      </c>
      <c r="P2270" s="4" t="str">
        <f>"Y59E9AL.36"</f>
        <v>Y59E9AL.36</v>
      </c>
      <c r="Q2270" s="4">
        <v>12.5872069489543</v>
      </c>
      <c r="R2270" s="4">
        <v>13.7005080198574</v>
      </c>
      <c r="S2270" s="4">
        <v>13.601620635628</v>
      </c>
      <c r="T2270" s="4">
        <f t="shared" si="142"/>
        <v>13.2964452014799</v>
      </c>
      <c r="W2270" s="4" t="str">
        <f>"Y39A1A.21"</f>
        <v>Y39A1A.21</v>
      </c>
      <c r="X2270" s="4">
        <v>13.459252734884901</v>
      </c>
      <c r="Y2270" s="4">
        <v>12.891366541932801</v>
      </c>
      <c r="Z2270" s="4">
        <v>13.616846777668901</v>
      </c>
      <c r="AA2270" s="4">
        <f t="shared" si="143"/>
        <v>13.322488684828869</v>
      </c>
    </row>
    <row r="2271" spans="2:27" x14ac:dyDescent="0.2">
      <c r="B2271" s="4" t="s">
        <v>4145</v>
      </c>
      <c r="C2271" s="4">
        <v>12.6935</v>
      </c>
      <c r="D2271" s="4">
        <v>14.582000000000001</v>
      </c>
      <c r="E2271" s="4">
        <v>13.8436</v>
      </c>
      <c r="F2271" s="4">
        <f t="shared" si="140"/>
        <v>13.706366666666668</v>
      </c>
      <c r="I2271" s="4" t="s">
        <v>1761</v>
      </c>
      <c r="J2271" s="4">
        <v>13.7546</v>
      </c>
      <c r="K2271" s="4">
        <v>13.5367</v>
      </c>
      <c r="L2271" s="4">
        <v>13.8432</v>
      </c>
      <c r="M2271" s="4">
        <f t="shared" si="141"/>
        <v>13.711500000000001</v>
      </c>
      <c r="P2271" s="4" t="str">
        <f>"rde-4"</f>
        <v>rde-4</v>
      </c>
      <c r="Q2271" s="4">
        <v>12.9353275641773</v>
      </c>
      <c r="R2271" s="4">
        <v>13.488741341119599</v>
      </c>
      <c r="S2271" s="4">
        <v>13.4614349082168</v>
      </c>
      <c r="T2271" s="4">
        <f t="shared" si="142"/>
        <v>13.295167937837901</v>
      </c>
      <c r="W2271" s="4" t="str">
        <f>"atgp-1"</f>
        <v>atgp-1</v>
      </c>
      <c r="X2271" s="4">
        <v>13.405830662102799</v>
      </c>
      <c r="Y2271" s="4">
        <v>13.1649589125044</v>
      </c>
      <c r="Z2271" s="4">
        <v>13.3956577297173</v>
      </c>
      <c r="AA2271" s="4">
        <f t="shared" si="143"/>
        <v>13.322149101441498</v>
      </c>
    </row>
    <row r="2272" spans="2:27" x14ac:dyDescent="0.2">
      <c r="B2272" s="4" t="s">
        <v>2422</v>
      </c>
      <c r="C2272" s="4">
        <v>13.7263</v>
      </c>
      <c r="D2272" s="4">
        <v>13.6144</v>
      </c>
      <c r="E2272" s="4">
        <v>13.776300000000001</v>
      </c>
      <c r="F2272" s="4">
        <f t="shared" si="140"/>
        <v>13.705666666666666</v>
      </c>
      <c r="I2272" s="4" t="s">
        <v>1838</v>
      </c>
      <c r="J2272" s="4">
        <v>13.6656</v>
      </c>
      <c r="K2272" s="4">
        <v>13.9947</v>
      </c>
      <c r="L2272" s="4">
        <v>13.4658</v>
      </c>
      <c r="M2272" s="4">
        <f t="shared" si="141"/>
        <v>13.7087</v>
      </c>
      <c r="P2272" s="4" t="str">
        <f>"Y37D8A.2"</f>
        <v>Y37D8A.2</v>
      </c>
      <c r="Q2272" s="4">
        <v>13.269242968175</v>
      </c>
      <c r="R2272" s="4">
        <v>13.2293345562186</v>
      </c>
      <c r="S2272" s="4">
        <v>13.385105717008001</v>
      </c>
      <c r="T2272" s="4">
        <f t="shared" si="142"/>
        <v>13.294561080467199</v>
      </c>
      <c r="W2272" s="4" t="str">
        <f>"prg-1"</f>
        <v>prg-1</v>
      </c>
      <c r="X2272" s="4">
        <v>13.4371654228349</v>
      </c>
      <c r="Y2272" s="4">
        <v>13.416925904178701</v>
      </c>
      <c r="Z2272" s="4">
        <v>13.109051599183299</v>
      </c>
      <c r="AA2272" s="4">
        <f t="shared" si="143"/>
        <v>13.321047642065631</v>
      </c>
    </row>
    <row r="2273" spans="2:27" x14ac:dyDescent="0.2">
      <c r="B2273" s="4" t="s">
        <v>1312</v>
      </c>
      <c r="C2273" s="4">
        <v>13.3476</v>
      </c>
      <c r="D2273" s="4">
        <v>13.8142</v>
      </c>
      <c r="E2273" s="4">
        <v>13.947100000000001</v>
      </c>
      <c r="F2273" s="4">
        <f t="shared" si="140"/>
        <v>13.702966666666667</v>
      </c>
      <c r="I2273" s="4" t="s">
        <v>3997</v>
      </c>
      <c r="J2273" s="4">
        <v>13.9217</v>
      </c>
      <c r="K2273" s="4">
        <v>13.7019</v>
      </c>
      <c r="L2273" s="4">
        <v>13.498699999999999</v>
      </c>
      <c r="M2273" s="4">
        <f t="shared" si="141"/>
        <v>13.707433333333332</v>
      </c>
      <c r="P2273" s="4" t="str">
        <f>"uggt-1"</f>
        <v>uggt-1</v>
      </c>
      <c r="Q2273" s="4">
        <v>13.190102374125701</v>
      </c>
      <c r="R2273" s="4">
        <v>13.356570182347401</v>
      </c>
      <c r="S2273" s="4">
        <v>13.330868927708799</v>
      </c>
      <c r="T2273" s="4">
        <f t="shared" si="142"/>
        <v>13.292513828060635</v>
      </c>
      <c r="W2273" s="4" t="str">
        <f>"F30A10.9"</f>
        <v>F30A10.9</v>
      </c>
      <c r="X2273" s="4">
        <v>13.599017444310499</v>
      </c>
      <c r="Y2273" s="4">
        <v>13.1977813663022</v>
      </c>
      <c r="Z2273" s="4">
        <v>13.1628654636636</v>
      </c>
      <c r="AA2273" s="4">
        <f t="shared" si="143"/>
        <v>13.319888091425433</v>
      </c>
    </row>
    <row r="2274" spans="2:27" x14ac:dyDescent="0.2">
      <c r="B2274" s="4" t="s">
        <v>4779</v>
      </c>
      <c r="C2274" s="4">
        <v>13.6991</v>
      </c>
      <c r="D2274" s="4">
        <v>13.785</v>
      </c>
      <c r="E2274" s="4">
        <v>13.6242</v>
      </c>
      <c r="F2274" s="4">
        <f t="shared" si="140"/>
        <v>13.702766666666667</v>
      </c>
      <c r="I2274" s="4" t="s">
        <v>414</v>
      </c>
      <c r="J2274" s="4">
        <v>13.6594</v>
      </c>
      <c r="K2274" s="4">
        <v>13.450100000000001</v>
      </c>
      <c r="L2274" s="4">
        <v>14.008100000000001</v>
      </c>
      <c r="M2274" s="4">
        <f t="shared" si="141"/>
        <v>13.705866666666667</v>
      </c>
      <c r="P2274" s="4" t="str">
        <f>"cpna-2"</f>
        <v>cpna-2</v>
      </c>
      <c r="Q2274" s="4">
        <v>13.3268990590665</v>
      </c>
      <c r="R2274" s="4">
        <v>13.1069232336468</v>
      </c>
      <c r="S2274" s="4">
        <v>13.442811882973199</v>
      </c>
      <c r="T2274" s="4">
        <f t="shared" si="142"/>
        <v>13.292211391895501</v>
      </c>
      <c r="W2274" s="4" t="str">
        <f>"sma-9"</f>
        <v>sma-9</v>
      </c>
      <c r="X2274" s="4">
        <v>13.1559286726394</v>
      </c>
      <c r="Y2274" s="4">
        <v>13.597325076188501</v>
      </c>
      <c r="Z2274" s="4">
        <v>13.2062802541664</v>
      </c>
      <c r="AA2274" s="4">
        <f t="shared" si="143"/>
        <v>13.319844667664768</v>
      </c>
    </row>
    <row r="2275" spans="2:27" x14ac:dyDescent="0.2">
      <c r="B2275" s="4" t="s">
        <v>743</v>
      </c>
      <c r="C2275" s="4">
        <v>13.4076</v>
      </c>
      <c r="D2275" s="4">
        <v>13.8626</v>
      </c>
      <c r="E2275" s="4">
        <v>13.836399999999999</v>
      </c>
      <c r="F2275" s="4">
        <f t="shared" si="140"/>
        <v>13.702199999999999</v>
      </c>
      <c r="I2275" s="4" t="s">
        <v>4196</v>
      </c>
      <c r="J2275" s="4">
        <v>13.826499999999999</v>
      </c>
      <c r="K2275" s="4">
        <v>13.7333</v>
      </c>
      <c r="L2275" s="4">
        <v>13.557700000000001</v>
      </c>
      <c r="M2275" s="4">
        <f t="shared" si="141"/>
        <v>13.705833333333333</v>
      </c>
      <c r="P2275" s="4" t="str">
        <f>"teg-4"</f>
        <v>teg-4</v>
      </c>
      <c r="Q2275" s="4">
        <v>13.359116124033299</v>
      </c>
      <c r="R2275" s="4">
        <v>13.222286999434999</v>
      </c>
      <c r="S2275" s="4">
        <v>13.2841054764472</v>
      </c>
      <c r="T2275" s="4">
        <f t="shared" si="142"/>
        <v>13.288502866638501</v>
      </c>
      <c r="W2275" s="4" t="str">
        <f>"pqn-87"</f>
        <v>pqn-87</v>
      </c>
      <c r="X2275" s="4">
        <v>13.199679006965599</v>
      </c>
      <c r="Y2275" s="4">
        <v>13.407303767371101</v>
      </c>
      <c r="Z2275" s="4">
        <v>13.3495110051946</v>
      </c>
      <c r="AA2275" s="4">
        <f t="shared" si="143"/>
        <v>13.318831259843767</v>
      </c>
    </row>
    <row r="2276" spans="2:27" x14ac:dyDescent="0.2">
      <c r="B2276" s="4" t="s">
        <v>4170</v>
      </c>
      <c r="C2276" s="4">
        <v>13.6928</v>
      </c>
      <c r="D2276" s="4">
        <v>13.7759</v>
      </c>
      <c r="E2276" s="4">
        <v>13.6349</v>
      </c>
      <c r="F2276" s="4">
        <f t="shared" si="140"/>
        <v>13.7012</v>
      </c>
      <c r="I2276" s="4" t="s">
        <v>2016</v>
      </c>
      <c r="J2276" s="4">
        <v>13.5853</v>
      </c>
      <c r="K2276" s="4">
        <v>13.5527</v>
      </c>
      <c r="L2276" s="4">
        <v>13.9748</v>
      </c>
      <c r="M2276" s="4">
        <f t="shared" si="141"/>
        <v>13.704266666666667</v>
      </c>
      <c r="P2276" s="4" t="str">
        <f>"fem-2"</f>
        <v>fem-2</v>
      </c>
      <c r="Q2276" s="4">
        <v>13.2942740112133</v>
      </c>
      <c r="R2276" s="4">
        <v>13.337392635411399</v>
      </c>
      <c r="S2276" s="4">
        <v>13.2292310515735</v>
      </c>
      <c r="T2276" s="4">
        <f t="shared" si="142"/>
        <v>13.2869658993994</v>
      </c>
      <c r="W2276" s="4" t="str">
        <f>"tald-1"</f>
        <v>tald-1</v>
      </c>
      <c r="X2276" s="4">
        <v>12.9988509404451</v>
      </c>
      <c r="Y2276" s="4">
        <v>13.3016983100147</v>
      </c>
      <c r="Z2276" s="4">
        <v>13.6472545857727</v>
      </c>
      <c r="AA2276" s="4">
        <f t="shared" si="143"/>
        <v>13.3159346120775</v>
      </c>
    </row>
    <row r="2277" spans="2:27" x14ac:dyDescent="0.2">
      <c r="B2277" s="4" t="s">
        <v>114</v>
      </c>
      <c r="C2277" s="4">
        <v>13.6149</v>
      </c>
      <c r="D2277" s="4">
        <v>14.010899999999999</v>
      </c>
      <c r="E2277" s="4">
        <v>13.4679</v>
      </c>
      <c r="F2277" s="4">
        <f t="shared" si="140"/>
        <v>13.697899999999999</v>
      </c>
      <c r="I2277" s="4" t="s">
        <v>4780</v>
      </c>
      <c r="J2277" s="4">
        <v>13.950100000000001</v>
      </c>
      <c r="K2277" s="4">
        <v>13.756500000000001</v>
      </c>
      <c r="L2277" s="4">
        <v>13.405799999999999</v>
      </c>
      <c r="M2277" s="4">
        <f t="shared" si="141"/>
        <v>13.704133333333333</v>
      </c>
      <c r="P2277" s="4" t="str">
        <f>"rgr-1"</f>
        <v>rgr-1</v>
      </c>
      <c r="Q2277" s="4">
        <v>13.159239022100399</v>
      </c>
      <c r="R2277" s="4">
        <v>13.2502166472137</v>
      </c>
      <c r="S2277" s="4">
        <v>13.450834438301699</v>
      </c>
      <c r="T2277" s="4">
        <f t="shared" si="142"/>
        <v>13.286763369205266</v>
      </c>
      <c r="W2277" s="4" t="str">
        <f>"F07F6.4"</f>
        <v>F07F6.4</v>
      </c>
      <c r="X2277" s="4">
        <v>13.0994815439661</v>
      </c>
      <c r="Y2277" s="4">
        <v>13.27412543162</v>
      </c>
      <c r="Z2277" s="4">
        <v>13.5733922282396</v>
      </c>
      <c r="AA2277" s="4">
        <f t="shared" si="143"/>
        <v>13.315666401275232</v>
      </c>
    </row>
    <row r="2278" spans="2:27" x14ac:dyDescent="0.2">
      <c r="B2278" s="4" t="s">
        <v>95</v>
      </c>
      <c r="C2278" s="4">
        <v>13.6106</v>
      </c>
      <c r="D2278" s="4">
        <v>13.8675</v>
      </c>
      <c r="E2278" s="4">
        <v>13.598000000000001</v>
      </c>
      <c r="F2278" s="4">
        <f t="shared" si="140"/>
        <v>13.692033333333333</v>
      </c>
      <c r="I2278" s="4" t="s">
        <v>3145</v>
      </c>
      <c r="J2278" s="4">
        <v>13.711499999999999</v>
      </c>
      <c r="K2278" s="4">
        <v>13.8635</v>
      </c>
      <c r="L2278" s="4">
        <v>13.537100000000001</v>
      </c>
      <c r="M2278" s="4">
        <f t="shared" si="141"/>
        <v>13.704033333333333</v>
      </c>
      <c r="P2278" s="4" t="str">
        <f>"taf-5"</f>
        <v>taf-5</v>
      </c>
      <c r="Q2278" s="4">
        <v>12.848529598080701</v>
      </c>
      <c r="R2278" s="4">
        <v>13.4300471873912</v>
      </c>
      <c r="S2278" s="4">
        <v>13.5809815528582</v>
      </c>
      <c r="T2278" s="4">
        <f t="shared" si="142"/>
        <v>13.286519446110033</v>
      </c>
      <c r="W2278" s="4" t="str">
        <f>"M01F1.3"</f>
        <v>M01F1.3</v>
      </c>
      <c r="X2278" s="4">
        <v>13.196524695837899</v>
      </c>
      <c r="Y2278" s="4">
        <v>13.195440356748801</v>
      </c>
      <c r="Z2278" s="4">
        <v>13.5543487738758</v>
      </c>
      <c r="AA2278" s="4">
        <f t="shared" si="143"/>
        <v>13.315437942154167</v>
      </c>
    </row>
    <row r="2279" spans="2:27" x14ac:dyDescent="0.2">
      <c r="B2279" s="4" t="s">
        <v>2549</v>
      </c>
      <c r="C2279" s="4">
        <v>13.4945</v>
      </c>
      <c r="D2279" s="4">
        <v>13.8879</v>
      </c>
      <c r="E2279" s="4">
        <v>13.6934</v>
      </c>
      <c r="F2279" s="4">
        <f t="shared" si="140"/>
        <v>13.691933333333333</v>
      </c>
      <c r="I2279" s="4" t="s">
        <v>3241</v>
      </c>
      <c r="J2279" s="4">
        <v>13.672499999999999</v>
      </c>
      <c r="K2279" s="4">
        <v>13.7348</v>
      </c>
      <c r="L2279" s="4">
        <v>13.704599999999999</v>
      </c>
      <c r="M2279" s="4">
        <f t="shared" si="141"/>
        <v>13.703966666666666</v>
      </c>
      <c r="P2279" s="4" t="str">
        <f>"mrpl-22"</f>
        <v>mrpl-22</v>
      </c>
      <c r="Q2279" s="4">
        <v>13.217545157172101</v>
      </c>
      <c r="R2279" s="4">
        <v>13.359593175021001</v>
      </c>
      <c r="S2279" s="4">
        <v>13.280424172472699</v>
      </c>
      <c r="T2279" s="4">
        <f t="shared" si="142"/>
        <v>13.285854168221933</v>
      </c>
      <c r="W2279" s="4" t="str">
        <f>"tax-4"</f>
        <v>tax-4</v>
      </c>
      <c r="X2279" s="4">
        <v>14.023548188049499</v>
      </c>
      <c r="Y2279" s="4">
        <v>12.900083286168799</v>
      </c>
      <c r="Z2279" s="4">
        <v>13.016653581448001</v>
      </c>
      <c r="AA2279" s="4">
        <f t="shared" si="143"/>
        <v>13.313428351888765</v>
      </c>
    </row>
    <row r="2280" spans="2:27" x14ac:dyDescent="0.2">
      <c r="B2280" s="4" t="s">
        <v>541</v>
      </c>
      <c r="C2280" s="4">
        <v>13.4771</v>
      </c>
      <c r="D2280" s="4">
        <v>13.96</v>
      </c>
      <c r="E2280" s="4">
        <v>13.636799999999999</v>
      </c>
      <c r="F2280" s="4">
        <f t="shared" si="140"/>
        <v>13.6913</v>
      </c>
      <c r="I2280" s="4" t="s">
        <v>312</v>
      </c>
      <c r="J2280" s="4">
        <v>13.6378</v>
      </c>
      <c r="K2280" s="4">
        <v>13.1904</v>
      </c>
      <c r="L2280" s="4">
        <v>14.282999999999999</v>
      </c>
      <c r="M2280" s="4">
        <f t="shared" si="141"/>
        <v>13.703733333333334</v>
      </c>
      <c r="P2280" s="4" t="str">
        <f>"R119.2"</f>
        <v>R119.2</v>
      </c>
      <c r="Q2280" s="4">
        <v>13.5983008537494</v>
      </c>
      <c r="R2280" s="4">
        <v>12.9831696893739</v>
      </c>
      <c r="S2280" s="4">
        <v>13.2731215458719</v>
      </c>
      <c r="T2280" s="4">
        <f t="shared" si="142"/>
        <v>13.284864029665068</v>
      </c>
      <c r="W2280" s="4" t="str">
        <f>"lmn-1"</f>
        <v>lmn-1</v>
      </c>
      <c r="X2280" s="4">
        <v>13.428239824252501</v>
      </c>
      <c r="Y2280" s="4">
        <v>13.1301490443661</v>
      </c>
      <c r="Z2280" s="4">
        <v>13.3812228881516</v>
      </c>
      <c r="AA2280" s="4">
        <f t="shared" si="143"/>
        <v>13.313203918923399</v>
      </c>
    </row>
    <row r="2281" spans="2:27" x14ac:dyDescent="0.2">
      <c r="B2281" s="4" t="s">
        <v>2595</v>
      </c>
      <c r="C2281" s="4">
        <v>13.609500000000001</v>
      </c>
      <c r="D2281" s="4">
        <v>13.7235</v>
      </c>
      <c r="E2281" s="4">
        <v>13.740500000000001</v>
      </c>
      <c r="F2281" s="4">
        <f t="shared" si="140"/>
        <v>13.691166666666666</v>
      </c>
      <c r="I2281" s="4" t="s">
        <v>4741</v>
      </c>
      <c r="J2281" s="4">
        <v>13.9621</v>
      </c>
      <c r="K2281" s="4">
        <v>13.487399999999999</v>
      </c>
      <c r="L2281" s="4">
        <v>13.650700000000001</v>
      </c>
      <c r="M2281" s="4">
        <f t="shared" si="141"/>
        <v>13.700066666666666</v>
      </c>
      <c r="P2281" s="4" t="str">
        <f>"dcaf-1"</f>
        <v>dcaf-1</v>
      </c>
      <c r="Q2281" s="4">
        <v>12.948487188738101</v>
      </c>
      <c r="R2281" s="4">
        <v>13.4122605231834</v>
      </c>
      <c r="S2281" s="4">
        <v>13.491918981989</v>
      </c>
      <c r="T2281" s="4">
        <f t="shared" si="142"/>
        <v>13.284222231303501</v>
      </c>
      <c r="W2281" s="4" t="str">
        <f>"parp-1"</f>
        <v>parp-1</v>
      </c>
      <c r="X2281" s="4">
        <v>13.3943875347979</v>
      </c>
      <c r="Y2281" s="4">
        <v>13.2612589567226</v>
      </c>
      <c r="Z2281" s="4">
        <v>13.2775072064886</v>
      </c>
      <c r="AA2281" s="4">
        <f t="shared" si="143"/>
        <v>13.311051232669699</v>
      </c>
    </row>
    <row r="2282" spans="2:27" x14ac:dyDescent="0.2">
      <c r="B2282" s="4" t="s">
        <v>2163</v>
      </c>
      <c r="C2282" s="4">
        <v>13.756399999999999</v>
      </c>
      <c r="D2282" s="4">
        <v>13.4419</v>
      </c>
      <c r="E2282" s="4">
        <v>13.872</v>
      </c>
      <c r="F2282" s="4">
        <f t="shared" si="140"/>
        <v>13.690100000000001</v>
      </c>
      <c r="I2282" s="4" t="s">
        <v>774</v>
      </c>
      <c r="J2282" s="4">
        <v>13.405200000000001</v>
      </c>
      <c r="K2282" s="4">
        <v>14.8248</v>
      </c>
      <c r="L2282" s="4">
        <v>12.8688</v>
      </c>
      <c r="M2282" s="4">
        <f t="shared" si="141"/>
        <v>13.699599999999998</v>
      </c>
      <c r="P2282" s="4" t="str">
        <f>"saps-1"</f>
        <v>saps-1</v>
      </c>
      <c r="Q2282" s="4">
        <v>13.2747933107511</v>
      </c>
      <c r="R2282" s="4">
        <v>13.3234470968134</v>
      </c>
      <c r="S2282" s="4">
        <v>13.2488927467619</v>
      </c>
      <c r="T2282" s="4">
        <f t="shared" si="142"/>
        <v>13.282377718108799</v>
      </c>
      <c r="W2282" s="4" t="str">
        <f>"elo-5"</f>
        <v>elo-5</v>
      </c>
      <c r="X2282" s="4">
        <v>12.910608619670001</v>
      </c>
      <c r="Y2282" s="4">
        <v>14.0575105720797</v>
      </c>
      <c r="Z2282" s="4">
        <v>12.9615453481732</v>
      </c>
      <c r="AA2282" s="4">
        <f t="shared" si="143"/>
        <v>13.309888179974299</v>
      </c>
    </row>
    <row r="2283" spans="2:27" x14ac:dyDescent="0.2">
      <c r="B2283" s="4" t="s">
        <v>1035</v>
      </c>
      <c r="C2283" s="4">
        <v>13.612</v>
      </c>
      <c r="D2283" s="4">
        <v>13.9459</v>
      </c>
      <c r="E2283" s="4">
        <v>13.508699999999999</v>
      </c>
      <c r="F2283" s="4">
        <f t="shared" si="140"/>
        <v>13.688866666666668</v>
      </c>
      <c r="I2283" s="4" t="s">
        <v>2976</v>
      </c>
      <c r="J2283" s="4">
        <v>13.9359</v>
      </c>
      <c r="K2283" s="4">
        <v>13.6302</v>
      </c>
      <c r="L2283" s="4">
        <v>13.526199999999999</v>
      </c>
      <c r="M2283" s="4">
        <f t="shared" si="141"/>
        <v>13.697433333333331</v>
      </c>
      <c r="P2283" s="4" t="str">
        <f>"T06E6.1"</f>
        <v>T06E6.1</v>
      </c>
      <c r="Q2283" s="4">
        <v>12.8726095971157</v>
      </c>
      <c r="R2283" s="4">
        <v>13.4282434613713</v>
      </c>
      <c r="S2283" s="4">
        <v>13.544351817612499</v>
      </c>
      <c r="T2283" s="4">
        <f t="shared" si="142"/>
        <v>13.281734958699834</v>
      </c>
      <c r="W2283" s="4" t="str">
        <f>"plk-2"</f>
        <v>plk-2</v>
      </c>
      <c r="X2283" s="4">
        <v>13.4565729471505</v>
      </c>
      <c r="Y2283" s="4">
        <v>13.294470256571801</v>
      </c>
      <c r="Z2283" s="4">
        <v>13.175728562366899</v>
      </c>
      <c r="AA2283" s="4">
        <f t="shared" si="143"/>
        <v>13.308923922029734</v>
      </c>
    </row>
    <row r="2284" spans="2:27" x14ac:dyDescent="0.2">
      <c r="B2284" s="4" t="s">
        <v>3347</v>
      </c>
      <c r="C2284" s="4">
        <v>13.9312</v>
      </c>
      <c r="D2284" s="4">
        <v>13.2094</v>
      </c>
      <c r="E2284" s="4">
        <v>13.920199999999999</v>
      </c>
      <c r="F2284" s="4">
        <f t="shared" si="140"/>
        <v>13.686933333333334</v>
      </c>
      <c r="I2284" s="4" t="s">
        <v>1391</v>
      </c>
      <c r="J2284" s="4">
        <v>13.8927</v>
      </c>
      <c r="K2284" s="4">
        <v>13.64</v>
      </c>
      <c r="L2284" s="4">
        <v>13.558999999999999</v>
      </c>
      <c r="M2284" s="4">
        <f t="shared" si="141"/>
        <v>13.697233333333331</v>
      </c>
      <c r="P2284" s="4" t="str">
        <f>"ZK632.12"</f>
        <v>ZK632.12</v>
      </c>
      <c r="Q2284" s="4">
        <v>13.033577179617</v>
      </c>
      <c r="R2284" s="4">
        <v>13.340262272685401</v>
      </c>
      <c r="S2284" s="4">
        <v>13.471051334072801</v>
      </c>
      <c r="T2284" s="4">
        <f t="shared" si="142"/>
        <v>13.281630262125068</v>
      </c>
      <c r="W2284" s="4" t="str">
        <f>"pmr-1"</f>
        <v>pmr-1</v>
      </c>
      <c r="X2284" s="4">
        <v>13.4046412853512</v>
      </c>
      <c r="Y2284" s="4">
        <v>13.213473920260901</v>
      </c>
      <c r="Z2284" s="4">
        <v>13.3040001410683</v>
      </c>
      <c r="AA2284" s="4">
        <f t="shared" si="143"/>
        <v>13.307371782226801</v>
      </c>
    </row>
    <row r="2285" spans="2:27" x14ac:dyDescent="0.2">
      <c r="B2285" s="4" t="s">
        <v>2748</v>
      </c>
      <c r="C2285" s="4">
        <v>12.9392</v>
      </c>
      <c r="D2285" s="4">
        <v>14.6813</v>
      </c>
      <c r="E2285" s="4">
        <v>13.4367</v>
      </c>
      <c r="F2285" s="4">
        <f t="shared" si="140"/>
        <v>13.685733333333333</v>
      </c>
      <c r="I2285" s="4" t="s">
        <v>2275</v>
      </c>
      <c r="J2285" s="4">
        <v>13.7248</v>
      </c>
      <c r="K2285" s="4">
        <v>13.6937</v>
      </c>
      <c r="L2285" s="4">
        <v>13.6678</v>
      </c>
      <c r="M2285" s="4">
        <f t="shared" si="141"/>
        <v>13.695433333333334</v>
      </c>
      <c r="P2285" s="4" t="str">
        <f>"epg-5"</f>
        <v>epg-5</v>
      </c>
      <c r="Q2285" s="4">
        <v>13.2546108576714</v>
      </c>
      <c r="R2285" s="4">
        <v>13.2507345633041</v>
      </c>
      <c r="S2285" s="4">
        <v>13.3371191032633</v>
      </c>
      <c r="T2285" s="4">
        <f t="shared" si="142"/>
        <v>13.280821508079599</v>
      </c>
      <c r="W2285" s="4" t="str">
        <f>"C56A3.6"</f>
        <v>C56A3.6</v>
      </c>
      <c r="X2285" s="4">
        <v>13.4912316474473</v>
      </c>
      <c r="Y2285" s="4">
        <v>13.494778769349001</v>
      </c>
      <c r="Z2285" s="4">
        <v>12.932823493089799</v>
      </c>
      <c r="AA2285" s="4">
        <f t="shared" si="143"/>
        <v>13.306277969962034</v>
      </c>
    </row>
    <row r="2286" spans="2:27" x14ac:dyDescent="0.2">
      <c r="B2286" s="4" t="s">
        <v>1451</v>
      </c>
      <c r="C2286" s="4">
        <v>13.6753</v>
      </c>
      <c r="D2286" s="4">
        <v>13.7324</v>
      </c>
      <c r="E2286" s="4">
        <v>13.649100000000001</v>
      </c>
      <c r="F2286" s="4">
        <f t="shared" si="140"/>
        <v>13.685599999999999</v>
      </c>
      <c r="I2286" s="4" t="s">
        <v>23</v>
      </c>
      <c r="J2286" s="4">
        <v>13.940099999999999</v>
      </c>
      <c r="K2286" s="4">
        <v>13.7605</v>
      </c>
      <c r="L2286" s="4">
        <v>13.3847</v>
      </c>
      <c r="M2286" s="4">
        <f t="shared" si="141"/>
        <v>13.695100000000002</v>
      </c>
      <c r="P2286" s="4" t="str">
        <f>"ech-8"</f>
        <v>ech-8</v>
      </c>
      <c r="Q2286" s="4">
        <v>13.2119174564502</v>
      </c>
      <c r="R2286" s="4">
        <v>13.311921597370601</v>
      </c>
      <c r="S2286" s="4">
        <v>13.3178251762328</v>
      </c>
      <c r="T2286" s="4">
        <f t="shared" si="142"/>
        <v>13.280554743351201</v>
      </c>
      <c r="W2286" s="4" t="str">
        <f>"F10G2.1"</f>
        <v>F10G2.1</v>
      </c>
      <c r="X2286" s="4">
        <v>13.4701185323093</v>
      </c>
      <c r="Y2286" s="4">
        <v>12.983407574847501</v>
      </c>
      <c r="Z2286" s="4">
        <v>13.463590997915899</v>
      </c>
      <c r="AA2286" s="4">
        <f t="shared" si="143"/>
        <v>13.305705701690899</v>
      </c>
    </row>
    <row r="2287" spans="2:27" x14ac:dyDescent="0.2">
      <c r="B2287" s="4" t="s">
        <v>2691</v>
      </c>
      <c r="C2287" s="4">
        <v>13.9917</v>
      </c>
      <c r="D2287" s="4">
        <v>13.470800000000001</v>
      </c>
      <c r="E2287" s="4">
        <v>13.5937</v>
      </c>
      <c r="F2287" s="4">
        <f t="shared" si="140"/>
        <v>13.6854</v>
      </c>
      <c r="I2287" s="4" t="s">
        <v>2725</v>
      </c>
      <c r="J2287" s="4">
        <v>13.945</v>
      </c>
      <c r="K2287" s="4">
        <v>13.887700000000001</v>
      </c>
      <c r="L2287" s="4">
        <v>13.2441</v>
      </c>
      <c r="M2287" s="4">
        <f t="shared" si="141"/>
        <v>13.692266666666669</v>
      </c>
      <c r="P2287" s="4" t="str">
        <f>"Y116A8C.27"</f>
        <v>Y116A8C.27</v>
      </c>
      <c r="Q2287" s="4">
        <v>13.218390896455301</v>
      </c>
      <c r="R2287" s="4">
        <v>13.3291141855582</v>
      </c>
      <c r="S2287" s="4">
        <v>13.2920580436728</v>
      </c>
      <c r="T2287" s="4">
        <f t="shared" si="142"/>
        <v>13.279854375228766</v>
      </c>
      <c r="W2287" s="4" t="str">
        <f>"F09E5.11"</f>
        <v>F09E5.11</v>
      </c>
      <c r="X2287" s="4">
        <v>13.5724612052753</v>
      </c>
      <c r="Y2287" s="4">
        <v>12.911074052863</v>
      </c>
      <c r="Z2287" s="4">
        <v>13.427556171062401</v>
      </c>
      <c r="AA2287" s="4">
        <f t="shared" si="143"/>
        <v>13.3036971430669</v>
      </c>
    </row>
    <row r="2288" spans="2:27" x14ac:dyDescent="0.2">
      <c r="B2288" s="4" t="s">
        <v>4781</v>
      </c>
      <c r="C2288" s="4">
        <v>13.444599999999999</v>
      </c>
      <c r="D2288" s="4">
        <v>13.349</v>
      </c>
      <c r="E2288" s="4">
        <v>14.260199999999999</v>
      </c>
      <c r="F2288" s="4">
        <f t="shared" si="140"/>
        <v>13.684599999999998</v>
      </c>
      <c r="I2288" s="4" t="s">
        <v>786</v>
      </c>
      <c r="J2288" s="4">
        <v>13.758100000000001</v>
      </c>
      <c r="K2288" s="4">
        <v>13.739000000000001</v>
      </c>
      <c r="L2288" s="4">
        <v>13.576000000000001</v>
      </c>
      <c r="M2288" s="4">
        <f t="shared" si="141"/>
        <v>13.691033333333335</v>
      </c>
      <c r="P2288" s="4" t="str">
        <f>"lem-2"</f>
        <v>lem-2</v>
      </c>
      <c r="Q2288" s="4">
        <v>13.252454645766701</v>
      </c>
      <c r="R2288" s="4">
        <v>13.359020012506701</v>
      </c>
      <c r="S2288" s="4">
        <v>13.2222814090943</v>
      </c>
      <c r="T2288" s="4">
        <f t="shared" si="142"/>
        <v>13.277918689122567</v>
      </c>
      <c r="W2288" s="4" t="str">
        <f>"vha-1"</f>
        <v>vha-1</v>
      </c>
      <c r="X2288" s="4">
        <v>13.069901811612</v>
      </c>
      <c r="Y2288" s="4">
        <v>13.4871167701987</v>
      </c>
      <c r="Z2288" s="4">
        <v>13.3508236572386</v>
      </c>
      <c r="AA2288" s="4">
        <f t="shared" si="143"/>
        <v>13.302614079683101</v>
      </c>
    </row>
    <row r="2289" spans="2:27" x14ac:dyDescent="0.2">
      <c r="B2289" s="4" t="s">
        <v>3195</v>
      </c>
      <c r="C2289" s="4">
        <v>13.708600000000001</v>
      </c>
      <c r="D2289" s="4">
        <v>13.928699999999999</v>
      </c>
      <c r="E2289" s="4">
        <v>13.413399999999999</v>
      </c>
      <c r="F2289" s="4">
        <f t="shared" si="140"/>
        <v>13.683566666666666</v>
      </c>
      <c r="I2289" s="4" t="s">
        <v>4229</v>
      </c>
      <c r="J2289" s="4">
        <v>13.453200000000001</v>
      </c>
      <c r="K2289" s="4">
        <v>14.307</v>
      </c>
      <c r="L2289" s="4">
        <v>13.3108</v>
      </c>
      <c r="M2289" s="4">
        <f t="shared" si="141"/>
        <v>13.690333333333333</v>
      </c>
      <c r="P2289" s="4" t="str">
        <f>"immp-1"</f>
        <v>immp-1</v>
      </c>
      <c r="Q2289" s="4">
        <v>13.4173150151349</v>
      </c>
      <c r="R2289" s="4">
        <v>13.07998191908</v>
      </c>
      <c r="S2289" s="4">
        <v>13.329868288664001</v>
      </c>
      <c r="T2289" s="4">
        <f t="shared" si="142"/>
        <v>13.275721740959634</v>
      </c>
      <c r="W2289" s="4" t="str">
        <f>"R07G3.8"</f>
        <v>R07G3.8</v>
      </c>
      <c r="X2289" s="4">
        <v>13.057790355859</v>
      </c>
      <c r="Y2289" s="4">
        <v>13.435827885035399</v>
      </c>
      <c r="Z2289" s="4">
        <v>13.4134885693404</v>
      </c>
      <c r="AA2289" s="4">
        <f t="shared" si="143"/>
        <v>13.302368936744934</v>
      </c>
    </row>
    <row r="2290" spans="2:27" x14ac:dyDescent="0.2">
      <c r="B2290" s="4" t="s">
        <v>4716</v>
      </c>
      <c r="C2290" s="4">
        <v>14.299200000000001</v>
      </c>
      <c r="D2290" s="4">
        <v>12.647</v>
      </c>
      <c r="E2290" s="4">
        <v>14.1045</v>
      </c>
      <c r="F2290" s="4">
        <f t="shared" si="140"/>
        <v>13.683566666666666</v>
      </c>
      <c r="I2290" s="4" t="s">
        <v>3550</v>
      </c>
      <c r="J2290" s="4">
        <v>13.247400000000001</v>
      </c>
      <c r="K2290" s="4">
        <v>13.220599999999999</v>
      </c>
      <c r="L2290" s="4">
        <v>14.597099999999999</v>
      </c>
      <c r="M2290" s="4">
        <f t="shared" si="141"/>
        <v>13.688366666666667</v>
      </c>
      <c r="P2290" s="4" t="str">
        <f>"C53H9.2"</f>
        <v>C53H9.2</v>
      </c>
      <c r="Q2290" s="4">
        <v>13.344755330518399</v>
      </c>
      <c r="R2290" s="4">
        <v>13.332517423592201</v>
      </c>
      <c r="S2290" s="4">
        <v>13.1475646964932</v>
      </c>
      <c r="T2290" s="4">
        <f t="shared" si="142"/>
        <v>13.274945816867934</v>
      </c>
      <c r="W2290" s="4" t="str">
        <f>"ntl-2"</f>
        <v>ntl-2</v>
      </c>
      <c r="X2290" s="4">
        <v>13.661734846629001</v>
      </c>
      <c r="Y2290" s="4">
        <v>13.1081005945091</v>
      </c>
      <c r="Z2290" s="4">
        <v>13.135048376739899</v>
      </c>
      <c r="AA2290" s="4">
        <f t="shared" si="143"/>
        <v>13.301627939292667</v>
      </c>
    </row>
    <row r="2291" spans="2:27" x14ac:dyDescent="0.2">
      <c r="B2291" s="4" t="s">
        <v>281</v>
      </c>
      <c r="C2291" s="4">
        <v>13.5549</v>
      </c>
      <c r="D2291" s="4">
        <v>13.7827</v>
      </c>
      <c r="E2291" s="4">
        <v>13.7104</v>
      </c>
      <c r="F2291" s="4">
        <f t="shared" si="140"/>
        <v>13.682666666666668</v>
      </c>
      <c r="I2291" s="4" t="s">
        <v>2482</v>
      </c>
      <c r="J2291" s="4">
        <v>13.821199999999999</v>
      </c>
      <c r="K2291" s="4">
        <v>13.168799999999999</v>
      </c>
      <c r="L2291" s="4">
        <v>14.071300000000001</v>
      </c>
      <c r="M2291" s="4">
        <f t="shared" si="141"/>
        <v>13.687100000000001</v>
      </c>
      <c r="P2291" s="4" t="str">
        <f>"amdh-1"</f>
        <v>amdh-1</v>
      </c>
      <c r="Q2291" s="4">
        <v>13.4928160936519</v>
      </c>
      <c r="R2291" s="4">
        <v>13.205562564242101</v>
      </c>
      <c r="S2291" s="4">
        <v>13.121514624471301</v>
      </c>
      <c r="T2291" s="4">
        <f t="shared" si="142"/>
        <v>13.273297760788433</v>
      </c>
      <c r="W2291" s="4" t="str">
        <f>"R119.3"</f>
        <v>R119.3</v>
      </c>
      <c r="X2291" s="4">
        <v>13.3661277256394</v>
      </c>
      <c r="Y2291" s="4">
        <v>13.417484524082999</v>
      </c>
      <c r="Z2291" s="4">
        <v>13.1204429658863</v>
      </c>
      <c r="AA2291" s="4">
        <f t="shared" si="143"/>
        <v>13.301351738536233</v>
      </c>
    </row>
    <row r="2292" spans="2:27" x14ac:dyDescent="0.2">
      <c r="B2292" s="4" t="s">
        <v>2275</v>
      </c>
      <c r="C2292" s="4">
        <v>13.704000000000001</v>
      </c>
      <c r="D2292" s="4">
        <v>13.8866</v>
      </c>
      <c r="E2292" s="4">
        <v>13.4503</v>
      </c>
      <c r="F2292" s="4">
        <f t="shared" si="140"/>
        <v>13.680300000000001</v>
      </c>
      <c r="I2292" s="4" t="s">
        <v>1413</v>
      </c>
      <c r="J2292" s="4">
        <v>13.5585</v>
      </c>
      <c r="K2292" s="4">
        <v>13.612399999999999</v>
      </c>
      <c r="L2292" s="4">
        <v>13.8894</v>
      </c>
      <c r="M2292" s="4">
        <f t="shared" si="141"/>
        <v>13.686766666666665</v>
      </c>
      <c r="P2292" s="4" t="str">
        <f>"rod-1"</f>
        <v>rod-1</v>
      </c>
      <c r="Q2292" s="4">
        <v>12.9373345118606</v>
      </c>
      <c r="R2292" s="4">
        <v>13.285527921634801</v>
      </c>
      <c r="S2292" s="4">
        <v>13.591510846260601</v>
      </c>
      <c r="T2292" s="4">
        <f t="shared" si="142"/>
        <v>13.271457759918666</v>
      </c>
      <c r="W2292" s="4" t="str">
        <f>"asna-1"</f>
        <v>asna-1</v>
      </c>
      <c r="X2292" s="4">
        <v>13.208470471721</v>
      </c>
      <c r="Y2292" s="4">
        <v>13.251651538964399</v>
      </c>
      <c r="Z2292" s="4">
        <v>13.441870333139001</v>
      </c>
      <c r="AA2292" s="4">
        <f t="shared" si="143"/>
        <v>13.300664114608134</v>
      </c>
    </row>
    <row r="2293" spans="2:27" x14ac:dyDescent="0.2">
      <c r="B2293" s="4" t="s">
        <v>790</v>
      </c>
      <c r="C2293" s="4">
        <v>13.6632</v>
      </c>
      <c r="D2293" s="4">
        <v>13.9437</v>
      </c>
      <c r="E2293" s="4">
        <v>13.4314</v>
      </c>
      <c r="F2293" s="4">
        <f t="shared" si="140"/>
        <v>13.679433333333334</v>
      </c>
      <c r="I2293" s="4" t="s">
        <v>1325</v>
      </c>
      <c r="J2293" s="4">
        <v>14.171200000000001</v>
      </c>
      <c r="K2293" s="4">
        <v>13.527100000000001</v>
      </c>
      <c r="L2293" s="4">
        <v>13.359400000000001</v>
      </c>
      <c r="M2293" s="4">
        <f t="shared" si="141"/>
        <v>13.685900000000002</v>
      </c>
      <c r="P2293" s="4" t="str">
        <f>"ifd-2"</f>
        <v>ifd-2</v>
      </c>
      <c r="Q2293" s="4">
        <v>13.1439636218829</v>
      </c>
      <c r="R2293" s="4">
        <v>12.9783654373965</v>
      </c>
      <c r="S2293" s="4">
        <v>13.6907316160683</v>
      </c>
      <c r="T2293" s="4">
        <f t="shared" si="142"/>
        <v>13.271020225115899</v>
      </c>
      <c r="W2293" s="4" t="str">
        <f>"T19B4.3"</f>
        <v>T19B4.3</v>
      </c>
      <c r="X2293" s="4">
        <v>13.505219012765901</v>
      </c>
      <c r="Y2293" s="4">
        <v>13.306084710919301</v>
      </c>
      <c r="Z2293" s="4">
        <v>13.083981794520801</v>
      </c>
      <c r="AA2293" s="4">
        <f t="shared" si="143"/>
        <v>13.298428506068667</v>
      </c>
    </row>
    <row r="2294" spans="2:27" x14ac:dyDescent="0.2">
      <c r="B2294" s="4" t="s">
        <v>2641</v>
      </c>
      <c r="C2294" s="4">
        <v>13.8301</v>
      </c>
      <c r="D2294" s="4">
        <v>13.375</v>
      </c>
      <c r="E2294" s="4">
        <v>13.8299</v>
      </c>
      <c r="F2294" s="4">
        <f t="shared" si="140"/>
        <v>13.678333333333335</v>
      </c>
      <c r="I2294" s="4" t="s">
        <v>925</v>
      </c>
      <c r="J2294" s="4">
        <v>13.726900000000001</v>
      </c>
      <c r="K2294" s="4">
        <v>13.5091</v>
      </c>
      <c r="L2294" s="4">
        <v>13.8186</v>
      </c>
      <c r="M2294" s="4">
        <f t="shared" si="141"/>
        <v>13.684866666666666</v>
      </c>
      <c r="P2294" s="4" t="str">
        <f>"ipla-1"</f>
        <v>ipla-1</v>
      </c>
      <c r="Q2294" s="4">
        <v>13.0422873109947</v>
      </c>
      <c r="R2294" s="4">
        <v>13.3563591691335</v>
      </c>
      <c r="S2294" s="4">
        <v>13.4043612573945</v>
      </c>
      <c r="T2294" s="4">
        <f t="shared" si="142"/>
        <v>13.267669245840899</v>
      </c>
      <c r="W2294" s="4" t="str">
        <f>"eif-2d"</f>
        <v>eif-2d</v>
      </c>
      <c r="X2294" s="4">
        <v>13.4366552788244</v>
      </c>
      <c r="Y2294" s="4">
        <v>13.346153736246499</v>
      </c>
      <c r="Z2294" s="4">
        <v>13.1043663621825</v>
      </c>
      <c r="AA2294" s="4">
        <f t="shared" si="143"/>
        <v>13.295725125751133</v>
      </c>
    </row>
    <row r="2295" spans="2:27" x14ac:dyDescent="0.2">
      <c r="B2295" s="4" t="s">
        <v>1024</v>
      </c>
      <c r="C2295" s="4">
        <v>13.6942</v>
      </c>
      <c r="D2295" s="4">
        <v>13.242900000000001</v>
      </c>
      <c r="E2295" s="4">
        <v>14.097200000000001</v>
      </c>
      <c r="F2295" s="4">
        <f t="shared" si="140"/>
        <v>13.678100000000001</v>
      </c>
      <c r="I2295" s="4" t="s">
        <v>1549</v>
      </c>
      <c r="J2295" s="4">
        <v>13.744899999999999</v>
      </c>
      <c r="K2295" s="4">
        <v>13.376200000000001</v>
      </c>
      <c r="L2295" s="4">
        <v>13.9277</v>
      </c>
      <c r="M2295" s="4">
        <f t="shared" si="141"/>
        <v>13.682933333333333</v>
      </c>
      <c r="P2295" s="4" t="str">
        <f>"Y53G8B.2"</f>
        <v>Y53G8B.2</v>
      </c>
      <c r="Q2295" s="4">
        <v>13.140494081996399</v>
      </c>
      <c r="R2295" s="4">
        <v>13.4482383519252</v>
      </c>
      <c r="S2295" s="4">
        <v>13.211222501407599</v>
      </c>
      <c r="T2295" s="4">
        <f t="shared" si="142"/>
        <v>13.266651645109732</v>
      </c>
      <c r="W2295" s="4" t="str">
        <f>"lst-6"</f>
        <v>lst-6</v>
      </c>
      <c r="X2295" s="4">
        <v>13.1285906393902</v>
      </c>
      <c r="Y2295" s="4">
        <v>13.3095320446433</v>
      </c>
      <c r="Z2295" s="4">
        <v>13.445970638555799</v>
      </c>
      <c r="AA2295" s="4">
        <f t="shared" si="143"/>
        <v>13.294697774196434</v>
      </c>
    </row>
    <row r="2296" spans="2:27" x14ac:dyDescent="0.2">
      <c r="B2296" s="4" t="s">
        <v>4742</v>
      </c>
      <c r="C2296" s="4">
        <v>13.1534</v>
      </c>
      <c r="D2296" s="4">
        <v>14.3391</v>
      </c>
      <c r="E2296" s="4">
        <v>13.541600000000001</v>
      </c>
      <c r="F2296" s="4">
        <f t="shared" si="140"/>
        <v>13.678033333333333</v>
      </c>
      <c r="I2296" s="4" t="s">
        <v>2990</v>
      </c>
      <c r="J2296" s="4">
        <v>13.397600000000001</v>
      </c>
      <c r="K2296" s="4">
        <v>13.527799999999999</v>
      </c>
      <c r="L2296" s="4">
        <v>14.1219</v>
      </c>
      <c r="M2296" s="4">
        <f t="shared" si="141"/>
        <v>13.682433333333334</v>
      </c>
      <c r="P2296" s="4" t="str">
        <f>"mrps-2"</f>
        <v>mrps-2</v>
      </c>
      <c r="Q2296" s="4">
        <v>13.067956687203001</v>
      </c>
      <c r="R2296" s="4">
        <v>13.3007270603209</v>
      </c>
      <c r="S2296" s="4">
        <v>13.4289550424305</v>
      </c>
      <c r="T2296" s="4">
        <f t="shared" si="142"/>
        <v>13.265879596651468</v>
      </c>
      <c r="W2296" s="4" t="str">
        <f>"cec-5"</f>
        <v>cec-5</v>
      </c>
      <c r="X2296" s="4">
        <v>12.674803812649101</v>
      </c>
      <c r="Y2296" s="4">
        <v>13.445675637256301</v>
      </c>
      <c r="Z2296" s="4">
        <v>13.7615198923053</v>
      </c>
      <c r="AA2296" s="4">
        <f t="shared" si="143"/>
        <v>13.293999780736902</v>
      </c>
    </row>
    <row r="2297" spans="2:27" x14ac:dyDescent="0.2">
      <c r="B2297" s="4" t="s">
        <v>724</v>
      </c>
      <c r="C2297" s="4">
        <v>13.597200000000001</v>
      </c>
      <c r="D2297" s="4">
        <v>13.8391</v>
      </c>
      <c r="E2297" s="4">
        <v>13.5966</v>
      </c>
      <c r="F2297" s="4">
        <f t="shared" si="140"/>
        <v>13.677633333333334</v>
      </c>
      <c r="I2297" s="4" t="s">
        <v>3258</v>
      </c>
      <c r="J2297" s="4">
        <v>14.051600000000001</v>
      </c>
      <c r="K2297" s="4">
        <v>13.194599999999999</v>
      </c>
      <c r="L2297" s="4">
        <v>13.7912</v>
      </c>
      <c r="M2297" s="4">
        <f t="shared" si="141"/>
        <v>13.679133333333334</v>
      </c>
      <c r="P2297" s="4" t="str">
        <f>"W09C3.4"</f>
        <v>W09C3.4</v>
      </c>
      <c r="Q2297" s="4">
        <v>13.613916403755701</v>
      </c>
      <c r="R2297" s="4">
        <v>13.5102311188383</v>
      </c>
      <c r="S2297" s="4">
        <v>12.672898716298</v>
      </c>
      <c r="T2297" s="4">
        <f t="shared" si="142"/>
        <v>13.265682079630666</v>
      </c>
      <c r="W2297" s="4" t="str">
        <f>"pct-1"</f>
        <v>pct-1</v>
      </c>
      <c r="X2297" s="4">
        <v>13.2192706111452</v>
      </c>
      <c r="Y2297" s="4">
        <v>13.331092138828399</v>
      </c>
      <c r="Z2297" s="4">
        <v>13.3300364305538</v>
      </c>
      <c r="AA2297" s="4">
        <f t="shared" si="143"/>
        <v>13.293466393509135</v>
      </c>
    </row>
    <row r="2298" spans="2:27" x14ac:dyDescent="0.2">
      <c r="B2298" s="4" t="s">
        <v>3426</v>
      </c>
      <c r="C2298" s="4">
        <v>13.664099999999999</v>
      </c>
      <c r="D2298" s="4">
        <v>13.5685</v>
      </c>
      <c r="E2298" s="4">
        <v>13.7928</v>
      </c>
      <c r="F2298" s="4">
        <f t="shared" si="140"/>
        <v>13.675133333333333</v>
      </c>
      <c r="I2298" s="4" t="s">
        <v>2173</v>
      </c>
      <c r="J2298" s="4">
        <v>13.7842</v>
      </c>
      <c r="K2298" s="4">
        <v>13.7285</v>
      </c>
      <c r="L2298" s="4">
        <v>13.520099999999999</v>
      </c>
      <c r="M2298" s="4">
        <f t="shared" si="141"/>
        <v>13.6776</v>
      </c>
      <c r="P2298" s="4" t="str">
        <f>"maoc-1"</f>
        <v>maoc-1</v>
      </c>
      <c r="Q2298" s="4">
        <v>13.2282743890242</v>
      </c>
      <c r="R2298" s="4">
        <v>13.1344174241234</v>
      </c>
      <c r="S2298" s="4">
        <v>13.4270804220603</v>
      </c>
      <c r="T2298" s="4">
        <f t="shared" si="142"/>
        <v>13.263257411735966</v>
      </c>
      <c r="W2298" s="4" t="str">
        <f>"T12D8.9"</f>
        <v>T12D8.9</v>
      </c>
      <c r="X2298" s="4">
        <v>13.0833605196304</v>
      </c>
      <c r="Y2298" s="4">
        <v>13.4447430700562</v>
      </c>
      <c r="Z2298" s="4">
        <v>13.350034033533101</v>
      </c>
      <c r="AA2298" s="4">
        <f t="shared" si="143"/>
        <v>13.292712541073234</v>
      </c>
    </row>
    <row r="2299" spans="2:27" x14ac:dyDescent="0.2">
      <c r="B2299" s="4" t="s">
        <v>682</v>
      </c>
      <c r="C2299" s="4">
        <v>13.4678</v>
      </c>
      <c r="D2299" s="4">
        <v>13.9278</v>
      </c>
      <c r="E2299" s="4">
        <v>13.6248</v>
      </c>
      <c r="F2299" s="4">
        <f t="shared" si="140"/>
        <v>13.673466666666668</v>
      </c>
      <c r="I2299" s="4" t="s">
        <v>2029</v>
      </c>
      <c r="J2299" s="4">
        <v>13.859400000000001</v>
      </c>
      <c r="K2299" s="4">
        <v>13.4717</v>
      </c>
      <c r="L2299" s="4">
        <v>13.7004</v>
      </c>
      <c r="M2299" s="4">
        <f t="shared" si="141"/>
        <v>13.677166666666666</v>
      </c>
      <c r="P2299" s="4" t="str">
        <f>"ife-3"</f>
        <v>ife-3</v>
      </c>
      <c r="Q2299" s="4">
        <v>13.167752845199599</v>
      </c>
      <c r="R2299" s="4">
        <v>13.3964399973789</v>
      </c>
      <c r="S2299" s="4">
        <v>13.2247841777447</v>
      </c>
      <c r="T2299" s="4">
        <f t="shared" si="142"/>
        <v>13.262992340107735</v>
      </c>
      <c r="W2299" s="4" t="str">
        <f>"Y39A3CL.1"</f>
        <v>Y39A3CL.1</v>
      </c>
      <c r="X2299" s="4">
        <v>13.1030293719543</v>
      </c>
      <c r="Y2299" s="4">
        <v>13.2529384150687</v>
      </c>
      <c r="Z2299" s="4">
        <v>13.5210863449069</v>
      </c>
      <c r="AA2299" s="4">
        <f t="shared" si="143"/>
        <v>13.292351377309965</v>
      </c>
    </row>
    <row r="2300" spans="2:27" x14ac:dyDescent="0.2">
      <c r="B2300" s="4" t="s">
        <v>3281</v>
      </c>
      <c r="C2300" s="4">
        <v>13.965</v>
      </c>
      <c r="D2300" s="4">
        <v>13.5656</v>
      </c>
      <c r="E2300" s="4">
        <v>13.4847</v>
      </c>
      <c r="F2300" s="4">
        <f t="shared" si="140"/>
        <v>13.671766666666665</v>
      </c>
      <c r="I2300" s="4" t="s">
        <v>934</v>
      </c>
      <c r="J2300" s="4">
        <v>13.4589</v>
      </c>
      <c r="K2300" s="4">
        <v>13.7807</v>
      </c>
      <c r="L2300" s="4">
        <v>13.7905</v>
      </c>
      <c r="M2300" s="4">
        <f t="shared" si="141"/>
        <v>13.676699999999999</v>
      </c>
      <c r="P2300" s="4" t="str">
        <f>"ZK524.4"</f>
        <v>ZK524.4</v>
      </c>
      <c r="Q2300" s="4">
        <v>13.2774048769946</v>
      </c>
      <c r="R2300" s="4">
        <v>13.2917906178642</v>
      </c>
      <c r="S2300" s="4">
        <v>13.2146124771362</v>
      </c>
      <c r="T2300" s="4">
        <f t="shared" si="142"/>
        <v>13.261269323998334</v>
      </c>
      <c r="W2300" s="4" t="str">
        <f>"paqr-1"</f>
        <v>paqr-1</v>
      </c>
      <c r="X2300" s="4">
        <v>13.6061178162491</v>
      </c>
      <c r="Y2300" s="4">
        <v>13.1653585439007</v>
      </c>
      <c r="Z2300" s="4">
        <v>13.103944151515799</v>
      </c>
      <c r="AA2300" s="4">
        <f t="shared" si="143"/>
        <v>13.291806837221865</v>
      </c>
    </row>
    <row r="2301" spans="2:27" x14ac:dyDescent="0.2">
      <c r="B2301" s="4" t="s">
        <v>3675</v>
      </c>
      <c r="C2301" s="4">
        <v>13.7531</v>
      </c>
      <c r="D2301" s="4">
        <v>13.7082</v>
      </c>
      <c r="E2301" s="4">
        <v>13.551500000000001</v>
      </c>
      <c r="F2301" s="4">
        <f t="shared" si="140"/>
        <v>13.670933333333332</v>
      </c>
      <c r="I2301" s="4" t="s">
        <v>3547</v>
      </c>
      <c r="J2301" s="4">
        <v>13.634600000000001</v>
      </c>
      <c r="K2301" s="4">
        <v>13.6083</v>
      </c>
      <c r="L2301" s="4">
        <v>13.779299999999999</v>
      </c>
      <c r="M2301" s="4">
        <f t="shared" si="141"/>
        <v>13.674066666666667</v>
      </c>
      <c r="P2301" s="4" t="str">
        <f>"daf-31"</f>
        <v>daf-31</v>
      </c>
      <c r="Q2301" s="4">
        <v>13.0009907917697</v>
      </c>
      <c r="R2301" s="4">
        <v>13.4488063328194</v>
      </c>
      <c r="S2301" s="4">
        <v>13.3329385041254</v>
      </c>
      <c r="T2301" s="4">
        <f t="shared" si="142"/>
        <v>13.260911876238167</v>
      </c>
      <c r="W2301" s="4" t="str">
        <f>"acs-3"</f>
        <v>acs-3</v>
      </c>
      <c r="X2301" s="4">
        <v>13.287182254474001</v>
      </c>
      <c r="Y2301" s="4">
        <v>13.260841676616201</v>
      </c>
      <c r="Z2301" s="4">
        <v>13.326525086599901</v>
      </c>
      <c r="AA2301" s="4">
        <f t="shared" si="143"/>
        <v>13.291516339230034</v>
      </c>
    </row>
    <row r="2302" spans="2:27" x14ac:dyDescent="0.2">
      <c r="B2302" s="4" t="s">
        <v>4761</v>
      </c>
      <c r="C2302" s="4">
        <v>14.0335</v>
      </c>
      <c r="D2302" s="4">
        <v>13.649699999999999</v>
      </c>
      <c r="E2302" s="4">
        <v>13.3286</v>
      </c>
      <c r="F2302" s="4">
        <f t="shared" si="140"/>
        <v>13.6706</v>
      </c>
      <c r="I2302" s="4" t="s">
        <v>1396</v>
      </c>
      <c r="J2302" s="4">
        <v>13.6135</v>
      </c>
      <c r="K2302" s="4">
        <v>13.292899999999999</v>
      </c>
      <c r="L2302" s="4">
        <v>14.1127</v>
      </c>
      <c r="M2302" s="4">
        <f t="shared" si="141"/>
        <v>13.673033333333331</v>
      </c>
      <c r="P2302" s="4" t="str">
        <f>"abhd-11.2"</f>
        <v>abhd-11.2</v>
      </c>
      <c r="Q2302" s="4">
        <v>13.151666608995001</v>
      </c>
      <c r="R2302" s="4">
        <v>13.375863648015001</v>
      </c>
      <c r="S2302" s="4">
        <v>13.251528146659799</v>
      </c>
      <c r="T2302" s="4">
        <f t="shared" si="142"/>
        <v>13.259686134556601</v>
      </c>
      <c r="W2302" s="4" t="str">
        <f>"pkc-2"</f>
        <v>pkc-2</v>
      </c>
      <c r="X2302" s="4">
        <v>13.3505309651087</v>
      </c>
      <c r="Y2302" s="4">
        <v>13.511375892397499</v>
      </c>
      <c r="Z2302" s="4">
        <v>13.0111199181076</v>
      </c>
      <c r="AA2302" s="4">
        <f t="shared" si="143"/>
        <v>13.291008925204599</v>
      </c>
    </row>
    <row r="2303" spans="2:27" x14ac:dyDescent="0.2">
      <c r="B2303" s="4" t="s">
        <v>2364</v>
      </c>
      <c r="C2303" s="4">
        <v>13.5343</v>
      </c>
      <c r="D2303" s="4">
        <v>13.8325</v>
      </c>
      <c r="E2303" s="4">
        <v>13.6379</v>
      </c>
      <c r="F2303" s="4">
        <f t="shared" si="140"/>
        <v>13.668233333333333</v>
      </c>
      <c r="I2303" s="4" t="s">
        <v>2742</v>
      </c>
      <c r="J2303" s="4">
        <v>13.566599999999999</v>
      </c>
      <c r="K2303" s="4">
        <v>13.4209</v>
      </c>
      <c r="L2303" s="4">
        <v>14.028499999999999</v>
      </c>
      <c r="M2303" s="4">
        <f t="shared" si="141"/>
        <v>13.671999999999999</v>
      </c>
      <c r="P2303" s="4" t="str">
        <f>"W02D7.5"</f>
        <v>W02D7.5</v>
      </c>
      <c r="Q2303" s="4">
        <v>13.031147161234699</v>
      </c>
      <c r="R2303" s="4">
        <v>13.2403306334887</v>
      </c>
      <c r="S2303" s="4">
        <v>13.5065153017461</v>
      </c>
      <c r="T2303" s="4">
        <f t="shared" si="142"/>
        <v>13.259331032156501</v>
      </c>
      <c r="W2303" s="4" t="str">
        <f>"sth-1"</f>
        <v>sth-1</v>
      </c>
      <c r="X2303" s="4">
        <v>12.8481862300556</v>
      </c>
      <c r="Y2303" s="4">
        <v>13.4588166481947</v>
      </c>
      <c r="Z2303" s="4">
        <v>13.5620593209569</v>
      </c>
      <c r="AA2303" s="4">
        <f t="shared" si="143"/>
        <v>13.289687399735733</v>
      </c>
    </row>
    <row r="2304" spans="2:27" x14ac:dyDescent="0.2">
      <c r="B2304" s="4" t="s">
        <v>4198</v>
      </c>
      <c r="C2304" s="4">
        <v>13.9533</v>
      </c>
      <c r="D2304" s="4">
        <v>13.0951</v>
      </c>
      <c r="E2304" s="4">
        <v>13.9559</v>
      </c>
      <c r="F2304" s="4">
        <f t="shared" si="140"/>
        <v>13.668100000000001</v>
      </c>
      <c r="I2304" s="4" t="s">
        <v>2551</v>
      </c>
      <c r="J2304" s="4">
        <v>13.825699999999999</v>
      </c>
      <c r="K2304" s="4">
        <v>13.705299999999999</v>
      </c>
      <c r="L2304" s="4">
        <v>13.472200000000001</v>
      </c>
      <c r="M2304" s="4">
        <f t="shared" si="141"/>
        <v>13.667733333333333</v>
      </c>
      <c r="P2304" s="4" t="str">
        <f>"tyr-4"</f>
        <v>tyr-4</v>
      </c>
      <c r="Q2304" s="4">
        <v>12.8110557826651</v>
      </c>
      <c r="R2304" s="4">
        <v>13.1145329960653</v>
      </c>
      <c r="S2304" s="4">
        <v>13.848818413602499</v>
      </c>
      <c r="T2304" s="4">
        <f t="shared" si="142"/>
        <v>13.258135730777633</v>
      </c>
      <c r="W2304" s="4" t="str">
        <f>"Y38F2AR.12"</f>
        <v>Y38F2AR.12</v>
      </c>
      <c r="X2304" s="4">
        <v>13.243410570084899</v>
      </c>
      <c r="Y2304" s="4">
        <v>13.0526006075561</v>
      </c>
      <c r="Z2304" s="4">
        <v>13.5706791259349</v>
      </c>
      <c r="AA2304" s="4">
        <f t="shared" si="143"/>
        <v>13.288896767858633</v>
      </c>
    </row>
    <row r="2305" spans="2:27" x14ac:dyDescent="0.2">
      <c r="B2305" s="4" t="s">
        <v>197</v>
      </c>
      <c r="C2305" s="4">
        <v>13.5908</v>
      </c>
      <c r="D2305" s="4">
        <v>14.0253</v>
      </c>
      <c r="E2305" s="4">
        <v>13.3872</v>
      </c>
      <c r="F2305" s="4">
        <f t="shared" si="140"/>
        <v>13.667766666666665</v>
      </c>
      <c r="I2305" s="4" t="s">
        <v>3738</v>
      </c>
      <c r="J2305" s="4">
        <v>13.7332</v>
      </c>
      <c r="K2305" s="4">
        <v>13.635300000000001</v>
      </c>
      <c r="L2305" s="4">
        <v>13.6335</v>
      </c>
      <c r="M2305" s="4">
        <f t="shared" si="141"/>
        <v>13.667333333333334</v>
      </c>
      <c r="P2305" s="4" t="str">
        <f>"Y52B11A.4"</f>
        <v>Y52B11A.4</v>
      </c>
      <c r="Q2305" s="4">
        <v>13.8783552402598</v>
      </c>
      <c r="R2305" s="4">
        <v>12.6231021327068</v>
      </c>
      <c r="S2305" s="4">
        <v>13.2690478534631</v>
      </c>
      <c r="T2305" s="4">
        <f t="shared" si="142"/>
        <v>13.256835075476566</v>
      </c>
      <c r="W2305" s="4" t="str">
        <f>"ced-7"</f>
        <v>ced-7</v>
      </c>
      <c r="X2305" s="4">
        <v>13.2999376847958</v>
      </c>
      <c r="Y2305" s="4">
        <v>12.921131883408201</v>
      </c>
      <c r="Z2305" s="4">
        <v>13.645068246699701</v>
      </c>
      <c r="AA2305" s="4">
        <f t="shared" si="143"/>
        <v>13.2887126049679</v>
      </c>
    </row>
    <row r="2306" spans="2:27" x14ac:dyDescent="0.2">
      <c r="B2306" s="4" t="s">
        <v>1222</v>
      </c>
      <c r="C2306" s="4">
        <v>13.8276</v>
      </c>
      <c r="D2306" s="4">
        <v>13.864000000000001</v>
      </c>
      <c r="E2306" s="4">
        <v>13.2974</v>
      </c>
      <c r="F2306" s="4">
        <f t="shared" ref="F2306:F2369" si="144">(C2306+D2306+E2306)/3</f>
        <v>13.663000000000002</v>
      </c>
      <c r="I2306" s="4" t="s">
        <v>4312</v>
      </c>
      <c r="J2306" s="4">
        <v>12.751799999999999</v>
      </c>
      <c r="K2306" s="4">
        <v>14.263199999999999</v>
      </c>
      <c r="L2306" s="4">
        <v>13.986599999999999</v>
      </c>
      <c r="M2306" s="4">
        <f t="shared" ref="M2306:M2369" si="145">(J2306+K2306+L2306)/3</f>
        <v>13.667199999999999</v>
      </c>
      <c r="P2306" s="4" t="str">
        <f>"slc-25a26"</f>
        <v>slc-25a26</v>
      </c>
      <c r="Q2306" s="4">
        <v>12.990519208896</v>
      </c>
      <c r="R2306" s="4">
        <v>13.558299879007301</v>
      </c>
      <c r="S2306" s="4">
        <v>13.219511263358999</v>
      </c>
      <c r="T2306" s="4">
        <f t="shared" ref="T2306:T2369" si="146">(Q2306+R2306+S2306)/3</f>
        <v>13.256110117087433</v>
      </c>
      <c r="W2306" s="4" t="str">
        <f>"T28B4.1"</f>
        <v>T28B4.1</v>
      </c>
      <c r="X2306" s="4">
        <v>13.242010995861699</v>
      </c>
      <c r="Y2306" s="4">
        <v>13.053258070211999</v>
      </c>
      <c r="Z2306" s="4">
        <v>13.5670671196652</v>
      </c>
      <c r="AA2306" s="4">
        <f t="shared" ref="AA2306:AA2369" si="147">(X2306+Y2306+Z2306)/3</f>
        <v>13.2874453952463</v>
      </c>
    </row>
    <row r="2307" spans="2:27" x14ac:dyDescent="0.2">
      <c r="B2307" s="4" t="s">
        <v>635</v>
      </c>
      <c r="C2307" s="4">
        <v>13.1989</v>
      </c>
      <c r="D2307" s="4">
        <v>14.195</v>
      </c>
      <c r="E2307" s="4">
        <v>13.591200000000001</v>
      </c>
      <c r="F2307" s="4">
        <f t="shared" si="144"/>
        <v>13.661700000000002</v>
      </c>
      <c r="I2307" s="4" t="s">
        <v>1299</v>
      </c>
      <c r="J2307" s="4">
        <v>13.6632</v>
      </c>
      <c r="K2307" s="4">
        <v>13.1083</v>
      </c>
      <c r="L2307" s="4">
        <v>14.2286</v>
      </c>
      <c r="M2307" s="4">
        <f t="shared" si="145"/>
        <v>13.666700000000001</v>
      </c>
      <c r="P2307" s="4" t="str">
        <f>"pct-1"</f>
        <v>pct-1</v>
      </c>
      <c r="Q2307" s="4">
        <v>13.1126494502391</v>
      </c>
      <c r="R2307" s="4">
        <v>13.3308789361149</v>
      </c>
      <c r="S2307" s="4">
        <v>13.3237117280625</v>
      </c>
      <c r="T2307" s="4">
        <f t="shared" si="146"/>
        <v>13.255746704805501</v>
      </c>
      <c r="W2307" s="4" t="str">
        <f>"nkcc-1"</f>
        <v>nkcc-1</v>
      </c>
      <c r="X2307" s="4">
        <v>13.4351004034586</v>
      </c>
      <c r="Y2307" s="4">
        <v>13.3697610810464</v>
      </c>
      <c r="Z2307" s="4">
        <v>13.055082501873899</v>
      </c>
      <c r="AA2307" s="4">
        <f t="shared" si="147"/>
        <v>13.286647995459633</v>
      </c>
    </row>
    <row r="2308" spans="2:27" x14ac:dyDescent="0.2">
      <c r="B2308" s="4" t="s">
        <v>3813</v>
      </c>
      <c r="C2308" s="4">
        <v>13.5227</v>
      </c>
      <c r="D2308" s="4">
        <v>13.857799999999999</v>
      </c>
      <c r="E2308" s="4">
        <v>13.603199999999999</v>
      </c>
      <c r="F2308" s="4">
        <f t="shared" si="144"/>
        <v>13.661233333333334</v>
      </c>
      <c r="I2308" s="4" t="s">
        <v>2834</v>
      </c>
      <c r="J2308" s="4">
        <v>13.8687</v>
      </c>
      <c r="K2308" s="4">
        <v>13.877800000000001</v>
      </c>
      <c r="L2308" s="4">
        <v>13.2521</v>
      </c>
      <c r="M2308" s="4">
        <f t="shared" si="145"/>
        <v>13.666200000000002</v>
      </c>
      <c r="P2308" s="4" t="str">
        <f>"stam-1"</f>
        <v>stam-1</v>
      </c>
      <c r="Q2308" s="4">
        <v>13.4241860808488</v>
      </c>
      <c r="R2308" s="4">
        <v>13.093117380985801</v>
      </c>
      <c r="S2308" s="4">
        <v>13.248219536346699</v>
      </c>
      <c r="T2308" s="4">
        <f t="shared" si="146"/>
        <v>13.255174332727099</v>
      </c>
      <c r="W2308" s="4" t="str">
        <f>"eif-3.I"</f>
        <v>eif-3.I</v>
      </c>
      <c r="X2308" s="4">
        <v>13.1040283271624</v>
      </c>
      <c r="Y2308" s="4">
        <v>13.232571612872</v>
      </c>
      <c r="Z2308" s="4">
        <v>13.5228383588407</v>
      </c>
      <c r="AA2308" s="4">
        <f t="shared" si="147"/>
        <v>13.286479432958366</v>
      </c>
    </row>
    <row r="2309" spans="2:27" x14ac:dyDescent="0.2">
      <c r="B2309" s="4" t="s">
        <v>2583</v>
      </c>
      <c r="C2309" s="4">
        <v>13.727600000000001</v>
      </c>
      <c r="D2309" s="4">
        <v>13.1998</v>
      </c>
      <c r="E2309" s="4">
        <v>14.0527</v>
      </c>
      <c r="F2309" s="4">
        <f t="shared" si="144"/>
        <v>13.660033333333333</v>
      </c>
      <c r="I2309" s="4" t="s">
        <v>3664</v>
      </c>
      <c r="J2309" s="4">
        <v>13.6114</v>
      </c>
      <c r="K2309" s="4">
        <v>13.752599999999999</v>
      </c>
      <c r="L2309" s="4">
        <v>13.6275</v>
      </c>
      <c r="M2309" s="4">
        <f t="shared" si="145"/>
        <v>13.663833333333331</v>
      </c>
      <c r="P2309" s="4" t="str">
        <f>"R102.4"</f>
        <v>R102.4</v>
      </c>
      <c r="Q2309" s="4">
        <v>13.4027782975805</v>
      </c>
      <c r="R2309" s="4">
        <v>13.256321224364299</v>
      </c>
      <c r="S2309" s="4">
        <v>13.1048850989275</v>
      </c>
      <c r="T2309" s="4">
        <f t="shared" si="146"/>
        <v>13.254661540290767</v>
      </c>
      <c r="W2309" s="4" t="str">
        <f>"sna-3"</f>
        <v>sna-3</v>
      </c>
      <c r="X2309" s="4">
        <v>13.2966542049928</v>
      </c>
      <c r="Y2309" s="4">
        <v>13.326169297153101</v>
      </c>
      <c r="Z2309" s="4">
        <v>13.233928642365401</v>
      </c>
      <c r="AA2309" s="4">
        <f t="shared" si="147"/>
        <v>13.285584048170433</v>
      </c>
    </row>
    <row r="2310" spans="2:27" x14ac:dyDescent="0.2">
      <c r="B2310" s="4" t="s">
        <v>4074</v>
      </c>
      <c r="C2310" s="4">
        <v>13.630800000000001</v>
      </c>
      <c r="D2310" s="4">
        <v>13.4709</v>
      </c>
      <c r="E2310" s="4">
        <v>13.8772</v>
      </c>
      <c r="F2310" s="4">
        <f t="shared" si="144"/>
        <v>13.659633333333334</v>
      </c>
      <c r="I2310" s="4" t="s">
        <v>1262</v>
      </c>
      <c r="J2310" s="4">
        <v>13.5421</v>
      </c>
      <c r="K2310" s="4">
        <v>13.1716</v>
      </c>
      <c r="L2310" s="4">
        <v>14.2775</v>
      </c>
      <c r="M2310" s="4">
        <f t="shared" si="145"/>
        <v>13.663733333333333</v>
      </c>
      <c r="P2310" s="4" t="str">
        <f>"F10E9.4"</f>
        <v>F10E9.4</v>
      </c>
      <c r="Q2310" s="4">
        <v>12.886903583643599</v>
      </c>
      <c r="R2310" s="4">
        <v>13.2845357395521</v>
      </c>
      <c r="S2310" s="4">
        <v>13.587394992290999</v>
      </c>
      <c r="T2310" s="4">
        <f t="shared" si="146"/>
        <v>13.252944771828899</v>
      </c>
      <c r="W2310" s="4" t="str">
        <f>"nduo-4"</f>
        <v>nduo-4</v>
      </c>
      <c r="X2310" s="4">
        <v>13.1690818595495</v>
      </c>
      <c r="Y2310" s="4">
        <v>13.0797977590362</v>
      </c>
      <c r="Z2310" s="4">
        <v>13.605942616097099</v>
      </c>
      <c r="AA2310" s="4">
        <f t="shared" si="147"/>
        <v>13.284940744894266</v>
      </c>
    </row>
    <row r="2311" spans="2:27" x14ac:dyDescent="0.2">
      <c r="B2311" s="4" t="s">
        <v>2192</v>
      </c>
      <c r="C2311" s="4">
        <v>13.834099999999999</v>
      </c>
      <c r="D2311" s="4">
        <v>13.7576</v>
      </c>
      <c r="E2311" s="4">
        <v>13.385899999999999</v>
      </c>
      <c r="F2311" s="4">
        <f t="shared" si="144"/>
        <v>13.659199999999998</v>
      </c>
      <c r="I2311" s="4" t="s">
        <v>849</v>
      </c>
      <c r="J2311" s="4">
        <v>13.5364</v>
      </c>
      <c r="K2311" s="4">
        <v>13.589700000000001</v>
      </c>
      <c r="L2311" s="4">
        <v>13.864100000000001</v>
      </c>
      <c r="M2311" s="4">
        <f t="shared" si="145"/>
        <v>13.663400000000001</v>
      </c>
      <c r="P2311" s="4" t="str">
        <f>"C18E9.9"</f>
        <v>C18E9.9</v>
      </c>
      <c r="Q2311" s="4">
        <v>13.504648062950301</v>
      </c>
      <c r="R2311" s="4">
        <v>12.7399140418441</v>
      </c>
      <c r="S2311" s="4">
        <v>13.5136735646297</v>
      </c>
      <c r="T2311" s="4">
        <f t="shared" si="146"/>
        <v>13.252745223141368</v>
      </c>
      <c r="W2311" s="4" t="str">
        <f>"ndx-7"</f>
        <v>ndx-7</v>
      </c>
      <c r="X2311" s="4">
        <v>13.1062359167501</v>
      </c>
      <c r="Y2311" s="4">
        <v>12.860312269942</v>
      </c>
      <c r="Z2311" s="4">
        <v>13.887701164977299</v>
      </c>
      <c r="AA2311" s="4">
        <f t="shared" si="147"/>
        <v>13.284749783889801</v>
      </c>
    </row>
    <row r="2312" spans="2:27" x14ac:dyDescent="0.2">
      <c r="B2312" s="4" t="s">
        <v>310</v>
      </c>
      <c r="C2312" s="4">
        <v>13.667</v>
      </c>
      <c r="D2312" s="4">
        <v>13.6426</v>
      </c>
      <c r="E2312" s="4">
        <v>13.667199999999999</v>
      </c>
      <c r="F2312" s="4">
        <f t="shared" si="144"/>
        <v>13.658933333333332</v>
      </c>
      <c r="I2312" s="4" t="s">
        <v>243</v>
      </c>
      <c r="J2312" s="4">
        <v>13.906700000000001</v>
      </c>
      <c r="K2312" s="4">
        <v>13.790900000000001</v>
      </c>
      <c r="L2312" s="4">
        <v>13.2897</v>
      </c>
      <c r="M2312" s="4">
        <f t="shared" si="145"/>
        <v>13.662433333333334</v>
      </c>
      <c r="P2312" s="4" t="str">
        <f>"sor-1"</f>
        <v>sor-1</v>
      </c>
      <c r="Q2312" s="4">
        <v>13.222095865803601</v>
      </c>
      <c r="R2312" s="4">
        <v>13.219335906835701</v>
      </c>
      <c r="S2312" s="4">
        <v>13.314651567566999</v>
      </c>
      <c r="T2312" s="4">
        <f t="shared" si="146"/>
        <v>13.252027780068767</v>
      </c>
      <c r="W2312" s="4" t="str">
        <f>"Y56A3A.31"</f>
        <v>Y56A3A.31</v>
      </c>
      <c r="X2312" s="4">
        <v>13.222539320774301</v>
      </c>
      <c r="Y2312" s="4">
        <v>13.576307896204099</v>
      </c>
      <c r="Z2312" s="4">
        <v>13.0507573345689</v>
      </c>
      <c r="AA2312" s="4">
        <f t="shared" si="147"/>
        <v>13.283201517182434</v>
      </c>
    </row>
    <row r="2313" spans="2:27" x14ac:dyDescent="0.2">
      <c r="B2313" s="4" t="s">
        <v>4782</v>
      </c>
      <c r="C2313" s="4">
        <v>13.820399999999999</v>
      </c>
      <c r="D2313" s="4">
        <v>13.616199999999999</v>
      </c>
      <c r="E2313" s="4">
        <v>13.539899999999999</v>
      </c>
      <c r="F2313" s="4">
        <f t="shared" si="144"/>
        <v>13.658833333333334</v>
      </c>
      <c r="I2313" s="4" t="s">
        <v>518</v>
      </c>
      <c r="J2313" s="4">
        <v>13.674799999999999</v>
      </c>
      <c r="K2313" s="4">
        <v>13.502700000000001</v>
      </c>
      <c r="L2313" s="4">
        <v>13.804</v>
      </c>
      <c r="M2313" s="4">
        <f t="shared" si="145"/>
        <v>13.660500000000001</v>
      </c>
      <c r="P2313" s="4" t="str">
        <f>"cyk-4"</f>
        <v>cyk-4</v>
      </c>
      <c r="Q2313" s="4">
        <v>13.332915127576801</v>
      </c>
      <c r="R2313" s="4">
        <v>13.253583075155101</v>
      </c>
      <c r="S2313" s="4">
        <v>13.164704704969401</v>
      </c>
      <c r="T2313" s="4">
        <f t="shared" si="146"/>
        <v>13.250400969233768</v>
      </c>
      <c r="W2313" s="4" t="str">
        <f>"rpap-3"</f>
        <v>rpap-3</v>
      </c>
      <c r="X2313" s="4">
        <v>13.4366883024315</v>
      </c>
      <c r="Y2313" s="4">
        <v>13.086420575905001</v>
      </c>
      <c r="Z2313" s="4">
        <v>13.321378993132701</v>
      </c>
      <c r="AA2313" s="4">
        <f t="shared" si="147"/>
        <v>13.2814959571564</v>
      </c>
    </row>
    <row r="2314" spans="2:27" x14ac:dyDescent="0.2">
      <c r="B2314" s="4" t="s">
        <v>3838</v>
      </c>
      <c r="C2314" s="4">
        <v>13.620799999999999</v>
      </c>
      <c r="D2314" s="4">
        <v>13.9414</v>
      </c>
      <c r="E2314" s="4">
        <v>13.4102</v>
      </c>
      <c r="F2314" s="4">
        <f t="shared" si="144"/>
        <v>13.657466666666664</v>
      </c>
      <c r="I2314" s="4" t="s">
        <v>1596</v>
      </c>
      <c r="J2314" s="4">
        <v>13.9407</v>
      </c>
      <c r="K2314" s="4">
        <v>13.826000000000001</v>
      </c>
      <c r="L2314" s="4">
        <v>13.211</v>
      </c>
      <c r="M2314" s="4">
        <f t="shared" si="145"/>
        <v>13.659233333333333</v>
      </c>
      <c r="P2314" s="4" t="str">
        <f>"wts-1"</f>
        <v>wts-1</v>
      </c>
      <c r="Q2314" s="4">
        <v>13.3699556240649</v>
      </c>
      <c r="R2314" s="4">
        <v>13.1854820051825</v>
      </c>
      <c r="S2314" s="4">
        <v>13.1928765425988</v>
      </c>
      <c r="T2314" s="4">
        <f t="shared" si="146"/>
        <v>13.249438057282068</v>
      </c>
      <c r="W2314" s="4" t="str">
        <f>"slc-36.1"</f>
        <v>slc-36.1</v>
      </c>
      <c r="X2314" s="4">
        <v>13.2633046266261</v>
      </c>
      <c r="Y2314" s="4">
        <v>12.9624210970505</v>
      </c>
      <c r="Z2314" s="4">
        <v>13.6097651286154</v>
      </c>
      <c r="AA2314" s="4">
        <f t="shared" si="147"/>
        <v>13.278496950764</v>
      </c>
    </row>
    <row r="2315" spans="2:27" x14ac:dyDescent="0.2">
      <c r="B2315" s="4" t="s">
        <v>3444</v>
      </c>
      <c r="C2315" s="4">
        <v>13.4955</v>
      </c>
      <c r="D2315" s="4">
        <v>13.5349</v>
      </c>
      <c r="E2315" s="4">
        <v>13.936</v>
      </c>
      <c r="F2315" s="4">
        <f t="shared" si="144"/>
        <v>13.655466666666667</v>
      </c>
      <c r="I2315" s="4" t="s">
        <v>3190</v>
      </c>
      <c r="J2315" s="4">
        <v>13.450200000000001</v>
      </c>
      <c r="K2315" s="4">
        <v>13.5349</v>
      </c>
      <c r="L2315" s="4">
        <v>13.991300000000001</v>
      </c>
      <c r="M2315" s="4">
        <f t="shared" si="145"/>
        <v>13.658800000000001</v>
      </c>
      <c r="P2315" s="4" t="str">
        <f>"T19B4.3"</f>
        <v>T19B4.3</v>
      </c>
      <c r="Q2315" s="4">
        <v>12.953912499327</v>
      </c>
      <c r="R2315" s="4">
        <v>13.366609991217</v>
      </c>
      <c r="S2315" s="4">
        <v>13.4203893442991</v>
      </c>
      <c r="T2315" s="4">
        <f t="shared" si="146"/>
        <v>13.246970611614367</v>
      </c>
      <c r="W2315" s="4" t="str">
        <f>"C55A6.6"</f>
        <v>C55A6.6</v>
      </c>
      <c r="X2315" s="4">
        <v>13.057923788340201</v>
      </c>
      <c r="Y2315" s="4">
        <v>13.544529088232499</v>
      </c>
      <c r="Z2315" s="4">
        <v>13.2313873843759</v>
      </c>
      <c r="AA2315" s="4">
        <f t="shared" si="147"/>
        <v>13.277946753649532</v>
      </c>
    </row>
    <row r="2316" spans="2:27" x14ac:dyDescent="0.2">
      <c r="B2316" s="4" t="s">
        <v>3808</v>
      </c>
      <c r="C2316" s="4">
        <v>13.732900000000001</v>
      </c>
      <c r="D2316" s="4">
        <v>13.5618</v>
      </c>
      <c r="E2316" s="4">
        <v>13.669700000000001</v>
      </c>
      <c r="F2316" s="4">
        <f t="shared" si="144"/>
        <v>13.6548</v>
      </c>
      <c r="I2316" s="4" t="s">
        <v>4783</v>
      </c>
      <c r="J2316" s="4">
        <v>13.588200000000001</v>
      </c>
      <c r="K2316" s="4">
        <v>13.773300000000001</v>
      </c>
      <c r="L2316" s="4">
        <v>13.612500000000001</v>
      </c>
      <c r="M2316" s="4">
        <f t="shared" si="145"/>
        <v>13.658000000000001</v>
      </c>
      <c r="P2316" s="4" t="str">
        <f>"spcs-3"</f>
        <v>spcs-3</v>
      </c>
      <c r="Q2316" s="4">
        <v>13.0105386731365</v>
      </c>
      <c r="R2316" s="4">
        <v>13.2879634155967</v>
      </c>
      <c r="S2316" s="4">
        <v>13.4419303039654</v>
      </c>
      <c r="T2316" s="4">
        <f t="shared" si="146"/>
        <v>13.2468107975662</v>
      </c>
      <c r="W2316" s="4" t="str">
        <f>"tbc-8"</f>
        <v>tbc-8</v>
      </c>
      <c r="X2316" s="4">
        <v>13.3363376535147</v>
      </c>
      <c r="Y2316" s="4">
        <v>13.047215154906</v>
      </c>
      <c r="Z2316" s="4">
        <v>13.447990030559399</v>
      </c>
      <c r="AA2316" s="4">
        <f t="shared" si="147"/>
        <v>13.2771809463267</v>
      </c>
    </row>
    <row r="2317" spans="2:27" x14ac:dyDescent="0.2">
      <c r="B2317" s="4" t="s">
        <v>495</v>
      </c>
      <c r="C2317" s="4">
        <v>13.279</v>
      </c>
      <c r="D2317" s="4">
        <v>13.6579</v>
      </c>
      <c r="E2317" s="4">
        <v>14.023099999999999</v>
      </c>
      <c r="F2317" s="4">
        <f t="shared" si="144"/>
        <v>13.653333333333334</v>
      </c>
      <c r="I2317" s="4" t="s">
        <v>4442</v>
      </c>
      <c r="J2317" s="4">
        <v>13.7662</v>
      </c>
      <c r="K2317" s="4">
        <v>13.786099999999999</v>
      </c>
      <c r="L2317" s="4">
        <v>13.4137</v>
      </c>
      <c r="M2317" s="4">
        <f t="shared" si="145"/>
        <v>13.655333333333333</v>
      </c>
      <c r="P2317" s="4" t="str">
        <f>"tbc-16"</f>
        <v>tbc-16</v>
      </c>
      <c r="Q2317" s="4">
        <v>13.3279735524379</v>
      </c>
      <c r="R2317" s="4">
        <v>13.134835538135301</v>
      </c>
      <c r="S2317" s="4">
        <v>13.2762917010129</v>
      </c>
      <c r="T2317" s="4">
        <f t="shared" si="146"/>
        <v>13.246366930528701</v>
      </c>
      <c r="W2317" s="4" t="str">
        <f>"epg-9"</f>
        <v>epg-9</v>
      </c>
      <c r="X2317" s="4">
        <v>13.2891200203703</v>
      </c>
      <c r="Y2317" s="4">
        <v>13.2765154591025</v>
      </c>
      <c r="Z2317" s="4">
        <v>13.2652423679198</v>
      </c>
      <c r="AA2317" s="4">
        <f t="shared" si="147"/>
        <v>13.276959282464199</v>
      </c>
    </row>
    <row r="2318" spans="2:27" x14ac:dyDescent="0.2">
      <c r="B2318" s="4" t="s">
        <v>2046</v>
      </c>
      <c r="C2318" s="4">
        <v>13.8254</v>
      </c>
      <c r="D2318" s="4">
        <v>13.494199999999999</v>
      </c>
      <c r="E2318" s="4">
        <v>13.6393</v>
      </c>
      <c r="F2318" s="4">
        <f t="shared" si="144"/>
        <v>13.652966666666666</v>
      </c>
      <c r="I2318" s="4" t="s">
        <v>3534</v>
      </c>
      <c r="J2318" s="4">
        <v>13.8767</v>
      </c>
      <c r="K2318" s="4">
        <v>13.7136</v>
      </c>
      <c r="L2318" s="4">
        <v>13.375299999999999</v>
      </c>
      <c r="M2318" s="4">
        <f t="shared" si="145"/>
        <v>13.655199999999999</v>
      </c>
      <c r="P2318" s="4" t="str">
        <f>"ZK1098.1"</f>
        <v>ZK1098.1</v>
      </c>
      <c r="Q2318" s="4">
        <v>12.408894228363</v>
      </c>
      <c r="R2318" s="4">
        <v>13.916398122274</v>
      </c>
      <c r="S2318" s="4">
        <v>13.404842603575799</v>
      </c>
      <c r="T2318" s="4">
        <f t="shared" si="146"/>
        <v>13.243378318070933</v>
      </c>
      <c r="W2318" s="4" t="str">
        <f>"rgr-1"</f>
        <v>rgr-1</v>
      </c>
      <c r="X2318" s="4">
        <v>13.2775230665717</v>
      </c>
      <c r="Y2318" s="4">
        <v>13.3227593067414</v>
      </c>
      <c r="Z2318" s="4">
        <v>13.2289220543675</v>
      </c>
      <c r="AA2318" s="4">
        <f t="shared" si="147"/>
        <v>13.276401475893534</v>
      </c>
    </row>
    <row r="2319" spans="2:27" x14ac:dyDescent="0.2">
      <c r="B2319" s="4" t="s">
        <v>3253</v>
      </c>
      <c r="C2319" s="4">
        <v>13.898899999999999</v>
      </c>
      <c r="D2319" s="4">
        <v>13.651199999999999</v>
      </c>
      <c r="E2319" s="4">
        <v>13.4033</v>
      </c>
      <c r="F2319" s="4">
        <f t="shared" si="144"/>
        <v>13.651133333333334</v>
      </c>
      <c r="I2319" s="4" t="s">
        <v>367</v>
      </c>
      <c r="J2319" s="4">
        <v>13.6107</v>
      </c>
      <c r="K2319" s="4">
        <v>13.981</v>
      </c>
      <c r="L2319" s="4">
        <v>13.371700000000001</v>
      </c>
      <c r="M2319" s="4">
        <f t="shared" si="145"/>
        <v>13.654466666666666</v>
      </c>
      <c r="P2319" s="4" t="str">
        <f>"sfxn-5"</f>
        <v>sfxn-5</v>
      </c>
      <c r="Q2319" s="4">
        <v>13.2346632559636</v>
      </c>
      <c r="R2319" s="4">
        <v>13.2961145332618</v>
      </c>
      <c r="S2319" s="4">
        <v>13.1868314707528</v>
      </c>
      <c r="T2319" s="4">
        <f t="shared" si="146"/>
        <v>13.239203086659401</v>
      </c>
      <c r="W2319" s="4" t="str">
        <f>"krr-1"</f>
        <v>krr-1</v>
      </c>
      <c r="X2319" s="4">
        <v>13.564335977940299</v>
      </c>
      <c r="Y2319" s="4">
        <v>13.604018415653499</v>
      </c>
      <c r="Z2319" s="4">
        <v>12.648191226468199</v>
      </c>
      <c r="AA2319" s="4">
        <f t="shared" si="147"/>
        <v>13.272181873354</v>
      </c>
    </row>
    <row r="2320" spans="2:27" x14ac:dyDescent="0.2">
      <c r="B2320" s="4" t="s">
        <v>4050</v>
      </c>
      <c r="C2320" s="4">
        <v>13.9381</v>
      </c>
      <c r="D2320" s="4">
        <v>13.366899999999999</v>
      </c>
      <c r="E2320" s="4">
        <v>13.648300000000001</v>
      </c>
      <c r="F2320" s="4">
        <f t="shared" si="144"/>
        <v>13.6511</v>
      </c>
      <c r="I2320" s="4" t="s">
        <v>1640</v>
      </c>
      <c r="J2320" s="4">
        <v>13.4549</v>
      </c>
      <c r="K2320" s="4">
        <v>13.738200000000001</v>
      </c>
      <c r="L2320" s="4">
        <v>13.759600000000001</v>
      </c>
      <c r="M2320" s="4">
        <f t="shared" si="145"/>
        <v>13.6509</v>
      </c>
      <c r="P2320" s="4" t="str">
        <f>"ptpn-22"</f>
        <v>ptpn-22</v>
      </c>
      <c r="Q2320" s="4">
        <v>13.156470048928799</v>
      </c>
      <c r="R2320" s="4">
        <v>13.255451941569101</v>
      </c>
      <c r="S2320" s="4">
        <v>13.305210480767901</v>
      </c>
      <c r="T2320" s="4">
        <f t="shared" si="146"/>
        <v>13.2390441570886</v>
      </c>
      <c r="W2320" s="4" t="str">
        <f>"Y54F10AR.2"</f>
        <v>Y54F10AR.2</v>
      </c>
      <c r="X2320" s="4">
        <v>13.073558494468299</v>
      </c>
      <c r="Y2320" s="4">
        <v>13.3600408271123</v>
      </c>
      <c r="Z2320" s="4">
        <v>13.3789032140345</v>
      </c>
      <c r="AA2320" s="4">
        <f t="shared" si="147"/>
        <v>13.270834178538367</v>
      </c>
    </row>
    <row r="2321" spans="2:27" x14ac:dyDescent="0.2">
      <c r="B2321" s="4" t="s">
        <v>1606</v>
      </c>
      <c r="C2321" s="4">
        <v>13.719099999999999</v>
      </c>
      <c r="D2321" s="4">
        <v>13.6782</v>
      </c>
      <c r="E2321" s="4">
        <v>13.552300000000001</v>
      </c>
      <c r="F2321" s="4">
        <f t="shared" si="144"/>
        <v>13.649866666666668</v>
      </c>
      <c r="I2321" s="4" t="s">
        <v>3986</v>
      </c>
      <c r="J2321" s="4">
        <v>13.937099999999999</v>
      </c>
      <c r="K2321" s="4">
        <v>13.338699999999999</v>
      </c>
      <c r="L2321" s="4">
        <v>13.6614</v>
      </c>
      <c r="M2321" s="4">
        <f t="shared" si="145"/>
        <v>13.645733333333332</v>
      </c>
      <c r="P2321" s="4" t="str">
        <f>"lin-41"</f>
        <v>lin-41</v>
      </c>
      <c r="Q2321" s="4">
        <v>13.378026514455099</v>
      </c>
      <c r="R2321" s="4">
        <v>13.176659758928301</v>
      </c>
      <c r="S2321" s="4">
        <v>13.1618321762621</v>
      </c>
      <c r="T2321" s="4">
        <f t="shared" si="146"/>
        <v>13.238839483215166</v>
      </c>
      <c r="W2321" s="4" t="str">
        <f>"ttbk-8.2"</f>
        <v>ttbk-8.2</v>
      </c>
      <c r="X2321" s="4">
        <v>13.4976719902602</v>
      </c>
      <c r="Y2321" s="4">
        <v>13.4686741842043</v>
      </c>
      <c r="Z2321" s="4">
        <v>12.8452765569454</v>
      </c>
      <c r="AA2321" s="4">
        <f t="shared" si="147"/>
        <v>13.270540910469967</v>
      </c>
    </row>
    <row r="2322" spans="2:27" x14ac:dyDescent="0.2">
      <c r="B2322" s="4" t="s">
        <v>2887</v>
      </c>
      <c r="C2322" s="4">
        <v>13.6379</v>
      </c>
      <c r="D2322" s="4">
        <v>13.9099</v>
      </c>
      <c r="E2322" s="4">
        <v>13.398899999999999</v>
      </c>
      <c r="F2322" s="4">
        <f t="shared" si="144"/>
        <v>13.648899999999999</v>
      </c>
      <c r="I2322" s="4" t="s">
        <v>3542</v>
      </c>
      <c r="J2322" s="4">
        <v>13.869199999999999</v>
      </c>
      <c r="K2322" s="4">
        <v>13.561500000000001</v>
      </c>
      <c r="L2322" s="4">
        <v>13.5059</v>
      </c>
      <c r="M2322" s="4">
        <f t="shared" si="145"/>
        <v>13.645533333333333</v>
      </c>
      <c r="P2322" s="4" t="str">
        <f>"vha-4"</f>
        <v>vha-4</v>
      </c>
      <c r="Q2322" s="4">
        <v>12.901766834403601</v>
      </c>
      <c r="R2322" s="4">
        <v>13.5121648699816</v>
      </c>
      <c r="S2322" s="4">
        <v>13.301743778278</v>
      </c>
      <c r="T2322" s="4">
        <f t="shared" si="146"/>
        <v>13.238558494221067</v>
      </c>
      <c r="W2322" s="4" t="str">
        <f>"cpna-2"</f>
        <v>cpna-2</v>
      </c>
      <c r="X2322" s="4">
        <v>12.7054535965617</v>
      </c>
      <c r="Y2322" s="4">
        <v>13.3092883169675</v>
      </c>
      <c r="Z2322" s="4">
        <v>13.7925435667815</v>
      </c>
      <c r="AA2322" s="4">
        <f t="shared" si="147"/>
        <v>13.269095160103566</v>
      </c>
    </row>
    <row r="2323" spans="2:27" x14ac:dyDescent="0.2">
      <c r="B2323" s="4" t="s">
        <v>2798</v>
      </c>
      <c r="C2323" s="4">
        <v>13.676399999999999</v>
      </c>
      <c r="D2323" s="4">
        <v>13.7196</v>
      </c>
      <c r="E2323" s="4">
        <v>13.549200000000001</v>
      </c>
      <c r="F2323" s="4">
        <f t="shared" si="144"/>
        <v>13.648400000000001</v>
      </c>
      <c r="I2323" s="4" t="s">
        <v>95</v>
      </c>
      <c r="J2323" s="4">
        <v>13.769600000000001</v>
      </c>
      <c r="K2323" s="4">
        <v>13.719799999999999</v>
      </c>
      <c r="L2323" s="4">
        <v>13.4465</v>
      </c>
      <c r="M2323" s="4">
        <f t="shared" si="145"/>
        <v>13.645300000000001</v>
      </c>
      <c r="P2323" s="4" t="str">
        <f>"cdc-14"</f>
        <v>cdc-14</v>
      </c>
      <c r="Q2323" s="4">
        <v>13.146234938855301</v>
      </c>
      <c r="R2323" s="4">
        <v>13.34750941862</v>
      </c>
      <c r="S2323" s="4">
        <v>13.2215918615695</v>
      </c>
      <c r="T2323" s="4">
        <f t="shared" si="146"/>
        <v>13.238445406348267</v>
      </c>
      <c r="W2323" s="4" t="str">
        <f>"F35D11.3"</f>
        <v>F35D11.3</v>
      </c>
      <c r="X2323" s="4">
        <v>13.294654564723499</v>
      </c>
      <c r="Y2323" s="4">
        <v>12.9208234077624</v>
      </c>
      <c r="Z2323" s="4">
        <v>13.588806155390101</v>
      </c>
      <c r="AA2323" s="4">
        <f t="shared" si="147"/>
        <v>13.268094709292001</v>
      </c>
    </row>
    <row r="2324" spans="2:27" x14ac:dyDescent="0.2">
      <c r="B2324" s="4" t="s">
        <v>2767</v>
      </c>
      <c r="C2324" s="4">
        <v>12.6777</v>
      </c>
      <c r="D2324" s="4">
        <v>14.3322</v>
      </c>
      <c r="E2324" s="4">
        <v>13.9343</v>
      </c>
      <c r="F2324" s="4">
        <f t="shared" si="144"/>
        <v>13.648066666666667</v>
      </c>
      <c r="I2324" s="24" t="s">
        <v>403</v>
      </c>
      <c r="J2324" s="24">
        <v>13.757199999999999</v>
      </c>
      <c r="K2324" s="24">
        <v>13.5671</v>
      </c>
      <c r="L2324" s="24">
        <v>13.6113</v>
      </c>
      <c r="M2324" s="4">
        <f t="shared" si="145"/>
        <v>13.645200000000001</v>
      </c>
      <c r="P2324" s="4" t="str">
        <f>"dhhc-10"</f>
        <v>dhhc-10</v>
      </c>
      <c r="Q2324" s="4">
        <v>13.114370076671101</v>
      </c>
      <c r="R2324" s="4">
        <v>13.088783968971599</v>
      </c>
      <c r="S2324" s="4">
        <v>13.509864366489101</v>
      </c>
      <c r="T2324" s="4">
        <f t="shared" si="146"/>
        <v>13.237672804043934</v>
      </c>
      <c r="W2324" s="4" t="str">
        <f>"math-20"</f>
        <v>math-20</v>
      </c>
      <c r="X2324" s="4">
        <v>13.4855215489639</v>
      </c>
      <c r="Y2324" s="4">
        <v>13.064404784027101</v>
      </c>
      <c r="Z2324" s="4">
        <v>13.250629211009301</v>
      </c>
      <c r="AA2324" s="4">
        <f t="shared" si="147"/>
        <v>13.266851848000101</v>
      </c>
    </row>
    <row r="2325" spans="2:27" x14ac:dyDescent="0.2">
      <c r="B2325" s="4" t="s">
        <v>4209</v>
      </c>
      <c r="C2325" s="4">
        <v>13.475099999999999</v>
      </c>
      <c r="D2325" s="4">
        <v>13.8005</v>
      </c>
      <c r="E2325" s="4">
        <v>13.6516</v>
      </c>
      <c r="F2325" s="4">
        <f t="shared" si="144"/>
        <v>13.6424</v>
      </c>
      <c r="I2325" s="4" t="s">
        <v>2710</v>
      </c>
      <c r="J2325" s="4">
        <v>13.7271</v>
      </c>
      <c r="K2325" s="4">
        <v>13.267300000000001</v>
      </c>
      <c r="L2325" s="4">
        <v>13.940899999999999</v>
      </c>
      <c r="M2325" s="4">
        <f t="shared" si="145"/>
        <v>13.645099999999999</v>
      </c>
      <c r="P2325" s="4" t="str">
        <f>"daf-3"</f>
        <v>daf-3</v>
      </c>
      <c r="Q2325" s="4">
        <v>13.479152002571</v>
      </c>
      <c r="R2325" s="4">
        <v>13.205066284261299</v>
      </c>
      <c r="S2325" s="4">
        <v>13.028004738893999</v>
      </c>
      <c r="T2325" s="4">
        <f t="shared" si="146"/>
        <v>13.237407675242098</v>
      </c>
      <c r="W2325" s="4" t="str">
        <f>"F10A3.17"</f>
        <v>F10A3.17</v>
      </c>
      <c r="X2325" s="4">
        <v>13.2512258933354</v>
      </c>
      <c r="Y2325" s="4">
        <v>13.053033497903099</v>
      </c>
      <c r="Z2325" s="4">
        <v>13.4922618169145</v>
      </c>
      <c r="AA2325" s="4">
        <f t="shared" si="147"/>
        <v>13.265507069384332</v>
      </c>
    </row>
    <row r="2326" spans="2:27" x14ac:dyDescent="0.2">
      <c r="B2326" s="4" t="s">
        <v>2673</v>
      </c>
      <c r="C2326" s="4">
        <v>13.089600000000001</v>
      </c>
      <c r="D2326" s="4">
        <v>13.8759</v>
      </c>
      <c r="E2326" s="4">
        <v>13.960800000000001</v>
      </c>
      <c r="F2326" s="4">
        <f t="shared" si="144"/>
        <v>13.642099999999999</v>
      </c>
      <c r="I2326" s="4" t="s">
        <v>1006</v>
      </c>
      <c r="J2326" s="4">
        <v>13.5633</v>
      </c>
      <c r="K2326" s="4">
        <v>13.6952</v>
      </c>
      <c r="L2326" s="4">
        <v>13.676500000000001</v>
      </c>
      <c r="M2326" s="4">
        <f t="shared" si="145"/>
        <v>13.645000000000001</v>
      </c>
      <c r="P2326" s="4" t="str">
        <f>"dcar-1"</f>
        <v>dcar-1</v>
      </c>
      <c r="Q2326" s="4">
        <v>13.143704958638001</v>
      </c>
      <c r="R2326" s="4">
        <v>13.196629572028099</v>
      </c>
      <c r="S2326" s="4">
        <v>13.366164190048901</v>
      </c>
      <c r="T2326" s="4">
        <f t="shared" si="146"/>
        <v>13.235499573571666</v>
      </c>
      <c r="W2326" s="4" t="str">
        <f>"crp-1"</f>
        <v>crp-1</v>
      </c>
      <c r="X2326" s="4">
        <v>13.6224600468795</v>
      </c>
      <c r="Y2326" s="4">
        <v>13.147419921279701</v>
      </c>
      <c r="Z2326" s="4">
        <v>13.0257479868876</v>
      </c>
      <c r="AA2326" s="4">
        <f t="shared" si="147"/>
        <v>13.265209318348935</v>
      </c>
    </row>
    <row r="2327" spans="2:27" x14ac:dyDescent="0.2">
      <c r="B2327" s="4" t="s">
        <v>2766</v>
      </c>
      <c r="C2327" s="4">
        <v>13.222200000000001</v>
      </c>
      <c r="D2327" s="4">
        <v>13.783899999999999</v>
      </c>
      <c r="E2327" s="4">
        <v>13.9161</v>
      </c>
      <c r="F2327" s="4">
        <f t="shared" si="144"/>
        <v>13.640733333333335</v>
      </c>
      <c r="I2327" s="4" t="s">
        <v>488</v>
      </c>
      <c r="J2327" s="4">
        <v>13.6045</v>
      </c>
      <c r="K2327" s="4">
        <v>14.0421</v>
      </c>
      <c r="L2327" s="4">
        <v>13.2872</v>
      </c>
      <c r="M2327" s="4">
        <f t="shared" si="145"/>
        <v>13.644599999999999</v>
      </c>
      <c r="P2327" s="4" t="str">
        <f>"hprt-1"</f>
        <v>hprt-1</v>
      </c>
      <c r="Q2327" s="4">
        <v>13.3998021176681</v>
      </c>
      <c r="R2327" s="4">
        <v>13.2215682795483</v>
      </c>
      <c r="S2327" s="4">
        <v>13.0836985178747</v>
      </c>
      <c r="T2327" s="4">
        <f t="shared" si="146"/>
        <v>13.235022971697035</v>
      </c>
      <c r="W2327" s="4" t="str">
        <f>"dcap-2"</f>
        <v>dcap-2</v>
      </c>
      <c r="X2327" s="4">
        <v>13.204843302606101</v>
      </c>
      <c r="Y2327" s="4">
        <v>13.1777348569192</v>
      </c>
      <c r="Z2327" s="4">
        <v>13.4091053895032</v>
      </c>
      <c r="AA2327" s="4">
        <f t="shared" si="147"/>
        <v>13.263894516342836</v>
      </c>
    </row>
    <row r="2328" spans="2:27" x14ac:dyDescent="0.2">
      <c r="B2328" s="4" t="s">
        <v>1620</v>
      </c>
      <c r="C2328" s="4">
        <v>13.8011</v>
      </c>
      <c r="D2328" s="4">
        <v>13.4299</v>
      </c>
      <c r="E2328" s="4">
        <v>13.690899999999999</v>
      </c>
      <c r="F2328" s="4">
        <f t="shared" si="144"/>
        <v>13.640633333333334</v>
      </c>
      <c r="I2328" s="4" t="s">
        <v>1309</v>
      </c>
      <c r="J2328" s="4">
        <v>13.882300000000001</v>
      </c>
      <c r="K2328" s="4">
        <v>13.6264</v>
      </c>
      <c r="L2328" s="4">
        <v>13.4237</v>
      </c>
      <c r="M2328" s="4">
        <f t="shared" si="145"/>
        <v>13.644133333333334</v>
      </c>
      <c r="P2328" s="4" t="str">
        <f>"Y39B6A.3"</f>
        <v>Y39B6A.3</v>
      </c>
      <c r="Q2328" s="4">
        <v>13.3616561927271</v>
      </c>
      <c r="R2328" s="4">
        <v>13.1249120373763</v>
      </c>
      <c r="S2328" s="4">
        <v>13.215900419237</v>
      </c>
      <c r="T2328" s="4">
        <f t="shared" si="146"/>
        <v>13.234156216446801</v>
      </c>
      <c r="W2328" s="4" t="str">
        <f>"pri-1"</f>
        <v>pri-1</v>
      </c>
      <c r="X2328" s="4">
        <v>13.0870351963883</v>
      </c>
      <c r="Y2328" s="4">
        <v>13.261954866171701</v>
      </c>
      <c r="Z2328" s="4">
        <v>13.440813158795301</v>
      </c>
      <c r="AA2328" s="4">
        <f t="shared" si="147"/>
        <v>13.263267740451766</v>
      </c>
    </row>
    <row r="2329" spans="2:27" x14ac:dyDescent="0.2">
      <c r="B2329" s="4" t="s">
        <v>3509</v>
      </c>
      <c r="C2329" s="4">
        <v>13.681800000000001</v>
      </c>
      <c r="D2329" s="4">
        <v>13.8134</v>
      </c>
      <c r="E2329" s="4">
        <v>13.424099999999999</v>
      </c>
      <c r="F2329" s="4">
        <f t="shared" si="144"/>
        <v>13.639766666666667</v>
      </c>
      <c r="I2329" s="4" t="s">
        <v>1111</v>
      </c>
      <c r="J2329" s="4">
        <v>13.537100000000001</v>
      </c>
      <c r="K2329" s="4">
        <v>13.734400000000001</v>
      </c>
      <c r="L2329" s="4">
        <v>13.660600000000001</v>
      </c>
      <c r="M2329" s="4">
        <f t="shared" si="145"/>
        <v>13.644033333333335</v>
      </c>
      <c r="P2329" s="4" t="str">
        <f>"W08E12.7"</f>
        <v>W08E12.7</v>
      </c>
      <c r="Q2329" s="4">
        <v>12.932403411753</v>
      </c>
      <c r="R2329" s="4">
        <v>13.301509038147801</v>
      </c>
      <c r="S2329" s="4">
        <v>13.4673329520152</v>
      </c>
      <c r="T2329" s="4">
        <f t="shared" si="146"/>
        <v>13.233748467305332</v>
      </c>
      <c r="W2329" s="4" t="str">
        <f>"tap-1"</f>
        <v>tap-1</v>
      </c>
      <c r="X2329" s="4">
        <v>13.1706712942624</v>
      </c>
      <c r="Y2329" s="4">
        <v>13.305853655430701</v>
      </c>
      <c r="Z2329" s="4">
        <v>13.3117289987101</v>
      </c>
      <c r="AA2329" s="4">
        <f t="shared" si="147"/>
        <v>13.2627513161344</v>
      </c>
    </row>
    <row r="2330" spans="2:27" x14ac:dyDescent="0.2">
      <c r="B2330" s="4" t="s">
        <v>3736</v>
      </c>
      <c r="C2330" s="4">
        <v>13.4983</v>
      </c>
      <c r="D2330" s="4">
        <v>13.740600000000001</v>
      </c>
      <c r="E2330" s="4">
        <v>13.674099999999999</v>
      </c>
      <c r="F2330" s="4">
        <f t="shared" si="144"/>
        <v>13.637666666666666</v>
      </c>
      <c r="I2330" s="4" t="s">
        <v>1451</v>
      </c>
      <c r="J2330" s="4">
        <v>13.494300000000001</v>
      </c>
      <c r="K2330" s="4">
        <v>13.6852</v>
      </c>
      <c r="L2330" s="4">
        <v>13.7507</v>
      </c>
      <c r="M2330" s="4">
        <f t="shared" si="145"/>
        <v>13.6434</v>
      </c>
      <c r="P2330" s="4" t="str">
        <f>"crh-1"</f>
        <v>crh-1</v>
      </c>
      <c r="Q2330" s="4">
        <v>13.552700757095399</v>
      </c>
      <c r="R2330" s="4">
        <v>13.2839552481522</v>
      </c>
      <c r="S2330" s="4">
        <v>12.864318164775399</v>
      </c>
      <c r="T2330" s="4">
        <f t="shared" si="146"/>
        <v>13.233658056674331</v>
      </c>
      <c r="W2330" s="4" t="str">
        <f>"lec-1"</f>
        <v>lec-1</v>
      </c>
      <c r="X2330" s="4">
        <v>13.0062389840145</v>
      </c>
      <c r="Y2330" s="4">
        <v>12.738619290689</v>
      </c>
      <c r="Z2330" s="4">
        <v>14.0385170040663</v>
      </c>
      <c r="AA2330" s="4">
        <f t="shared" si="147"/>
        <v>13.261125092923265</v>
      </c>
    </row>
    <row r="2331" spans="2:27" x14ac:dyDescent="0.2">
      <c r="B2331" s="4" t="s">
        <v>4784</v>
      </c>
      <c r="C2331" s="4">
        <v>13.3049</v>
      </c>
      <c r="D2331" s="4">
        <v>14.1287</v>
      </c>
      <c r="E2331" s="4">
        <v>13.478899999999999</v>
      </c>
      <c r="F2331" s="4">
        <f t="shared" si="144"/>
        <v>13.637499999999998</v>
      </c>
      <c r="I2331" s="4" t="s">
        <v>2777</v>
      </c>
      <c r="J2331" s="4">
        <v>13.4969</v>
      </c>
      <c r="K2331" s="4">
        <v>13.5533</v>
      </c>
      <c r="L2331" s="4">
        <v>13.8735</v>
      </c>
      <c r="M2331" s="4">
        <f t="shared" si="145"/>
        <v>13.641233333333332</v>
      </c>
      <c r="P2331" s="4" t="str">
        <f>"Y58A7A.3"</f>
        <v>Y58A7A.3</v>
      </c>
      <c r="Q2331" s="4">
        <v>13.291408489095501</v>
      </c>
      <c r="R2331" s="4">
        <v>13.2280180033974</v>
      </c>
      <c r="S2331" s="4">
        <v>13.178903874067901</v>
      </c>
      <c r="T2331" s="4">
        <f t="shared" si="146"/>
        <v>13.232776788853601</v>
      </c>
      <c r="W2331" s="4" t="str">
        <f>"nhr-189"</f>
        <v>nhr-189</v>
      </c>
      <c r="X2331" s="4">
        <v>13.103285580263901</v>
      </c>
      <c r="Y2331" s="4">
        <v>13.361200766044499</v>
      </c>
      <c r="Z2331" s="4">
        <v>13.318349487371201</v>
      </c>
      <c r="AA2331" s="4">
        <f t="shared" si="147"/>
        <v>13.2609452778932</v>
      </c>
    </row>
    <row r="2332" spans="2:27" x14ac:dyDescent="0.2">
      <c r="B2332" s="4" t="s">
        <v>1602</v>
      </c>
      <c r="C2332" s="4">
        <v>13.517099999999999</v>
      </c>
      <c r="D2332" s="4">
        <v>13.555999999999999</v>
      </c>
      <c r="E2332" s="4">
        <v>13.838699999999999</v>
      </c>
      <c r="F2332" s="4">
        <f t="shared" si="144"/>
        <v>13.637266666666667</v>
      </c>
      <c r="I2332" s="4" t="s">
        <v>1174</v>
      </c>
      <c r="J2332" s="4">
        <v>13.9979</v>
      </c>
      <c r="K2332" s="4">
        <v>13.763199999999999</v>
      </c>
      <c r="L2332" s="4">
        <v>13.160299999999999</v>
      </c>
      <c r="M2332" s="4">
        <f t="shared" si="145"/>
        <v>13.640466666666667</v>
      </c>
      <c r="P2332" s="4" t="str">
        <f>"gly-3"</f>
        <v>gly-3</v>
      </c>
      <c r="Q2332" s="4">
        <v>12.957964600248999</v>
      </c>
      <c r="R2332" s="4">
        <v>13.3874749855446</v>
      </c>
      <c r="S2332" s="4">
        <v>13.351488476919499</v>
      </c>
      <c r="T2332" s="4">
        <f t="shared" si="146"/>
        <v>13.232309354237699</v>
      </c>
      <c r="W2332" s="4" t="str">
        <f>"Y66D12A.24"</f>
        <v>Y66D12A.24</v>
      </c>
      <c r="X2332" s="4">
        <v>12.979387265006499</v>
      </c>
      <c r="Y2332" s="4">
        <v>13.3992880072886</v>
      </c>
      <c r="Z2332" s="4">
        <v>13.4018774603102</v>
      </c>
      <c r="AA2332" s="4">
        <f t="shared" si="147"/>
        <v>13.260184244201767</v>
      </c>
    </row>
    <row r="2333" spans="2:27" x14ac:dyDescent="0.2">
      <c r="B2333" s="4" t="s">
        <v>4785</v>
      </c>
      <c r="C2333" s="4">
        <v>13.6098</v>
      </c>
      <c r="D2333" s="4">
        <v>13.446400000000001</v>
      </c>
      <c r="E2333" s="4">
        <v>13.8528</v>
      </c>
      <c r="F2333" s="4">
        <f t="shared" si="144"/>
        <v>13.636333333333333</v>
      </c>
      <c r="I2333" s="4" t="s">
        <v>2363</v>
      </c>
      <c r="J2333" s="4">
        <v>13.567500000000001</v>
      </c>
      <c r="K2333" s="4">
        <v>13.801299999999999</v>
      </c>
      <c r="L2333" s="4">
        <v>13.5517</v>
      </c>
      <c r="M2333" s="4">
        <f t="shared" si="145"/>
        <v>13.640166666666667</v>
      </c>
      <c r="P2333" s="4" t="str">
        <f>"F40F4.7"</f>
        <v>F40F4.7</v>
      </c>
      <c r="Q2333" s="4">
        <v>12.959083924962799</v>
      </c>
      <c r="R2333" s="4">
        <v>13.3887298952449</v>
      </c>
      <c r="S2333" s="4">
        <v>13.334889883644999</v>
      </c>
      <c r="T2333" s="4">
        <f t="shared" si="146"/>
        <v>13.227567901284232</v>
      </c>
      <c r="W2333" s="4" t="str">
        <f>"ZK1010.2"</f>
        <v>ZK1010.2</v>
      </c>
      <c r="X2333" s="4">
        <v>13.319000425498601</v>
      </c>
      <c r="Y2333" s="4">
        <v>13.0578146498745</v>
      </c>
      <c r="Z2333" s="4">
        <v>13.400985207384601</v>
      </c>
      <c r="AA2333" s="4">
        <f t="shared" si="147"/>
        <v>13.259266760919234</v>
      </c>
    </row>
    <row r="2334" spans="2:27" x14ac:dyDescent="0.2">
      <c r="B2334" s="4" t="s">
        <v>1320</v>
      </c>
      <c r="C2334" s="4">
        <v>13.5823</v>
      </c>
      <c r="D2334" s="4">
        <v>13.7143</v>
      </c>
      <c r="E2334" s="4">
        <v>13.607799999999999</v>
      </c>
      <c r="F2334" s="4">
        <f t="shared" si="144"/>
        <v>13.634799999999998</v>
      </c>
      <c r="I2334" s="4" t="s">
        <v>3261</v>
      </c>
      <c r="J2334" s="4">
        <v>14.216900000000001</v>
      </c>
      <c r="K2334" s="4">
        <v>13.3065</v>
      </c>
      <c r="L2334" s="4">
        <v>13.3908</v>
      </c>
      <c r="M2334" s="4">
        <f t="shared" si="145"/>
        <v>13.638066666666667</v>
      </c>
      <c r="P2334" s="4" t="str">
        <f>"farl-11"</f>
        <v>farl-11</v>
      </c>
      <c r="Q2334" s="4">
        <v>13.007774826808101</v>
      </c>
      <c r="R2334" s="4">
        <v>13.342336722064299</v>
      </c>
      <c r="S2334" s="4">
        <v>13.318953540084401</v>
      </c>
      <c r="T2334" s="4">
        <f t="shared" si="146"/>
        <v>13.223021696318932</v>
      </c>
      <c r="W2334" s="4" t="str">
        <f>"byn-1"</f>
        <v>byn-1</v>
      </c>
      <c r="X2334" s="4">
        <v>13.0537658844019</v>
      </c>
      <c r="Y2334" s="4">
        <v>13.4412149304806</v>
      </c>
      <c r="Z2334" s="4">
        <v>13.277995597917201</v>
      </c>
      <c r="AA2334" s="4">
        <f t="shared" si="147"/>
        <v>13.257658804266567</v>
      </c>
    </row>
    <row r="2335" spans="2:27" x14ac:dyDescent="0.2">
      <c r="B2335" s="4" t="s">
        <v>4786</v>
      </c>
      <c r="C2335" s="4">
        <v>13.7241</v>
      </c>
      <c r="D2335" s="4">
        <v>13.5867</v>
      </c>
      <c r="E2335" s="4">
        <v>13.589700000000001</v>
      </c>
      <c r="F2335" s="4">
        <f t="shared" si="144"/>
        <v>13.6335</v>
      </c>
      <c r="I2335" s="4" t="s">
        <v>1687</v>
      </c>
      <c r="J2335" s="4">
        <v>13.6646</v>
      </c>
      <c r="K2335" s="4">
        <v>13.488200000000001</v>
      </c>
      <c r="L2335" s="4">
        <v>13.759600000000001</v>
      </c>
      <c r="M2335" s="4">
        <f t="shared" si="145"/>
        <v>13.637466666666667</v>
      </c>
      <c r="P2335" s="4" t="str">
        <f>"F39C12.1"</f>
        <v>F39C12.1</v>
      </c>
      <c r="Q2335" s="4">
        <v>13.573966870168499</v>
      </c>
      <c r="R2335" s="4">
        <v>13.3782296749343</v>
      </c>
      <c r="S2335" s="4">
        <v>12.7111474265418</v>
      </c>
      <c r="T2335" s="4">
        <f t="shared" si="146"/>
        <v>13.221114657214867</v>
      </c>
      <c r="W2335" s="4" t="str">
        <f>"rict-1"</f>
        <v>rict-1</v>
      </c>
      <c r="X2335" s="4">
        <v>13.2872956183607</v>
      </c>
      <c r="Y2335" s="4">
        <v>13.242574385995299</v>
      </c>
      <c r="Z2335" s="4">
        <v>13.240333160922701</v>
      </c>
      <c r="AA2335" s="4">
        <f t="shared" si="147"/>
        <v>13.256734388426233</v>
      </c>
    </row>
    <row r="2336" spans="2:27" x14ac:dyDescent="0.2">
      <c r="B2336" s="4" t="s">
        <v>2894</v>
      </c>
      <c r="C2336" s="4">
        <v>13.9185</v>
      </c>
      <c r="D2336" s="4">
        <v>13.3675</v>
      </c>
      <c r="E2336" s="4">
        <v>13.6023</v>
      </c>
      <c r="F2336" s="4">
        <f t="shared" si="144"/>
        <v>13.629433333333333</v>
      </c>
      <c r="I2336" s="4" t="s">
        <v>2499</v>
      </c>
      <c r="J2336" s="4">
        <v>13.967700000000001</v>
      </c>
      <c r="K2336" s="4">
        <v>14.261699999999999</v>
      </c>
      <c r="L2336" s="4">
        <v>12.675599999999999</v>
      </c>
      <c r="M2336" s="4">
        <f t="shared" si="145"/>
        <v>13.635</v>
      </c>
      <c r="P2336" s="4" t="str">
        <f>"lys-4"</f>
        <v>lys-4</v>
      </c>
      <c r="Q2336" s="4">
        <v>13.1517262324019</v>
      </c>
      <c r="R2336" s="4">
        <v>13.1408213908687</v>
      </c>
      <c r="S2336" s="4">
        <v>13.369430103405699</v>
      </c>
      <c r="T2336" s="4">
        <f t="shared" si="146"/>
        <v>13.220659242225432</v>
      </c>
      <c r="W2336" s="4" t="str">
        <f>"H14E04.2"</f>
        <v>H14E04.2</v>
      </c>
      <c r="X2336" s="4">
        <v>13.204186611301401</v>
      </c>
      <c r="Y2336" s="4">
        <v>13.2011302094292</v>
      </c>
      <c r="Z2336" s="4">
        <v>13.356418770276999</v>
      </c>
      <c r="AA2336" s="4">
        <f t="shared" si="147"/>
        <v>13.253911863669201</v>
      </c>
    </row>
    <row r="2337" spans="2:27" x14ac:dyDescent="0.2">
      <c r="B2337" s="4" t="s">
        <v>195</v>
      </c>
      <c r="C2337" s="4">
        <v>13.4308</v>
      </c>
      <c r="D2337" s="4">
        <v>13.9361</v>
      </c>
      <c r="E2337" s="4">
        <v>13.516299999999999</v>
      </c>
      <c r="F2337" s="4">
        <f t="shared" si="144"/>
        <v>13.627733333333333</v>
      </c>
      <c r="I2337" s="4" t="s">
        <v>473</v>
      </c>
      <c r="J2337" s="4">
        <v>13.848599999999999</v>
      </c>
      <c r="K2337" s="4">
        <v>13.691700000000001</v>
      </c>
      <c r="L2337" s="4">
        <v>13.3605</v>
      </c>
      <c r="M2337" s="4">
        <f t="shared" si="145"/>
        <v>13.633600000000001</v>
      </c>
      <c r="P2337" s="4" t="str">
        <f>"pmr-1"</f>
        <v>pmr-1</v>
      </c>
      <c r="Q2337" s="4">
        <v>13.1504035044901</v>
      </c>
      <c r="R2337" s="4">
        <v>13.084074372533401</v>
      </c>
      <c r="S2337" s="4">
        <v>13.423301519627</v>
      </c>
      <c r="T2337" s="4">
        <f t="shared" si="146"/>
        <v>13.219259798883499</v>
      </c>
      <c r="W2337" s="4" t="str">
        <f>"lido-9"</f>
        <v>lido-9</v>
      </c>
      <c r="X2337" s="4">
        <v>13.164851920570699</v>
      </c>
      <c r="Y2337" s="4">
        <v>13.440545806416401</v>
      </c>
      <c r="Z2337" s="4">
        <v>13.1557506000725</v>
      </c>
      <c r="AA2337" s="4">
        <f t="shared" si="147"/>
        <v>13.253716109019868</v>
      </c>
    </row>
    <row r="2338" spans="2:27" x14ac:dyDescent="0.2">
      <c r="B2338" s="4" t="s">
        <v>3042</v>
      </c>
      <c r="C2338" s="4">
        <v>13.5627</v>
      </c>
      <c r="D2338" s="4">
        <v>13.551399999999999</v>
      </c>
      <c r="E2338" s="4">
        <v>13.768599999999999</v>
      </c>
      <c r="F2338" s="4">
        <f t="shared" si="144"/>
        <v>13.627566666666667</v>
      </c>
      <c r="I2338" s="4" t="s">
        <v>313</v>
      </c>
      <c r="J2338" s="4">
        <v>13.9825</v>
      </c>
      <c r="K2338" s="4">
        <v>13.3202</v>
      </c>
      <c r="L2338" s="4">
        <v>13.596500000000001</v>
      </c>
      <c r="M2338" s="4">
        <f t="shared" si="145"/>
        <v>13.633066666666666</v>
      </c>
      <c r="P2338" s="4" t="str">
        <f>"ccpp-1"</f>
        <v>ccpp-1</v>
      </c>
      <c r="Q2338" s="4">
        <v>12.926099561235199</v>
      </c>
      <c r="R2338" s="4">
        <v>13.3215783586258</v>
      </c>
      <c r="S2338" s="4">
        <v>13.408268461351399</v>
      </c>
      <c r="T2338" s="4">
        <f t="shared" si="146"/>
        <v>13.218648793737465</v>
      </c>
      <c r="W2338" s="4" t="str">
        <f>"ubr-5"</f>
        <v>ubr-5</v>
      </c>
      <c r="X2338" s="4">
        <v>13.4577544475847</v>
      </c>
      <c r="Y2338" s="4">
        <v>13.2356476189081</v>
      </c>
      <c r="Z2338" s="4">
        <v>13.0608922346829</v>
      </c>
      <c r="AA2338" s="4">
        <f t="shared" si="147"/>
        <v>13.251431433725235</v>
      </c>
    </row>
    <row r="2339" spans="2:27" x14ac:dyDescent="0.2">
      <c r="B2339" s="4" t="s">
        <v>3279</v>
      </c>
      <c r="C2339" s="4">
        <v>13.4999</v>
      </c>
      <c r="D2339" s="4">
        <v>13.911099999999999</v>
      </c>
      <c r="E2339" s="4">
        <v>13.470800000000001</v>
      </c>
      <c r="F2339" s="4">
        <f t="shared" si="144"/>
        <v>13.627266666666666</v>
      </c>
      <c r="I2339" s="4" t="s">
        <v>418</v>
      </c>
      <c r="J2339" s="4">
        <v>14.0655</v>
      </c>
      <c r="K2339" s="4">
        <v>13.828799999999999</v>
      </c>
      <c r="L2339" s="4">
        <v>13.0001</v>
      </c>
      <c r="M2339" s="4">
        <f t="shared" si="145"/>
        <v>13.631466666666668</v>
      </c>
      <c r="P2339" s="4" t="str">
        <f>"cept-1"</f>
        <v>cept-1</v>
      </c>
      <c r="Q2339" s="4">
        <v>12.1030935428448</v>
      </c>
      <c r="R2339" s="4">
        <v>13.9821882454497</v>
      </c>
      <c r="S2339" s="4">
        <v>13.5677373393446</v>
      </c>
      <c r="T2339" s="4">
        <f t="shared" si="146"/>
        <v>13.217673042546366</v>
      </c>
      <c r="W2339" s="4" t="str">
        <f>"mpc-1"</f>
        <v>mpc-1</v>
      </c>
      <c r="X2339" s="4">
        <v>12.506843678926501</v>
      </c>
      <c r="Y2339" s="4">
        <v>13.8945275336826</v>
      </c>
      <c r="Z2339" s="4">
        <v>13.3479757926715</v>
      </c>
      <c r="AA2339" s="4">
        <f t="shared" si="147"/>
        <v>13.249782335093533</v>
      </c>
    </row>
    <row r="2340" spans="2:27" x14ac:dyDescent="0.2">
      <c r="B2340" s="4" t="s">
        <v>3792</v>
      </c>
      <c r="C2340" s="4">
        <v>14.1669</v>
      </c>
      <c r="D2340" s="4">
        <v>13.0442</v>
      </c>
      <c r="E2340" s="4">
        <v>13.6699</v>
      </c>
      <c r="F2340" s="4">
        <f t="shared" si="144"/>
        <v>13.627000000000001</v>
      </c>
      <c r="I2340" s="4" t="s">
        <v>4787</v>
      </c>
      <c r="J2340" s="4">
        <v>13.8142</v>
      </c>
      <c r="K2340" s="4">
        <v>13.1752</v>
      </c>
      <c r="L2340" s="4">
        <v>13.897600000000001</v>
      </c>
      <c r="M2340" s="4">
        <f t="shared" si="145"/>
        <v>13.629</v>
      </c>
      <c r="P2340" s="4" t="str">
        <f>"dhrs-4"</f>
        <v>dhrs-4</v>
      </c>
      <c r="Q2340" s="4">
        <v>12.880343009597</v>
      </c>
      <c r="R2340" s="4">
        <v>13.368543028291599</v>
      </c>
      <c r="S2340" s="4">
        <v>13.396439256173</v>
      </c>
      <c r="T2340" s="4">
        <f t="shared" si="146"/>
        <v>13.215108431353867</v>
      </c>
      <c r="W2340" s="4" t="str">
        <f>"nhx-4"</f>
        <v>nhx-4</v>
      </c>
      <c r="X2340" s="4">
        <v>13.4531047951338</v>
      </c>
      <c r="Y2340" s="4">
        <v>13.206024905737999</v>
      </c>
      <c r="Z2340" s="4">
        <v>13.0893137816457</v>
      </c>
      <c r="AA2340" s="4">
        <f t="shared" si="147"/>
        <v>13.249481160839167</v>
      </c>
    </row>
    <row r="2341" spans="2:27" x14ac:dyDescent="0.2">
      <c r="B2341" s="4" t="s">
        <v>1130</v>
      </c>
      <c r="C2341" s="4">
        <v>13.6295</v>
      </c>
      <c r="D2341" s="4">
        <v>13.8329</v>
      </c>
      <c r="E2341" s="4">
        <v>13.4168</v>
      </c>
      <c r="F2341" s="4">
        <f t="shared" si="144"/>
        <v>13.626400000000002</v>
      </c>
      <c r="I2341" s="4" t="s">
        <v>1526</v>
      </c>
      <c r="J2341" s="4">
        <v>13.0246</v>
      </c>
      <c r="K2341" s="4">
        <v>13.093999999999999</v>
      </c>
      <c r="L2341" s="4">
        <v>14.766500000000001</v>
      </c>
      <c r="M2341" s="4">
        <f t="shared" si="145"/>
        <v>13.628366666666667</v>
      </c>
      <c r="P2341" s="4" t="str">
        <f>"decr-1.3"</f>
        <v>decr-1.3</v>
      </c>
      <c r="Q2341" s="4">
        <v>12.9526192576496</v>
      </c>
      <c r="R2341" s="4">
        <v>13.347116569187801</v>
      </c>
      <c r="S2341" s="4">
        <v>13.340026643301901</v>
      </c>
      <c r="T2341" s="4">
        <f t="shared" si="146"/>
        <v>13.2132541567131</v>
      </c>
      <c r="W2341" s="4" t="str">
        <f>"puf-5"</f>
        <v>puf-5</v>
      </c>
      <c r="X2341" s="4">
        <v>13.475506349950299</v>
      </c>
      <c r="Y2341" s="4">
        <v>13.2016827446789</v>
      </c>
      <c r="Z2341" s="4">
        <v>13.065968799117</v>
      </c>
      <c r="AA2341" s="4">
        <f t="shared" si="147"/>
        <v>13.247719297915401</v>
      </c>
    </row>
    <row r="2342" spans="2:27" x14ac:dyDescent="0.2">
      <c r="B2342" s="4" t="s">
        <v>4788</v>
      </c>
      <c r="C2342" s="4">
        <v>13.831300000000001</v>
      </c>
      <c r="D2342" s="4">
        <v>13.7928</v>
      </c>
      <c r="E2342" s="4">
        <v>13.250299999999999</v>
      </c>
      <c r="F2342" s="4">
        <f t="shared" si="144"/>
        <v>13.624799999999999</v>
      </c>
      <c r="I2342" s="4" t="s">
        <v>1653</v>
      </c>
      <c r="J2342" s="4">
        <v>13.180400000000001</v>
      </c>
      <c r="K2342" s="4">
        <v>13.785</v>
      </c>
      <c r="L2342" s="4">
        <v>13.915699999999999</v>
      </c>
      <c r="M2342" s="4">
        <f t="shared" si="145"/>
        <v>13.627033333333335</v>
      </c>
      <c r="P2342" s="4" t="str">
        <f>"Y32B12B.2"</f>
        <v>Y32B12B.2</v>
      </c>
      <c r="Q2342" s="4">
        <v>13.1261209401109</v>
      </c>
      <c r="R2342" s="4">
        <v>13.405248533421</v>
      </c>
      <c r="S2342" s="4">
        <v>13.105234809175199</v>
      </c>
      <c r="T2342" s="4">
        <f t="shared" si="146"/>
        <v>13.212201427569033</v>
      </c>
      <c r="W2342" s="4" t="str">
        <f>"Y51A2D.18"</f>
        <v>Y51A2D.18</v>
      </c>
      <c r="X2342" s="4">
        <v>13.433144874088701</v>
      </c>
      <c r="Y2342" s="4">
        <v>13.2027217502549</v>
      </c>
      <c r="Z2342" s="4">
        <v>13.102123762092299</v>
      </c>
      <c r="AA2342" s="4">
        <f t="shared" si="147"/>
        <v>13.245996795478632</v>
      </c>
    </row>
    <row r="2343" spans="2:27" x14ac:dyDescent="0.2">
      <c r="B2343" s="4" t="s">
        <v>2416</v>
      </c>
      <c r="C2343" s="4">
        <v>13.9396</v>
      </c>
      <c r="D2343" s="4">
        <v>13.526300000000001</v>
      </c>
      <c r="E2343" s="4">
        <v>13.405900000000001</v>
      </c>
      <c r="F2343" s="4">
        <f t="shared" si="144"/>
        <v>13.623933333333333</v>
      </c>
      <c r="I2343" s="4" t="s">
        <v>4519</v>
      </c>
      <c r="J2343" s="4">
        <v>13.4709</v>
      </c>
      <c r="K2343" s="4">
        <v>13.720700000000001</v>
      </c>
      <c r="L2343" s="4">
        <v>13.6793</v>
      </c>
      <c r="M2343" s="4">
        <f t="shared" si="145"/>
        <v>13.623633333333332</v>
      </c>
      <c r="P2343" s="4" t="str">
        <f>"tag-307"</f>
        <v>tag-307</v>
      </c>
      <c r="Q2343" s="4">
        <v>13.4544256872795</v>
      </c>
      <c r="R2343" s="4">
        <v>13.127943199330399</v>
      </c>
      <c r="S2343" s="4">
        <v>13.0520565259049</v>
      </c>
      <c r="T2343" s="4">
        <f t="shared" si="146"/>
        <v>13.211475137504934</v>
      </c>
      <c r="W2343" s="4" t="str">
        <f>"F49E8.7"</f>
        <v>F49E8.7</v>
      </c>
      <c r="X2343" s="4">
        <v>13.2061649150316</v>
      </c>
      <c r="Y2343" s="4">
        <v>13.2587408369805</v>
      </c>
      <c r="Z2343" s="4">
        <v>13.2696309533007</v>
      </c>
      <c r="AA2343" s="4">
        <f t="shared" si="147"/>
        <v>13.244845568437599</v>
      </c>
    </row>
    <row r="2344" spans="2:27" x14ac:dyDescent="0.2">
      <c r="B2344" s="4" t="s">
        <v>343</v>
      </c>
      <c r="C2344" s="4">
        <v>13.5062</v>
      </c>
      <c r="D2344" s="4">
        <v>14.051</v>
      </c>
      <c r="E2344" s="4">
        <v>13.3096</v>
      </c>
      <c r="F2344" s="4">
        <f t="shared" si="144"/>
        <v>13.622266666666667</v>
      </c>
      <c r="I2344" s="4" t="s">
        <v>1358</v>
      </c>
      <c r="J2344" s="4">
        <v>13.3073</v>
      </c>
      <c r="K2344" s="4">
        <v>13.886200000000001</v>
      </c>
      <c r="L2344" s="4">
        <v>13.6708</v>
      </c>
      <c r="M2344" s="4">
        <f t="shared" si="145"/>
        <v>13.621433333333334</v>
      </c>
      <c r="P2344" s="4" t="str">
        <f>"tram-1"</f>
        <v>tram-1</v>
      </c>
      <c r="Q2344" s="4">
        <v>12.7484257498524</v>
      </c>
      <c r="R2344" s="4">
        <v>13.451382702630299</v>
      </c>
      <c r="S2344" s="4">
        <v>13.4326098003078</v>
      </c>
      <c r="T2344" s="4">
        <f t="shared" si="146"/>
        <v>13.210806084263501</v>
      </c>
      <c r="W2344" s="4" t="str">
        <f>"cgr-1"</f>
        <v>cgr-1</v>
      </c>
      <c r="X2344" s="4">
        <v>13.217644593323101</v>
      </c>
      <c r="Y2344" s="4">
        <v>13.249864595818</v>
      </c>
      <c r="Z2344" s="4">
        <v>13.258640658665</v>
      </c>
      <c r="AA2344" s="4">
        <f t="shared" si="147"/>
        <v>13.242049949268699</v>
      </c>
    </row>
    <row r="2345" spans="2:27" x14ac:dyDescent="0.2">
      <c r="B2345" s="4" t="s">
        <v>3257</v>
      </c>
      <c r="C2345" s="4">
        <v>13.6303</v>
      </c>
      <c r="D2345" s="4">
        <v>13.720599999999999</v>
      </c>
      <c r="E2345" s="4">
        <v>13.5106</v>
      </c>
      <c r="F2345" s="4">
        <f t="shared" si="144"/>
        <v>13.6205</v>
      </c>
      <c r="I2345" s="4" t="s">
        <v>3301</v>
      </c>
      <c r="J2345" s="4">
        <v>13.5448</v>
      </c>
      <c r="K2345" s="4">
        <v>13.835599999999999</v>
      </c>
      <c r="L2345" s="4">
        <v>13.4816</v>
      </c>
      <c r="M2345" s="4">
        <f t="shared" si="145"/>
        <v>13.620666666666667</v>
      </c>
      <c r="P2345" s="4" t="str">
        <f>"asna-1"</f>
        <v>asna-1</v>
      </c>
      <c r="Q2345" s="4">
        <v>12.821048569559499</v>
      </c>
      <c r="R2345" s="4">
        <v>13.2057376034491</v>
      </c>
      <c r="S2345" s="4">
        <v>13.605116930432199</v>
      </c>
      <c r="T2345" s="4">
        <f t="shared" si="146"/>
        <v>13.210634367813599</v>
      </c>
      <c r="W2345" s="4" t="str">
        <f>"eif-2Bgamma"</f>
        <v>eif-2Bgamma</v>
      </c>
      <c r="X2345" s="4">
        <v>12.9551090907113</v>
      </c>
      <c r="Y2345" s="4">
        <v>13.547270639576899</v>
      </c>
      <c r="Z2345" s="4">
        <v>13.2192065595485</v>
      </c>
      <c r="AA2345" s="4">
        <f t="shared" si="147"/>
        <v>13.240528763278897</v>
      </c>
    </row>
    <row r="2346" spans="2:27" x14ac:dyDescent="0.2">
      <c r="B2346" s="4" t="s">
        <v>474</v>
      </c>
      <c r="C2346" s="4">
        <v>13.872</v>
      </c>
      <c r="D2346" s="4">
        <v>13.639200000000001</v>
      </c>
      <c r="E2346" s="4">
        <v>13.346299999999999</v>
      </c>
      <c r="F2346" s="4">
        <f t="shared" si="144"/>
        <v>13.619166666666667</v>
      </c>
      <c r="I2346" s="4" t="s">
        <v>4776</v>
      </c>
      <c r="J2346" s="4">
        <v>13.952999999999999</v>
      </c>
      <c r="K2346" s="4">
        <v>13.5381</v>
      </c>
      <c r="L2346" s="4">
        <v>13.3653</v>
      </c>
      <c r="M2346" s="4">
        <f t="shared" si="145"/>
        <v>13.6188</v>
      </c>
      <c r="P2346" s="4" t="str">
        <f>"C02B10.4"</f>
        <v>C02B10.4</v>
      </c>
      <c r="Q2346" s="4">
        <v>12.790719156941501</v>
      </c>
      <c r="R2346" s="4">
        <v>13.6875562347856</v>
      </c>
      <c r="S2346" s="4">
        <v>13.1518243241972</v>
      </c>
      <c r="T2346" s="4">
        <f t="shared" si="146"/>
        <v>13.210033238641435</v>
      </c>
      <c r="W2346" s="4" t="str">
        <f>"mut-16"</f>
        <v>mut-16</v>
      </c>
      <c r="X2346" s="4">
        <v>13.1435551360051</v>
      </c>
      <c r="Y2346" s="4">
        <v>13.339280488658501</v>
      </c>
      <c r="Z2346" s="4">
        <v>13.2380360498671</v>
      </c>
      <c r="AA2346" s="4">
        <f t="shared" si="147"/>
        <v>13.2402905581769</v>
      </c>
    </row>
    <row r="2347" spans="2:27" x14ac:dyDescent="0.2">
      <c r="B2347" s="4" t="s">
        <v>764</v>
      </c>
      <c r="C2347" s="4">
        <v>13.657400000000001</v>
      </c>
      <c r="D2347" s="4">
        <v>13.875299999999999</v>
      </c>
      <c r="E2347" s="4">
        <v>13.3216</v>
      </c>
      <c r="F2347" s="4">
        <f t="shared" si="144"/>
        <v>13.618099999999998</v>
      </c>
      <c r="I2347" s="4" t="s">
        <v>2828</v>
      </c>
      <c r="J2347" s="4">
        <v>13.8546</v>
      </c>
      <c r="K2347" s="4">
        <v>13.526300000000001</v>
      </c>
      <c r="L2347" s="4">
        <v>13.471399999999999</v>
      </c>
      <c r="M2347" s="4">
        <f t="shared" si="145"/>
        <v>13.617433333333333</v>
      </c>
      <c r="P2347" s="4" t="str">
        <f>"math-41"</f>
        <v>math-41</v>
      </c>
      <c r="Q2347" s="4">
        <v>13.582098469507301</v>
      </c>
      <c r="R2347" s="4">
        <v>12.907086113618</v>
      </c>
      <c r="S2347" s="4">
        <v>13.1386025988505</v>
      </c>
      <c r="T2347" s="4">
        <f t="shared" si="146"/>
        <v>13.209262393991935</v>
      </c>
      <c r="W2347" s="4" t="str">
        <f>"tag-96"</f>
        <v>tag-96</v>
      </c>
      <c r="X2347" s="4">
        <v>13.2521828772462</v>
      </c>
      <c r="Y2347" s="4">
        <v>13.3120909020467</v>
      </c>
      <c r="Z2347" s="4">
        <v>13.1562045537858</v>
      </c>
      <c r="AA2347" s="4">
        <f t="shared" si="147"/>
        <v>13.240159444359568</v>
      </c>
    </row>
    <row r="2348" spans="2:27" x14ac:dyDescent="0.2">
      <c r="B2348" s="4" t="s">
        <v>4789</v>
      </c>
      <c r="C2348" s="4">
        <v>13.967499999999999</v>
      </c>
      <c r="D2348" s="4">
        <v>12.6076</v>
      </c>
      <c r="E2348" s="4">
        <v>14.2766</v>
      </c>
      <c r="F2348" s="4">
        <f t="shared" si="144"/>
        <v>13.617233333333333</v>
      </c>
      <c r="I2348" s="4" t="s">
        <v>883</v>
      </c>
      <c r="J2348" s="4">
        <v>13.722899999999999</v>
      </c>
      <c r="K2348" s="4">
        <v>13.264699999999999</v>
      </c>
      <c r="L2348" s="4">
        <v>13.8619</v>
      </c>
      <c r="M2348" s="4">
        <f t="shared" si="145"/>
        <v>13.6165</v>
      </c>
      <c r="P2348" s="4" t="str">
        <f>"cpna-3"</f>
        <v>cpna-3</v>
      </c>
      <c r="Q2348" s="4">
        <v>13.133597794444601</v>
      </c>
      <c r="R2348" s="4">
        <v>13.257777717391001</v>
      </c>
      <c r="S2348" s="4">
        <v>13.230276727041399</v>
      </c>
      <c r="T2348" s="4">
        <f t="shared" si="146"/>
        <v>13.207217412959002</v>
      </c>
      <c r="W2348" s="4" t="str">
        <f>"Y38E10A.22"</f>
        <v>Y38E10A.22</v>
      </c>
      <c r="X2348" s="4">
        <v>13.327273972494</v>
      </c>
      <c r="Y2348" s="4">
        <v>12.9705145996925</v>
      </c>
      <c r="Z2348" s="4">
        <v>13.418579310325599</v>
      </c>
      <c r="AA2348" s="4">
        <f t="shared" si="147"/>
        <v>13.238789294170699</v>
      </c>
    </row>
    <row r="2349" spans="2:27" x14ac:dyDescent="0.2">
      <c r="B2349" s="4" t="s">
        <v>442</v>
      </c>
      <c r="C2349" s="4">
        <v>13.4244</v>
      </c>
      <c r="D2349" s="4">
        <v>13.9855</v>
      </c>
      <c r="E2349" s="4">
        <v>13.437799999999999</v>
      </c>
      <c r="F2349" s="4">
        <f t="shared" si="144"/>
        <v>13.615900000000002</v>
      </c>
      <c r="I2349" s="4" t="s">
        <v>1788</v>
      </c>
      <c r="J2349" s="4">
        <v>13.3926</v>
      </c>
      <c r="K2349" s="4">
        <v>13.4533</v>
      </c>
      <c r="L2349" s="4">
        <v>14.0032</v>
      </c>
      <c r="M2349" s="4">
        <f t="shared" si="145"/>
        <v>13.616366666666666</v>
      </c>
      <c r="P2349" s="4" t="str">
        <f>"crp-1"</f>
        <v>crp-1</v>
      </c>
      <c r="Q2349" s="4">
        <v>13.4092044060836</v>
      </c>
      <c r="R2349" s="4">
        <v>12.9315056322888</v>
      </c>
      <c r="S2349" s="4">
        <v>13.275383045088301</v>
      </c>
      <c r="T2349" s="4">
        <f t="shared" si="146"/>
        <v>13.205364361153565</v>
      </c>
      <c r="W2349" s="4" t="str">
        <f>"Y26E6A.3"</f>
        <v>Y26E6A.3</v>
      </c>
      <c r="X2349" s="4">
        <v>13.321955299248</v>
      </c>
      <c r="Y2349" s="4">
        <v>13.1324372059651</v>
      </c>
      <c r="Z2349" s="4">
        <v>13.2608848850369</v>
      </c>
      <c r="AA2349" s="4">
        <f t="shared" si="147"/>
        <v>13.238425796750001</v>
      </c>
    </row>
    <row r="2350" spans="2:27" x14ac:dyDescent="0.2">
      <c r="B2350" s="4" t="s">
        <v>395</v>
      </c>
      <c r="C2350" s="4">
        <v>13.505000000000001</v>
      </c>
      <c r="D2350" s="4">
        <v>13.5374</v>
      </c>
      <c r="E2350" s="4">
        <v>13.804600000000001</v>
      </c>
      <c r="F2350" s="4">
        <f t="shared" si="144"/>
        <v>13.615666666666668</v>
      </c>
      <c r="I2350" s="4" t="s">
        <v>571</v>
      </c>
      <c r="J2350" s="4">
        <v>13.5565</v>
      </c>
      <c r="K2350" s="4">
        <v>13.4541</v>
      </c>
      <c r="L2350" s="4">
        <v>13.837899999999999</v>
      </c>
      <c r="M2350" s="4">
        <f t="shared" si="145"/>
        <v>13.616166666666667</v>
      </c>
      <c r="P2350" s="4" t="str">
        <f>"C31E10.6"</f>
        <v>C31E10.6</v>
      </c>
      <c r="Q2350" s="4">
        <v>13.1773850844446</v>
      </c>
      <c r="R2350" s="4">
        <v>13.1193399120324</v>
      </c>
      <c r="S2350" s="4">
        <v>13.3155349722729</v>
      </c>
      <c r="T2350" s="4">
        <f t="shared" si="146"/>
        <v>13.204086656249965</v>
      </c>
      <c r="W2350" s="4" t="str">
        <f>"sec-12"</f>
        <v>sec-12</v>
      </c>
      <c r="X2350" s="4">
        <v>13.3776871283563</v>
      </c>
      <c r="Y2350" s="4">
        <v>13.095891091933201</v>
      </c>
      <c r="Z2350" s="4">
        <v>13.240722303684599</v>
      </c>
      <c r="AA2350" s="4">
        <f t="shared" si="147"/>
        <v>13.238100174658035</v>
      </c>
    </row>
    <row r="2351" spans="2:27" x14ac:dyDescent="0.2">
      <c r="B2351" s="4" t="s">
        <v>3280</v>
      </c>
      <c r="C2351" s="4">
        <v>13.482200000000001</v>
      </c>
      <c r="D2351" s="4">
        <v>13.9132</v>
      </c>
      <c r="E2351" s="4">
        <v>13.4421</v>
      </c>
      <c r="F2351" s="4">
        <f t="shared" si="144"/>
        <v>13.612500000000002</v>
      </c>
      <c r="I2351" s="4" t="s">
        <v>4106</v>
      </c>
      <c r="J2351" s="4">
        <v>13.488</v>
      </c>
      <c r="K2351" s="4">
        <v>13.5006</v>
      </c>
      <c r="L2351" s="4">
        <v>13.8566</v>
      </c>
      <c r="M2351" s="4">
        <f t="shared" si="145"/>
        <v>13.615066666666666</v>
      </c>
      <c r="P2351" s="4" t="str">
        <f>"F13D11.4"</f>
        <v>F13D11.4</v>
      </c>
      <c r="Q2351" s="4">
        <v>13.2491118315672</v>
      </c>
      <c r="R2351" s="4">
        <v>13.2827287526262</v>
      </c>
      <c r="S2351" s="4">
        <v>13.0794685352296</v>
      </c>
      <c r="T2351" s="4">
        <f t="shared" si="146"/>
        <v>13.203769706474333</v>
      </c>
      <c r="W2351" s="4" t="str">
        <f>"C38C10.2"</f>
        <v>C38C10.2</v>
      </c>
      <c r="X2351" s="4">
        <v>13.1416504316286</v>
      </c>
      <c r="Y2351" s="4">
        <v>13.046637293534401</v>
      </c>
      <c r="Z2351" s="4">
        <v>13.5252057783393</v>
      </c>
      <c r="AA2351" s="4">
        <f t="shared" si="147"/>
        <v>13.2378311678341</v>
      </c>
    </row>
    <row r="2352" spans="2:27" x14ac:dyDescent="0.2">
      <c r="B2352" s="4" t="s">
        <v>2423</v>
      </c>
      <c r="C2352" s="4">
        <v>14.1472</v>
      </c>
      <c r="D2352" s="4">
        <v>13.933299999999999</v>
      </c>
      <c r="E2352" s="4">
        <v>12.754</v>
      </c>
      <c r="F2352" s="4">
        <f t="shared" si="144"/>
        <v>13.611499999999999</v>
      </c>
      <c r="I2352" s="4" t="s">
        <v>4779</v>
      </c>
      <c r="J2352" s="4">
        <v>13.6645</v>
      </c>
      <c r="K2352" s="4">
        <v>13.715999999999999</v>
      </c>
      <c r="L2352" s="4">
        <v>13.4642</v>
      </c>
      <c r="M2352" s="4">
        <f t="shared" si="145"/>
        <v>13.614899999999999</v>
      </c>
      <c r="P2352" s="4" t="str">
        <f>"gpb-1"</f>
        <v>gpb-1</v>
      </c>
      <c r="Q2352" s="4">
        <v>12.9359165514614</v>
      </c>
      <c r="R2352" s="4">
        <v>13.357310223240299</v>
      </c>
      <c r="S2352" s="4">
        <v>13.3157496300262</v>
      </c>
      <c r="T2352" s="4">
        <f t="shared" si="146"/>
        <v>13.2029921349093</v>
      </c>
      <c r="W2352" s="4" t="str">
        <f>"slc-36.2"</f>
        <v>slc-36.2</v>
      </c>
      <c r="X2352" s="4">
        <v>13.360790127594299</v>
      </c>
      <c r="Y2352" s="4">
        <v>13.2308272148871</v>
      </c>
      <c r="Z2352" s="4">
        <v>13.1027832182076</v>
      </c>
      <c r="AA2352" s="4">
        <f t="shared" si="147"/>
        <v>13.231466853562999</v>
      </c>
    </row>
    <row r="2353" spans="2:27" x14ac:dyDescent="0.2">
      <c r="B2353" s="4" t="s">
        <v>3406</v>
      </c>
      <c r="C2353" s="4">
        <v>13.709899999999999</v>
      </c>
      <c r="D2353" s="4">
        <v>13.292</v>
      </c>
      <c r="E2353" s="4">
        <v>13.828900000000001</v>
      </c>
      <c r="F2353" s="4">
        <f t="shared" si="144"/>
        <v>13.610266666666666</v>
      </c>
      <c r="I2353" s="4" t="s">
        <v>3422</v>
      </c>
      <c r="J2353" s="4">
        <v>13.638500000000001</v>
      </c>
      <c r="K2353" s="4">
        <v>13.6752</v>
      </c>
      <c r="L2353" s="4">
        <v>13.529400000000001</v>
      </c>
      <c r="M2353" s="4">
        <f t="shared" si="145"/>
        <v>13.614366666666667</v>
      </c>
      <c r="P2353" s="4" t="str">
        <f>"rpap-3"</f>
        <v>rpap-3</v>
      </c>
      <c r="Q2353" s="4">
        <v>13.2370977862067</v>
      </c>
      <c r="R2353" s="4">
        <v>13.2493524489912</v>
      </c>
      <c r="S2353" s="4">
        <v>13.121662271220799</v>
      </c>
      <c r="T2353" s="4">
        <f t="shared" si="146"/>
        <v>13.202704168806234</v>
      </c>
      <c r="W2353" s="4" t="str">
        <f>"ash-2"</f>
        <v>ash-2</v>
      </c>
      <c r="X2353" s="4">
        <v>13.1515920966467</v>
      </c>
      <c r="Y2353" s="4">
        <v>13.142019614352799</v>
      </c>
      <c r="Z2353" s="4">
        <v>13.400052307950601</v>
      </c>
      <c r="AA2353" s="4">
        <f t="shared" si="147"/>
        <v>13.231221339650034</v>
      </c>
    </row>
    <row r="2354" spans="2:27" x14ac:dyDescent="0.2">
      <c r="B2354" s="4" t="s">
        <v>1774</v>
      </c>
      <c r="C2354" s="4">
        <v>13.676299999999999</v>
      </c>
      <c r="D2354" s="4">
        <v>13.4565</v>
      </c>
      <c r="E2354" s="4">
        <v>13.6942</v>
      </c>
      <c r="F2354" s="4">
        <f t="shared" si="144"/>
        <v>13.609</v>
      </c>
      <c r="I2354" s="4" t="s">
        <v>840</v>
      </c>
      <c r="J2354" s="4">
        <v>13.7743</v>
      </c>
      <c r="K2354" s="4">
        <v>13.5334</v>
      </c>
      <c r="L2354" s="4">
        <v>13.5312</v>
      </c>
      <c r="M2354" s="4">
        <f t="shared" si="145"/>
        <v>13.612966666666667</v>
      </c>
      <c r="P2354" s="4" t="str">
        <f>"ceh-18"</f>
        <v>ceh-18</v>
      </c>
      <c r="Q2354" s="4">
        <v>13.034391825049299</v>
      </c>
      <c r="R2354" s="4">
        <v>13.2614018274563</v>
      </c>
      <c r="S2354" s="4">
        <v>13.3077550761382</v>
      </c>
      <c r="T2354" s="4">
        <f t="shared" si="146"/>
        <v>13.201182909547933</v>
      </c>
      <c r="W2354" s="4" t="str">
        <f>"mdt-6"</f>
        <v>mdt-6</v>
      </c>
      <c r="X2354" s="4">
        <v>13.245535743473001</v>
      </c>
      <c r="Y2354" s="4">
        <v>13.190170512067599</v>
      </c>
      <c r="Z2354" s="4">
        <v>13.2577787642125</v>
      </c>
      <c r="AA2354" s="4">
        <f t="shared" si="147"/>
        <v>13.231161673251032</v>
      </c>
    </row>
    <row r="2355" spans="2:27" x14ac:dyDescent="0.2">
      <c r="B2355" s="4" t="s">
        <v>683</v>
      </c>
      <c r="C2355" s="4">
        <v>13.0367</v>
      </c>
      <c r="D2355" s="4">
        <v>14.5143</v>
      </c>
      <c r="E2355" s="4">
        <v>13.2758</v>
      </c>
      <c r="F2355" s="4">
        <f t="shared" si="144"/>
        <v>13.608933333333335</v>
      </c>
      <c r="I2355" s="4" t="s">
        <v>4756</v>
      </c>
      <c r="J2355" s="4">
        <v>13.5595</v>
      </c>
      <c r="K2355" s="4">
        <v>13.5936</v>
      </c>
      <c r="L2355" s="4">
        <v>13.6853</v>
      </c>
      <c r="M2355" s="4">
        <f t="shared" si="145"/>
        <v>13.6128</v>
      </c>
      <c r="P2355" s="4" t="str">
        <f>"apc-17"</f>
        <v>apc-17</v>
      </c>
      <c r="Q2355" s="4">
        <v>13.8168436788186</v>
      </c>
      <c r="R2355" s="4">
        <v>12.8989126943861</v>
      </c>
      <c r="S2355" s="4">
        <v>12.8841647411802</v>
      </c>
      <c r="T2355" s="4">
        <f t="shared" si="146"/>
        <v>13.199973704794965</v>
      </c>
      <c r="W2355" s="4" t="str">
        <f>"T22B7.3"</f>
        <v>T22B7.3</v>
      </c>
      <c r="X2355" s="4">
        <v>12.903697873184999</v>
      </c>
      <c r="Y2355" s="4">
        <v>13.2687202064287</v>
      </c>
      <c r="Z2355" s="4">
        <v>13.515318011278101</v>
      </c>
      <c r="AA2355" s="4">
        <f t="shared" si="147"/>
        <v>13.229245363630602</v>
      </c>
    </row>
    <row r="2356" spans="2:27" x14ac:dyDescent="0.2">
      <c r="B2356" s="4" t="s">
        <v>4077</v>
      </c>
      <c r="C2356" s="4">
        <v>13.6785</v>
      </c>
      <c r="D2356" s="4">
        <v>13.7081</v>
      </c>
      <c r="E2356" s="4">
        <v>13.438499999999999</v>
      </c>
      <c r="F2356" s="4">
        <f t="shared" si="144"/>
        <v>13.608366666666667</v>
      </c>
      <c r="I2356" s="4" t="s">
        <v>1130</v>
      </c>
      <c r="J2356" s="4">
        <v>13.8332</v>
      </c>
      <c r="K2356" s="4">
        <v>13.5334</v>
      </c>
      <c r="L2356" s="4">
        <v>13.4671</v>
      </c>
      <c r="M2356" s="4">
        <f t="shared" si="145"/>
        <v>13.611233333333333</v>
      </c>
      <c r="P2356" s="4" t="str">
        <f>"cah-3"</f>
        <v>cah-3</v>
      </c>
      <c r="Q2356" s="4">
        <v>13.230224654037499</v>
      </c>
      <c r="R2356" s="4">
        <v>13.057407194164</v>
      </c>
      <c r="S2356" s="4">
        <v>13.310588392072701</v>
      </c>
      <c r="T2356" s="4">
        <f t="shared" si="146"/>
        <v>13.199406746758067</v>
      </c>
      <c r="W2356" s="4" t="str">
        <f>"vps-15"</f>
        <v>vps-15</v>
      </c>
      <c r="X2356" s="4">
        <v>13.1857328596712</v>
      </c>
      <c r="Y2356" s="4">
        <v>13.353153520852301</v>
      </c>
      <c r="Z2356" s="4">
        <v>13.1378041175489</v>
      </c>
      <c r="AA2356" s="4">
        <f t="shared" si="147"/>
        <v>13.225563499357468</v>
      </c>
    </row>
    <row r="2357" spans="2:27" x14ac:dyDescent="0.2">
      <c r="B2357" s="4" t="s">
        <v>3828</v>
      </c>
      <c r="C2357" s="4">
        <v>13.384499999999999</v>
      </c>
      <c r="D2357" s="4">
        <v>13.5502</v>
      </c>
      <c r="E2357" s="4">
        <v>13.8902</v>
      </c>
      <c r="F2357" s="4">
        <f t="shared" si="144"/>
        <v>13.6083</v>
      </c>
      <c r="I2357" s="4" t="s">
        <v>3126</v>
      </c>
      <c r="J2357" s="4">
        <v>13.207800000000001</v>
      </c>
      <c r="K2357" s="4">
        <v>13.978999999999999</v>
      </c>
      <c r="L2357" s="4">
        <v>13.646699999999999</v>
      </c>
      <c r="M2357" s="4">
        <f t="shared" si="145"/>
        <v>13.611166666666668</v>
      </c>
      <c r="P2357" s="4" t="str">
        <f>"F08C6.2"</f>
        <v>F08C6.2</v>
      </c>
      <c r="Q2357" s="4">
        <v>13.154391598055</v>
      </c>
      <c r="R2357" s="4">
        <v>13.1338325228618</v>
      </c>
      <c r="S2357" s="4">
        <v>13.297871316576799</v>
      </c>
      <c r="T2357" s="4">
        <f t="shared" si="146"/>
        <v>13.195365145831198</v>
      </c>
      <c r="W2357" s="4" t="str">
        <f>"dys-1"</f>
        <v>dys-1</v>
      </c>
      <c r="X2357" s="4">
        <v>13.1209972987202</v>
      </c>
      <c r="Y2357" s="4">
        <v>13.3567356472554</v>
      </c>
      <c r="Z2357" s="4">
        <v>13.1940516706875</v>
      </c>
      <c r="AA2357" s="4">
        <f t="shared" si="147"/>
        <v>13.223928205554367</v>
      </c>
    </row>
    <row r="2358" spans="2:27" x14ac:dyDescent="0.2">
      <c r="B2358" s="4" t="s">
        <v>3663</v>
      </c>
      <c r="C2358" s="4">
        <v>13.331200000000001</v>
      </c>
      <c r="D2358" s="4">
        <v>13.948600000000001</v>
      </c>
      <c r="E2358" s="4">
        <v>13.5434</v>
      </c>
      <c r="F2358" s="4">
        <f t="shared" si="144"/>
        <v>13.607733333333334</v>
      </c>
      <c r="I2358" s="4" t="s">
        <v>997</v>
      </c>
      <c r="J2358" s="4">
        <v>13.484299999999999</v>
      </c>
      <c r="K2358" s="4">
        <v>13.638999999999999</v>
      </c>
      <c r="L2358" s="4">
        <v>13.7041</v>
      </c>
      <c r="M2358" s="4">
        <f t="shared" si="145"/>
        <v>13.609133333333332</v>
      </c>
      <c r="P2358" s="4" t="str">
        <f>"ndx-9"</f>
        <v>ndx-9</v>
      </c>
      <c r="Q2358" s="4">
        <v>13.5217265512215</v>
      </c>
      <c r="R2358" s="4">
        <v>13.098618648477199</v>
      </c>
      <c r="S2358" s="4">
        <v>12.962192636361101</v>
      </c>
      <c r="T2358" s="4">
        <f t="shared" si="146"/>
        <v>13.194179278686599</v>
      </c>
      <c r="W2358" s="4" t="str">
        <f>"cyp-13A5"</f>
        <v>cyp-13A5</v>
      </c>
      <c r="X2358" s="4">
        <v>13.659179720814899</v>
      </c>
      <c r="Y2358" s="4">
        <v>12.870930562108001</v>
      </c>
      <c r="Z2358" s="4">
        <v>13.140189030898799</v>
      </c>
      <c r="AA2358" s="4">
        <f t="shared" si="147"/>
        <v>13.223433104607233</v>
      </c>
    </row>
    <row r="2359" spans="2:27" x14ac:dyDescent="0.2">
      <c r="B2359" s="4" t="s">
        <v>4790</v>
      </c>
      <c r="C2359" s="4">
        <v>13.6671</v>
      </c>
      <c r="D2359" s="4">
        <v>13.411899999999999</v>
      </c>
      <c r="E2359" s="4">
        <v>13.7441</v>
      </c>
      <c r="F2359" s="4">
        <f t="shared" si="144"/>
        <v>13.607699999999999</v>
      </c>
      <c r="I2359" s="4" t="s">
        <v>3582</v>
      </c>
      <c r="J2359" s="4">
        <v>13.8071</v>
      </c>
      <c r="K2359" s="4">
        <v>13.514799999999999</v>
      </c>
      <c r="L2359" s="4">
        <v>13.5039</v>
      </c>
      <c r="M2359" s="4">
        <f t="shared" si="145"/>
        <v>13.608600000000001</v>
      </c>
      <c r="P2359" s="4" t="str">
        <f>"T05E12.3"</f>
        <v>T05E12.3</v>
      </c>
      <c r="Q2359" s="4">
        <v>12.9842886198833</v>
      </c>
      <c r="R2359" s="4">
        <v>13.2984584108522</v>
      </c>
      <c r="S2359" s="4">
        <v>13.2922215563405</v>
      </c>
      <c r="T2359" s="4">
        <f t="shared" si="146"/>
        <v>13.191656195692</v>
      </c>
      <c r="W2359" s="4" t="str">
        <f>"zyg-8"</f>
        <v>zyg-8</v>
      </c>
      <c r="X2359" s="4">
        <v>13.070991657913501</v>
      </c>
      <c r="Y2359" s="4">
        <v>13.555052617656999</v>
      </c>
      <c r="Z2359" s="4">
        <v>13.0377930575481</v>
      </c>
      <c r="AA2359" s="4">
        <f t="shared" si="147"/>
        <v>13.221279111039534</v>
      </c>
    </row>
    <row r="2360" spans="2:27" x14ac:dyDescent="0.2">
      <c r="B2360" s="4" t="s">
        <v>4180</v>
      </c>
      <c r="C2360" s="4">
        <v>13.406700000000001</v>
      </c>
      <c r="D2360" s="4">
        <v>13.9291</v>
      </c>
      <c r="E2360" s="4">
        <v>13.4758</v>
      </c>
      <c r="F2360" s="4">
        <f t="shared" si="144"/>
        <v>13.603866666666667</v>
      </c>
      <c r="I2360" s="4" t="s">
        <v>311</v>
      </c>
      <c r="J2360" s="4">
        <v>13.6959</v>
      </c>
      <c r="K2360" s="4">
        <v>13.501200000000001</v>
      </c>
      <c r="L2360" s="4">
        <v>13.6272</v>
      </c>
      <c r="M2360" s="4">
        <f t="shared" si="145"/>
        <v>13.6081</v>
      </c>
      <c r="P2360" s="4" t="str">
        <f>"ZK899.2"</f>
        <v>ZK899.2</v>
      </c>
      <c r="Q2360" s="4">
        <v>13.427847111340901</v>
      </c>
      <c r="R2360" s="4">
        <v>12.908598556891</v>
      </c>
      <c r="S2360" s="4">
        <v>13.2374437298636</v>
      </c>
      <c r="T2360" s="4">
        <f t="shared" si="146"/>
        <v>13.191296466031835</v>
      </c>
      <c r="W2360" s="4" t="str">
        <f>"R151.8A"</f>
        <v>R151.8A</v>
      </c>
      <c r="X2360" s="4">
        <v>13.3855777731128</v>
      </c>
      <c r="Y2360" s="4">
        <v>13.121811487725299</v>
      </c>
      <c r="Z2360" s="4">
        <v>13.1562859772721</v>
      </c>
      <c r="AA2360" s="4">
        <f t="shared" si="147"/>
        <v>13.221225079370067</v>
      </c>
    </row>
    <row r="2361" spans="2:27" x14ac:dyDescent="0.2">
      <c r="B2361" s="4" t="s">
        <v>4383</v>
      </c>
      <c r="C2361" s="4">
        <v>13.926399999999999</v>
      </c>
      <c r="D2361" s="4">
        <v>13.247400000000001</v>
      </c>
      <c r="E2361" s="4">
        <v>13.6309</v>
      </c>
      <c r="F2361" s="4">
        <f t="shared" si="144"/>
        <v>13.601566666666665</v>
      </c>
      <c r="I2361" s="4" t="s">
        <v>4782</v>
      </c>
      <c r="J2361" s="4">
        <v>13.576000000000001</v>
      </c>
      <c r="K2361" s="4">
        <v>13.5161</v>
      </c>
      <c r="L2361" s="4">
        <v>13.7302</v>
      </c>
      <c r="M2361" s="4">
        <f t="shared" si="145"/>
        <v>13.607433333333333</v>
      </c>
      <c r="P2361" s="4" t="str">
        <f>"Y71G12B.25"</f>
        <v>Y71G12B.25</v>
      </c>
      <c r="Q2361" s="4">
        <v>12.707647924034299</v>
      </c>
      <c r="R2361" s="4">
        <v>13.615239494233</v>
      </c>
      <c r="S2361" s="4">
        <v>13.2497384136327</v>
      </c>
      <c r="T2361" s="4">
        <f t="shared" si="146"/>
        <v>13.1908752773</v>
      </c>
      <c r="W2361" s="4" t="str">
        <f>"aakg-4"</f>
        <v>aakg-4</v>
      </c>
      <c r="X2361" s="4">
        <v>13.3325961370507</v>
      </c>
      <c r="Y2361" s="4">
        <v>13.1371661503631</v>
      </c>
      <c r="Z2361" s="4">
        <v>13.190754229775999</v>
      </c>
      <c r="AA2361" s="4">
        <f t="shared" si="147"/>
        <v>13.2201721723966</v>
      </c>
    </row>
    <row r="2362" spans="2:27" x14ac:dyDescent="0.2">
      <c r="B2362" s="4" t="s">
        <v>4284</v>
      </c>
      <c r="C2362" s="4">
        <v>14.144399999999999</v>
      </c>
      <c r="D2362" s="4">
        <v>13.4048</v>
      </c>
      <c r="E2362" s="4">
        <v>13.252800000000001</v>
      </c>
      <c r="F2362" s="4">
        <f t="shared" si="144"/>
        <v>13.600666666666667</v>
      </c>
      <c r="I2362" s="4" t="s">
        <v>641</v>
      </c>
      <c r="J2362" s="4">
        <v>13.5679</v>
      </c>
      <c r="K2362" s="4">
        <v>13.6646</v>
      </c>
      <c r="L2362" s="4">
        <v>13.589499999999999</v>
      </c>
      <c r="M2362" s="4">
        <f t="shared" si="145"/>
        <v>13.607333333333335</v>
      </c>
      <c r="P2362" s="4" t="str">
        <f>"mrps-10"</f>
        <v>mrps-10</v>
      </c>
      <c r="Q2362" s="4">
        <v>13.825016725517299</v>
      </c>
      <c r="R2362" s="4">
        <v>13.0582086801892</v>
      </c>
      <c r="S2362" s="4">
        <v>12.6886872563193</v>
      </c>
      <c r="T2362" s="4">
        <f t="shared" si="146"/>
        <v>13.190637554008598</v>
      </c>
      <c r="W2362" s="4" t="str">
        <f>"glh-3"</f>
        <v>glh-3</v>
      </c>
      <c r="X2362" s="4">
        <v>13.0982749951422</v>
      </c>
      <c r="Y2362" s="4">
        <v>13.2635409516783</v>
      </c>
      <c r="Z2362" s="4">
        <v>13.294066465017201</v>
      </c>
      <c r="AA2362" s="4">
        <f t="shared" si="147"/>
        <v>13.218627470612567</v>
      </c>
    </row>
    <row r="2363" spans="2:27" x14ac:dyDescent="0.2">
      <c r="B2363" s="4" t="s">
        <v>4133</v>
      </c>
      <c r="C2363" s="4">
        <v>13.243499999999999</v>
      </c>
      <c r="D2363" s="4">
        <v>13.879</v>
      </c>
      <c r="E2363" s="4">
        <v>13.673</v>
      </c>
      <c r="F2363" s="4">
        <f t="shared" si="144"/>
        <v>13.5985</v>
      </c>
      <c r="I2363" s="4" t="s">
        <v>3822</v>
      </c>
      <c r="J2363" s="4">
        <v>13.6615</v>
      </c>
      <c r="K2363" s="4">
        <v>13.474</v>
      </c>
      <c r="L2363" s="4">
        <v>13.6859</v>
      </c>
      <c r="M2363" s="4">
        <f t="shared" si="145"/>
        <v>13.607133333333332</v>
      </c>
      <c r="P2363" s="4" t="str">
        <f>"Y45F10D.6"</f>
        <v>Y45F10D.6</v>
      </c>
      <c r="Q2363" s="4">
        <v>12.834511482481499</v>
      </c>
      <c r="R2363" s="4">
        <v>13.3720433741449</v>
      </c>
      <c r="S2363" s="4">
        <v>13.364175012412</v>
      </c>
      <c r="T2363" s="4">
        <f t="shared" si="146"/>
        <v>13.190243289679465</v>
      </c>
      <c r="W2363" s="4" t="str">
        <f>"sfxn-2"</f>
        <v>sfxn-2</v>
      </c>
      <c r="X2363" s="4">
        <v>13.026614469902199</v>
      </c>
      <c r="Y2363" s="4">
        <v>13.513993789768399</v>
      </c>
      <c r="Z2363" s="4">
        <v>13.11486600556</v>
      </c>
      <c r="AA2363" s="4">
        <f t="shared" si="147"/>
        <v>13.218491421743531</v>
      </c>
    </row>
    <row r="2364" spans="2:27" x14ac:dyDescent="0.2">
      <c r="B2364" s="4" t="s">
        <v>3570</v>
      </c>
      <c r="C2364" s="4">
        <v>13.4603</v>
      </c>
      <c r="D2364" s="4">
        <v>13.827500000000001</v>
      </c>
      <c r="E2364" s="4">
        <v>13.4976</v>
      </c>
      <c r="F2364" s="4">
        <f t="shared" si="144"/>
        <v>13.595133333333335</v>
      </c>
      <c r="I2364" s="4" t="s">
        <v>2595</v>
      </c>
      <c r="J2364" s="4">
        <v>13.7544</v>
      </c>
      <c r="K2364" s="4">
        <v>13.823499999999999</v>
      </c>
      <c r="L2364" s="4">
        <v>13.239599999999999</v>
      </c>
      <c r="M2364" s="4">
        <f t="shared" si="145"/>
        <v>13.605833333333331</v>
      </c>
      <c r="P2364" s="4" t="str">
        <f>"ttr-45"</f>
        <v>ttr-45</v>
      </c>
      <c r="Q2364" s="4">
        <v>13.203680249807899</v>
      </c>
      <c r="R2364" s="4">
        <v>13.1944597069563</v>
      </c>
      <c r="S2364" s="4">
        <v>13.170086994169599</v>
      </c>
      <c r="T2364" s="4">
        <f t="shared" si="146"/>
        <v>13.189408983644599</v>
      </c>
      <c r="W2364" s="4" t="str">
        <f>"farl-11"</f>
        <v>farl-11</v>
      </c>
      <c r="X2364" s="4">
        <v>13.2245974388861</v>
      </c>
      <c r="Y2364" s="4">
        <v>13.3350862312911</v>
      </c>
      <c r="Z2364" s="4">
        <v>13.092276273472301</v>
      </c>
      <c r="AA2364" s="4">
        <f t="shared" si="147"/>
        <v>13.2173199812165</v>
      </c>
    </row>
    <row r="2365" spans="2:27" x14ac:dyDescent="0.2">
      <c r="B2365" s="4" t="s">
        <v>315</v>
      </c>
      <c r="C2365" s="4">
        <v>13.722300000000001</v>
      </c>
      <c r="D2365" s="4">
        <v>13.341900000000001</v>
      </c>
      <c r="E2365" s="4">
        <v>13.7203</v>
      </c>
      <c r="F2365" s="4">
        <f t="shared" si="144"/>
        <v>13.594833333333334</v>
      </c>
      <c r="I2365" s="4" t="s">
        <v>1454</v>
      </c>
      <c r="J2365" s="4">
        <v>13.7364</v>
      </c>
      <c r="K2365" s="4">
        <v>13.839399999999999</v>
      </c>
      <c r="L2365" s="4">
        <v>13.2416</v>
      </c>
      <c r="M2365" s="4">
        <f t="shared" si="145"/>
        <v>13.6058</v>
      </c>
      <c r="P2365" s="4" t="str">
        <f>"tbce-1"</f>
        <v>tbce-1</v>
      </c>
      <c r="Q2365" s="4">
        <v>12.9669078322944</v>
      </c>
      <c r="R2365" s="4">
        <v>13.275694008826999</v>
      </c>
      <c r="S2365" s="4">
        <v>13.3237112395946</v>
      </c>
      <c r="T2365" s="4">
        <f t="shared" si="146"/>
        <v>13.188771026905334</v>
      </c>
      <c r="W2365" s="4" t="str">
        <f>"znf-622"</f>
        <v>znf-622</v>
      </c>
      <c r="X2365" s="4">
        <v>12.87851074486</v>
      </c>
      <c r="Y2365" s="4">
        <v>13.523665266511401</v>
      </c>
      <c r="Z2365" s="4">
        <v>13.2493525866709</v>
      </c>
      <c r="AA2365" s="4">
        <f t="shared" si="147"/>
        <v>13.217176199347435</v>
      </c>
    </row>
    <row r="2366" spans="2:27" x14ac:dyDescent="0.2">
      <c r="B2366" s="4" t="s">
        <v>581</v>
      </c>
      <c r="C2366" s="4">
        <v>13.819900000000001</v>
      </c>
      <c r="D2366" s="4">
        <v>13.2013</v>
      </c>
      <c r="E2366" s="4">
        <v>13.756</v>
      </c>
      <c r="F2366" s="4">
        <f t="shared" si="144"/>
        <v>13.5924</v>
      </c>
      <c r="I2366" s="4" t="s">
        <v>2070</v>
      </c>
      <c r="J2366" s="4">
        <v>13.800800000000001</v>
      </c>
      <c r="K2366" s="4">
        <v>13.370699999999999</v>
      </c>
      <c r="L2366" s="4">
        <v>13.644600000000001</v>
      </c>
      <c r="M2366" s="4">
        <f t="shared" si="145"/>
        <v>13.605366666666669</v>
      </c>
      <c r="P2366" s="4" t="str">
        <f>"sek-3"</f>
        <v>sek-3</v>
      </c>
      <c r="Q2366" s="4">
        <v>12.933235393596799</v>
      </c>
      <c r="R2366" s="4">
        <v>13.4440840803863</v>
      </c>
      <c r="S2366" s="4">
        <v>13.1813228530852</v>
      </c>
      <c r="T2366" s="4">
        <f t="shared" si="146"/>
        <v>13.186214109022766</v>
      </c>
      <c r="W2366" s="4" t="str">
        <f>"lrp-1"</f>
        <v>lrp-1</v>
      </c>
      <c r="X2366" s="4">
        <v>13.629636074724001</v>
      </c>
      <c r="Y2366" s="4">
        <v>12.9889017718882</v>
      </c>
      <c r="Z2366" s="4">
        <v>13.032767674901899</v>
      </c>
      <c r="AA2366" s="4">
        <f t="shared" si="147"/>
        <v>13.217101840504698</v>
      </c>
    </row>
    <row r="2367" spans="2:27" x14ac:dyDescent="0.2">
      <c r="B2367" s="4" t="s">
        <v>1181</v>
      </c>
      <c r="C2367" s="4">
        <v>13.561</v>
      </c>
      <c r="D2367" s="4">
        <v>13.7113</v>
      </c>
      <c r="E2367" s="4">
        <v>13.503500000000001</v>
      </c>
      <c r="F2367" s="4">
        <f t="shared" si="144"/>
        <v>13.591933333333335</v>
      </c>
      <c r="I2367" s="4" t="s">
        <v>2887</v>
      </c>
      <c r="J2367" s="4">
        <v>13.7758</v>
      </c>
      <c r="K2367" s="4">
        <v>13.427300000000001</v>
      </c>
      <c r="L2367" s="4">
        <v>13.6114</v>
      </c>
      <c r="M2367" s="4">
        <f t="shared" si="145"/>
        <v>13.604833333333332</v>
      </c>
      <c r="P2367" s="4" t="str">
        <f>"eif-2Bgamma"</f>
        <v>eif-2Bgamma</v>
      </c>
      <c r="Q2367" s="4">
        <v>12.951222293082701</v>
      </c>
      <c r="R2367" s="4">
        <v>13.395430411461099</v>
      </c>
      <c r="S2367" s="4">
        <v>13.211149888762399</v>
      </c>
      <c r="T2367" s="4">
        <f t="shared" si="146"/>
        <v>13.185934197768733</v>
      </c>
      <c r="W2367" s="4" t="str">
        <f>"gls-1"</f>
        <v>gls-1</v>
      </c>
      <c r="X2367" s="4">
        <v>13.456498919812899</v>
      </c>
      <c r="Y2367" s="4">
        <v>13.285957443006399</v>
      </c>
      <c r="Z2367" s="4">
        <v>12.9071584792995</v>
      </c>
      <c r="AA2367" s="4">
        <f t="shared" si="147"/>
        <v>13.216538280706265</v>
      </c>
    </row>
    <row r="2368" spans="2:27" x14ac:dyDescent="0.2">
      <c r="B2368" s="4" t="s">
        <v>2848</v>
      </c>
      <c r="C2368" s="4">
        <v>13.2493</v>
      </c>
      <c r="D2368" s="4">
        <v>13.6723</v>
      </c>
      <c r="E2368" s="4">
        <v>13.8475</v>
      </c>
      <c r="F2368" s="4">
        <f t="shared" si="144"/>
        <v>13.589699999999999</v>
      </c>
      <c r="I2368" s="4" t="s">
        <v>1019</v>
      </c>
      <c r="J2368" s="4">
        <v>13.355499999999999</v>
      </c>
      <c r="K2368" s="4">
        <v>13.8202</v>
      </c>
      <c r="L2368" s="4">
        <v>13.6387</v>
      </c>
      <c r="M2368" s="4">
        <f t="shared" si="145"/>
        <v>13.604799999999999</v>
      </c>
      <c r="P2368" s="4" t="str">
        <f>"prp-9"</f>
        <v>prp-9</v>
      </c>
      <c r="Q2368" s="4">
        <v>13.188846684235999</v>
      </c>
      <c r="R2368" s="4">
        <v>13.1335452697036</v>
      </c>
      <c r="S2368" s="4">
        <v>13.231271389707199</v>
      </c>
      <c r="T2368" s="4">
        <f t="shared" si="146"/>
        <v>13.184554447882268</v>
      </c>
      <c r="W2368" s="4" t="str">
        <f>"T16G12.6"</f>
        <v>T16G12.6</v>
      </c>
      <c r="X2368" s="4">
        <v>13.2657542504343</v>
      </c>
      <c r="Y2368" s="4">
        <v>13.2638913503163</v>
      </c>
      <c r="Z2368" s="4">
        <v>13.1180894146733</v>
      </c>
      <c r="AA2368" s="4">
        <f t="shared" si="147"/>
        <v>13.215911671807966</v>
      </c>
    </row>
    <row r="2369" spans="2:27" x14ac:dyDescent="0.2">
      <c r="B2369" s="4" t="s">
        <v>3192</v>
      </c>
      <c r="C2369" s="4">
        <v>13.7484</v>
      </c>
      <c r="D2369" s="4">
        <v>13.3765</v>
      </c>
      <c r="E2369" s="4">
        <v>13.6326</v>
      </c>
      <c r="F2369" s="4">
        <f t="shared" si="144"/>
        <v>13.585833333333333</v>
      </c>
      <c r="I2369" s="4" t="s">
        <v>4201</v>
      </c>
      <c r="J2369" s="4">
        <v>13.336600000000001</v>
      </c>
      <c r="K2369" s="4">
        <v>13.8812</v>
      </c>
      <c r="L2369" s="4">
        <v>13.5908</v>
      </c>
      <c r="M2369" s="4">
        <f t="shared" si="145"/>
        <v>13.602866666666666</v>
      </c>
      <c r="P2369" s="4" t="str">
        <f>"R31.2"</f>
        <v>R31.2</v>
      </c>
      <c r="Q2369" s="4">
        <v>12.9398619477687</v>
      </c>
      <c r="R2369" s="4">
        <v>13.109884154592001</v>
      </c>
      <c r="S2369" s="4">
        <v>13.502259041203899</v>
      </c>
      <c r="T2369" s="4">
        <f t="shared" si="146"/>
        <v>13.184001714521534</v>
      </c>
      <c r="W2369" s="4" t="str">
        <f>"plx-1"</f>
        <v>plx-1</v>
      </c>
      <c r="X2369" s="4">
        <v>13.0924329729589</v>
      </c>
      <c r="Y2369" s="4">
        <v>13.3998572846525</v>
      </c>
      <c r="Z2369" s="4">
        <v>13.1516550614891</v>
      </c>
      <c r="AA2369" s="4">
        <f t="shared" si="147"/>
        <v>13.214648439700168</v>
      </c>
    </row>
    <row r="2370" spans="2:27" x14ac:dyDescent="0.2">
      <c r="B2370" s="4" t="s">
        <v>2213</v>
      </c>
      <c r="C2370" s="4">
        <v>13.555899999999999</v>
      </c>
      <c r="D2370" s="4">
        <v>13.6691</v>
      </c>
      <c r="E2370" s="4">
        <v>13.5228</v>
      </c>
      <c r="F2370" s="4">
        <f t="shared" ref="F2370:F2433" si="148">(C2370+D2370+E2370)/3</f>
        <v>13.582599999999999</v>
      </c>
      <c r="I2370" s="4" t="s">
        <v>4081</v>
      </c>
      <c r="J2370" s="4">
        <v>13.7981</v>
      </c>
      <c r="K2370" s="4">
        <v>13.9748</v>
      </c>
      <c r="L2370" s="4">
        <v>13.034800000000001</v>
      </c>
      <c r="M2370" s="4">
        <f t="shared" ref="M2370:M2433" si="149">(J2370+K2370+L2370)/3</f>
        <v>13.602566666666666</v>
      </c>
      <c r="P2370" s="4" t="str">
        <f>"rad-8"</f>
        <v>rad-8</v>
      </c>
      <c r="Q2370" s="4">
        <v>13.175790724040899</v>
      </c>
      <c r="R2370" s="4">
        <v>13.2266759190946</v>
      </c>
      <c r="S2370" s="4">
        <v>13.147076042986299</v>
      </c>
      <c r="T2370" s="4">
        <f t="shared" ref="T2370:T2433" si="150">(Q2370+R2370+S2370)/3</f>
        <v>13.183180895373932</v>
      </c>
      <c r="W2370" s="4" t="str">
        <f>"oma-2"</f>
        <v>oma-2</v>
      </c>
      <c r="X2370" s="4">
        <v>13.1206302306258</v>
      </c>
      <c r="Y2370" s="4">
        <v>12.934404011184499</v>
      </c>
      <c r="Z2370" s="4">
        <v>13.582895833032</v>
      </c>
      <c r="AA2370" s="4">
        <f t="shared" ref="AA2370:AA2433" si="151">(X2370+Y2370+Z2370)/3</f>
        <v>13.212643358280765</v>
      </c>
    </row>
    <row r="2371" spans="2:27" x14ac:dyDescent="0.2">
      <c r="B2371" s="4" t="s">
        <v>3740</v>
      </c>
      <c r="C2371" s="4">
        <v>13.793200000000001</v>
      </c>
      <c r="D2371" s="4">
        <v>13.5694</v>
      </c>
      <c r="E2371" s="4">
        <v>13.378</v>
      </c>
      <c r="F2371" s="4">
        <f t="shared" si="148"/>
        <v>13.5802</v>
      </c>
      <c r="I2371" s="4" t="s">
        <v>2658</v>
      </c>
      <c r="J2371" s="4">
        <v>13.683</v>
      </c>
      <c r="K2371" s="4">
        <v>13.456899999999999</v>
      </c>
      <c r="L2371" s="4">
        <v>13.6655</v>
      </c>
      <c r="M2371" s="4">
        <f t="shared" si="149"/>
        <v>13.601799999999999</v>
      </c>
      <c r="P2371" s="4" t="str">
        <f>"saeg-1"</f>
        <v>saeg-1</v>
      </c>
      <c r="Q2371" s="4">
        <v>13.0134464307535</v>
      </c>
      <c r="R2371" s="4">
        <v>13.3358966875006</v>
      </c>
      <c r="S2371" s="4">
        <v>13.1981329586876</v>
      </c>
      <c r="T2371" s="4">
        <f t="shared" si="150"/>
        <v>13.182492025647234</v>
      </c>
      <c r="W2371" s="4" t="str">
        <f>"lec-3"</f>
        <v>lec-3</v>
      </c>
      <c r="X2371" s="4">
        <v>12.789744587122399</v>
      </c>
      <c r="Y2371" s="4">
        <v>12.987714174088399</v>
      </c>
      <c r="Z2371" s="4">
        <v>13.858844225846701</v>
      </c>
      <c r="AA2371" s="4">
        <f t="shared" si="151"/>
        <v>13.212100995685832</v>
      </c>
    </row>
    <row r="2372" spans="2:27" x14ac:dyDescent="0.2">
      <c r="B2372" s="4" t="s">
        <v>528</v>
      </c>
      <c r="C2372" s="4">
        <v>13.198</v>
      </c>
      <c r="D2372" s="4">
        <v>13.3881</v>
      </c>
      <c r="E2372" s="4">
        <v>14.1532</v>
      </c>
      <c r="F2372" s="4">
        <f t="shared" si="148"/>
        <v>13.579766666666666</v>
      </c>
      <c r="I2372" s="4" t="s">
        <v>3388</v>
      </c>
      <c r="J2372" s="4">
        <v>14.107100000000001</v>
      </c>
      <c r="K2372" s="4">
        <v>13.9628</v>
      </c>
      <c r="L2372" s="4">
        <v>12.726599999999999</v>
      </c>
      <c r="M2372" s="4">
        <f t="shared" si="149"/>
        <v>13.598833333333333</v>
      </c>
      <c r="P2372" s="4" t="str">
        <f>"hpd-1"</f>
        <v>hpd-1</v>
      </c>
      <c r="Q2372" s="4">
        <v>12.8844333162835</v>
      </c>
      <c r="R2372" s="4">
        <v>13.350391277498201</v>
      </c>
      <c r="S2372" s="4">
        <v>13.305609088528399</v>
      </c>
      <c r="T2372" s="4">
        <f t="shared" si="150"/>
        <v>13.180144560770033</v>
      </c>
      <c r="W2372" s="4" t="str">
        <f>"pat-12"</f>
        <v>pat-12</v>
      </c>
      <c r="X2372" s="4">
        <v>12.816715440530899</v>
      </c>
      <c r="Y2372" s="4">
        <v>13.250560747146499</v>
      </c>
      <c r="Z2372" s="4">
        <v>13.5649616729998</v>
      </c>
      <c r="AA2372" s="4">
        <f t="shared" si="151"/>
        <v>13.210745953559067</v>
      </c>
    </row>
    <row r="2373" spans="2:27" x14ac:dyDescent="0.2">
      <c r="B2373" s="4" t="s">
        <v>3927</v>
      </c>
      <c r="C2373" s="4">
        <v>13.7631</v>
      </c>
      <c r="D2373" s="4">
        <v>13.4903</v>
      </c>
      <c r="E2373" s="4">
        <v>13.4795</v>
      </c>
      <c r="F2373" s="4">
        <f t="shared" si="148"/>
        <v>13.577633333333333</v>
      </c>
      <c r="I2373" s="4" t="s">
        <v>2804</v>
      </c>
      <c r="J2373" s="4">
        <v>13.465999999999999</v>
      </c>
      <c r="K2373" s="4">
        <v>13.5717</v>
      </c>
      <c r="L2373" s="4">
        <v>13.747</v>
      </c>
      <c r="M2373" s="4">
        <f t="shared" si="149"/>
        <v>13.594900000000001</v>
      </c>
      <c r="P2373" s="4" t="str">
        <f>"alkb-8"</f>
        <v>alkb-8</v>
      </c>
      <c r="Q2373" s="4">
        <v>13.0964325302344</v>
      </c>
      <c r="R2373" s="4">
        <v>13.292531827688</v>
      </c>
      <c r="S2373" s="4">
        <v>13.144401733949399</v>
      </c>
      <c r="T2373" s="4">
        <f t="shared" si="150"/>
        <v>13.1777886972906</v>
      </c>
      <c r="W2373" s="4" t="str">
        <f>"mask-1"</f>
        <v>mask-1</v>
      </c>
      <c r="X2373" s="4">
        <v>13.3383261103516</v>
      </c>
      <c r="Y2373" s="4">
        <v>12.945252032557701</v>
      </c>
      <c r="Z2373" s="4">
        <v>13.3480145049224</v>
      </c>
      <c r="AA2373" s="4">
        <f t="shared" si="151"/>
        <v>13.210530882610565</v>
      </c>
    </row>
    <row r="2374" spans="2:27" x14ac:dyDescent="0.2">
      <c r="B2374" s="4" t="s">
        <v>473</v>
      </c>
      <c r="C2374" s="4">
        <v>13.5939</v>
      </c>
      <c r="D2374" s="4">
        <v>13.6835</v>
      </c>
      <c r="E2374" s="4">
        <v>13.4506</v>
      </c>
      <c r="F2374" s="4">
        <f t="shared" si="148"/>
        <v>13.576000000000001</v>
      </c>
      <c r="I2374" s="4" t="s">
        <v>3860</v>
      </c>
      <c r="J2374" s="4">
        <v>13.714600000000001</v>
      </c>
      <c r="K2374" s="4">
        <v>13.6706</v>
      </c>
      <c r="L2374" s="4">
        <v>13.389799999999999</v>
      </c>
      <c r="M2374" s="4">
        <f t="shared" si="149"/>
        <v>13.591666666666667</v>
      </c>
      <c r="P2374" s="4" t="str">
        <f>"D2030.3"</f>
        <v>D2030.3</v>
      </c>
      <c r="Q2374" s="4">
        <v>13.404991440321499</v>
      </c>
      <c r="R2374" s="4">
        <v>13.1960557601539</v>
      </c>
      <c r="S2374" s="4">
        <v>12.9313017891697</v>
      </c>
      <c r="T2374" s="4">
        <f t="shared" si="150"/>
        <v>13.177449663215034</v>
      </c>
      <c r="W2374" s="4" t="str">
        <f>"mrps-14"</f>
        <v>mrps-14</v>
      </c>
      <c r="X2374" s="4">
        <v>12.6814078477883</v>
      </c>
      <c r="Y2374" s="4">
        <v>13.4729404024988</v>
      </c>
      <c r="Z2374" s="4">
        <v>13.4765478689361</v>
      </c>
      <c r="AA2374" s="4">
        <f t="shared" si="151"/>
        <v>13.210298706407734</v>
      </c>
    </row>
    <row r="2375" spans="2:27" x14ac:dyDescent="0.2">
      <c r="B2375" s="4" t="s">
        <v>2969</v>
      </c>
      <c r="C2375" s="4">
        <v>13.4932</v>
      </c>
      <c r="D2375" s="4">
        <v>13.700799999999999</v>
      </c>
      <c r="E2375" s="4">
        <v>13.53</v>
      </c>
      <c r="F2375" s="4">
        <f t="shared" si="148"/>
        <v>13.574666666666666</v>
      </c>
      <c r="I2375" s="4" t="s">
        <v>3195</v>
      </c>
      <c r="J2375" s="4">
        <v>13.1129</v>
      </c>
      <c r="K2375" s="4">
        <v>13.631600000000001</v>
      </c>
      <c r="L2375" s="4">
        <v>14.026300000000001</v>
      </c>
      <c r="M2375" s="4">
        <f t="shared" si="149"/>
        <v>13.590266666666666</v>
      </c>
      <c r="P2375" s="4" t="str">
        <f>"lin-66"</f>
        <v>lin-66</v>
      </c>
      <c r="Q2375" s="4">
        <v>13.288103055735499</v>
      </c>
      <c r="R2375" s="4">
        <v>13.1650187357553</v>
      </c>
      <c r="S2375" s="4">
        <v>13.0765455022752</v>
      </c>
      <c r="T2375" s="4">
        <f t="shared" si="150"/>
        <v>13.176555764588668</v>
      </c>
      <c r="W2375" s="4" t="str">
        <f>"riok-1"</f>
        <v>riok-1</v>
      </c>
      <c r="X2375" s="4">
        <v>13.0255511730539</v>
      </c>
      <c r="Y2375" s="4">
        <v>13.372994772449401</v>
      </c>
      <c r="Z2375" s="4">
        <v>13.230738405756499</v>
      </c>
      <c r="AA2375" s="4">
        <f t="shared" si="151"/>
        <v>13.209761450419933</v>
      </c>
    </row>
    <row r="2376" spans="2:27" x14ac:dyDescent="0.2">
      <c r="B2376" s="4" t="s">
        <v>2199</v>
      </c>
      <c r="C2376" s="4">
        <v>13.7979</v>
      </c>
      <c r="D2376" s="4">
        <v>13.151999999999999</v>
      </c>
      <c r="E2376" s="4">
        <v>13.7666</v>
      </c>
      <c r="F2376" s="4">
        <f t="shared" si="148"/>
        <v>13.572166666666666</v>
      </c>
      <c r="I2376" s="4" t="s">
        <v>1206</v>
      </c>
      <c r="J2376" s="4">
        <v>13.7165</v>
      </c>
      <c r="K2376" s="4">
        <v>13.7371</v>
      </c>
      <c r="L2376" s="4">
        <v>13.312200000000001</v>
      </c>
      <c r="M2376" s="4">
        <f t="shared" si="149"/>
        <v>13.5886</v>
      </c>
      <c r="P2376" s="4" t="str">
        <f>"lys-3"</f>
        <v>lys-3</v>
      </c>
      <c r="Q2376" s="4">
        <v>13.2090755507878</v>
      </c>
      <c r="R2376" s="4">
        <v>12.9887738480975</v>
      </c>
      <c r="S2376" s="4">
        <v>13.329494207933299</v>
      </c>
      <c r="T2376" s="4">
        <f t="shared" si="150"/>
        <v>13.175781202272866</v>
      </c>
      <c r="W2376" s="4" t="str">
        <f>"ZK1098.1"</f>
        <v>ZK1098.1</v>
      </c>
      <c r="X2376" s="4">
        <v>12.859199841259001</v>
      </c>
      <c r="Y2376" s="4">
        <v>13.348078563824901</v>
      </c>
      <c r="Z2376" s="4">
        <v>13.412787127407499</v>
      </c>
      <c r="AA2376" s="4">
        <f t="shared" si="151"/>
        <v>13.206688510830467</v>
      </c>
    </row>
    <row r="2377" spans="2:27" x14ac:dyDescent="0.2">
      <c r="B2377" s="4" t="s">
        <v>468</v>
      </c>
      <c r="C2377" s="4">
        <v>13.7745</v>
      </c>
      <c r="D2377" s="4">
        <v>13.3657</v>
      </c>
      <c r="E2377" s="4">
        <v>13.576000000000001</v>
      </c>
      <c r="F2377" s="4">
        <f t="shared" si="148"/>
        <v>13.572066666666666</v>
      </c>
      <c r="I2377" s="4" t="s">
        <v>3742</v>
      </c>
      <c r="J2377" s="4">
        <v>13.752800000000001</v>
      </c>
      <c r="K2377" s="4">
        <v>13.5319</v>
      </c>
      <c r="L2377" s="4">
        <v>13.4802</v>
      </c>
      <c r="M2377" s="4">
        <f t="shared" si="149"/>
        <v>13.588299999999998</v>
      </c>
      <c r="P2377" s="4" t="str">
        <f>"dkf-2"</f>
        <v>dkf-2</v>
      </c>
      <c r="Q2377" s="4">
        <v>13.0658753254163</v>
      </c>
      <c r="R2377" s="4">
        <v>13.317474802112599</v>
      </c>
      <c r="S2377" s="4">
        <v>13.1422460265252</v>
      </c>
      <c r="T2377" s="4">
        <f t="shared" si="150"/>
        <v>13.175198718018033</v>
      </c>
      <c r="W2377" s="4" t="str">
        <f>"cnt-1"</f>
        <v>cnt-1</v>
      </c>
      <c r="X2377" s="4">
        <v>12.9748541201336</v>
      </c>
      <c r="Y2377" s="4">
        <v>13.5478060514088</v>
      </c>
      <c r="Z2377" s="4">
        <v>13.0886758638351</v>
      </c>
      <c r="AA2377" s="4">
        <f t="shared" si="151"/>
        <v>13.203778678459166</v>
      </c>
    </row>
    <row r="2378" spans="2:27" x14ac:dyDescent="0.2">
      <c r="B2378" s="4" t="s">
        <v>3713</v>
      </c>
      <c r="C2378" s="4">
        <v>13.2349</v>
      </c>
      <c r="D2378" s="4">
        <v>13.9718</v>
      </c>
      <c r="E2378" s="4">
        <v>13.5053</v>
      </c>
      <c r="F2378" s="4">
        <f t="shared" si="148"/>
        <v>13.570666666666666</v>
      </c>
      <c r="I2378" s="4" t="s">
        <v>1157</v>
      </c>
      <c r="J2378" s="4">
        <v>13.3406</v>
      </c>
      <c r="K2378" s="4">
        <v>13.6221</v>
      </c>
      <c r="L2378" s="4">
        <v>13.800599999999999</v>
      </c>
      <c r="M2378" s="4">
        <f t="shared" si="149"/>
        <v>13.587766666666667</v>
      </c>
      <c r="P2378" s="4" t="str">
        <f>"atg-18"</f>
        <v>atg-18</v>
      </c>
      <c r="Q2378" s="4">
        <v>13.3826638985337</v>
      </c>
      <c r="R2378" s="4">
        <v>13.246939097910699</v>
      </c>
      <c r="S2378" s="4">
        <v>12.8876596459239</v>
      </c>
      <c r="T2378" s="4">
        <f t="shared" si="150"/>
        <v>13.172420880789431</v>
      </c>
      <c r="W2378" s="4" t="str">
        <f>"tdo-2"</f>
        <v>tdo-2</v>
      </c>
      <c r="X2378" s="4">
        <v>13.205104966176799</v>
      </c>
      <c r="Y2378" s="4">
        <v>13.028892489506999</v>
      </c>
      <c r="Z2378" s="4">
        <v>13.3770367205945</v>
      </c>
      <c r="AA2378" s="4">
        <f t="shared" si="151"/>
        <v>13.203678058759431</v>
      </c>
    </row>
    <row r="2379" spans="2:27" x14ac:dyDescent="0.2">
      <c r="B2379" s="4" t="s">
        <v>346</v>
      </c>
      <c r="C2379" s="4">
        <v>13.3179</v>
      </c>
      <c r="D2379" s="4">
        <v>14.092700000000001</v>
      </c>
      <c r="E2379" s="4">
        <v>13.2989</v>
      </c>
      <c r="F2379" s="4">
        <f t="shared" si="148"/>
        <v>13.569833333333335</v>
      </c>
      <c r="I2379" s="4" t="s">
        <v>153</v>
      </c>
      <c r="J2379" s="4">
        <v>13.7263</v>
      </c>
      <c r="K2379" s="4">
        <v>13.918200000000001</v>
      </c>
      <c r="L2379" s="4">
        <v>13.1167</v>
      </c>
      <c r="M2379" s="4">
        <f t="shared" si="149"/>
        <v>13.587066666666667</v>
      </c>
      <c r="P2379" s="4" t="str">
        <f>"gls-1"</f>
        <v>gls-1</v>
      </c>
      <c r="Q2379" s="4">
        <v>13.2544117127104</v>
      </c>
      <c r="R2379" s="4">
        <v>13.177096896156501</v>
      </c>
      <c r="S2379" s="4">
        <v>13.0792777371308</v>
      </c>
      <c r="T2379" s="4">
        <f t="shared" si="150"/>
        <v>13.170262115332568</v>
      </c>
      <c r="W2379" s="4" t="str">
        <f>"R13D11.4"</f>
        <v>R13D11.4</v>
      </c>
      <c r="X2379" s="4">
        <v>13.1010543536549</v>
      </c>
      <c r="Y2379" s="4">
        <v>13.155642293360399</v>
      </c>
      <c r="Z2379" s="4">
        <v>13.344442472551</v>
      </c>
      <c r="AA2379" s="4">
        <f t="shared" si="151"/>
        <v>13.200379706522099</v>
      </c>
    </row>
    <row r="2380" spans="2:27" x14ac:dyDescent="0.2">
      <c r="B2380" s="4" t="s">
        <v>995</v>
      </c>
      <c r="C2380" s="4">
        <v>13.701000000000001</v>
      </c>
      <c r="D2380" s="4">
        <v>13.203099999999999</v>
      </c>
      <c r="E2380" s="4">
        <v>13.8026</v>
      </c>
      <c r="F2380" s="4">
        <f t="shared" si="148"/>
        <v>13.568899999999999</v>
      </c>
      <c r="I2380" s="4" t="s">
        <v>4760</v>
      </c>
      <c r="J2380" s="4">
        <v>13.937799999999999</v>
      </c>
      <c r="K2380" s="4">
        <v>13.8454</v>
      </c>
      <c r="L2380" s="4">
        <v>12.974</v>
      </c>
      <c r="M2380" s="4">
        <f t="shared" si="149"/>
        <v>13.585733333333332</v>
      </c>
      <c r="P2380" s="4" t="str">
        <f>"gln-6"</f>
        <v>gln-6</v>
      </c>
      <c r="Q2380" s="4">
        <v>13.1968254933191</v>
      </c>
      <c r="R2380" s="4">
        <v>13.2888151557692</v>
      </c>
      <c r="S2380" s="4">
        <v>13.0231307113888</v>
      </c>
      <c r="T2380" s="4">
        <f t="shared" si="150"/>
        <v>13.169590453492367</v>
      </c>
      <c r="W2380" s="4" t="str">
        <f>"slc-30a9"</f>
        <v>slc-30a9</v>
      </c>
      <c r="X2380" s="4">
        <v>13.1647644337254</v>
      </c>
      <c r="Y2380" s="4">
        <v>13.0840425158292</v>
      </c>
      <c r="Z2380" s="4">
        <v>13.3518262724126</v>
      </c>
      <c r="AA2380" s="4">
        <f t="shared" si="151"/>
        <v>13.200211073989067</v>
      </c>
    </row>
    <row r="2381" spans="2:27" x14ac:dyDescent="0.2">
      <c r="B2381" s="4" t="s">
        <v>2783</v>
      </c>
      <c r="C2381" s="4">
        <v>13.3932</v>
      </c>
      <c r="D2381" s="4">
        <v>13.781000000000001</v>
      </c>
      <c r="E2381" s="4">
        <v>13.5314</v>
      </c>
      <c r="F2381" s="4">
        <f t="shared" si="148"/>
        <v>13.568533333333333</v>
      </c>
      <c r="I2381" s="4" t="s">
        <v>1850</v>
      </c>
      <c r="J2381" s="4">
        <v>13.402100000000001</v>
      </c>
      <c r="K2381" s="4">
        <v>13.6648</v>
      </c>
      <c r="L2381" s="4">
        <v>13.6859</v>
      </c>
      <c r="M2381" s="4">
        <f t="shared" si="149"/>
        <v>13.584266666666666</v>
      </c>
      <c r="P2381" s="4" t="str">
        <f>"rad-26"</f>
        <v>rad-26</v>
      </c>
      <c r="Q2381" s="4">
        <v>13.4143858054533</v>
      </c>
      <c r="R2381" s="4">
        <v>13.021893463915699</v>
      </c>
      <c r="S2381" s="4">
        <v>13.0583086194563</v>
      </c>
      <c r="T2381" s="4">
        <f t="shared" si="150"/>
        <v>13.164862629608434</v>
      </c>
      <c r="W2381" s="4" t="str">
        <f>"asg-1"</f>
        <v>asg-1</v>
      </c>
      <c r="X2381" s="4">
        <v>13.5547746438051</v>
      </c>
      <c r="Y2381" s="4">
        <v>13.340680793927801</v>
      </c>
      <c r="Z2381" s="4">
        <v>12.699847294717699</v>
      </c>
      <c r="AA2381" s="4">
        <f t="shared" si="151"/>
        <v>13.198434244150199</v>
      </c>
    </row>
    <row r="2382" spans="2:27" x14ac:dyDescent="0.2">
      <c r="B2382" s="4" t="s">
        <v>2366</v>
      </c>
      <c r="C2382" s="4">
        <v>13.597799999999999</v>
      </c>
      <c r="D2382" s="4">
        <v>13.664899999999999</v>
      </c>
      <c r="E2382" s="4">
        <v>13.441700000000001</v>
      </c>
      <c r="F2382" s="4">
        <f t="shared" si="148"/>
        <v>13.568133333333334</v>
      </c>
      <c r="I2382" s="4" t="s">
        <v>4791</v>
      </c>
      <c r="J2382" s="4">
        <v>13.2935</v>
      </c>
      <c r="K2382" s="4">
        <v>13.778</v>
      </c>
      <c r="L2382" s="4">
        <v>13.680199999999999</v>
      </c>
      <c r="M2382" s="4">
        <f t="shared" si="149"/>
        <v>13.5839</v>
      </c>
      <c r="P2382" s="4" t="str">
        <f>"K11H12.8"</f>
        <v>K11H12.8</v>
      </c>
      <c r="Q2382" s="4">
        <v>13.1560432514621</v>
      </c>
      <c r="R2382" s="4">
        <v>13.223622636062499</v>
      </c>
      <c r="S2382" s="4">
        <v>13.112294410952501</v>
      </c>
      <c r="T2382" s="4">
        <f t="shared" si="150"/>
        <v>13.163986766159033</v>
      </c>
      <c r="W2382" s="4" t="str">
        <f>"pars-2"</f>
        <v>pars-2</v>
      </c>
      <c r="X2382" s="4">
        <v>13.184474954627399</v>
      </c>
      <c r="Y2382" s="4">
        <v>13.1881601753455</v>
      </c>
      <c r="Z2382" s="4">
        <v>13.2199832708949</v>
      </c>
      <c r="AA2382" s="4">
        <f t="shared" si="151"/>
        <v>13.197539466955932</v>
      </c>
    </row>
    <row r="2383" spans="2:27" x14ac:dyDescent="0.2">
      <c r="B2383" s="4" t="s">
        <v>1300</v>
      </c>
      <c r="C2383" s="4">
        <v>13.4815</v>
      </c>
      <c r="D2383" s="4">
        <v>13.3803</v>
      </c>
      <c r="E2383" s="4">
        <v>13.840999999999999</v>
      </c>
      <c r="F2383" s="4">
        <f t="shared" si="148"/>
        <v>13.567600000000001</v>
      </c>
      <c r="I2383" s="4" t="s">
        <v>1411</v>
      </c>
      <c r="J2383" s="4">
        <v>13.5784</v>
      </c>
      <c r="K2383" s="4">
        <v>13.643800000000001</v>
      </c>
      <c r="L2383" s="4">
        <v>13.5213</v>
      </c>
      <c r="M2383" s="4">
        <f t="shared" si="149"/>
        <v>13.581166666666666</v>
      </c>
      <c r="P2383" s="4" t="str">
        <f>"ZK550.6"</f>
        <v>ZK550.6</v>
      </c>
      <c r="Q2383" s="4">
        <v>13.0719414127327</v>
      </c>
      <c r="R2383" s="4">
        <v>13.3334454556941</v>
      </c>
      <c r="S2383" s="4">
        <v>13.0857150420001</v>
      </c>
      <c r="T2383" s="4">
        <f t="shared" si="150"/>
        <v>13.163700636808969</v>
      </c>
      <c r="W2383" s="4" t="str">
        <f>"praf-3"</f>
        <v>praf-3</v>
      </c>
      <c r="X2383" s="4">
        <v>13.075451948410199</v>
      </c>
      <c r="Y2383" s="4">
        <v>13.164044090307801</v>
      </c>
      <c r="Z2383" s="4">
        <v>13.351165855166901</v>
      </c>
      <c r="AA2383" s="4">
        <f t="shared" si="151"/>
        <v>13.196887297961633</v>
      </c>
    </row>
    <row r="2384" spans="2:27" x14ac:dyDescent="0.2">
      <c r="B2384" s="4" t="s">
        <v>243</v>
      </c>
      <c r="C2384" s="4">
        <v>13.6768</v>
      </c>
      <c r="D2384" s="4">
        <v>13.526400000000001</v>
      </c>
      <c r="E2384" s="4">
        <v>13.4994</v>
      </c>
      <c r="F2384" s="4">
        <f t="shared" si="148"/>
        <v>13.567533333333335</v>
      </c>
      <c r="I2384" s="4" t="s">
        <v>635</v>
      </c>
      <c r="J2384" s="4">
        <v>12.6046</v>
      </c>
      <c r="K2384" s="4">
        <v>13.3369</v>
      </c>
      <c r="L2384" s="4">
        <v>14.8001</v>
      </c>
      <c r="M2384" s="4">
        <f t="shared" si="149"/>
        <v>13.580533333333333</v>
      </c>
      <c r="P2384" s="4" t="str">
        <f>"dpy-27"</f>
        <v>dpy-27</v>
      </c>
      <c r="Q2384" s="4">
        <v>12.7294677906359</v>
      </c>
      <c r="R2384" s="4">
        <v>13.2717396764307</v>
      </c>
      <c r="S2384" s="4">
        <v>13.489707434669199</v>
      </c>
      <c r="T2384" s="4">
        <f t="shared" si="150"/>
        <v>13.163638300578599</v>
      </c>
      <c r="W2384" s="4" t="str">
        <f>"sel-9"</f>
        <v>sel-9</v>
      </c>
      <c r="X2384" s="4">
        <v>13.675947734676599</v>
      </c>
      <c r="Y2384" s="4">
        <v>13.0558020872502</v>
      </c>
      <c r="Z2384" s="4">
        <v>12.8559668972623</v>
      </c>
      <c r="AA2384" s="4">
        <f t="shared" si="151"/>
        <v>13.195905573063031</v>
      </c>
    </row>
    <row r="2385" spans="2:27" x14ac:dyDescent="0.2">
      <c r="B2385" s="4" t="s">
        <v>677</v>
      </c>
      <c r="C2385" s="4">
        <v>13.876200000000001</v>
      </c>
      <c r="D2385" s="4">
        <v>13.2216</v>
      </c>
      <c r="E2385" s="4">
        <v>13.6031</v>
      </c>
      <c r="F2385" s="4">
        <f t="shared" si="148"/>
        <v>13.566966666666666</v>
      </c>
      <c r="I2385" s="4" t="s">
        <v>843</v>
      </c>
      <c r="J2385" s="4">
        <v>13.6089</v>
      </c>
      <c r="K2385" s="4">
        <v>13.602399999999999</v>
      </c>
      <c r="L2385" s="4">
        <v>13.5299</v>
      </c>
      <c r="M2385" s="4">
        <f t="shared" si="149"/>
        <v>13.580399999999999</v>
      </c>
      <c r="P2385" s="4" t="str">
        <f>"C27H6.9"</f>
        <v>C27H6.9</v>
      </c>
      <c r="Q2385" s="4">
        <v>13.04067166796</v>
      </c>
      <c r="R2385" s="4">
        <v>13.2791101953427</v>
      </c>
      <c r="S2385" s="4">
        <v>13.1696828191552</v>
      </c>
      <c r="T2385" s="4">
        <f t="shared" si="150"/>
        <v>13.163154894152633</v>
      </c>
      <c r="W2385" s="4" t="str">
        <f>"tbc-17"</f>
        <v>tbc-17</v>
      </c>
      <c r="X2385" s="4">
        <v>12.9401063940239</v>
      </c>
      <c r="Y2385" s="4">
        <v>13.446275691658601</v>
      </c>
      <c r="Z2385" s="4">
        <v>13.196139715204099</v>
      </c>
      <c r="AA2385" s="4">
        <f t="shared" si="151"/>
        <v>13.194173933628866</v>
      </c>
    </row>
    <row r="2386" spans="2:27" x14ac:dyDescent="0.2">
      <c r="B2386" s="4" t="s">
        <v>4166</v>
      </c>
      <c r="C2386" s="4">
        <v>13.371</v>
      </c>
      <c r="D2386" s="4">
        <v>13.729799999999999</v>
      </c>
      <c r="E2386" s="4">
        <v>13.597200000000001</v>
      </c>
      <c r="F2386" s="4">
        <f t="shared" si="148"/>
        <v>13.566000000000001</v>
      </c>
      <c r="I2386" s="4" t="s">
        <v>3777</v>
      </c>
      <c r="J2386" s="4">
        <v>13.7751</v>
      </c>
      <c r="K2386" s="4">
        <v>13.299899999999999</v>
      </c>
      <c r="L2386" s="4">
        <v>13.664400000000001</v>
      </c>
      <c r="M2386" s="4">
        <f t="shared" si="149"/>
        <v>13.579800000000001</v>
      </c>
      <c r="P2386" s="4" t="str">
        <f>"ZK1127.4"</f>
        <v>ZK1127.4</v>
      </c>
      <c r="Q2386" s="4">
        <v>13.122269139867001</v>
      </c>
      <c r="R2386" s="4">
        <v>13.3282908601718</v>
      </c>
      <c r="S2386" s="4">
        <v>13.038706634647699</v>
      </c>
      <c r="T2386" s="4">
        <f t="shared" si="150"/>
        <v>13.163088878228834</v>
      </c>
      <c r="W2386" s="4" t="str">
        <f>"C14B9.8"</f>
        <v>C14B9.8</v>
      </c>
      <c r="X2386" s="4">
        <v>13.5331133884913</v>
      </c>
      <c r="Y2386" s="4">
        <v>13.387239237024801</v>
      </c>
      <c r="Z2386" s="4">
        <v>12.661064586570999</v>
      </c>
      <c r="AA2386" s="4">
        <f t="shared" si="151"/>
        <v>13.193805737362368</v>
      </c>
    </row>
    <row r="2387" spans="2:27" x14ac:dyDescent="0.2">
      <c r="B2387" s="4" t="s">
        <v>2480</v>
      </c>
      <c r="C2387" s="4">
        <v>13.681100000000001</v>
      </c>
      <c r="D2387" s="4">
        <v>13.5093</v>
      </c>
      <c r="E2387" s="4">
        <v>13.5022</v>
      </c>
      <c r="F2387" s="4">
        <f t="shared" si="148"/>
        <v>13.5642</v>
      </c>
      <c r="I2387" s="4" t="s">
        <v>2178</v>
      </c>
      <c r="J2387" s="4">
        <v>13.738200000000001</v>
      </c>
      <c r="K2387" s="4">
        <v>13.7554</v>
      </c>
      <c r="L2387" s="4">
        <v>13.2416</v>
      </c>
      <c r="M2387" s="4">
        <f t="shared" si="149"/>
        <v>13.5784</v>
      </c>
      <c r="P2387" s="4" t="str">
        <f>"ifet-1"</f>
        <v>ifet-1</v>
      </c>
      <c r="Q2387" s="4">
        <v>12.9508262807178</v>
      </c>
      <c r="R2387" s="4">
        <v>13.2706824159606</v>
      </c>
      <c r="S2387" s="4">
        <v>13.267134581350399</v>
      </c>
      <c r="T2387" s="4">
        <f t="shared" si="150"/>
        <v>13.162881092676265</v>
      </c>
      <c r="W2387" s="4" t="str">
        <f>"F10E7.9"</f>
        <v>F10E7.9</v>
      </c>
      <c r="X2387" s="4">
        <v>13.4940966686605</v>
      </c>
      <c r="Y2387" s="4">
        <v>13.051230164276101</v>
      </c>
      <c r="Z2387" s="4">
        <v>13.0339951245251</v>
      </c>
      <c r="AA2387" s="4">
        <f t="shared" si="151"/>
        <v>13.193107319153901</v>
      </c>
    </row>
    <row r="2388" spans="2:27" x14ac:dyDescent="0.2">
      <c r="B2388" s="4" t="s">
        <v>1230</v>
      </c>
      <c r="C2388" s="4">
        <v>13.4932</v>
      </c>
      <c r="D2388" s="4">
        <v>13.411199999999999</v>
      </c>
      <c r="E2388" s="4">
        <v>13.7881</v>
      </c>
      <c r="F2388" s="4">
        <f t="shared" si="148"/>
        <v>13.564166666666665</v>
      </c>
      <c r="I2388" s="4" t="s">
        <v>4792</v>
      </c>
      <c r="J2388" s="4">
        <v>13.5185</v>
      </c>
      <c r="K2388" s="4">
        <v>13.164</v>
      </c>
      <c r="L2388" s="4">
        <v>14.0497</v>
      </c>
      <c r="M2388" s="4">
        <f t="shared" si="149"/>
        <v>13.577399999999999</v>
      </c>
      <c r="P2388" s="4" t="str">
        <f>"F25E5.5"</f>
        <v>F25E5.5</v>
      </c>
      <c r="Q2388" s="4">
        <v>12.896539156506799</v>
      </c>
      <c r="R2388" s="4">
        <v>13.346493463390299</v>
      </c>
      <c r="S2388" s="4">
        <v>13.2453836662238</v>
      </c>
      <c r="T2388" s="4">
        <f t="shared" si="150"/>
        <v>13.162805428706967</v>
      </c>
      <c r="W2388" s="4" t="str">
        <f>"Y62E10A.20"</f>
        <v>Y62E10A.20</v>
      </c>
      <c r="X2388" s="4">
        <v>12.9235252482564</v>
      </c>
      <c r="Y2388" s="4">
        <v>13.373532000436199</v>
      </c>
      <c r="Z2388" s="4">
        <v>13.2738137145355</v>
      </c>
      <c r="AA2388" s="4">
        <f t="shared" si="151"/>
        <v>13.190290321076034</v>
      </c>
    </row>
    <row r="2389" spans="2:27" x14ac:dyDescent="0.2">
      <c r="B2389" s="4" t="s">
        <v>4081</v>
      </c>
      <c r="C2389" s="4">
        <v>13.7531</v>
      </c>
      <c r="D2389" s="4">
        <v>13.438499999999999</v>
      </c>
      <c r="E2389" s="4">
        <v>13.499499999999999</v>
      </c>
      <c r="F2389" s="4">
        <f t="shared" si="148"/>
        <v>13.563699999999999</v>
      </c>
      <c r="I2389" s="4" t="s">
        <v>281</v>
      </c>
      <c r="J2389" s="4">
        <v>13.5114</v>
      </c>
      <c r="K2389" s="4">
        <v>13.7438</v>
      </c>
      <c r="L2389" s="4">
        <v>13.472099999999999</v>
      </c>
      <c r="M2389" s="4">
        <f t="shared" si="149"/>
        <v>13.575766666666667</v>
      </c>
      <c r="P2389" s="4" t="str">
        <f>"ZK742.4"</f>
        <v>ZK742.4</v>
      </c>
      <c r="Q2389" s="4">
        <v>13.280649570708899</v>
      </c>
      <c r="R2389" s="4">
        <v>12.828984144053599</v>
      </c>
      <c r="S2389" s="4">
        <v>13.3776823248289</v>
      </c>
      <c r="T2389" s="4">
        <f t="shared" si="150"/>
        <v>13.162438679863799</v>
      </c>
      <c r="W2389" s="4" t="str">
        <f>"ints-11"</f>
        <v>ints-11</v>
      </c>
      <c r="X2389" s="4">
        <v>13.650108822027301</v>
      </c>
      <c r="Y2389" s="4">
        <v>13.145525483188999</v>
      </c>
      <c r="Z2389" s="4">
        <v>12.7740392114492</v>
      </c>
      <c r="AA2389" s="4">
        <f t="shared" si="151"/>
        <v>13.189891172221834</v>
      </c>
    </row>
    <row r="2390" spans="2:27" x14ac:dyDescent="0.2">
      <c r="B2390" s="4" t="s">
        <v>3019</v>
      </c>
      <c r="C2390" s="4">
        <v>13.5647</v>
      </c>
      <c r="D2390" s="4">
        <v>13.8352</v>
      </c>
      <c r="E2390" s="4">
        <v>13.2911</v>
      </c>
      <c r="F2390" s="4">
        <f t="shared" si="148"/>
        <v>13.563666666666668</v>
      </c>
      <c r="I2390" s="4" t="s">
        <v>218</v>
      </c>
      <c r="J2390" s="4">
        <v>13.6502</v>
      </c>
      <c r="K2390" s="4">
        <v>13.474600000000001</v>
      </c>
      <c r="L2390" s="4">
        <v>13.594200000000001</v>
      </c>
      <c r="M2390" s="4">
        <f t="shared" si="149"/>
        <v>13.573</v>
      </c>
      <c r="P2390" s="4" t="str">
        <f>"vps-8"</f>
        <v>vps-8</v>
      </c>
      <c r="Q2390" s="4">
        <v>13.236407810551199</v>
      </c>
      <c r="R2390" s="4">
        <v>13.2417649096968</v>
      </c>
      <c r="S2390" s="4">
        <v>13.005017178114899</v>
      </c>
      <c r="T2390" s="4">
        <f t="shared" si="150"/>
        <v>13.161063299454298</v>
      </c>
      <c r="W2390" s="4" t="str">
        <f>"tut-2"</f>
        <v>tut-2</v>
      </c>
      <c r="X2390" s="4">
        <v>13.3079556246044</v>
      </c>
      <c r="Y2390" s="4">
        <v>13.2136918942685</v>
      </c>
      <c r="Z2390" s="4">
        <v>13.0438693770092</v>
      </c>
      <c r="AA2390" s="4">
        <f t="shared" si="151"/>
        <v>13.1885056319607</v>
      </c>
    </row>
    <row r="2391" spans="2:27" x14ac:dyDescent="0.2">
      <c r="B2391" s="4" t="s">
        <v>792</v>
      </c>
      <c r="C2391" s="4">
        <v>14.0603</v>
      </c>
      <c r="D2391" s="4">
        <v>13.670199999999999</v>
      </c>
      <c r="E2391" s="4">
        <v>12.960100000000001</v>
      </c>
      <c r="F2391" s="4">
        <f t="shared" si="148"/>
        <v>13.563533333333334</v>
      </c>
      <c r="I2391" s="4" t="s">
        <v>1548</v>
      </c>
      <c r="J2391" s="4">
        <v>14.0609</v>
      </c>
      <c r="K2391" s="4">
        <v>14.049099999999999</v>
      </c>
      <c r="L2391" s="4">
        <v>12.601000000000001</v>
      </c>
      <c r="M2391" s="4">
        <f t="shared" si="149"/>
        <v>13.570333333333332</v>
      </c>
      <c r="P2391" s="4" t="str">
        <f>"catp-3"</f>
        <v>catp-3</v>
      </c>
      <c r="Q2391" s="4">
        <v>13.498891168638901</v>
      </c>
      <c r="R2391" s="4">
        <v>13.175721612119499</v>
      </c>
      <c r="S2391" s="4">
        <v>12.808386785047199</v>
      </c>
      <c r="T2391" s="4">
        <f t="shared" si="150"/>
        <v>13.160999855268534</v>
      </c>
      <c r="W2391" s="4" t="str">
        <f>"C37C3.2"</f>
        <v>C37C3.2</v>
      </c>
      <c r="X2391" s="4">
        <v>13.1474999267394</v>
      </c>
      <c r="Y2391" s="4">
        <v>13.1804598059535</v>
      </c>
      <c r="Z2391" s="4">
        <v>13.2348658754275</v>
      </c>
      <c r="AA2391" s="4">
        <f t="shared" si="151"/>
        <v>13.187608536040132</v>
      </c>
    </row>
    <row r="2392" spans="2:27" x14ac:dyDescent="0.2">
      <c r="B2392" s="4" t="s">
        <v>1111</v>
      </c>
      <c r="C2392" s="4">
        <v>13.428599999999999</v>
      </c>
      <c r="D2392" s="4">
        <v>13.8614</v>
      </c>
      <c r="E2392" s="4">
        <v>13.3965</v>
      </c>
      <c r="F2392" s="4">
        <f t="shared" si="148"/>
        <v>13.562166666666664</v>
      </c>
      <c r="I2392" s="4" t="s">
        <v>434</v>
      </c>
      <c r="J2392" s="4">
        <v>13.861599999999999</v>
      </c>
      <c r="K2392" s="4">
        <v>13.8233</v>
      </c>
      <c r="L2392" s="4">
        <v>13.0237</v>
      </c>
      <c r="M2392" s="4">
        <f t="shared" si="149"/>
        <v>13.569533333333332</v>
      </c>
      <c r="P2392" s="4" t="str">
        <f>"plx-1"</f>
        <v>plx-1</v>
      </c>
      <c r="Q2392" s="4">
        <v>12.9352515680176</v>
      </c>
      <c r="R2392" s="4">
        <v>13.2057475586102</v>
      </c>
      <c r="S2392" s="4">
        <v>13.3378801549449</v>
      </c>
      <c r="T2392" s="4">
        <f t="shared" si="150"/>
        <v>13.159626427190901</v>
      </c>
      <c r="W2392" s="4" t="str">
        <f>"nhr-70"</f>
        <v>nhr-70</v>
      </c>
      <c r="X2392" s="4">
        <v>13.4110449124741</v>
      </c>
      <c r="Y2392" s="4">
        <v>12.992237673952401</v>
      </c>
      <c r="Z2392" s="4">
        <v>13.1528065255392</v>
      </c>
      <c r="AA2392" s="4">
        <f t="shared" si="151"/>
        <v>13.185363037321899</v>
      </c>
    </row>
    <row r="2393" spans="2:27" x14ac:dyDescent="0.2">
      <c r="B2393" s="4" t="s">
        <v>1019</v>
      </c>
      <c r="C2393" s="4">
        <v>13.346299999999999</v>
      </c>
      <c r="D2393" s="4">
        <v>13.789199999999999</v>
      </c>
      <c r="E2393" s="4">
        <v>13.548400000000001</v>
      </c>
      <c r="F2393" s="4">
        <f t="shared" si="148"/>
        <v>13.561300000000001</v>
      </c>
      <c r="I2393" s="4" t="s">
        <v>2302</v>
      </c>
      <c r="J2393" s="4">
        <v>13.313000000000001</v>
      </c>
      <c r="K2393" s="4">
        <v>13.855499999999999</v>
      </c>
      <c r="L2393" s="4">
        <v>13.5358</v>
      </c>
      <c r="M2393" s="4">
        <f t="shared" si="149"/>
        <v>13.568100000000001</v>
      </c>
      <c r="P2393" s="4" t="str">
        <f>"suf-1"</f>
        <v>suf-1</v>
      </c>
      <c r="Q2393" s="4">
        <v>13.0315740489145</v>
      </c>
      <c r="R2393" s="4">
        <v>13.265741933703399</v>
      </c>
      <c r="S2393" s="4">
        <v>13.174311210413199</v>
      </c>
      <c r="T2393" s="4">
        <f t="shared" si="150"/>
        <v>13.157209064343698</v>
      </c>
      <c r="W2393" s="4" t="str">
        <f>"ret-1"</f>
        <v>ret-1</v>
      </c>
      <c r="X2393" s="4">
        <v>13.2855767983918</v>
      </c>
      <c r="Y2393" s="4">
        <v>12.9926833347717</v>
      </c>
      <c r="Z2393" s="4">
        <v>13.277425680766999</v>
      </c>
      <c r="AA2393" s="4">
        <f t="shared" si="151"/>
        <v>13.185228604643498</v>
      </c>
    </row>
    <row r="2394" spans="2:27" x14ac:dyDescent="0.2">
      <c r="B2394" s="4" t="s">
        <v>1788</v>
      </c>
      <c r="C2394" s="4">
        <v>13.676600000000001</v>
      </c>
      <c r="D2394" s="4">
        <v>13.476800000000001</v>
      </c>
      <c r="E2394" s="4">
        <v>13.5242</v>
      </c>
      <c r="F2394" s="4">
        <f t="shared" si="148"/>
        <v>13.559199999999999</v>
      </c>
      <c r="I2394" s="4" t="s">
        <v>1490</v>
      </c>
      <c r="J2394" s="4">
        <v>14.253399999999999</v>
      </c>
      <c r="K2394" s="4">
        <v>13.6782</v>
      </c>
      <c r="L2394" s="4">
        <v>12.769</v>
      </c>
      <c r="M2394" s="4">
        <f t="shared" si="149"/>
        <v>13.566866666666668</v>
      </c>
      <c r="P2394" s="4" t="str">
        <f>"D1054.8"</f>
        <v>D1054.8</v>
      </c>
      <c r="Q2394" s="4">
        <v>12.817632337544</v>
      </c>
      <c r="R2394" s="4">
        <v>13.2963384553503</v>
      </c>
      <c r="S2394" s="4">
        <v>13.353766966688401</v>
      </c>
      <c r="T2394" s="4">
        <f t="shared" si="150"/>
        <v>13.155912586527569</v>
      </c>
      <c r="W2394" s="4" t="str">
        <f>"mat-1"</f>
        <v>mat-1</v>
      </c>
      <c r="X2394" s="4">
        <v>13.306163416419601</v>
      </c>
      <c r="Y2394" s="4">
        <v>13.0398316952326</v>
      </c>
      <c r="Z2394" s="4">
        <v>13.196012092069401</v>
      </c>
      <c r="AA2394" s="4">
        <f t="shared" si="151"/>
        <v>13.180669067907202</v>
      </c>
    </row>
    <row r="2395" spans="2:27" x14ac:dyDescent="0.2">
      <c r="B2395" s="4" t="s">
        <v>1215</v>
      </c>
      <c r="C2395" s="4">
        <v>13.190300000000001</v>
      </c>
      <c r="D2395" s="4">
        <v>13.680099999999999</v>
      </c>
      <c r="E2395" s="4">
        <v>13.795199999999999</v>
      </c>
      <c r="F2395" s="4">
        <f t="shared" si="148"/>
        <v>13.555199999999999</v>
      </c>
      <c r="I2395" s="4" t="s">
        <v>315</v>
      </c>
      <c r="J2395" s="4">
        <v>13.6927</v>
      </c>
      <c r="K2395" s="4">
        <v>13.4725</v>
      </c>
      <c r="L2395" s="4">
        <v>13.5307</v>
      </c>
      <c r="M2395" s="4">
        <f t="shared" si="149"/>
        <v>13.565299999999999</v>
      </c>
      <c r="P2395" s="4" t="str">
        <f>"hira-1"</f>
        <v>hira-1</v>
      </c>
      <c r="Q2395" s="4">
        <v>12.812457000867401</v>
      </c>
      <c r="R2395" s="4">
        <v>13.3650661881038</v>
      </c>
      <c r="S2395" s="4">
        <v>13.2863003339441</v>
      </c>
      <c r="T2395" s="4">
        <f t="shared" si="150"/>
        <v>13.154607840971765</v>
      </c>
      <c r="W2395" s="4" t="str">
        <f>"ddo-2"</f>
        <v>ddo-2</v>
      </c>
      <c r="X2395" s="4">
        <v>12.869907082768499</v>
      </c>
      <c r="Y2395" s="4">
        <v>13.0088332921472</v>
      </c>
      <c r="Z2395" s="4">
        <v>13.660507663854601</v>
      </c>
      <c r="AA2395" s="4">
        <f t="shared" si="151"/>
        <v>13.179749346256768</v>
      </c>
    </row>
    <row r="2396" spans="2:27" x14ac:dyDescent="0.2">
      <c r="B2396" s="4" t="s">
        <v>3085</v>
      </c>
      <c r="C2396" s="4">
        <v>13.4086</v>
      </c>
      <c r="D2396" s="4">
        <v>13.6333</v>
      </c>
      <c r="E2396" s="4">
        <v>13.622400000000001</v>
      </c>
      <c r="F2396" s="4">
        <f t="shared" si="148"/>
        <v>13.554766666666666</v>
      </c>
      <c r="I2396" s="4" t="s">
        <v>4023</v>
      </c>
      <c r="J2396" s="4">
        <v>13.289899999999999</v>
      </c>
      <c r="K2396" s="4">
        <v>13.653700000000001</v>
      </c>
      <c r="L2396" s="4">
        <v>13.749000000000001</v>
      </c>
      <c r="M2396" s="4">
        <f t="shared" si="149"/>
        <v>13.5642</v>
      </c>
      <c r="P2396" s="4" t="str">
        <f>"ttbk-8.2"</f>
        <v>ttbk-8.2</v>
      </c>
      <c r="Q2396" s="4">
        <v>12.881148757215</v>
      </c>
      <c r="R2396" s="4">
        <v>13.572162258881299</v>
      </c>
      <c r="S2396" s="4">
        <v>13.006139758181</v>
      </c>
      <c r="T2396" s="4">
        <f t="shared" si="150"/>
        <v>13.153150258092433</v>
      </c>
      <c r="W2396" s="4" t="str">
        <f>"tbce-1"</f>
        <v>tbce-1</v>
      </c>
      <c r="X2396" s="4">
        <v>12.7261948163417</v>
      </c>
      <c r="Y2396" s="4">
        <v>13.470980924081299</v>
      </c>
      <c r="Z2396" s="4">
        <v>13.3405507326317</v>
      </c>
      <c r="AA2396" s="4">
        <f t="shared" si="151"/>
        <v>13.179242157684898</v>
      </c>
    </row>
    <row r="2397" spans="2:27" x14ac:dyDescent="0.2">
      <c r="B2397" s="4" t="s">
        <v>4780</v>
      </c>
      <c r="C2397" s="4">
        <v>13.2536</v>
      </c>
      <c r="D2397" s="4">
        <v>13.625500000000001</v>
      </c>
      <c r="E2397" s="4">
        <v>13.7849</v>
      </c>
      <c r="F2397" s="4">
        <f t="shared" si="148"/>
        <v>13.554666666666668</v>
      </c>
      <c r="I2397" s="4" t="s">
        <v>3470</v>
      </c>
      <c r="J2397" s="4">
        <v>13.411300000000001</v>
      </c>
      <c r="K2397" s="4">
        <v>13.3881</v>
      </c>
      <c r="L2397" s="4">
        <v>13.8895</v>
      </c>
      <c r="M2397" s="4">
        <f t="shared" si="149"/>
        <v>13.562966666666666</v>
      </c>
      <c r="P2397" s="4" t="str">
        <f>"slc-30a9"</f>
        <v>slc-30a9</v>
      </c>
      <c r="Q2397" s="4">
        <v>13.3181227756842</v>
      </c>
      <c r="R2397" s="4">
        <v>12.8763518895554</v>
      </c>
      <c r="S2397" s="4">
        <v>13.264808841880001</v>
      </c>
      <c r="T2397" s="4">
        <f t="shared" si="150"/>
        <v>13.1530945023732</v>
      </c>
      <c r="W2397" s="4" t="str">
        <f>"R102.4"</f>
        <v>R102.4</v>
      </c>
      <c r="X2397" s="4">
        <v>13.014030174536099</v>
      </c>
      <c r="Y2397" s="4">
        <v>13.4514489648757</v>
      </c>
      <c r="Z2397" s="4">
        <v>13.067955699596199</v>
      </c>
      <c r="AA2397" s="4">
        <f t="shared" si="151"/>
        <v>13.177811613002666</v>
      </c>
    </row>
    <row r="2398" spans="2:27" x14ac:dyDescent="0.2">
      <c r="B2398" s="4" t="s">
        <v>4549</v>
      </c>
      <c r="C2398" s="4">
        <v>12.9594</v>
      </c>
      <c r="D2398" s="4">
        <v>13.864000000000001</v>
      </c>
      <c r="E2398" s="4">
        <v>13.839</v>
      </c>
      <c r="F2398" s="4">
        <f t="shared" si="148"/>
        <v>13.554133333333333</v>
      </c>
      <c r="I2398" s="4" t="s">
        <v>920</v>
      </c>
      <c r="J2398" s="4">
        <v>13.610099999999999</v>
      </c>
      <c r="K2398" s="4">
        <v>13.492599999999999</v>
      </c>
      <c r="L2398" s="4">
        <v>13.578900000000001</v>
      </c>
      <c r="M2398" s="4">
        <f t="shared" si="149"/>
        <v>13.560533333333334</v>
      </c>
      <c r="P2398" s="4" t="str">
        <f>"T03F7.7"</f>
        <v>T03F7.7</v>
      </c>
      <c r="Q2398" s="4">
        <v>12.892854199752501</v>
      </c>
      <c r="R2398" s="4">
        <v>13.369645863287101</v>
      </c>
      <c r="S2398" s="4">
        <v>13.186637033759</v>
      </c>
      <c r="T2398" s="4">
        <f t="shared" si="150"/>
        <v>13.149712365599534</v>
      </c>
      <c r="W2398" s="4" t="str">
        <f>"exos-4.2"</f>
        <v>exos-4.2</v>
      </c>
      <c r="X2398" s="4">
        <v>13.159554603145001</v>
      </c>
      <c r="Y2398" s="4">
        <v>13.100903703388701</v>
      </c>
      <c r="Z2398" s="4">
        <v>13.2663031013974</v>
      </c>
      <c r="AA2398" s="4">
        <f t="shared" si="151"/>
        <v>13.175587135977032</v>
      </c>
    </row>
    <row r="2399" spans="2:27" x14ac:dyDescent="0.2">
      <c r="B2399" s="4" t="s">
        <v>2482</v>
      </c>
      <c r="C2399" s="4">
        <v>13.4894</v>
      </c>
      <c r="D2399" s="4">
        <v>13.4123</v>
      </c>
      <c r="E2399" s="4">
        <v>13.7583</v>
      </c>
      <c r="F2399" s="4">
        <f t="shared" si="148"/>
        <v>13.553333333333333</v>
      </c>
      <c r="I2399" s="4" t="s">
        <v>398</v>
      </c>
      <c r="J2399" s="4">
        <v>12.805</v>
      </c>
      <c r="K2399" s="4">
        <v>13.764200000000001</v>
      </c>
      <c r="L2399" s="4">
        <v>14.1121</v>
      </c>
      <c r="M2399" s="4">
        <f t="shared" si="149"/>
        <v>13.560433333333334</v>
      </c>
      <c r="P2399" s="4" t="str">
        <f>"cchl-1"</f>
        <v>cchl-1</v>
      </c>
      <c r="Q2399" s="4">
        <v>13.191779079261201</v>
      </c>
      <c r="R2399" s="4">
        <v>13.338200312467601</v>
      </c>
      <c r="S2399" s="4">
        <v>12.9141592419187</v>
      </c>
      <c r="T2399" s="4">
        <f t="shared" si="150"/>
        <v>13.148046211215833</v>
      </c>
      <c r="W2399" s="4" t="str">
        <f>"ltah-1.2"</f>
        <v>ltah-1.2</v>
      </c>
      <c r="X2399" s="4">
        <v>13.523764753911401</v>
      </c>
      <c r="Y2399" s="4">
        <v>13.0003031811914</v>
      </c>
      <c r="Z2399" s="4">
        <v>13.001787732197201</v>
      </c>
      <c r="AA2399" s="4">
        <f t="shared" si="151"/>
        <v>13.175285222433333</v>
      </c>
    </row>
    <row r="2400" spans="2:27" x14ac:dyDescent="0.2">
      <c r="B2400" s="4" t="s">
        <v>4793</v>
      </c>
      <c r="C2400" s="4">
        <v>13.613799999999999</v>
      </c>
      <c r="D2400" s="4">
        <v>13.7608</v>
      </c>
      <c r="E2400" s="4">
        <v>13.2796</v>
      </c>
      <c r="F2400" s="4">
        <f t="shared" si="148"/>
        <v>13.551400000000001</v>
      </c>
      <c r="I2400" s="4" t="s">
        <v>3864</v>
      </c>
      <c r="J2400" s="4">
        <v>13.4087</v>
      </c>
      <c r="K2400" s="4">
        <v>13.514099999999999</v>
      </c>
      <c r="L2400" s="4">
        <v>13.745200000000001</v>
      </c>
      <c r="M2400" s="4">
        <f t="shared" si="149"/>
        <v>13.555999999999999</v>
      </c>
      <c r="P2400" s="4" t="str">
        <f>"larp-1"</f>
        <v>larp-1</v>
      </c>
      <c r="Q2400" s="4">
        <v>13.0777403122114</v>
      </c>
      <c r="R2400" s="4">
        <v>13.257835135257899</v>
      </c>
      <c r="S2400" s="4">
        <v>13.0980068403418</v>
      </c>
      <c r="T2400" s="4">
        <f t="shared" si="150"/>
        <v>13.144527429270367</v>
      </c>
      <c r="W2400" s="4" t="str">
        <f>"emb-8"</f>
        <v>emb-8</v>
      </c>
      <c r="X2400" s="4">
        <v>13.582955985274401</v>
      </c>
      <c r="Y2400" s="4">
        <v>12.961113360022299</v>
      </c>
      <c r="Z2400" s="4">
        <v>12.976726053907299</v>
      </c>
      <c r="AA2400" s="4">
        <f t="shared" si="151"/>
        <v>13.173598466401332</v>
      </c>
    </row>
    <row r="2401" spans="2:27" x14ac:dyDescent="0.2">
      <c r="B2401" s="4" t="s">
        <v>1357</v>
      </c>
      <c r="C2401" s="4">
        <v>14.023400000000001</v>
      </c>
      <c r="D2401" s="4">
        <v>13.4308</v>
      </c>
      <c r="E2401" s="4">
        <v>13.1995</v>
      </c>
      <c r="F2401" s="4">
        <f t="shared" si="148"/>
        <v>13.551233333333334</v>
      </c>
      <c r="I2401" s="4" t="s">
        <v>3813</v>
      </c>
      <c r="J2401" s="4">
        <v>13.472799999999999</v>
      </c>
      <c r="K2401" s="4">
        <v>13.7651</v>
      </c>
      <c r="L2401" s="4">
        <v>13.430099999999999</v>
      </c>
      <c r="M2401" s="4">
        <f t="shared" si="149"/>
        <v>13.555999999999999</v>
      </c>
      <c r="P2401" s="4" t="str">
        <f>"2O16"</f>
        <v>2O16</v>
      </c>
      <c r="Q2401" s="4">
        <v>13.281908795883</v>
      </c>
      <c r="R2401" s="4">
        <v>13.3672158422186</v>
      </c>
      <c r="S2401" s="4">
        <v>12.780106653677599</v>
      </c>
      <c r="T2401" s="4">
        <f t="shared" si="150"/>
        <v>13.143077097259734</v>
      </c>
      <c r="W2401" s="4" t="str">
        <f>"nova-1"</f>
        <v>nova-1</v>
      </c>
      <c r="X2401" s="4">
        <v>13.467827503974201</v>
      </c>
      <c r="Y2401" s="4">
        <v>12.857677184856399</v>
      </c>
      <c r="Z2401" s="4">
        <v>13.193187746065201</v>
      </c>
      <c r="AA2401" s="4">
        <f t="shared" si="151"/>
        <v>13.1728974782986</v>
      </c>
    </row>
    <row r="2402" spans="2:27" x14ac:dyDescent="0.2">
      <c r="B2402" s="4" t="s">
        <v>641</v>
      </c>
      <c r="C2402" s="4">
        <v>13.488200000000001</v>
      </c>
      <c r="D2402" s="4">
        <v>13.638400000000001</v>
      </c>
      <c r="E2402" s="4">
        <v>13.5235</v>
      </c>
      <c r="F2402" s="4">
        <f t="shared" si="148"/>
        <v>13.550033333333333</v>
      </c>
      <c r="I2402" s="4" t="s">
        <v>4069</v>
      </c>
      <c r="J2402" s="4">
        <v>13.588200000000001</v>
      </c>
      <c r="K2402" s="4">
        <v>13.2631</v>
      </c>
      <c r="L2402" s="4">
        <v>13.8065</v>
      </c>
      <c r="M2402" s="4">
        <f t="shared" si="149"/>
        <v>13.5526</v>
      </c>
      <c r="P2402" s="4" t="str">
        <f>"Y87G2A.13"</f>
        <v>Y87G2A.13</v>
      </c>
      <c r="Q2402" s="4">
        <v>12.7928993068866</v>
      </c>
      <c r="R2402" s="4">
        <v>13.221947322092699</v>
      </c>
      <c r="S2402" s="4">
        <v>13.412073684867</v>
      </c>
      <c r="T2402" s="4">
        <f t="shared" si="150"/>
        <v>13.142306771282099</v>
      </c>
      <c r="W2402" s="4" t="str">
        <f>"F25B4.7"</f>
        <v>F25B4.7</v>
      </c>
      <c r="X2402" s="4">
        <v>13.1146215836474</v>
      </c>
      <c r="Y2402" s="4">
        <v>13.4165602778723</v>
      </c>
      <c r="Z2402" s="4">
        <v>12.9807298266138</v>
      </c>
      <c r="AA2402" s="4">
        <f t="shared" si="151"/>
        <v>13.170637229377832</v>
      </c>
    </row>
    <row r="2403" spans="2:27" x14ac:dyDescent="0.2">
      <c r="B2403" s="4" t="s">
        <v>4339</v>
      </c>
      <c r="C2403" s="4">
        <v>13.7217</v>
      </c>
      <c r="D2403" s="4">
        <v>13.107200000000001</v>
      </c>
      <c r="E2403" s="4">
        <v>13.806100000000001</v>
      </c>
      <c r="F2403" s="4">
        <f t="shared" si="148"/>
        <v>13.545000000000002</v>
      </c>
      <c r="I2403" s="4" t="s">
        <v>526</v>
      </c>
      <c r="J2403" s="4">
        <v>13.6828</v>
      </c>
      <c r="K2403" s="4">
        <v>13.147399999999999</v>
      </c>
      <c r="L2403" s="4">
        <v>13.8239</v>
      </c>
      <c r="M2403" s="4">
        <f t="shared" si="149"/>
        <v>13.551366666666667</v>
      </c>
      <c r="P2403" s="4" t="str">
        <f>"aps-3"</f>
        <v>aps-3</v>
      </c>
      <c r="Q2403" s="4">
        <v>14.257183539906899</v>
      </c>
      <c r="R2403" s="4">
        <v>14.149885295192</v>
      </c>
      <c r="S2403" s="4">
        <v>11.0085962443945</v>
      </c>
      <c r="T2403" s="4">
        <f t="shared" si="150"/>
        <v>13.138555026497798</v>
      </c>
      <c r="W2403" s="4" t="str">
        <f>"gly-4"</f>
        <v>gly-4</v>
      </c>
      <c r="X2403" s="4">
        <v>13.7629834343787</v>
      </c>
      <c r="Y2403" s="4">
        <v>12.905384780800601</v>
      </c>
      <c r="Z2403" s="4">
        <v>12.843289925939899</v>
      </c>
      <c r="AA2403" s="4">
        <f t="shared" si="151"/>
        <v>13.1705527137064</v>
      </c>
    </row>
    <row r="2404" spans="2:27" x14ac:dyDescent="0.2">
      <c r="B2404" s="4" t="s">
        <v>4272</v>
      </c>
      <c r="C2404" s="4">
        <v>13.731</v>
      </c>
      <c r="D2404" s="4">
        <v>13.417299999999999</v>
      </c>
      <c r="E2404" s="4">
        <v>13.482699999999999</v>
      </c>
      <c r="F2404" s="4">
        <f t="shared" si="148"/>
        <v>13.543666666666667</v>
      </c>
      <c r="I2404" s="4" t="s">
        <v>4388</v>
      </c>
      <c r="J2404" s="4">
        <v>13.3766</v>
      </c>
      <c r="K2404" s="4">
        <v>13.2584</v>
      </c>
      <c r="L2404" s="4">
        <v>14.018800000000001</v>
      </c>
      <c r="M2404" s="4">
        <f t="shared" si="149"/>
        <v>13.551266666666665</v>
      </c>
      <c r="P2404" s="4" t="str">
        <f>"math-20"</f>
        <v>math-20</v>
      </c>
      <c r="Q2404" s="4">
        <v>12.871310460944301</v>
      </c>
      <c r="R2404" s="4">
        <v>13.541736589443</v>
      </c>
      <c r="S2404" s="4">
        <v>12.9975901570914</v>
      </c>
      <c r="T2404" s="4">
        <f t="shared" si="150"/>
        <v>13.136879069159567</v>
      </c>
      <c r="W2404" s="4" t="str">
        <f>"Y45F10B.13"</f>
        <v>Y45F10B.13</v>
      </c>
      <c r="X2404" s="4">
        <v>12.413527702198</v>
      </c>
      <c r="Y2404" s="4">
        <v>13.301548491143899</v>
      </c>
      <c r="Z2404" s="4">
        <v>13.7960633484558</v>
      </c>
      <c r="AA2404" s="4">
        <f t="shared" si="151"/>
        <v>13.170379847265901</v>
      </c>
    </row>
    <row r="2405" spans="2:27" x14ac:dyDescent="0.2">
      <c r="B2405" s="4" t="s">
        <v>4526</v>
      </c>
      <c r="C2405" s="4">
        <v>13.6593</v>
      </c>
      <c r="D2405" s="4">
        <v>13.1121</v>
      </c>
      <c r="E2405" s="4">
        <v>13.854900000000001</v>
      </c>
      <c r="F2405" s="4">
        <f t="shared" si="148"/>
        <v>13.5421</v>
      </c>
      <c r="I2405" s="4" t="s">
        <v>2223</v>
      </c>
      <c r="J2405" s="4">
        <v>13.9076</v>
      </c>
      <c r="K2405" s="4">
        <v>13.657400000000001</v>
      </c>
      <c r="L2405" s="4">
        <v>13.088699999999999</v>
      </c>
      <c r="M2405" s="4">
        <f t="shared" si="149"/>
        <v>13.551233333333334</v>
      </c>
      <c r="P2405" s="4" t="str">
        <f>"lin-36"</f>
        <v>lin-36</v>
      </c>
      <c r="Q2405" s="4">
        <v>13.2278936007467</v>
      </c>
      <c r="R2405" s="4">
        <v>13.1808538365509</v>
      </c>
      <c r="S2405" s="4">
        <v>13.0000817727288</v>
      </c>
      <c r="T2405" s="4">
        <f t="shared" si="150"/>
        <v>13.136276403342132</v>
      </c>
      <c r="W2405" s="4" t="str">
        <f>"nmy-2"</f>
        <v>nmy-2</v>
      </c>
      <c r="X2405" s="4">
        <v>12.808633192238499</v>
      </c>
      <c r="Y2405" s="4">
        <v>12.903921190391801</v>
      </c>
      <c r="Z2405" s="4">
        <v>13.794766572732801</v>
      </c>
      <c r="AA2405" s="4">
        <f t="shared" si="151"/>
        <v>13.169106985121033</v>
      </c>
    </row>
    <row r="2406" spans="2:27" x14ac:dyDescent="0.2">
      <c r="B2406" s="4" t="s">
        <v>2507</v>
      </c>
      <c r="C2406" s="4">
        <v>13.7425</v>
      </c>
      <c r="D2406" s="4">
        <v>13.6311</v>
      </c>
      <c r="E2406" s="4">
        <v>13.2525</v>
      </c>
      <c r="F2406" s="4">
        <f t="shared" si="148"/>
        <v>13.542033333333334</v>
      </c>
      <c r="I2406" s="4" t="s">
        <v>3324</v>
      </c>
      <c r="J2406" s="4">
        <v>13.359299999999999</v>
      </c>
      <c r="K2406" s="4">
        <v>13.132899999999999</v>
      </c>
      <c r="L2406" s="4">
        <v>14.1524</v>
      </c>
      <c r="M2406" s="4">
        <f t="shared" si="149"/>
        <v>13.5482</v>
      </c>
      <c r="P2406" s="4" t="str">
        <f>"nhr-88"</f>
        <v>nhr-88</v>
      </c>
      <c r="Q2406" s="4">
        <v>13.1422933074178</v>
      </c>
      <c r="R2406" s="4">
        <v>13.3006725609026</v>
      </c>
      <c r="S2406" s="4">
        <v>12.9651326410868</v>
      </c>
      <c r="T2406" s="4">
        <f t="shared" si="150"/>
        <v>13.136032836469065</v>
      </c>
      <c r="W2406" s="4" t="str">
        <f>"C49A9.2"</f>
        <v>C49A9.2</v>
      </c>
      <c r="X2406" s="4">
        <v>13.315771965529899</v>
      </c>
      <c r="Y2406" s="4">
        <v>13.2378270736201</v>
      </c>
      <c r="Z2406" s="4">
        <v>12.946062339660999</v>
      </c>
      <c r="AA2406" s="4">
        <f t="shared" si="151"/>
        <v>13.166553792937</v>
      </c>
    </row>
    <row r="2407" spans="2:27" x14ac:dyDescent="0.2">
      <c r="B2407" s="4" t="s">
        <v>431</v>
      </c>
      <c r="C2407" s="4">
        <v>13.7522</v>
      </c>
      <c r="D2407" s="4">
        <v>13.303000000000001</v>
      </c>
      <c r="E2407" s="4">
        <v>13.5672</v>
      </c>
      <c r="F2407" s="4">
        <f t="shared" si="148"/>
        <v>13.540799999999999</v>
      </c>
      <c r="I2407" s="4" t="s">
        <v>685</v>
      </c>
      <c r="J2407" s="4">
        <v>13.3474</v>
      </c>
      <c r="K2407" s="4">
        <v>13.9298</v>
      </c>
      <c r="L2407" s="4">
        <v>13.363300000000001</v>
      </c>
      <c r="M2407" s="4">
        <f t="shared" si="149"/>
        <v>13.546833333333334</v>
      </c>
      <c r="P2407" s="4" t="str">
        <f>"ani-1"</f>
        <v>ani-1</v>
      </c>
      <c r="Q2407" s="4">
        <v>12.934411064738001</v>
      </c>
      <c r="R2407" s="4">
        <v>13.280445779980001</v>
      </c>
      <c r="S2407" s="4">
        <v>13.192877478562901</v>
      </c>
      <c r="T2407" s="4">
        <f t="shared" si="150"/>
        <v>13.135911441093633</v>
      </c>
      <c r="W2407" s="4" t="str">
        <f>"wht-2"</f>
        <v>wht-2</v>
      </c>
      <c r="X2407" s="4">
        <v>13.546349854353</v>
      </c>
      <c r="Y2407" s="4">
        <v>12.978696934670999</v>
      </c>
      <c r="Z2407" s="4">
        <v>12.9717610235043</v>
      </c>
      <c r="AA2407" s="4">
        <f t="shared" si="151"/>
        <v>13.165602604176101</v>
      </c>
    </row>
    <row r="2408" spans="2:27" x14ac:dyDescent="0.2">
      <c r="B2408" s="4" t="s">
        <v>1815</v>
      </c>
      <c r="C2408" s="4">
        <v>13.3558</v>
      </c>
      <c r="D2408" s="4">
        <v>13.700200000000001</v>
      </c>
      <c r="E2408" s="4">
        <v>13.566000000000001</v>
      </c>
      <c r="F2408" s="4">
        <f t="shared" si="148"/>
        <v>13.540666666666667</v>
      </c>
      <c r="I2408" s="4" t="s">
        <v>2163</v>
      </c>
      <c r="J2408" s="4">
        <v>13.614699999999999</v>
      </c>
      <c r="K2408" s="4">
        <v>13.5062</v>
      </c>
      <c r="L2408" s="4">
        <v>13.5121</v>
      </c>
      <c r="M2408" s="4">
        <f t="shared" si="149"/>
        <v>13.544333333333332</v>
      </c>
      <c r="P2408" s="4" t="str">
        <f>"mog-2"</f>
        <v>mog-2</v>
      </c>
      <c r="Q2408" s="4">
        <v>12.9225131753273</v>
      </c>
      <c r="R2408" s="4">
        <v>13.0976470603969</v>
      </c>
      <c r="S2408" s="4">
        <v>13.3874245433827</v>
      </c>
      <c r="T2408" s="4">
        <f t="shared" si="150"/>
        <v>13.135861593035633</v>
      </c>
      <c r="W2408" s="4" t="str">
        <f>"sftb-2"</f>
        <v>sftb-2</v>
      </c>
      <c r="X2408" s="4">
        <v>12.9146415140969</v>
      </c>
      <c r="Y2408" s="4">
        <v>13.4021222131807</v>
      </c>
      <c r="Z2408" s="4">
        <v>13.172143649552</v>
      </c>
      <c r="AA2408" s="4">
        <f t="shared" si="151"/>
        <v>13.162969125609868</v>
      </c>
    </row>
    <row r="2409" spans="2:27" x14ac:dyDescent="0.2">
      <c r="B2409" s="4" t="s">
        <v>2436</v>
      </c>
      <c r="C2409" s="4">
        <v>13.2719</v>
      </c>
      <c r="D2409" s="4">
        <v>13.4535</v>
      </c>
      <c r="E2409" s="4">
        <v>13.893000000000001</v>
      </c>
      <c r="F2409" s="4">
        <f t="shared" si="148"/>
        <v>13.539466666666668</v>
      </c>
      <c r="I2409" s="4" t="s">
        <v>706</v>
      </c>
      <c r="J2409" s="4">
        <v>13.4993</v>
      </c>
      <c r="K2409" s="4">
        <v>13.7933</v>
      </c>
      <c r="L2409" s="4">
        <v>13.3392</v>
      </c>
      <c r="M2409" s="4">
        <f t="shared" si="149"/>
        <v>13.543933333333333</v>
      </c>
      <c r="P2409" s="4" t="str">
        <f>"ubxn-6"</f>
        <v>ubxn-6</v>
      </c>
      <c r="Q2409" s="4">
        <v>13.216374675197301</v>
      </c>
      <c r="R2409" s="4">
        <v>13.113710451804501</v>
      </c>
      <c r="S2409" s="4">
        <v>13.0763312689005</v>
      </c>
      <c r="T2409" s="4">
        <f t="shared" si="150"/>
        <v>13.135472131967433</v>
      </c>
      <c r="W2409" s="4" t="str">
        <f>"nta-1"</f>
        <v>nta-1</v>
      </c>
      <c r="X2409" s="4">
        <v>13.0585743610413</v>
      </c>
      <c r="Y2409" s="4">
        <v>13.1688107017492</v>
      </c>
      <c r="Z2409" s="4">
        <v>13.255464625996501</v>
      </c>
      <c r="AA2409" s="4">
        <f t="shared" si="151"/>
        <v>13.160949896262332</v>
      </c>
    </row>
    <row r="2410" spans="2:27" x14ac:dyDescent="0.2">
      <c r="B2410" s="4" t="s">
        <v>4138</v>
      </c>
      <c r="C2410" s="4">
        <v>13.363300000000001</v>
      </c>
      <c r="D2410" s="4">
        <v>13.7432</v>
      </c>
      <c r="E2410" s="4">
        <v>13.5115</v>
      </c>
      <c r="F2410" s="4">
        <f t="shared" si="148"/>
        <v>13.539333333333333</v>
      </c>
      <c r="I2410" s="4" t="s">
        <v>4781</v>
      </c>
      <c r="J2410" s="4">
        <v>13.472200000000001</v>
      </c>
      <c r="K2410" s="4">
        <v>13.244899999999999</v>
      </c>
      <c r="L2410" s="4">
        <v>13.91</v>
      </c>
      <c r="M2410" s="4">
        <f t="shared" si="149"/>
        <v>13.542366666666666</v>
      </c>
      <c r="P2410" s="4" t="str">
        <f>"Y54G11A.4"</f>
        <v>Y54G11A.4</v>
      </c>
      <c r="Q2410" s="4">
        <v>13.2031093175975</v>
      </c>
      <c r="R2410" s="4">
        <v>13.266628315559201</v>
      </c>
      <c r="S2410" s="4">
        <v>12.930461952075699</v>
      </c>
      <c r="T2410" s="4">
        <f t="shared" si="150"/>
        <v>13.133399861744133</v>
      </c>
      <c r="W2410" s="4" t="str">
        <f>"hgrs-1"</f>
        <v>hgrs-1</v>
      </c>
      <c r="X2410" s="4">
        <v>13.504183334112</v>
      </c>
      <c r="Y2410" s="4">
        <v>13.011162543199299</v>
      </c>
      <c r="Z2410" s="4">
        <v>12.967074313061101</v>
      </c>
      <c r="AA2410" s="4">
        <f t="shared" si="151"/>
        <v>13.160806730124131</v>
      </c>
    </row>
    <row r="2411" spans="2:27" x14ac:dyDescent="0.2">
      <c r="B2411" s="4" t="s">
        <v>3968</v>
      </c>
      <c r="C2411" s="4">
        <v>13.55</v>
      </c>
      <c r="D2411" s="4">
        <v>12.968500000000001</v>
      </c>
      <c r="E2411" s="4">
        <v>14.098599999999999</v>
      </c>
      <c r="F2411" s="4">
        <f t="shared" si="148"/>
        <v>13.539033333333334</v>
      </c>
      <c r="I2411" s="4" t="s">
        <v>4100</v>
      </c>
      <c r="J2411" s="4">
        <v>13.452299999999999</v>
      </c>
      <c r="K2411" s="4">
        <v>13.67</v>
      </c>
      <c r="L2411" s="4">
        <v>13.5002</v>
      </c>
      <c r="M2411" s="4">
        <f t="shared" si="149"/>
        <v>13.540833333333333</v>
      </c>
      <c r="P2411" s="4" t="str">
        <f>"pkg-2"</f>
        <v>pkg-2</v>
      </c>
      <c r="Q2411" s="4">
        <v>13.0482933376649</v>
      </c>
      <c r="R2411" s="4">
        <v>13.1566401419082</v>
      </c>
      <c r="S2411" s="4">
        <v>13.1906138801626</v>
      </c>
      <c r="T2411" s="4">
        <f t="shared" si="150"/>
        <v>13.1318491199119</v>
      </c>
      <c r="W2411" s="4" t="str">
        <f>"spcs-3"</f>
        <v>spcs-3</v>
      </c>
      <c r="X2411" s="4">
        <v>12.947892960962699</v>
      </c>
      <c r="Y2411" s="4">
        <v>13.0852424971271</v>
      </c>
      <c r="Z2411" s="4">
        <v>13.4379299785593</v>
      </c>
      <c r="AA2411" s="4">
        <f t="shared" si="151"/>
        <v>13.157021812216366</v>
      </c>
    </row>
    <row r="2412" spans="2:27" x14ac:dyDescent="0.2">
      <c r="B2412" s="4" t="s">
        <v>2087</v>
      </c>
      <c r="C2412" s="4">
        <v>13.982799999999999</v>
      </c>
      <c r="D2412" s="4">
        <v>13.055300000000001</v>
      </c>
      <c r="E2412" s="4">
        <v>13.578200000000001</v>
      </c>
      <c r="F2412" s="4">
        <f t="shared" si="148"/>
        <v>13.538766666666668</v>
      </c>
      <c r="I2412" s="4" t="s">
        <v>752</v>
      </c>
      <c r="J2412" s="4">
        <v>13.2211</v>
      </c>
      <c r="K2412" s="4">
        <v>13.436199999999999</v>
      </c>
      <c r="L2412" s="4">
        <v>13.9642</v>
      </c>
      <c r="M2412" s="4">
        <f t="shared" si="149"/>
        <v>13.5405</v>
      </c>
      <c r="P2412" s="4" t="str">
        <f>"Y48G1C.8"</f>
        <v>Y48G1C.8</v>
      </c>
      <c r="Q2412" s="4">
        <v>13.037986919498501</v>
      </c>
      <c r="R2412" s="4">
        <v>13.193223748058401</v>
      </c>
      <c r="S2412" s="4">
        <v>13.1621796895431</v>
      </c>
      <c r="T2412" s="4">
        <f t="shared" si="150"/>
        <v>13.131130119033335</v>
      </c>
      <c r="W2412" s="4" t="str">
        <f>"rnst-2"</f>
        <v>rnst-2</v>
      </c>
      <c r="X2412" s="4">
        <v>12.8140805575608</v>
      </c>
      <c r="Y2412" s="4">
        <v>13.203739322909501</v>
      </c>
      <c r="Z2412" s="4">
        <v>13.4435547776564</v>
      </c>
      <c r="AA2412" s="4">
        <f t="shared" si="151"/>
        <v>13.153791552708901</v>
      </c>
    </row>
    <row r="2413" spans="2:27" x14ac:dyDescent="0.2">
      <c r="B2413" s="4" t="s">
        <v>939</v>
      </c>
      <c r="C2413" s="4">
        <v>13.517099999999999</v>
      </c>
      <c r="D2413" s="4">
        <v>13.682499999999999</v>
      </c>
      <c r="E2413" s="4">
        <v>13.416399999999999</v>
      </c>
      <c r="F2413" s="4">
        <f t="shared" si="148"/>
        <v>13.538666666666666</v>
      </c>
      <c r="I2413" s="4" t="s">
        <v>1506</v>
      </c>
      <c r="J2413" s="4">
        <v>12.9108</v>
      </c>
      <c r="K2413" s="4">
        <v>13.4483</v>
      </c>
      <c r="L2413" s="4">
        <v>14.259499999999999</v>
      </c>
      <c r="M2413" s="4">
        <f t="shared" si="149"/>
        <v>13.539533333333333</v>
      </c>
      <c r="P2413" s="4" t="str">
        <f>"ule-3"</f>
        <v>ule-3</v>
      </c>
      <c r="Q2413" s="4">
        <v>12.583148831790799</v>
      </c>
      <c r="R2413" s="4">
        <v>13.1766720934445</v>
      </c>
      <c r="S2413" s="4">
        <v>13.63312433276</v>
      </c>
      <c r="T2413" s="4">
        <f t="shared" si="150"/>
        <v>13.1309817526651</v>
      </c>
      <c r="W2413" s="4" t="str">
        <f>"fbxa-157"</f>
        <v>fbxa-157</v>
      </c>
      <c r="X2413" s="4">
        <v>13.1898532050678</v>
      </c>
      <c r="Y2413" s="4">
        <v>13.066568745280399</v>
      </c>
      <c r="Z2413" s="4">
        <v>13.2019948145177</v>
      </c>
      <c r="AA2413" s="4">
        <f t="shared" si="151"/>
        <v>13.152805588288635</v>
      </c>
    </row>
    <row r="2414" spans="2:27" x14ac:dyDescent="0.2">
      <c r="B2414" s="4" t="s">
        <v>4794</v>
      </c>
      <c r="C2414" s="4">
        <v>13.8012</v>
      </c>
      <c r="D2414" s="4">
        <v>13.4277</v>
      </c>
      <c r="E2414" s="4">
        <v>13.3758</v>
      </c>
      <c r="F2414" s="4">
        <f t="shared" si="148"/>
        <v>13.5349</v>
      </c>
      <c r="I2414" s="4" t="s">
        <v>2941</v>
      </c>
      <c r="J2414" s="4">
        <v>13.6279</v>
      </c>
      <c r="K2414" s="4">
        <v>13.011100000000001</v>
      </c>
      <c r="L2414" s="4">
        <v>13.9794</v>
      </c>
      <c r="M2414" s="4">
        <f t="shared" si="149"/>
        <v>13.539466666666668</v>
      </c>
      <c r="P2414" s="4" t="str">
        <f>"R10E4.1"</f>
        <v>R10E4.1</v>
      </c>
      <c r="Q2414" s="4">
        <v>13.319266433569201</v>
      </c>
      <c r="R2414" s="4">
        <v>13.0512620273518</v>
      </c>
      <c r="S2414" s="4">
        <v>13.0209377318281</v>
      </c>
      <c r="T2414" s="4">
        <f t="shared" si="150"/>
        <v>13.130488730916367</v>
      </c>
      <c r="W2414" s="4" t="str">
        <f>"che-10"</f>
        <v>che-10</v>
      </c>
      <c r="X2414" s="4">
        <v>12.9291452457337</v>
      </c>
      <c r="Y2414" s="4">
        <v>13.240407605401201</v>
      </c>
      <c r="Z2414" s="4">
        <v>13.2878517164439</v>
      </c>
      <c r="AA2414" s="4">
        <f t="shared" si="151"/>
        <v>13.152468189192936</v>
      </c>
    </row>
    <row r="2415" spans="2:27" x14ac:dyDescent="0.2">
      <c r="B2415" s="4" t="s">
        <v>115</v>
      </c>
      <c r="C2415" s="4">
        <v>13.420299999999999</v>
      </c>
      <c r="D2415" s="4">
        <v>13.9946</v>
      </c>
      <c r="E2415" s="4">
        <v>13.1823</v>
      </c>
      <c r="F2415" s="4">
        <f t="shared" si="148"/>
        <v>13.532400000000001</v>
      </c>
      <c r="I2415" s="4" t="s">
        <v>3011</v>
      </c>
      <c r="J2415" s="4">
        <v>13.5679</v>
      </c>
      <c r="K2415" s="4">
        <v>13.4902</v>
      </c>
      <c r="L2415" s="4">
        <v>13.559699999999999</v>
      </c>
      <c r="M2415" s="4">
        <f t="shared" si="149"/>
        <v>13.539266666666668</v>
      </c>
      <c r="P2415" s="4" t="str">
        <f>"T20F5.7"</f>
        <v>T20F5.7</v>
      </c>
      <c r="Q2415" s="4">
        <v>13.022467509051401</v>
      </c>
      <c r="R2415" s="4">
        <v>13.2912962344248</v>
      </c>
      <c r="S2415" s="4">
        <v>13.0759483815921</v>
      </c>
      <c r="T2415" s="4">
        <f t="shared" si="150"/>
        <v>13.129904041689434</v>
      </c>
      <c r="W2415" s="4" t="str">
        <f>"tyr-4"</f>
        <v>tyr-4</v>
      </c>
      <c r="X2415" s="4">
        <v>13.049939538224001</v>
      </c>
      <c r="Y2415" s="4">
        <v>12.863380550280899</v>
      </c>
      <c r="Z2415" s="4">
        <v>13.539273058823101</v>
      </c>
      <c r="AA2415" s="4">
        <f t="shared" si="151"/>
        <v>13.150864382442668</v>
      </c>
    </row>
    <row r="2416" spans="2:27" x14ac:dyDescent="0.2">
      <c r="B2416" s="4" t="s">
        <v>428</v>
      </c>
      <c r="C2416" s="4">
        <v>13.2639</v>
      </c>
      <c r="D2416" s="4">
        <v>13.902799999999999</v>
      </c>
      <c r="E2416" s="4">
        <v>13.4293</v>
      </c>
      <c r="F2416" s="4">
        <f t="shared" si="148"/>
        <v>13.531999999999998</v>
      </c>
      <c r="I2416" s="4" t="s">
        <v>682</v>
      </c>
      <c r="J2416" s="4">
        <v>13.501300000000001</v>
      </c>
      <c r="K2416" s="4">
        <v>13.6531</v>
      </c>
      <c r="L2416" s="4">
        <v>13.4627</v>
      </c>
      <c r="M2416" s="4">
        <f t="shared" si="149"/>
        <v>13.539033333333334</v>
      </c>
      <c r="P2416" s="4" t="str">
        <f>"ZK643.5"</f>
        <v>ZK643.5</v>
      </c>
      <c r="Q2416" s="4">
        <v>12.8513781284149</v>
      </c>
      <c r="R2416" s="4">
        <v>13.201236223931</v>
      </c>
      <c r="S2416" s="4">
        <v>13.3290759885746</v>
      </c>
      <c r="T2416" s="4">
        <f t="shared" si="150"/>
        <v>13.127230113640167</v>
      </c>
      <c r="W2416" s="4" t="str">
        <f>"F58B3.6"</f>
        <v>F58B3.6</v>
      </c>
      <c r="X2416" s="4">
        <v>13.2595301127682</v>
      </c>
      <c r="Y2416" s="4">
        <v>12.970752864753299</v>
      </c>
      <c r="Z2416" s="4">
        <v>13.2173587160583</v>
      </c>
      <c r="AA2416" s="4">
        <f t="shared" si="151"/>
        <v>13.149213897859932</v>
      </c>
    </row>
    <row r="2417" spans="2:27" x14ac:dyDescent="0.2">
      <c r="B2417" s="4" t="s">
        <v>2941</v>
      </c>
      <c r="C2417" s="4">
        <v>13.178000000000001</v>
      </c>
      <c r="D2417" s="4">
        <v>13.8392</v>
      </c>
      <c r="E2417" s="4">
        <v>13.5785</v>
      </c>
      <c r="F2417" s="4">
        <f t="shared" si="148"/>
        <v>13.5319</v>
      </c>
      <c r="I2417" s="4" t="s">
        <v>3064</v>
      </c>
      <c r="J2417" s="4">
        <v>13.9147</v>
      </c>
      <c r="K2417" s="4">
        <v>12.9321</v>
      </c>
      <c r="L2417" s="4">
        <v>13.7638</v>
      </c>
      <c r="M2417" s="4">
        <f t="shared" si="149"/>
        <v>13.536866666666668</v>
      </c>
      <c r="P2417" s="4" t="str">
        <f>"rskn-1"</f>
        <v>rskn-1</v>
      </c>
      <c r="Q2417" s="4">
        <v>13.283191096154599</v>
      </c>
      <c r="R2417" s="4">
        <v>13.1222542807115</v>
      </c>
      <c r="S2417" s="4">
        <v>12.9705705993356</v>
      </c>
      <c r="T2417" s="4">
        <f t="shared" si="150"/>
        <v>13.1253386587339</v>
      </c>
      <c r="W2417" s="4" t="str">
        <f>"taf-5"</f>
        <v>taf-5</v>
      </c>
      <c r="X2417" s="4">
        <v>12.9638651596785</v>
      </c>
      <c r="Y2417" s="4">
        <v>13.035979083271799</v>
      </c>
      <c r="Z2417" s="4">
        <v>13.4453925849072</v>
      </c>
      <c r="AA2417" s="4">
        <f t="shared" si="151"/>
        <v>13.1484122759525</v>
      </c>
    </row>
    <row r="2418" spans="2:27" x14ac:dyDescent="0.2">
      <c r="B2418" s="4" t="s">
        <v>3800</v>
      </c>
      <c r="C2418" s="4">
        <v>13.4839</v>
      </c>
      <c r="D2418" s="4">
        <v>13.702</v>
      </c>
      <c r="E2418" s="4">
        <v>13.405200000000001</v>
      </c>
      <c r="F2418" s="4">
        <f t="shared" si="148"/>
        <v>13.530366666666666</v>
      </c>
      <c r="I2418" s="4" t="s">
        <v>1459</v>
      </c>
      <c r="J2418" s="4">
        <v>13.457800000000001</v>
      </c>
      <c r="K2418" s="4">
        <v>13.3508</v>
      </c>
      <c r="L2418" s="4">
        <v>13.800599999999999</v>
      </c>
      <c r="M2418" s="4">
        <f t="shared" si="149"/>
        <v>13.5364</v>
      </c>
      <c r="P2418" s="4" t="str">
        <f>"ttr-25"</f>
        <v>ttr-25</v>
      </c>
      <c r="Q2418" s="4">
        <v>12.9391509283691</v>
      </c>
      <c r="R2418" s="4">
        <v>13.3680019154778</v>
      </c>
      <c r="S2418" s="4">
        <v>13.0679197620981</v>
      </c>
      <c r="T2418" s="4">
        <f t="shared" si="150"/>
        <v>13.125024201981667</v>
      </c>
      <c r="W2418" s="4" t="str">
        <f>"cul-4"</f>
        <v>cul-4</v>
      </c>
      <c r="X2418" s="4">
        <v>13.105960152716399</v>
      </c>
      <c r="Y2418" s="4">
        <v>13.2784976615027</v>
      </c>
      <c r="Z2418" s="4">
        <v>13.0605122300283</v>
      </c>
      <c r="AA2418" s="4">
        <f t="shared" si="151"/>
        <v>13.148323348082466</v>
      </c>
    </row>
    <row r="2419" spans="2:27" x14ac:dyDescent="0.2">
      <c r="B2419" s="4" t="s">
        <v>371</v>
      </c>
      <c r="C2419" s="4">
        <v>13.1616</v>
      </c>
      <c r="D2419" s="4">
        <v>13.755699999999999</v>
      </c>
      <c r="E2419" s="4">
        <v>13.6706</v>
      </c>
      <c r="F2419" s="4">
        <f t="shared" si="148"/>
        <v>13.529299999999999</v>
      </c>
      <c r="I2419" s="4" t="s">
        <v>2168</v>
      </c>
      <c r="J2419" s="4">
        <v>13.5129</v>
      </c>
      <c r="K2419" s="4">
        <v>13.5662</v>
      </c>
      <c r="L2419" s="4">
        <v>13.5298</v>
      </c>
      <c r="M2419" s="4">
        <f t="shared" si="149"/>
        <v>13.536299999999999</v>
      </c>
      <c r="P2419" s="4" t="str">
        <f>"Y119D3B.12"</f>
        <v>Y119D3B.12</v>
      </c>
      <c r="Q2419" s="4">
        <v>13.340993853237901</v>
      </c>
      <c r="R2419" s="4">
        <v>13.003942451982001</v>
      </c>
      <c r="S2419" s="4">
        <v>13.028366394798301</v>
      </c>
      <c r="T2419" s="4">
        <f t="shared" si="150"/>
        <v>13.1244342333394</v>
      </c>
      <c r="W2419" s="4" t="str">
        <f>"trpp-10"</f>
        <v>trpp-10</v>
      </c>
      <c r="X2419" s="4">
        <v>13.435797218868601</v>
      </c>
      <c r="Y2419" s="4">
        <v>13.219315348166999</v>
      </c>
      <c r="Z2419" s="4">
        <v>12.7859875162598</v>
      </c>
      <c r="AA2419" s="4">
        <f t="shared" si="151"/>
        <v>13.147033361098467</v>
      </c>
    </row>
    <row r="2420" spans="2:27" x14ac:dyDescent="0.2">
      <c r="B2420" s="4" t="s">
        <v>4118</v>
      </c>
      <c r="C2420" s="4">
        <v>13.5625</v>
      </c>
      <c r="D2420" s="4">
        <v>13.4453</v>
      </c>
      <c r="E2420" s="4">
        <v>13.5769</v>
      </c>
      <c r="F2420" s="4">
        <f t="shared" si="148"/>
        <v>13.528233333333333</v>
      </c>
      <c r="I2420" s="4" t="s">
        <v>3281</v>
      </c>
      <c r="J2420" s="4">
        <v>13.545500000000001</v>
      </c>
      <c r="K2420" s="4">
        <v>13.4664</v>
      </c>
      <c r="L2420" s="4">
        <v>13.595800000000001</v>
      </c>
      <c r="M2420" s="4">
        <f t="shared" si="149"/>
        <v>13.5359</v>
      </c>
      <c r="P2420" s="4" t="str">
        <f>"arrd-17"</f>
        <v>arrd-17</v>
      </c>
      <c r="Q2420" s="4">
        <v>13.105009245534401</v>
      </c>
      <c r="R2420" s="4">
        <v>13.200290169935499</v>
      </c>
      <c r="S2420" s="4">
        <v>13.0670281711659</v>
      </c>
      <c r="T2420" s="4">
        <f t="shared" si="150"/>
        <v>13.124109195545266</v>
      </c>
      <c r="W2420" s="4" t="str">
        <f>"fbxa-64"</f>
        <v>fbxa-64</v>
      </c>
      <c r="X2420" s="4">
        <v>13.310551234546599</v>
      </c>
      <c r="Y2420" s="4">
        <v>12.933398635725</v>
      </c>
      <c r="Z2420" s="4">
        <v>13.1927628335848</v>
      </c>
      <c r="AA2420" s="4">
        <f t="shared" si="151"/>
        <v>13.145570901285467</v>
      </c>
    </row>
    <row r="2421" spans="2:27" x14ac:dyDescent="0.2">
      <c r="B2421" s="4" t="s">
        <v>4744</v>
      </c>
      <c r="C2421" s="4">
        <v>13.537000000000001</v>
      </c>
      <c r="D2421" s="4">
        <v>13.385</v>
      </c>
      <c r="E2421" s="4">
        <v>13.658799999999999</v>
      </c>
      <c r="F2421" s="4">
        <f t="shared" si="148"/>
        <v>13.526933333333332</v>
      </c>
      <c r="I2421" s="4" t="s">
        <v>1817</v>
      </c>
      <c r="J2421" s="4">
        <v>13.4831</v>
      </c>
      <c r="K2421" s="4">
        <v>13.719200000000001</v>
      </c>
      <c r="L2421" s="4">
        <v>13.404</v>
      </c>
      <c r="M2421" s="4">
        <f t="shared" si="149"/>
        <v>13.535433333333335</v>
      </c>
      <c r="P2421" s="4" t="str">
        <f>"gpa-17"</f>
        <v>gpa-17</v>
      </c>
      <c r="Q2421" s="4">
        <v>13.787871569118</v>
      </c>
      <c r="R2421" s="4">
        <v>12.4748303272344</v>
      </c>
      <c r="S2421" s="4">
        <v>13.1074297518661</v>
      </c>
      <c r="T2421" s="4">
        <f t="shared" si="150"/>
        <v>13.123377216072834</v>
      </c>
      <c r="W2421" s="4" t="str">
        <f>"aex-3"</f>
        <v>aex-3</v>
      </c>
      <c r="X2421" s="4">
        <v>12.831848176716299</v>
      </c>
      <c r="Y2421" s="4">
        <v>13.1297919013503</v>
      </c>
      <c r="Z2421" s="4">
        <v>13.474483015282599</v>
      </c>
      <c r="AA2421" s="4">
        <f t="shared" si="151"/>
        <v>13.145374364449735</v>
      </c>
    </row>
    <row r="2422" spans="2:27" x14ac:dyDescent="0.2">
      <c r="B2422" s="4" t="s">
        <v>4795</v>
      </c>
      <c r="C2422" s="4">
        <v>13.696899999999999</v>
      </c>
      <c r="D2422" s="4">
        <v>13.287599999999999</v>
      </c>
      <c r="E2422" s="4">
        <v>13.581799999999999</v>
      </c>
      <c r="F2422" s="4">
        <f t="shared" si="148"/>
        <v>13.5221</v>
      </c>
      <c r="I2422" s="4" t="s">
        <v>3707</v>
      </c>
      <c r="J2422" s="4">
        <v>13.9686</v>
      </c>
      <c r="K2422" s="4">
        <v>13.0715</v>
      </c>
      <c r="L2422" s="4">
        <v>13.5634</v>
      </c>
      <c r="M2422" s="4">
        <f t="shared" si="149"/>
        <v>13.534500000000001</v>
      </c>
      <c r="P2422" s="4" t="str">
        <f>"M01F1.3"</f>
        <v>M01F1.3</v>
      </c>
      <c r="Q2422" s="4">
        <v>13.2806072327995</v>
      </c>
      <c r="R2422" s="4">
        <v>13.051847242510901</v>
      </c>
      <c r="S2422" s="4">
        <v>13.0325473256932</v>
      </c>
      <c r="T2422" s="4">
        <f t="shared" si="150"/>
        <v>13.1216672670012</v>
      </c>
      <c r="W2422" s="4" t="str">
        <f>"Y34B4A.4"</f>
        <v>Y34B4A.4</v>
      </c>
      <c r="X2422" s="4">
        <v>13.3314974595627</v>
      </c>
      <c r="Y2422" s="4">
        <v>13.1929213015705</v>
      </c>
      <c r="Z2422" s="4">
        <v>12.904782546558399</v>
      </c>
      <c r="AA2422" s="4">
        <f t="shared" si="151"/>
        <v>13.143067102563867</v>
      </c>
    </row>
    <row r="2423" spans="2:27" x14ac:dyDescent="0.2">
      <c r="B2423" s="4" t="s">
        <v>2893</v>
      </c>
      <c r="C2423" s="4">
        <v>13.4421</v>
      </c>
      <c r="D2423" s="4">
        <v>13.3294</v>
      </c>
      <c r="E2423" s="4">
        <v>13.7902</v>
      </c>
      <c r="F2423" s="4">
        <f t="shared" si="148"/>
        <v>13.520566666666667</v>
      </c>
      <c r="I2423" s="4" t="s">
        <v>3433</v>
      </c>
      <c r="J2423" s="4">
        <v>13.5206</v>
      </c>
      <c r="K2423" s="4">
        <v>13.621700000000001</v>
      </c>
      <c r="L2423" s="4">
        <v>13.4588</v>
      </c>
      <c r="M2423" s="4">
        <f t="shared" si="149"/>
        <v>13.533700000000001</v>
      </c>
      <c r="P2423" s="4" t="str">
        <f>"ham-3"</f>
        <v>ham-3</v>
      </c>
      <c r="Q2423" s="4">
        <v>13.1774862883921</v>
      </c>
      <c r="R2423" s="4">
        <v>13.0678431344859</v>
      </c>
      <c r="S2423" s="4">
        <v>13.1193061282553</v>
      </c>
      <c r="T2423" s="4">
        <f t="shared" si="150"/>
        <v>13.121545183711101</v>
      </c>
      <c r="W2423" s="4" t="str">
        <f>"lin-66"</f>
        <v>lin-66</v>
      </c>
      <c r="X2423" s="4">
        <v>13.206304998081</v>
      </c>
      <c r="Y2423" s="4">
        <v>13.2556207712781</v>
      </c>
      <c r="Z2423" s="4">
        <v>12.961739868558899</v>
      </c>
      <c r="AA2423" s="4">
        <f t="shared" si="151"/>
        <v>13.141221879306</v>
      </c>
    </row>
    <row r="2424" spans="2:27" x14ac:dyDescent="0.2">
      <c r="B2424" s="4" t="s">
        <v>2889</v>
      </c>
      <c r="C2424" s="4">
        <v>13.4399</v>
      </c>
      <c r="D2424" s="4">
        <v>13.5703</v>
      </c>
      <c r="E2424" s="4">
        <v>13.5496</v>
      </c>
      <c r="F2424" s="4">
        <f t="shared" si="148"/>
        <v>13.519933333333332</v>
      </c>
      <c r="I2424" s="4" t="s">
        <v>2416</v>
      </c>
      <c r="J2424" s="4">
        <v>13.552199999999999</v>
      </c>
      <c r="K2424" s="4">
        <v>13.7158</v>
      </c>
      <c r="L2424" s="4">
        <v>13.3292</v>
      </c>
      <c r="M2424" s="4">
        <f t="shared" si="149"/>
        <v>13.532400000000001</v>
      </c>
      <c r="P2424" s="4" t="str">
        <f>"F35D11.3"</f>
        <v>F35D11.3</v>
      </c>
      <c r="Q2424" s="4">
        <v>13.457352551170899</v>
      </c>
      <c r="R2424" s="4">
        <v>12.455226521833101</v>
      </c>
      <c r="S2424" s="4">
        <v>13.443407133329799</v>
      </c>
      <c r="T2424" s="4">
        <f t="shared" si="150"/>
        <v>13.118662068777931</v>
      </c>
      <c r="W2424" s="4" t="str">
        <f>"F35C8.5"</f>
        <v>F35C8.5</v>
      </c>
      <c r="X2424" s="4">
        <v>13.320551978556599</v>
      </c>
      <c r="Y2424" s="4">
        <v>13.371622803186501</v>
      </c>
      <c r="Z2424" s="4">
        <v>12.731201277937499</v>
      </c>
      <c r="AA2424" s="4">
        <f t="shared" si="151"/>
        <v>13.141125353226867</v>
      </c>
    </row>
    <row r="2425" spans="2:27" x14ac:dyDescent="0.2">
      <c r="B2425" s="4" t="s">
        <v>3318</v>
      </c>
      <c r="C2425" s="4">
        <v>13.3878</v>
      </c>
      <c r="D2425" s="4">
        <v>13.6457</v>
      </c>
      <c r="E2425" s="4">
        <v>13.5223</v>
      </c>
      <c r="F2425" s="4">
        <f t="shared" si="148"/>
        <v>13.518599999999999</v>
      </c>
      <c r="I2425" s="4" t="s">
        <v>2549</v>
      </c>
      <c r="J2425" s="4">
        <v>13.3941</v>
      </c>
      <c r="K2425" s="4">
        <v>13.5733</v>
      </c>
      <c r="L2425" s="4">
        <v>13.6271</v>
      </c>
      <c r="M2425" s="4">
        <f t="shared" si="149"/>
        <v>13.531499999999999</v>
      </c>
      <c r="P2425" s="4" t="str">
        <f>"spk-1"</f>
        <v>spk-1</v>
      </c>
      <c r="Q2425" s="4">
        <v>13.478956333845201</v>
      </c>
      <c r="R2425" s="4">
        <v>12.892393091770799</v>
      </c>
      <c r="S2425" s="4">
        <v>12.9815676962893</v>
      </c>
      <c r="T2425" s="4">
        <f t="shared" si="150"/>
        <v>13.117639040635099</v>
      </c>
      <c r="W2425" s="4" t="str">
        <f>"sek-3"</f>
        <v>sek-3</v>
      </c>
      <c r="X2425" s="4">
        <v>13.291947350095899</v>
      </c>
      <c r="Y2425" s="4">
        <v>13.133976165915501</v>
      </c>
      <c r="Z2425" s="4">
        <v>12.9956146268875</v>
      </c>
      <c r="AA2425" s="4">
        <f t="shared" si="151"/>
        <v>13.140512714299634</v>
      </c>
    </row>
    <row r="2426" spans="2:27" x14ac:dyDescent="0.2">
      <c r="B2426" s="4" t="s">
        <v>2106</v>
      </c>
      <c r="C2426" s="4">
        <v>13.5748</v>
      </c>
      <c r="D2426" s="4">
        <v>13.6792</v>
      </c>
      <c r="E2426" s="4">
        <v>13.296799999999999</v>
      </c>
      <c r="F2426" s="4">
        <f t="shared" si="148"/>
        <v>13.516933333333332</v>
      </c>
      <c r="I2426" s="4" t="s">
        <v>581</v>
      </c>
      <c r="J2426" s="4">
        <v>13.3116</v>
      </c>
      <c r="K2426" s="4">
        <v>13.7311</v>
      </c>
      <c r="L2426" s="4">
        <v>13.548500000000001</v>
      </c>
      <c r="M2426" s="4">
        <f t="shared" si="149"/>
        <v>13.5304</v>
      </c>
      <c r="P2426" s="4" t="str">
        <f>"C39D10.11"</f>
        <v>C39D10.11</v>
      </c>
      <c r="Q2426" s="4">
        <v>13.0013208213733</v>
      </c>
      <c r="R2426" s="4">
        <v>13.1917673443981</v>
      </c>
      <c r="S2426" s="4">
        <v>13.1544537511696</v>
      </c>
      <c r="T2426" s="4">
        <f t="shared" si="150"/>
        <v>13.115847305647</v>
      </c>
      <c r="W2426" s="4" t="str">
        <f>"wwp-1"</f>
        <v>wwp-1</v>
      </c>
      <c r="X2426" s="4">
        <v>13.284517227765599</v>
      </c>
      <c r="Y2426" s="4">
        <v>12.7377612803161</v>
      </c>
      <c r="Z2426" s="4">
        <v>13.3905033899752</v>
      </c>
      <c r="AA2426" s="4">
        <f t="shared" si="151"/>
        <v>13.137593966018967</v>
      </c>
    </row>
    <row r="2427" spans="2:27" x14ac:dyDescent="0.2">
      <c r="B2427" s="4" t="s">
        <v>3549</v>
      </c>
      <c r="C2427" s="4">
        <v>13.521699999999999</v>
      </c>
      <c r="D2427" s="4">
        <v>13.6456</v>
      </c>
      <c r="E2427" s="4">
        <v>13.3818</v>
      </c>
      <c r="F2427" s="4">
        <f t="shared" si="148"/>
        <v>13.516366666666665</v>
      </c>
      <c r="I2427" s="4" t="s">
        <v>1494</v>
      </c>
      <c r="J2427" s="4">
        <v>13.545199999999999</v>
      </c>
      <c r="K2427" s="4">
        <v>13.063800000000001</v>
      </c>
      <c r="L2427" s="4">
        <v>13.979900000000001</v>
      </c>
      <c r="M2427" s="4">
        <f t="shared" si="149"/>
        <v>13.529633333333335</v>
      </c>
      <c r="P2427" s="4" t="str">
        <f>"klp-7"</f>
        <v>klp-7</v>
      </c>
      <c r="Q2427" s="4">
        <v>13.115744400657301</v>
      </c>
      <c r="R2427" s="4">
        <v>12.878674873672599</v>
      </c>
      <c r="S2427" s="4">
        <v>13.3525027271619</v>
      </c>
      <c r="T2427" s="4">
        <f t="shared" si="150"/>
        <v>13.115640667163932</v>
      </c>
      <c r="W2427" s="4" t="str">
        <f>"vha-4"</f>
        <v>vha-4</v>
      </c>
      <c r="X2427" s="4">
        <v>12.9643636209871</v>
      </c>
      <c r="Y2427" s="4">
        <v>13.194690991194699</v>
      </c>
      <c r="Z2427" s="4">
        <v>13.252796216533801</v>
      </c>
      <c r="AA2427" s="4">
        <f t="shared" si="151"/>
        <v>13.137283609571867</v>
      </c>
    </row>
    <row r="2428" spans="2:27" x14ac:dyDescent="0.2">
      <c r="B2428" s="4" t="s">
        <v>4751</v>
      </c>
      <c r="C2428" s="4">
        <v>13.6149</v>
      </c>
      <c r="D2428" s="4">
        <v>13.412699999999999</v>
      </c>
      <c r="E2428" s="4">
        <v>13.5131</v>
      </c>
      <c r="F2428" s="4">
        <f t="shared" si="148"/>
        <v>13.513566666666668</v>
      </c>
      <c r="I2428" s="4" t="s">
        <v>2051</v>
      </c>
      <c r="J2428" s="4">
        <v>13.3515</v>
      </c>
      <c r="K2428" s="4">
        <v>13.1076</v>
      </c>
      <c r="L2428" s="4">
        <v>14.127000000000001</v>
      </c>
      <c r="M2428" s="4">
        <f t="shared" si="149"/>
        <v>13.528700000000001</v>
      </c>
      <c r="P2428" s="4" t="str">
        <f>"rml-4"</f>
        <v>rml-4</v>
      </c>
      <c r="Q2428" s="4">
        <v>13.067712375989</v>
      </c>
      <c r="R2428" s="4">
        <v>13.2195668356621</v>
      </c>
      <c r="S2428" s="4">
        <v>13.057874375456599</v>
      </c>
      <c r="T2428" s="4">
        <f t="shared" si="150"/>
        <v>13.115051195702568</v>
      </c>
      <c r="W2428" s="4" t="str">
        <f>"cdgs-1"</f>
        <v>cdgs-1</v>
      </c>
      <c r="X2428" s="4">
        <v>13.005389574623299</v>
      </c>
      <c r="Y2428" s="4">
        <v>13.2186565820199</v>
      </c>
      <c r="Z2428" s="4">
        <v>13.1868524475958</v>
      </c>
      <c r="AA2428" s="4">
        <f t="shared" si="151"/>
        <v>13.136966201412998</v>
      </c>
    </row>
    <row r="2429" spans="2:27" x14ac:dyDescent="0.2">
      <c r="B2429" s="4" t="s">
        <v>3726</v>
      </c>
      <c r="C2429" s="4">
        <v>13.5388</v>
      </c>
      <c r="D2429" s="4">
        <v>13.527100000000001</v>
      </c>
      <c r="E2429" s="4">
        <v>13.4704</v>
      </c>
      <c r="F2429" s="4">
        <f t="shared" si="148"/>
        <v>13.512099999999998</v>
      </c>
      <c r="I2429" s="4" t="s">
        <v>3549</v>
      </c>
      <c r="J2429" s="4">
        <v>13.0502</v>
      </c>
      <c r="K2429" s="4">
        <v>13.487500000000001</v>
      </c>
      <c r="L2429" s="4">
        <v>14.039899999999999</v>
      </c>
      <c r="M2429" s="4">
        <f t="shared" si="149"/>
        <v>13.525866666666667</v>
      </c>
      <c r="P2429" s="4" t="str">
        <f>"noca-1"</f>
        <v>noca-1</v>
      </c>
      <c r="Q2429" s="4">
        <v>13.106998771382701</v>
      </c>
      <c r="R2429" s="4">
        <v>13.098520392075899</v>
      </c>
      <c r="S2429" s="4">
        <v>13.137206769494099</v>
      </c>
      <c r="T2429" s="4">
        <f t="shared" si="150"/>
        <v>13.1142419776509</v>
      </c>
      <c r="W2429" s="4" t="str">
        <f>"him-10"</f>
        <v>him-10</v>
      </c>
      <c r="X2429" s="4">
        <v>13.6632827101838</v>
      </c>
      <c r="Y2429" s="4">
        <v>13.3381489323643</v>
      </c>
      <c r="Z2429" s="4">
        <v>12.409189078546699</v>
      </c>
      <c r="AA2429" s="4">
        <f t="shared" si="151"/>
        <v>13.136873573698267</v>
      </c>
    </row>
    <row r="2430" spans="2:27" x14ac:dyDescent="0.2">
      <c r="B2430" s="4" t="s">
        <v>3277</v>
      </c>
      <c r="C2430" s="4">
        <v>13.117100000000001</v>
      </c>
      <c r="D2430" s="4">
        <v>13.6945</v>
      </c>
      <c r="E2430" s="4">
        <v>13.7195</v>
      </c>
      <c r="F2430" s="4">
        <f t="shared" si="148"/>
        <v>13.510366666666664</v>
      </c>
      <c r="I2430" s="4" t="s">
        <v>2783</v>
      </c>
      <c r="J2430" s="4">
        <v>13.432399999999999</v>
      </c>
      <c r="K2430" s="4">
        <v>13.742599999999999</v>
      </c>
      <c r="L2430" s="4">
        <v>13.4008</v>
      </c>
      <c r="M2430" s="4">
        <f t="shared" si="149"/>
        <v>13.525266666666667</v>
      </c>
      <c r="P2430" s="4" t="str">
        <f>"M05D6.2"</f>
        <v>M05D6.2</v>
      </c>
      <c r="Q2430" s="4">
        <v>13.0368832314934</v>
      </c>
      <c r="R2430" s="4">
        <v>13.0720640693624</v>
      </c>
      <c r="S2430" s="4">
        <v>13.224717083752701</v>
      </c>
      <c r="T2430" s="4">
        <f t="shared" si="150"/>
        <v>13.111221461536166</v>
      </c>
      <c r="W2430" s="4" t="str">
        <f>"F16B12.6"</f>
        <v>F16B12.6</v>
      </c>
      <c r="X2430" s="4">
        <v>13.0999807006992</v>
      </c>
      <c r="Y2430" s="4">
        <v>13.2078153307978</v>
      </c>
      <c r="Z2430" s="4">
        <v>13.1026083205444</v>
      </c>
      <c r="AA2430" s="4">
        <f t="shared" si="151"/>
        <v>13.136801450680466</v>
      </c>
    </row>
    <row r="2431" spans="2:27" x14ac:dyDescent="0.2">
      <c r="B2431" s="4" t="s">
        <v>237</v>
      </c>
      <c r="C2431" s="4">
        <v>13.815099999999999</v>
      </c>
      <c r="D2431" s="4">
        <v>13.2615</v>
      </c>
      <c r="E2431" s="4">
        <v>13.448499999999999</v>
      </c>
      <c r="F2431" s="4">
        <f t="shared" si="148"/>
        <v>13.508366666666666</v>
      </c>
      <c r="I2431" s="4" t="s">
        <v>2046</v>
      </c>
      <c r="J2431" s="4">
        <v>13.599</v>
      </c>
      <c r="K2431" s="4">
        <v>13.183400000000001</v>
      </c>
      <c r="L2431" s="4">
        <v>13.7933</v>
      </c>
      <c r="M2431" s="4">
        <f t="shared" si="149"/>
        <v>13.525233333333334</v>
      </c>
      <c r="P2431" s="4" t="str">
        <f>"prg-1"</f>
        <v>prg-1</v>
      </c>
      <c r="Q2431" s="4">
        <v>13.3398786867841</v>
      </c>
      <c r="R2431" s="4">
        <v>13.1321538989666</v>
      </c>
      <c r="S2431" s="4">
        <v>12.8602302383709</v>
      </c>
      <c r="T2431" s="4">
        <f t="shared" si="150"/>
        <v>13.110754274707199</v>
      </c>
      <c r="W2431" s="4" t="str">
        <f>"inx-13"</f>
        <v>inx-13</v>
      </c>
      <c r="X2431" s="4">
        <v>13.045785723371701</v>
      </c>
      <c r="Y2431" s="4">
        <v>13.070131990075099</v>
      </c>
      <c r="Z2431" s="4">
        <v>13.2908228493925</v>
      </c>
      <c r="AA2431" s="4">
        <f t="shared" si="151"/>
        <v>13.135580187613099</v>
      </c>
    </row>
    <row r="2432" spans="2:27" x14ac:dyDescent="0.2">
      <c r="B2432" s="12" t="s">
        <v>406</v>
      </c>
      <c r="C2432" s="12">
        <v>12.885199999999999</v>
      </c>
      <c r="D2432" s="12">
        <v>13.3819</v>
      </c>
      <c r="E2432" s="12">
        <v>14.2578</v>
      </c>
      <c r="F2432" s="4">
        <f t="shared" si="148"/>
        <v>13.5083</v>
      </c>
      <c r="I2432" s="4" t="s">
        <v>2917</v>
      </c>
      <c r="J2432" s="4">
        <v>14.029299999999999</v>
      </c>
      <c r="K2432" s="4">
        <v>13.769500000000001</v>
      </c>
      <c r="L2432" s="4">
        <v>12.7751</v>
      </c>
      <c r="M2432" s="4">
        <f t="shared" si="149"/>
        <v>13.524633333333334</v>
      </c>
      <c r="P2432" s="4" t="str">
        <f>"maph-1.3"</f>
        <v>maph-1.3</v>
      </c>
      <c r="Q2432" s="4">
        <v>13.002692394251101</v>
      </c>
      <c r="R2432" s="4">
        <v>12.9844190328326</v>
      </c>
      <c r="S2432" s="4">
        <v>13.3422755534459</v>
      </c>
      <c r="T2432" s="4">
        <f t="shared" si="150"/>
        <v>13.109795660176532</v>
      </c>
      <c r="W2432" s="4" t="str">
        <f>"F45E1.4"</f>
        <v>F45E1.4</v>
      </c>
      <c r="X2432" s="4">
        <v>13.071525287294399</v>
      </c>
      <c r="Y2432" s="4">
        <v>12.6516750752031</v>
      </c>
      <c r="Z2432" s="4">
        <v>13.6768307443444</v>
      </c>
      <c r="AA2432" s="4">
        <f t="shared" si="151"/>
        <v>13.133343702280634</v>
      </c>
    </row>
    <row r="2433" spans="2:27" x14ac:dyDescent="0.2">
      <c r="B2433" s="4" t="s">
        <v>416</v>
      </c>
      <c r="C2433" s="4">
        <v>13.2303</v>
      </c>
      <c r="D2433" s="4">
        <v>13.6165</v>
      </c>
      <c r="E2433" s="4">
        <v>13.674300000000001</v>
      </c>
      <c r="F2433" s="4">
        <f t="shared" si="148"/>
        <v>13.507033333333334</v>
      </c>
      <c r="I2433" s="4" t="s">
        <v>724</v>
      </c>
      <c r="J2433" s="4">
        <v>13.385899999999999</v>
      </c>
      <c r="K2433" s="4">
        <v>13.6554</v>
      </c>
      <c r="L2433" s="4">
        <v>13.5321</v>
      </c>
      <c r="M2433" s="4">
        <f t="shared" si="149"/>
        <v>13.524466666666667</v>
      </c>
      <c r="P2433" s="4" t="str">
        <f>"T20D3.5"</f>
        <v>T20D3.5</v>
      </c>
      <c r="Q2433" s="4">
        <v>12.8434549929061</v>
      </c>
      <c r="R2433" s="4">
        <v>13.221057977033301</v>
      </c>
      <c r="S2433" s="4">
        <v>13.261856679900299</v>
      </c>
      <c r="T2433" s="4">
        <f t="shared" si="150"/>
        <v>13.108789883279899</v>
      </c>
      <c r="W2433" s="4" t="str">
        <f>"gldi-2"</f>
        <v>gldi-2</v>
      </c>
      <c r="X2433" s="4">
        <v>13.326793100238</v>
      </c>
      <c r="Y2433" s="4">
        <v>12.998650436633699</v>
      </c>
      <c r="Z2433" s="4">
        <v>13.0734643344373</v>
      </c>
      <c r="AA2433" s="4">
        <f t="shared" si="151"/>
        <v>13.132969290436334</v>
      </c>
    </row>
    <row r="2434" spans="2:27" x14ac:dyDescent="0.2">
      <c r="B2434" s="4" t="s">
        <v>707</v>
      </c>
      <c r="C2434" s="4">
        <v>13.3589</v>
      </c>
      <c r="D2434" s="4">
        <v>13.5381</v>
      </c>
      <c r="E2434" s="4">
        <v>13.6236</v>
      </c>
      <c r="F2434" s="4">
        <f t="shared" ref="F2434:F2497" si="152">(C2434+D2434+E2434)/3</f>
        <v>13.506866666666667</v>
      </c>
      <c r="I2434" s="4" t="s">
        <v>4746</v>
      </c>
      <c r="J2434" s="4">
        <v>13.466200000000001</v>
      </c>
      <c r="K2434" s="4">
        <v>13.7864</v>
      </c>
      <c r="L2434" s="4">
        <v>13.3005</v>
      </c>
      <c r="M2434" s="4">
        <f t="shared" ref="M2434:M2497" si="153">(J2434+K2434+L2434)/3</f>
        <v>13.5177</v>
      </c>
      <c r="P2434" s="4" t="str">
        <f>"C36B7.6"</f>
        <v>C36B7.6</v>
      </c>
      <c r="Q2434" s="4">
        <v>12.691469206707501</v>
      </c>
      <c r="R2434" s="4">
        <v>13.060819620937499</v>
      </c>
      <c r="S2434" s="4">
        <v>13.5725820427411</v>
      </c>
      <c r="T2434" s="4">
        <f t="shared" ref="T2434:T2497" si="154">(Q2434+R2434+S2434)/3</f>
        <v>13.1082902901287</v>
      </c>
      <c r="W2434" s="4" t="str">
        <f>"spk-1"</f>
        <v>spk-1</v>
      </c>
      <c r="X2434" s="4">
        <v>13.0979055508262</v>
      </c>
      <c r="Y2434" s="4">
        <v>13.0616934228412</v>
      </c>
      <c r="Z2434" s="4">
        <v>13.2371101266381</v>
      </c>
      <c r="AA2434" s="4">
        <f t="shared" ref="AA2434:AA2497" si="155">(X2434+Y2434+Z2434)/3</f>
        <v>13.132236366768501</v>
      </c>
    </row>
    <row r="2435" spans="2:27" x14ac:dyDescent="0.2">
      <c r="B2435" s="4" t="s">
        <v>1000</v>
      </c>
      <c r="C2435" s="4">
        <v>13.5342</v>
      </c>
      <c r="D2435" s="4">
        <v>13.218500000000001</v>
      </c>
      <c r="E2435" s="4">
        <v>13.7645</v>
      </c>
      <c r="F2435" s="4">
        <f t="shared" si="152"/>
        <v>13.505733333333334</v>
      </c>
      <c r="I2435" s="4" t="s">
        <v>4796</v>
      </c>
      <c r="J2435" s="4">
        <v>13.8599</v>
      </c>
      <c r="K2435" s="4">
        <v>13.4749</v>
      </c>
      <c r="L2435" s="4">
        <v>13.197800000000001</v>
      </c>
      <c r="M2435" s="4">
        <f t="shared" si="153"/>
        <v>13.510866666666667</v>
      </c>
      <c r="P2435" s="4" t="str">
        <f>"vha-8"</f>
        <v>vha-8</v>
      </c>
      <c r="Q2435" s="4">
        <v>12.9003833909871</v>
      </c>
      <c r="R2435" s="4">
        <v>13.3209851065028</v>
      </c>
      <c r="S2435" s="4">
        <v>13.101114187575901</v>
      </c>
      <c r="T2435" s="4">
        <f t="shared" si="154"/>
        <v>13.107494228355266</v>
      </c>
      <c r="W2435" s="4" t="str">
        <f>"C08F8.2"</f>
        <v>C08F8.2</v>
      </c>
      <c r="X2435" s="4">
        <v>12.890948038491899</v>
      </c>
      <c r="Y2435" s="4">
        <v>12.950171971603501</v>
      </c>
      <c r="Z2435" s="4">
        <v>13.5530902671567</v>
      </c>
      <c r="AA2435" s="4">
        <f t="shared" si="155"/>
        <v>13.131403425750699</v>
      </c>
    </row>
    <row r="2436" spans="2:27" x14ac:dyDescent="0.2">
      <c r="B2436" s="4" t="s">
        <v>907</v>
      </c>
      <c r="C2436" s="4">
        <v>13.3363</v>
      </c>
      <c r="D2436" s="4">
        <v>13.783099999999999</v>
      </c>
      <c r="E2436" s="4">
        <v>13.395300000000001</v>
      </c>
      <c r="F2436" s="4">
        <f t="shared" si="152"/>
        <v>13.504899999999999</v>
      </c>
      <c r="I2436" s="4" t="s">
        <v>2719</v>
      </c>
      <c r="J2436" s="4">
        <v>13.415800000000001</v>
      </c>
      <c r="K2436" s="4">
        <v>13.3675</v>
      </c>
      <c r="L2436" s="4">
        <v>13.7486</v>
      </c>
      <c r="M2436" s="4">
        <f t="shared" si="153"/>
        <v>13.510633333333333</v>
      </c>
      <c r="P2436" s="4" t="str">
        <f>"sac-1"</f>
        <v>sac-1</v>
      </c>
      <c r="Q2436" s="4">
        <v>13.464842586255701</v>
      </c>
      <c r="R2436" s="4">
        <v>13.1186587677697</v>
      </c>
      <c r="S2436" s="4">
        <v>12.738195062602699</v>
      </c>
      <c r="T2436" s="4">
        <f t="shared" si="154"/>
        <v>13.107232138876034</v>
      </c>
      <c r="W2436" s="4" t="str">
        <f>"alx-1"</f>
        <v>alx-1</v>
      </c>
      <c r="X2436" s="4">
        <v>13.2098088892785</v>
      </c>
      <c r="Y2436" s="4">
        <v>13.032475474619</v>
      </c>
      <c r="Z2436" s="4">
        <v>13.149575495517499</v>
      </c>
      <c r="AA2436" s="4">
        <f t="shared" si="155"/>
        <v>13.130619953138334</v>
      </c>
    </row>
    <row r="2437" spans="2:27" x14ac:dyDescent="0.2">
      <c r="B2437" s="4" t="s">
        <v>1226</v>
      </c>
      <c r="C2437" s="4">
        <v>13.593500000000001</v>
      </c>
      <c r="D2437" s="4">
        <v>13.122</v>
      </c>
      <c r="E2437" s="4">
        <v>13.785600000000001</v>
      </c>
      <c r="F2437" s="4">
        <f t="shared" si="152"/>
        <v>13.500366666666666</v>
      </c>
      <c r="I2437" s="4" t="s">
        <v>3192</v>
      </c>
      <c r="J2437" s="4">
        <v>13.493499999999999</v>
      </c>
      <c r="K2437" s="4">
        <v>13.3309</v>
      </c>
      <c r="L2437" s="4">
        <v>13.706</v>
      </c>
      <c r="M2437" s="4">
        <f t="shared" si="153"/>
        <v>13.510133333333334</v>
      </c>
      <c r="P2437" s="4" t="str">
        <f>"Y82E9BR.14"</f>
        <v>Y82E9BR.14</v>
      </c>
      <c r="Q2437" s="4">
        <v>12.7180174430079</v>
      </c>
      <c r="R2437" s="4">
        <v>13.377318201926</v>
      </c>
      <c r="S2437" s="4">
        <v>13.225010547897501</v>
      </c>
      <c r="T2437" s="4">
        <f t="shared" si="154"/>
        <v>13.106782064277134</v>
      </c>
      <c r="W2437" s="4" t="str">
        <f>"F26G1.1"</f>
        <v>F26G1.1</v>
      </c>
      <c r="X2437" s="4">
        <v>13.1990827088923</v>
      </c>
      <c r="Y2437" s="4">
        <v>12.9712673308692</v>
      </c>
      <c r="Z2437" s="4">
        <v>13.220910314152</v>
      </c>
      <c r="AA2437" s="4">
        <f t="shared" si="155"/>
        <v>13.130420117971168</v>
      </c>
    </row>
    <row r="2438" spans="2:27" x14ac:dyDescent="0.2">
      <c r="B2438" s="4" t="s">
        <v>1443</v>
      </c>
      <c r="C2438" s="4">
        <v>13.6152</v>
      </c>
      <c r="D2438" s="4">
        <v>13.6114</v>
      </c>
      <c r="E2438" s="4">
        <v>13.2745</v>
      </c>
      <c r="F2438" s="4">
        <f t="shared" si="152"/>
        <v>13.500366666666665</v>
      </c>
      <c r="I2438" s="4" t="s">
        <v>1460</v>
      </c>
      <c r="J2438" s="4">
        <v>14.3231</v>
      </c>
      <c r="K2438" s="4">
        <v>12.975899999999999</v>
      </c>
      <c r="L2438" s="4">
        <v>13.2277</v>
      </c>
      <c r="M2438" s="4">
        <f t="shared" si="153"/>
        <v>13.508899999999999</v>
      </c>
      <c r="P2438" s="4" t="str">
        <f>"gfi-3"</f>
        <v>gfi-3</v>
      </c>
      <c r="Q2438" s="4">
        <v>12.9789029216173</v>
      </c>
      <c r="R2438" s="4">
        <v>13.3088047860786</v>
      </c>
      <c r="S2438" s="4">
        <v>13.0309322511792</v>
      </c>
      <c r="T2438" s="4">
        <f t="shared" si="154"/>
        <v>13.106213319625034</v>
      </c>
      <c r="W2438" s="4" t="str">
        <f>"dolk-1"</f>
        <v>dolk-1</v>
      </c>
      <c r="X2438" s="4">
        <v>13.441641461882901</v>
      </c>
      <c r="Y2438" s="4">
        <v>13.0000121090952</v>
      </c>
      <c r="Z2438" s="4">
        <v>12.948599280113701</v>
      </c>
      <c r="AA2438" s="4">
        <f t="shared" si="155"/>
        <v>13.130084283697267</v>
      </c>
    </row>
    <row r="2439" spans="2:27" x14ac:dyDescent="0.2">
      <c r="B2439" s="4" t="s">
        <v>4797</v>
      </c>
      <c r="C2439" s="4">
        <v>13.447699999999999</v>
      </c>
      <c r="D2439" s="4">
        <v>13.5403</v>
      </c>
      <c r="E2439" s="4">
        <v>13.5107</v>
      </c>
      <c r="F2439" s="4">
        <f t="shared" si="152"/>
        <v>13.499566666666666</v>
      </c>
      <c r="I2439" s="4" t="s">
        <v>1122</v>
      </c>
      <c r="J2439" s="4">
        <v>13.632300000000001</v>
      </c>
      <c r="K2439" s="4">
        <v>13.741</v>
      </c>
      <c r="L2439" s="4">
        <v>13.152799999999999</v>
      </c>
      <c r="M2439" s="4">
        <f t="shared" si="153"/>
        <v>13.508699999999999</v>
      </c>
      <c r="P2439" s="4" t="str">
        <f>"ztf-4"</f>
        <v>ztf-4</v>
      </c>
      <c r="Q2439" s="4">
        <v>13.101137729764901</v>
      </c>
      <c r="R2439" s="4">
        <v>13.2977359663549</v>
      </c>
      <c r="S2439" s="4">
        <v>12.9141912770018</v>
      </c>
      <c r="T2439" s="4">
        <f t="shared" si="154"/>
        <v>13.104354991040532</v>
      </c>
      <c r="W2439" s="4" t="str">
        <f>"alkb-8"</f>
        <v>alkb-8</v>
      </c>
      <c r="X2439" s="4">
        <v>13.1607347886677</v>
      </c>
      <c r="Y2439" s="4">
        <v>13.204904092731701</v>
      </c>
      <c r="Z2439" s="4">
        <v>13.0225176386858</v>
      </c>
      <c r="AA2439" s="4">
        <f t="shared" si="155"/>
        <v>13.129385506695066</v>
      </c>
    </row>
    <row r="2440" spans="2:27" x14ac:dyDescent="0.2">
      <c r="B2440" s="4" t="s">
        <v>3166</v>
      </c>
      <c r="C2440" s="4">
        <v>13.533899999999999</v>
      </c>
      <c r="D2440" s="4">
        <v>13.2552</v>
      </c>
      <c r="E2440" s="4">
        <v>13.704800000000001</v>
      </c>
      <c r="F2440" s="4">
        <f t="shared" si="152"/>
        <v>13.497966666666665</v>
      </c>
      <c r="I2440" s="4" t="s">
        <v>1492</v>
      </c>
      <c r="J2440" s="4">
        <v>13.5007</v>
      </c>
      <c r="K2440" s="4">
        <v>13.4238</v>
      </c>
      <c r="L2440" s="4">
        <v>13.6014</v>
      </c>
      <c r="M2440" s="4">
        <f t="shared" si="153"/>
        <v>13.508633333333334</v>
      </c>
      <c r="P2440" s="4" t="str">
        <f>"cnt-1"</f>
        <v>cnt-1</v>
      </c>
      <c r="Q2440" s="4">
        <v>13.045699941797</v>
      </c>
      <c r="R2440" s="4">
        <v>13.022077729185501</v>
      </c>
      <c r="S2440" s="4">
        <v>13.2429886033469</v>
      </c>
      <c r="T2440" s="4">
        <f t="shared" si="154"/>
        <v>13.103588758109801</v>
      </c>
      <c r="W2440" s="4" t="str">
        <f>"lfe-2"</f>
        <v>lfe-2</v>
      </c>
      <c r="X2440" s="4">
        <v>13.592715614089199</v>
      </c>
      <c r="Y2440" s="4">
        <v>12.9402924876178</v>
      </c>
      <c r="Z2440" s="4">
        <v>12.852764138761801</v>
      </c>
      <c r="AA2440" s="4">
        <f t="shared" si="155"/>
        <v>13.128590746822931</v>
      </c>
    </row>
    <row r="2441" spans="2:27" x14ac:dyDescent="0.2">
      <c r="B2441" s="4" t="s">
        <v>2057</v>
      </c>
      <c r="C2441" s="4">
        <v>13.720499999999999</v>
      </c>
      <c r="D2441" s="4">
        <v>13.279500000000001</v>
      </c>
      <c r="E2441" s="4">
        <v>13.4895</v>
      </c>
      <c r="F2441" s="4">
        <f t="shared" si="152"/>
        <v>13.496499999999999</v>
      </c>
      <c r="I2441" s="4" t="s">
        <v>737</v>
      </c>
      <c r="J2441" s="4">
        <v>13.1412</v>
      </c>
      <c r="K2441" s="4">
        <v>13.266400000000001</v>
      </c>
      <c r="L2441" s="4">
        <v>14.117000000000001</v>
      </c>
      <c r="M2441" s="4">
        <f t="shared" si="153"/>
        <v>13.508200000000002</v>
      </c>
      <c r="P2441" s="4" t="str">
        <f>"suco-1"</f>
        <v>suco-1</v>
      </c>
      <c r="Q2441" s="4">
        <v>12.870365364298699</v>
      </c>
      <c r="R2441" s="4">
        <v>13.458720456723499</v>
      </c>
      <c r="S2441" s="4">
        <v>12.977464769793899</v>
      </c>
      <c r="T2441" s="4">
        <f t="shared" si="154"/>
        <v>13.102183530272031</v>
      </c>
      <c r="W2441" s="4" t="str">
        <f>"marc-6"</f>
        <v>marc-6</v>
      </c>
      <c r="X2441" s="4">
        <v>13.5536463585813</v>
      </c>
      <c r="Y2441" s="4">
        <v>12.879837841722599</v>
      </c>
      <c r="Z2441" s="4">
        <v>12.950960324570399</v>
      </c>
      <c r="AA2441" s="4">
        <f t="shared" si="155"/>
        <v>13.128148174958099</v>
      </c>
    </row>
    <row r="2442" spans="2:27" x14ac:dyDescent="0.2">
      <c r="B2442" s="4" t="s">
        <v>2861</v>
      </c>
      <c r="C2442" s="4">
        <v>13.4641</v>
      </c>
      <c r="D2442" s="4">
        <v>13.5108</v>
      </c>
      <c r="E2442" s="4">
        <v>13.514099999999999</v>
      </c>
      <c r="F2442" s="4">
        <f t="shared" si="152"/>
        <v>13.496333333333332</v>
      </c>
      <c r="I2442" s="4" t="s">
        <v>246</v>
      </c>
      <c r="J2442" s="4">
        <v>13.706300000000001</v>
      </c>
      <c r="K2442" s="4">
        <v>13.646699999999999</v>
      </c>
      <c r="L2442" s="4">
        <v>13.166399999999999</v>
      </c>
      <c r="M2442" s="4">
        <f t="shared" si="153"/>
        <v>13.506466666666668</v>
      </c>
      <c r="P2442" s="4" t="str">
        <f>"C55A6.6"</f>
        <v>C55A6.6</v>
      </c>
      <c r="Q2442" s="4">
        <v>12.9043636474434</v>
      </c>
      <c r="R2442" s="4">
        <v>13.067043629476601</v>
      </c>
      <c r="S2442" s="4">
        <v>13.3316920625376</v>
      </c>
      <c r="T2442" s="4">
        <f t="shared" si="154"/>
        <v>13.101033113152534</v>
      </c>
      <c r="W2442" s="4" t="str">
        <f>"ZC581.9"</f>
        <v>ZC581.9</v>
      </c>
      <c r="X2442" s="4">
        <v>13.048180471164001</v>
      </c>
      <c r="Y2442" s="4">
        <v>12.959240561082099</v>
      </c>
      <c r="Z2442" s="4">
        <v>13.372002975177899</v>
      </c>
      <c r="AA2442" s="4">
        <f t="shared" si="155"/>
        <v>13.126474669141333</v>
      </c>
    </row>
    <row r="2443" spans="2:27" x14ac:dyDescent="0.2">
      <c r="B2443" s="4" t="s">
        <v>588</v>
      </c>
      <c r="C2443" s="4">
        <v>13.400499999999999</v>
      </c>
      <c r="D2443" s="4">
        <v>13.533300000000001</v>
      </c>
      <c r="E2443" s="4">
        <v>13.552199999999999</v>
      </c>
      <c r="F2443" s="4">
        <f t="shared" si="152"/>
        <v>13.495333333333333</v>
      </c>
      <c r="I2443" s="4" t="s">
        <v>542</v>
      </c>
      <c r="J2443" s="4">
        <v>13.5167</v>
      </c>
      <c r="K2443" s="4">
        <v>13.476000000000001</v>
      </c>
      <c r="L2443" s="4">
        <v>13.523300000000001</v>
      </c>
      <c r="M2443" s="4">
        <f t="shared" si="153"/>
        <v>13.505333333333333</v>
      </c>
      <c r="P2443" s="4" t="str">
        <f>"lin-23"</f>
        <v>lin-23</v>
      </c>
      <c r="Q2443" s="4">
        <v>12.3407847304111</v>
      </c>
      <c r="R2443" s="4">
        <v>13.367751983904</v>
      </c>
      <c r="S2443" s="4">
        <v>13.593934879479001</v>
      </c>
      <c r="T2443" s="4">
        <f t="shared" si="154"/>
        <v>13.100823864598034</v>
      </c>
      <c r="W2443" s="4" t="str">
        <f>"semo-1"</f>
        <v>semo-1</v>
      </c>
      <c r="X2443" s="4">
        <v>12.891581752235799</v>
      </c>
      <c r="Y2443" s="4">
        <v>13.470093352649799</v>
      </c>
      <c r="Z2443" s="4">
        <v>13.0106425188459</v>
      </c>
      <c r="AA2443" s="4">
        <f t="shared" si="155"/>
        <v>13.124105874577166</v>
      </c>
    </row>
    <row r="2444" spans="2:27" x14ac:dyDescent="0.2">
      <c r="B2444" s="4" t="s">
        <v>14</v>
      </c>
      <c r="C2444" s="4">
        <v>13.5108</v>
      </c>
      <c r="D2444" s="4">
        <v>13.331899999999999</v>
      </c>
      <c r="E2444" s="4">
        <v>13.642300000000001</v>
      </c>
      <c r="F2444" s="4">
        <f t="shared" si="152"/>
        <v>13.494999999999999</v>
      </c>
      <c r="I2444" s="4" t="s">
        <v>3017</v>
      </c>
      <c r="J2444" s="4">
        <v>13.2319</v>
      </c>
      <c r="K2444" s="4">
        <v>13.8666</v>
      </c>
      <c r="L2444" s="4">
        <v>13.415699999999999</v>
      </c>
      <c r="M2444" s="4">
        <f t="shared" si="153"/>
        <v>13.504733333333334</v>
      </c>
      <c r="P2444" s="4" t="str">
        <f>"F55A11.4"</f>
        <v>F55A11.4</v>
      </c>
      <c r="Q2444" s="4">
        <v>12.929004378698201</v>
      </c>
      <c r="R2444" s="4">
        <v>13.079224601201499</v>
      </c>
      <c r="S2444" s="4">
        <v>13.289436566295301</v>
      </c>
      <c r="T2444" s="4">
        <f t="shared" si="154"/>
        <v>13.099221848731666</v>
      </c>
      <c r="W2444" s="4" t="str">
        <f>"ccm-3"</f>
        <v>ccm-3</v>
      </c>
      <c r="X2444" s="4">
        <v>12.791438995582499</v>
      </c>
      <c r="Y2444" s="4">
        <v>13.198507254487099</v>
      </c>
      <c r="Z2444" s="4">
        <v>13.3809737619925</v>
      </c>
      <c r="AA2444" s="4">
        <f t="shared" si="155"/>
        <v>13.1236400040207</v>
      </c>
    </row>
    <row r="2445" spans="2:27" x14ac:dyDescent="0.2">
      <c r="B2445" s="4" t="s">
        <v>3529</v>
      </c>
      <c r="C2445" s="4">
        <v>13.0383</v>
      </c>
      <c r="D2445" s="4">
        <v>13.784599999999999</v>
      </c>
      <c r="E2445" s="4">
        <v>13.655099999999999</v>
      </c>
      <c r="F2445" s="4">
        <f t="shared" si="152"/>
        <v>13.492666666666665</v>
      </c>
      <c r="I2445" s="4" t="s">
        <v>2261</v>
      </c>
      <c r="J2445" s="4">
        <v>13.325200000000001</v>
      </c>
      <c r="K2445" s="4">
        <v>13.3735</v>
      </c>
      <c r="L2445" s="4">
        <v>13.8073</v>
      </c>
      <c r="M2445" s="4">
        <f t="shared" si="153"/>
        <v>13.502000000000001</v>
      </c>
      <c r="P2445" s="4" t="str">
        <f>"dcap-2"</f>
        <v>dcap-2</v>
      </c>
      <c r="Q2445" s="4">
        <v>13.135148626239101</v>
      </c>
      <c r="R2445" s="4">
        <v>13.0765970169772</v>
      </c>
      <c r="S2445" s="4">
        <v>13.0835891945481</v>
      </c>
      <c r="T2445" s="4">
        <f t="shared" si="154"/>
        <v>13.098444945921466</v>
      </c>
      <c r="W2445" s="4" t="str">
        <f>"rab-28"</f>
        <v>rab-28</v>
      </c>
      <c r="X2445" s="4">
        <v>12.9962777384667</v>
      </c>
      <c r="Y2445" s="4">
        <v>13.214302146511001</v>
      </c>
      <c r="Z2445" s="4">
        <v>13.1567304636513</v>
      </c>
      <c r="AA2445" s="4">
        <f t="shared" si="155"/>
        <v>13.122436782876335</v>
      </c>
    </row>
    <row r="2446" spans="2:27" x14ac:dyDescent="0.2">
      <c r="B2446" s="4" t="s">
        <v>4321</v>
      </c>
      <c r="C2446" s="4">
        <v>13.5999</v>
      </c>
      <c r="D2446" s="4">
        <v>13.224600000000001</v>
      </c>
      <c r="E2446" s="4">
        <v>13.653</v>
      </c>
      <c r="F2446" s="4">
        <f t="shared" si="152"/>
        <v>13.4925</v>
      </c>
      <c r="I2446" s="4" t="s">
        <v>2436</v>
      </c>
      <c r="J2446" s="4">
        <v>13.640499999999999</v>
      </c>
      <c r="K2446" s="4">
        <v>13.335100000000001</v>
      </c>
      <c r="L2446" s="4">
        <v>13.5275</v>
      </c>
      <c r="M2446" s="4">
        <f t="shared" si="153"/>
        <v>13.501033333333334</v>
      </c>
      <c r="P2446" s="4" t="str">
        <f>"Y52B11A.10"</f>
        <v>Y52B11A.10</v>
      </c>
      <c r="Q2446" s="4">
        <v>12.855501310579299</v>
      </c>
      <c r="R2446" s="4">
        <v>13.5025684980899</v>
      </c>
      <c r="S2446" s="4">
        <v>12.9348215213871</v>
      </c>
      <c r="T2446" s="4">
        <f t="shared" si="154"/>
        <v>13.0976304433521</v>
      </c>
      <c r="W2446" s="4" t="str">
        <f>"mab-31"</f>
        <v>mab-31</v>
      </c>
      <c r="X2446" s="4">
        <v>13.1259191408126</v>
      </c>
      <c r="Y2446" s="4">
        <v>13.247368784387699</v>
      </c>
      <c r="Z2446" s="4">
        <v>12.9924459432267</v>
      </c>
      <c r="AA2446" s="4">
        <f t="shared" si="155"/>
        <v>13.121911289475667</v>
      </c>
    </row>
    <row r="2447" spans="2:27" x14ac:dyDescent="0.2">
      <c r="B2447" s="4" t="s">
        <v>1471</v>
      </c>
      <c r="C2447" s="4">
        <v>13.3851</v>
      </c>
      <c r="D2447" s="4">
        <v>13.4922</v>
      </c>
      <c r="E2447" s="4">
        <v>13.5837</v>
      </c>
      <c r="F2447" s="4">
        <f t="shared" si="152"/>
        <v>13.487</v>
      </c>
      <c r="I2447" s="4" t="s">
        <v>4464</v>
      </c>
      <c r="J2447" s="4">
        <v>13.4458</v>
      </c>
      <c r="K2447" s="4">
        <v>14.0306</v>
      </c>
      <c r="L2447" s="4">
        <v>13.020799999999999</v>
      </c>
      <c r="M2447" s="4">
        <f t="shared" si="153"/>
        <v>13.499066666666666</v>
      </c>
      <c r="P2447" s="4" t="str">
        <f>"skpo-2"</f>
        <v>skpo-2</v>
      </c>
      <c r="Q2447" s="4">
        <v>13.1741598967574</v>
      </c>
      <c r="R2447" s="4">
        <v>13.218448474265699</v>
      </c>
      <c r="S2447" s="4">
        <v>12.9000904063574</v>
      </c>
      <c r="T2447" s="4">
        <f t="shared" si="154"/>
        <v>13.097566259126834</v>
      </c>
      <c r="W2447" s="4" t="str">
        <f>"C05D11.1"</f>
        <v>C05D11.1</v>
      </c>
      <c r="X2447" s="4">
        <v>13.1162636099643</v>
      </c>
      <c r="Y2447" s="4">
        <v>12.693746564787499</v>
      </c>
      <c r="Z2447" s="4">
        <v>13.5544994789388</v>
      </c>
      <c r="AA2447" s="4">
        <f t="shared" si="155"/>
        <v>13.121503217896866</v>
      </c>
    </row>
    <row r="2448" spans="2:27" x14ac:dyDescent="0.2">
      <c r="B2448" s="4" t="s">
        <v>1465</v>
      </c>
      <c r="C2448" s="4">
        <v>13.136699999999999</v>
      </c>
      <c r="D2448" s="4">
        <v>13.7042</v>
      </c>
      <c r="E2448" s="4">
        <v>13.617599999999999</v>
      </c>
      <c r="F2448" s="4">
        <f t="shared" si="152"/>
        <v>13.486166666666668</v>
      </c>
      <c r="I2448" s="4" t="s">
        <v>3124</v>
      </c>
      <c r="J2448" s="4">
        <v>13.787100000000001</v>
      </c>
      <c r="K2448" s="4">
        <v>13.673500000000001</v>
      </c>
      <c r="L2448" s="4">
        <v>13.0359</v>
      </c>
      <c r="M2448" s="4">
        <f t="shared" si="153"/>
        <v>13.498833333333332</v>
      </c>
      <c r="P2448" s="4" t="str">
        <f>"trpp-10"</f>
        <v>trpp-10</v>
      </c>
      <c r="Q2448" s="4">
        <v>12.9975007666379</v>
      </c>
      <c r="R2448" s="4">
        <v>13.125248061762999</v>
      </c>
      <c r="S2448" s="4">
        <v>13.1695652814719</v>
      </c>
      <c r="T2448" s="4">
        <f t="shared" si="154"/>
        <v>13.097438036624268</v>
      </c>
      <c r="W2448" s="4" t="str">
        <f>"mua-3"</f>
        <v>mua-3</v>
      </c>
      <c r="X2448" s="4">
        <v>12.9877865331416</v>
      </c>
      <c r="Y2448" s="4">
        <v>12.826554189071199</v>
      </c>
      <c r="Z2448" s="4">
        <v>13.5485783465176</v>
      </c>
      <c r="AA2448" s="4">
        <f t="shared" si="155"/>
        <v>13.120973022910134</v>
      </c>
    </row>
    <row r="2449" spans="2:27" x14ac:dyDescent="0.2">
      <c r="B2449" s="4" t="s">
        <v>3532</v>
      </c>
      <c r="C2449" s="4">
        <v>13.162599999999999</v>
      </c>
      <c r="D2449" s="4">
        <v>13.674200000000001</v>
      </c>
      <c r="E2449" s="4">
        <v>13.619</v>
      </c>
      <c r="F2449" s="4">
        <f t="shared" si="152"/>
        <v>13.485266666666666</v>
      </c>
      <c r="I2449" s="4" t="s">
        <v>3924</v>
      </c>
      <c r="J2449" s="4">
        <v>13.5951</v>
      </c>
      <c r="K2449" s="4">
        <v>13.678800000000001</v>
      </c>
      <c r="L2449" s="4">
        <v>13.218500000000001</v>
      </c>
      <c r="M2449" s="4">
        <f t="shared" si="153"/>
        <v>13.497466666666668</v>
      </c>
      <c r="P2449" s="4" t="str">
        <f>"mask-1"</f>
        <v>mask-1</v>
      </c>
      <c r="Q2449" s="4">
        <v>13.0521787978363</v>
      </c>
      <c r="R2449" s="4">
        <v>13.1859981457195</v>
      </c>
      <c r="S2449" s="4">
        <v>13.053489386571901</v>
      </c>
      <c r="T2449" s="4">
        <f t="shared" si="154"/>
        <v>13.097222110042566</v>
      </c>
      <c r="W2449" s="4" t="str">
        <f>"T01G9.2"</f>
        <v>T01G9.2</v>
      </c>
      <c r="X2449" s="4">
        <v>13.0815282183181</v>
      </c>
      <c r="Y2449" s="4">
        <v>13.358889378901299</v>
      </c>
      <c r="Z2449" s="4">
        <v>12.915601509859</v>
      </c>
      <c r="AA2449" s="4">
        <f t="shared" si="155"/>
        <v>13.118673035692801</v>
      </c>
    </row>
    <row r="2450" spans="2:27" x14ac:dyDescent="0.2">
      <c r="B2450" s="4" t="s">
        <v>656</v>
      </c>
      <c r="C2450" s="4">
        <v>13.517200000000001</v>
      </c>
      <c r="D2450" s="4">
        <v>13.782500000000001</v>
      </c>
      <c r="E2450" s="4">
        <v>13.1539</v>
      </c>
      <c r="F2450" s="4">
        <f t="shared" si="152"/>
        <v>13.484533333333333</v>
      </c>
      <c r="I2450" s="4" t="s">
        <v>1633</v>
      </c>
      <c r="J2450" s="4">
        <v>13.6037</v>
      </c>
      <c r="K2450" s="4">
        <v>13.267300000000001</v>
      </c>
      <c r="L2450" s="4">
        <v>13.620799999999999</v>
      </c>
      <c r="M2450" s="4">
        <f t="shared" si="153"/>
        <v>13.497266666666667</v>
      </c>
      <c r="P2450" s="4" t="str">
        <f>"erp-44.1"</f>
        <v>erp-44.1</v>
      </c>
      <c r="Q2450" s="4">
        <v>12.756100685211599</v>
      </c>
      <c r="R2450" s="4">
        <v>13.1286256547482</v>
      </c>
      <c r="S2450" s="4">
        <v>13.3994282873233</v>
      </c>
      <c r="T2450" s="4">
        <f t="shared" si="154"/>
        <v>13.094718209094367</v>
      </c>
      <c r="W2450" s="4" t="str">
        <f>"ubxn-6"</f>
        <v>ubxn-6</v>
      </c>
      <c r="X2450" s="4">
        <v>13.0656053887627</v>
      </c>
      <c r="Y2450" s="4">
        <v>13.209488666576</v>
      </c>
      <c r="Z2450" s="4">
        <v>13.071895950560901</v>
      </c>
      <c r="AA2450" s="4">
        <f t="shared" si="155"/>
        <v>13.115663335299866</v>
      </c>
    </row>
    <row r="2451" spans="2:27" x14ac:dyDescent="0.2">
      <c r="B2451" s="4" t="s">
        <v>1170</v>
      </c>
      <c r="C2451" s="4">
        <v>13.4213</v>
      </c>
      <c r="D2451" s="4">
        <v>13.543699999999999</v>
      </c>
      <c r="E2451" s="4">
        <v>13.48</v>
      </c>
      <c r="F2451" s="4">
        <f t="shared" si="152"/>
        <v>13.481666666666667</v>
      </c>
      <c r="I2451" s="4" t="s">
        <v>2106</v>
      </c>
      <c r="J2451" s="4">
        <v>13.4146</v>
      </c>
      <c r="K2451" s="4">
        <v>13.460900000000001</v>
      </c>
      <c r="L2451" s="4">
        <v>13.613200000000001</v>
      </c>
      <c r="M2451" s="4">
        <f t="shared" si="153"/>
        <v>13.496233333333334</v>
      </c>
      <c r="P2451" s="4" t="str">
        <f>"dhfr-1"</f>
        <v>dhfr-1</v>
      </c>
      <c r="Q2451" s="4">
        <v>13.124739764515599</v>
      </c>
      <c r="R2451" s="4">
        <v>13.060188257091699</v>
      </c>
      <c r="S2451" s="4">
        <v>13.096829424807501</v>
      </c>
      <c r="T2451" s="4">
        <f t="shared" si="154"/>
        <v>13.093919148804934</v>
      </c>
      <c r="W2451" s="4" t="str">
        <f>"R53.5"</f>
        <v>R53.5</v>
      </c>
      <c r="X2451" s="4">
        <v>13.303542982355699</v>
      </c>
      <c r="Y2451" s="4">
        <v>12.8011520566508</v>
      </c>
      <c r="Z2451" s="4">
        <v>13.2420813715247</v>
      </c>
      <c r="AA2451" s="4">
        <f t="shared" si="155"/>
        <v>13.115592136843732</v>
      </c>
    </row>
    <row r="2452" spans="2:27" x14ac:dyDescent="0.2">
      <c r="B2452" s="4" t="s">
        <v>4037</v>
      </c>
      <c r="C2452" s="4">
        <v>13.729200000000001</v>
      </c>
      <c r="D2452" s="4">
        <v>13.0122</v>
      </c>
      <c r="E2452" s="4">
        <v>13.6958</v>
      </c>
      <c r="F2452" s="4">
        <f t="shared" si="152"/>
        <v>13.479066666666666</v>
      </c>
      <c r="I2452" s="4" t="s">
        <v>1514</v>
      </c>
      <c r="J2452" s="4">
        <v>12.703099999999999</v>
      </c>
      <c r="K2452" s="4">
        <v>13.4948</v>
      </c>
      <c r="L2452" s="4">
        <v>14.290699999999999</v>
      </c>
      <c r="M2452" s="4">
        <f t="shared" si="153"/>
        <v>13.4962</v>
      </c>
      <c r="P2452" s="4" t="str">
        <f>"T13H5.8"</f>
        <v>T13H5.8</v>
      </c>
      <c r="Q2452" s="4">
        <v>13.057560714601401</v>
      </c>
      <c r="R2452" s="4">
        <v>12.947513671067799</v>
      </c>
      <c r="S2452" s="4">
        <v>13.266202854597999</v>
      </c>
      <c r="T2452" s="4">
        <f t="shared" si="154"/>
        <v>13.090425746755733</v>
      </c>
      <c r="W2452" s="4" t="str">
        <f>"Y58A7A.3"</f>
        <v>Y58A7A.3</v>
      </c>
      <c r="X2452" s="4">
        <v>13.0378865777977</v>
      </c>
      <c r="Y2452" s="4">
        <v>13.140598432701401</v>
      </c>
      <c r="Z2452" s="4">
        <v>13.167527118379599</v>
      </c>
      <c r="AA2452" s="4">
        <f t="shared" si="155"/>
        <v>13.115337376292899</v>
      </c>
    </row>
    <row r="2453" spans="2:27" x14ac:dyDescent="0.2">
      <c r="B2453" s="4" t="s">
        <v>1389</v>
      </c>
      <c r="C2453" s="4">
        <v>13.4617</v>
      </c>
      <c r="D2453" s="4">
        <v>13.7349</v>
      </c>
      <c r="E2453" s="4">
        <v>13.2392</v>
      </c>
      <c r="F2453" s="4">
        <f t="shared" si="152"/>
        <v>13.4786</v>
      </c>
      <c r="I2453" s="4" t="s">
        <v>4596</v>
      </c>
      <c r="J2453" s="4">
        <v>13.5623</v>
      </c>
      <c r="K2453" s="4">
        <v>13.6629</v>
      </c>
      <c r="L2453" s="4">
        <v>13.2578</v>
      </c>
      <c r="M2453" s="4">
        <f t="shared" si="153"/>
        <v>13.494333333333335</v>
      </c>
      <c r="P2453" s="4" t="str">
        <f>"Y47G6A.5"</f>
        <v>Y47G6A.5</v>
      </c>
      <c r="Q2453" s="4">
        <v>12.704395818347599</v>
      </c>
      <c r="R2453" s="4">
        <v>13.378343872766299</v>
      </c>
      <c r="S2453" s="4">
        <v>13.1860794934768</v>
      </c>
      <c r="T2453" s="4">
        <f t="shared" si="154"/>
        <v>13.089606394863566</v>
      </c>
      <c r="W2453" s="4" t="str">
        <f>"metr-1"</f>
        <v>metr-1</v>
      </c>
      <c r="X2453" s="4">
        <v>13.4224770908379</v>
      </c>
      <c r="Y2453" s="4">
        <v>13.161646710328499</v>
      </c>
      <c r="Z2453" s="4">
        <v>12.7517490333742</v>
      </c>
      <c r="AA2453" s="4">
        <f t="shared" si="155"/>
        <v>13.111957611513532</v>
      </c>
    </row>
    <row r="2454" spans="2:27" x14ac:dyDescent="0.2">
      <c r="B2454" s="4" t="s">
        <v>925</v>
      </c>
      <c r="C2454" s="4">
        <v>13.539400000000001</v>
      </c>
      <c r="D2454" s="4">
        <v>13.5038</v>
      </c>
      <c r="E2454" s="4">
        <v>13.3842</v>
      </c>
      <c r="F2454" s="4">
        <f t="shared" si="152"/>
        <v>13.4758</v>
      </c>
      <c r="I2454" s="4" t="s">
        <v>939</v>
      </c>
      <c r="J2454" s="4">
        <v>13.157</v>
      </c>
      <c r="K2454" s="4">
        <v>13.5146</v>
      </c>
      <c r="L2454" s="4">
        <v>13.801600000000001</v>
      </c>
      <c r="M2454" s="4">
        <f t="shared" si="153"/>
        <v>13.491066666666667</v>
      </c>
      <c r="P2454" s="4" t="str">
        <f>"asah-1"</f>
        <v>asah-1</v>
      </c>
      <c r="Q2454" s="4">
        <v>12.941398177862901</v>
      </c>
      <c r="R2454" s="4">
        <v>13.1202782509925</v>
      </c>
      <c r="S2454" s="4">
        <v>13.2023208654886</v>
      </c>
      <c r="T2454" s="4">
        <f t="shared" si="154"/>
        <v>13.087999098114667</v>
      </c>
      <c r="W2454" s="4" t="str">
        <f>"Y39G8B.1"</f>
        <v>Y39G8B.1</v>
      </c>
      <c r="X2454" s="4">
        <v>13.309539810572501</v>
      </c>
      <c r="Y2454" s="4">
        <v>12.6791348093639</v>
      </c>
      <c r="Z2454" s="4">
        <v>13.3358560568704</v>
      </c>
      <c r="AA2454" s="4">
        <f t="shared" si="155"/>
        <v>13.108176892268935</v>
      </c>
    </row>
    <row r="2455" spans="2:27" x14ac:dyDescent="0.2">
      <c r="B2455" s="4" t="s">
        <v>2581</v>
      </c>
      <c r="C2455" s="4">
        <v>13.5853</v>
      </c>
      <c r="D2455" s="4">
        <v>13.5252</v>
      </c>
      <c r="E2455" s="4">
        <v>13.309100000000001</v>
      </c>
      <c r="F2455" s="4">
        <f t="shared" si="152"/>
        <v>13.4732</v>
      </c>
      <c r="I2455" s="4" t="s">
        <v>3509</v>
      </c>
      <c r="J2455" s="4">
        <v>13.689299999999999</v>
      </c>
      <c r="K2455" s="4">
        <v>13.400399999999999</v>
      </c>
      <c r="L2455" s="4">
        <v>13.3834</v>
      </c>
      <c r="M2455" s="4">
        <f t="shared" si="153"/>
        <v>13.491033333333334</v>
      </c>
      <c r="P2455" s="4" t="str">
        <f>"F25B4.7"</f>
        <v>F25B4.7</v>
      </c>
      <c r="Q2455" s="4">
        <v>12.844538735660199</v>
      </c>
      <c r="R2455" s="4">
        <v>13.142078523686299</v>
      </c>
      <c r="S2455" s="4">
        <v>13.269859608438299</v>
      </c>
      <c r="T2455" s="4">
        <f t="shared" si="154"/>
        <v>13.0854922892616</v>
      </c>
      <c r="W2455" s="4" t="str">
        <f>"M01F1.9"</f>
        <v>M01F1.9</v>
      </c>
      <c r="X2455" s="4">
        <v>12.8593146849954</v>
      </c>
      <c r="Y2455" s="4">
        <v>13.082317726799999</v>
      </c>
      <c r="Z2455" s="4">
        <v>13.380976656651301</v>
      </c>
      <c r="AA2455" s="4">
        <f t="shared" si="155"/>
        <v>13.1075363561489</v>
      </c>
    </row>
    <row r="2456" spans="2:27" x14ac:dyDescent="0.2">
      <c r="B2456" s="4" t="s">
        <v>4798</v>
      </c>
      <c r="C2456" s="4">
        <v>13.940799999999999</v>
      </c>
      <c r="D2456" s="4">
        <v>13.8268</v>
      </c>
      <c r="E2456" s="4">
        <v>12.6478</v>
      </c>
      <c r="F2456" s="4">
        <f t="shared" si="152"/>
        <v>13.471800000000002</v>
      </c>
      <c r="I2456" s="4" t="s">
        <v>2459</v>
      </c>
      <c r="J2456" s="4">
        <v>13.401400000000001</v>
      </c>
      <c r="K2456" s="4">
        <v>13.292400000000001</v>
      </c>
      <c r="L2456" s="4">
        <v>13.778499999999999</v>
      </c>
      <c r="M2456" s="4">
        <f t="shared" si="153"/>
        <v>13.490766666666667</v>
      </c>
      <c r="P2456" s="4" t="str">
        <f>"unc-68"</f>
        <v>unc-68</v>
      </c>
      <c r="Q2456" s="4">
        <v>13.0386647152317</v>
      </c>
      <c r="R2456" s="4">
        <v>13.0637454495594</v>
      </c>
      <c r="S2456" s="4">
        <v>13.1527416149823</v>
      </c>
      <c r="T2456" s="4">
        <f t="shared" si="154"/>
        <v>13.085050593257799</v>
      </c>
      <c r="W2456" s="4" t="str">
        <f>"C37H5.5"</f>
        <v>C37H5.5</v>
      </c>
      <c r="X2456" s="4">
        <v>12.815967394198999</v>
      </c>
      <c r="Y2456" s="4">
        <v>13.2525048689723</v>
      </c>
      <c r="Z2456" s="4">
        <v>13.253844233930399</v>
      </c>
      <c r="AA2456" s="4">
        <f t="shared" si="155"/>
        <v>13.107438832367235</v>
      </c>
    </row>
    <row r="2457" spans="2:27" x14ac:dyDescent="0.2">
      <c r="B2457" s="4" t="s">
        <v>1301</v>
      </c>
      <c r="C2457" s="4">
        <v>13.1267</v>
      </c>
      <c r="D2457" s="4">
        <v>13.816700000000001</v>
      </c>
      <c r="E2457" s="4">
        <v>13.471500000000001</v>
      </c>
      <c r="F2457" s="4">
        <f t="shared" si="152"/>
        <v>13.471633333333335</v>
      </c>
      <c r="I2457" s="4" t="s">
        <v>1290</v>
      </c>
      <c r="J2457" s="4">
        <v>13.167400000000001</v>
      </c>
      <c r="K2457" s="4">
        <v>13.695399999999999</v>
      </c>
      <c r="L2457" s="4">
        <v>13.6051</v>
      </c>
      <c r="M2457" s="4">
        <f t="shared" si="153"/>
        <v>13.4893</v>
      </c>
      <c r="P2457" s="4" t="str">
        <f>"skpo-1"</f>
        <v>skpo-1</v>
      </c>
      <c r="Q2457" s="4">
        <v>12.5870787006308</v>
      </c>
      <c r="R2457" s="4">
        <v>13.3578185184072</v>
      </c>
      <c r="S2457" s="4">
        <v>13.3073734875698</v>
      </c>
      <c r="T2457" s="4">
        <f t="shared" si="154"/>
        <v>13.084090235535932</v>
      </c>
      <c r="W2457" s="4" t="str">
        <f>"rmd-1"</f>
        <v>rmd-1</v>
      </c>
      <c r="X2457" s="4">
        <v>13.455911007898701</v>
      </c>
      <c r="Y2457" s="4">
        <v>13.1806085917628</v>
      </c>
      <c r="Z2457" s="4">
        <v>12.684641946700699</v>
      </c>
      <c r="AA2457" s="4">
        <f t="shared" si="155"/>
        <v>13.1070538487874</v>
      </c>
    </row>
    <row r="2458" spans="2:27" x14ac:dyDescent="0.2">
      <c r="B2458" s="4" t="s">
        <v>1595</v>
      </c>
      <c r="C2458" s="4">
        <v>13.378399999999999</v>
      </c>
      <c r="D2458" s="4">
        <v>13.6953</v>
      </c>
      <c r="E2458" s="4">
        <v>13.341100000000001</v>
      </c>
      <c r="F2458" s="4">
        <f t="shared" si="152"/>
        <v>13.4716</v>
      </c>
      <c r="I2458" s="4" t="s">
        <v>4799</v>
      </c>
      <c r="J2458" s="4">
        <v>13.392899999999999</v>
      </c>
      <c r="K2458" s="4">
        <v>12.9885</v>
      </c>
      <c r="L2458" s="4">
        <v>14.0848</v>
      </c>
      <c r="M2458" s="4">
        <f t="shared" si="153"/>
        <v>13.488733333333334</v>
      </c>
      <c r="P2458" s="4" t="str">
        <f>"glna-1"</f>
        <v>glna-1</v>
      </c>
      <c r="Q2458" s="4">
        <v>13.093473766882999</v>
      </c>
      <c r="R2458" s="4">
        <v>13.050582463962799</v>
      </c>
      <c r="S2458" s="4">
        <v>13.105734146786</v>
      </c>
      <c r="T2458" s="4">
        <f t="shared" si="154"/>
        <v>13.083263459210599</v>
      </c>
      <c r="W2458" s="4" t="str">
        <f>"nxt-1"</f>
        <v>nxt-1</v>
      </c>
      <c r="X2458" s="4">
        <v>13.189587140807101</v>
      </c>
      <c r="Y2458" s="4">
        <v>13.044708439193</v>
      </c>
      <c r="Z2458" s="4">
        <v>13.0859982174386</v>
      </c>
      <c r="AA2458" s="4">
        <f t="shared" si="155"/>
        <v>13.106764599146233</v>
      </c>
    </row>
    <row r="2459" spans="2:27" x14ac:dyDescent="0.2">
      <c r="B2459" s="4" t="s">
        <v>3735</v>
      </c>
      <c r="C2459" s="4">
        <v>13.4247</v>
      </c>
      <c r="D2459" s="4">
        <v>13.776</v>
      </c>
      <c r="E2459" s="4">
        <v>13.205</v>
      </c>
      <c r="F2459" s="4">
        <f t="shared" si="152"/>
        <v>13.468566666666666</v>
      </c>
      <c r="I2459" s="4" t="s">
        <v>194</v>
      </c>
      <c r="J2459" s="4">
        <v>14.0158</v>
      </c>
      <c r="K2459" s="4">
        <v>13.3401</v>
      </c>
      <c r="L2459" s="4">
        <v>13.1037</v>
      </c>
      <c r="M2459" s="4">
        <f t="shared" si="153"/>
        <v>13.486533333333332</v>
      </c>
      <c r="P2459" s="4" t="str">
        <f>"wdr-48"</f>
        <v>wdr-48</v>
      </c>
      <c r="Q2459" s="4">
        <v>13.039886049057101</v>
      </c>
      <c r="R2459" s="4">
        <v>12.8306454959831</v>
      </c>
      <c r="S2459" s="4">
        <v>13.3792475238601</v>
      </c>
      <c r="T2459" s="4">
        <f t="shared" si="154"/>
        <v>13.083259689633435</v>
      </c>
      <c r="W2459" s="4" t="str">
        <f>"F10E9.4"</f>
        <v>F10E9.4</v>
      </c>
      <c r="X2459" s="4">
        <v>12.7997301298583</v>
      </c>
      <c r="Y2459" s="4">
        <v>13.047038907534599</v>
      </c>
      <c r="Z2459" s="4">
        <v>13.4669720506527</v>
      </c>
      <c r="AA2459" s="4">
        <f t="shared" si="155"/>
        <v>13.104580362681867</v>
      </c>
    </row>
    <row r="2460" spans="2:27" x14ac:dyDescent="0.2">
      <c r="B2460" s="4" t="s">
        <v>4800</v>
      </c>
      <c r="C2460" s="4">
        <v>13.668799999999999</v>
      </c>
      <c r="D2460" s="4">
        <v>13.2666</v>
      </c>
      <c r="E2460" s="4">
        <v>13.4657</v>
      </c>
      <c r="F2460" s="4">
        <f t="shared" si="152"/>
        <v>13.467033333333333</v>
      </c>
      <c r="I2460" s="4" t="s">
        <v>2201</v>
      </c>
      <c r="J2460" s="4">
        <v>13.375</v>
      </c>
      <c r="K2460" s="4">
        <v>13.5985</v>
      </c>
      <c r="L2460" s="4">
        <v>13.485200000000001</v>
      </c>
      <c r="M2460" s="4">
        <f t="shared" si="153"/>
        <v>13.486233333333333</v>
      </c>
      <c r="P2460" s="4" t="str">
        <f>"mlk-1"</f>
        <v>mlk-1</v>
      </c>
      <c r="Q2460" s="4">
        <v>13.1543579032965</v>
      </c>
      <c r="R2460" s="4">
        <v>13.269454882398099</v>
      </c>
      <c r="S2460" s="4">
        <v>12.820809618689299</v>
      </c>
      <c r="T2460" s="4">
        <f t="shared" si="154"/>
        <v>13.081540801461301</v>
      </c>
      <c r="W2460" s="4" t="str">
        <f>"C27B7.5"</f>
        <v>C27B7.5</v>
      </c>
      <c r="X2460" s="4">
        <v>13.035320939354101</v>
      </c>
      <c r="Y2460" s="4">
        <v>13.2025358428229</v>
      </c>
      <c r="Z2460" s="4">
        <v>13.0691195793743</v>
      </c>
      <c r="AA2460" s="4">
        <f t="shared" si="155"/>
        <v>13.102325453850433</v>
      </c>
    </row>
    <row r="2461" spans="2:27" x14ac:dyDescent="0.2">
      <c r="B2461" s="4" t="s">
        <v>4801</v>
      </c>
      <c r="C2461" s="4">
        <v>13.1973</v>
      </c>
      <c r="D2461" s="4">
        <v>13.319800000000001</v>
      </c>
      <c r="E2461" s="4">
        <v>13.878299999999999</v>
      </c>
      <c r="F2461" s="4">
        <f t="shared" si="152"/>
        <v>13.465133333333332</v>
      </c>
      <c r="I2461" s="4" t="s">
        <v>76</v>
      </c>
      <c r="J2461" s="4">
        <v>13.873699999999999</v>
      </c>
      <c r="K2461" s="4">
        <v>13.7113</v>
      </c>
      <c r="L2461" s="4">
        <v>12.851800000000001</v>
      </c>
      <c r="M2461" s="4">
        <f t="shared" si="153"/>
        <v>13.478933333333336</v>
      </c>
      <c r="P2461" s="4" t="str">
        <f>"gyg-1"</f>
        <v>gyg-1</v>
      </c>
      <c r="Q2461" s="4">
        <v>12.957812663630399</v>
      </c>
      <c r="R2461" s="4">
        <v>13.071278831949799</v>
      </c>
      <c r="S2461" s="4">
        <v>13.2113473866091</v>
      </c>
      <c r="T2461" s="4">
        <f t="shared" si="154"/>
        <v>13.080146294063098</v>
      </c>
      <c r="W2461" s="4" t="str">
        <f>"vha-10"</f>
        <v>vha-10</v>
      </c>
      <c r="X2461" s="4">
        <v>13.687077768138099</v>
      </c>
      <c r="Y2461" s="4">
        <v>13.1413968606784</v>
      </c>
      <c r="Z2461" s="4">
        <v>12.4778678981081</v>
      </c>
      <c r="AA2461" s="4">
        <f t="shared" si="155"/>
        <v>13.102114175641534</v>
      </c>
    </row>
    <row r="2462" spans="2:27" x14ac:dyDescent="0.2">
      <c r="B2462" s="4" t="s">
        <v>3627</v>
      </c>
      <c r="C2462" s="4">
        <v>13.288600000000001</v>
      </c>
      <c r="D2462" s="4">
        <v>13.6478</v>
      </c>
      <c r="E2462" s="4">
        <v>13.4587</v>
      </c>
      <c r="F2462" s="4">
        <f t="shared" si="152"/>
        <v>13.465033333333333</v>
      </c>
      <c r="I2462" s="4" t="s">
        <v>2894</v>
      </c>
      <c r="J2462" s="4">
        <v>13.4359</v>
      </c>
      <c r="K2462" s="4">
        <v>13.796200000000001</v>
      </c>
      <c r="L2462" s="4">
        <v>13.204499999999999</v>
      </c>
      <c r="M2462" s="4">
        <f t="shared" si="153"/>
        <v>13.478866666666667</v>
      </c>
      <c r="P2462" s="4" t="str">
        <f>"xrn-1"</f>
        <v>xrn-1</v>
      </c>
      <c r="Q2462" s="4">
        <v>13.412284093875</v>
      </c>
      <c r="R2462" s="4">
        <v>13.065943432255199</v>
      </c>
      <c r="S2462" s="4">
        <v>12.759135411846399</v>
      </c>
      <c r="T2462" s="4">
        <f t="shared" si="154"/>
        <v>13.079120979325532</v>
      </c>
      <c r="W2462" s="4" t="str">
        <f>"Y47H10A.5"</f>
        <v>Y47H10A.5</v>
      </c>
      <c r="X2462" s="4">
        <v>13.292879517616599</v>
      </c>
      <c r="Y2462" s="4">
        <v>13.1611148958897</v>
      </c>
      <c r="Z2462" s="4">
        <v>12.849757901446701</v>
      </c>
      <c r="AA2462" s="4">
        <f t="shared" si="155"/>
        <v>13.101250771651001</v>
      </c>
    </row>
    <row r="2463" spans="2:27" x14ac:dyDescent="0.2">
      <c r="B2463" s="4" t="s">
        <v>4615</v>
      </c>
      <c r="C2463" s="4">
        <v>13.2399</v>
      </c>
      <c r="D2463" s="4">
        <v>13.548999999999999</v>
      </c>
      <c r="E2463" s="4">
        <v>13.6036</v>
      </c>
      <c r="F2463" s="4">
        <f t="shared" si="152"/>
        <v>13.464166666666666</v>
      </c>
      <c r="I2463" s="4" t="s">
        <v>3166</v>
      </c>
      <c r="J2463" s="4">
        <v>13.768700000000001</v>
      </c>
      <c r="K2463" s="4">
        <v>13.3399</v>
      </c>
      <c r="L2463" s="4">
        <v>13.3222</v>
      </c>
      <c r="M2463" s="4">
        <f t="shared" si="153"/>
        <v>13.476933333333335</v>
      </c>
      <c r="P2463" s="4" t="str">
        <f>"nhx-2"</f>
        <v>nhx-2</v>
      </c>
      <c r="Q2463" s="4">
        <v>12.964282609112701</v>
      </c>
      <c r="R2463" s="4">
        <v>13.0503135584453</v>
      </c>
      <c r="S2463" s="4">
        <v>13.220411711383599</v>
      </c>
      <c r="T2463" s="4">
        <f t="shared" si="154"/>
        <v>13.0783359596472</v>
      </c>
      <c r="W2463" s="4" t="str">
        <f>"cdl-1"</f>
        <v>cdl-1</v>
      </c>
      <c r="X2463" s="4">
        <v>12.9888246008213</v>
      </c>
      <c r="Y2463" s="4">
        <v>13.105415215125101</v>
      </c>
      <c r="Z2463" s="4">
        <v>13.207809228886299</v>
      </c>
      <c r="AA2463" s="4">
        <f t="shared" si="155"/>
        <v>13.100683014944233</v>
      </c>
    </row>
    <row r="2464" spans="2:27" x14ac:dyDescent="0.2">
      <c r="B2464" s="4" t="s">
        <v>1268</v>
      </c>
      <c r="C2464" s="4">
        <v>13.276899999999999</v>
      </c>
      <c r="D2464" s="4">
        <v>13.457700000000001</v>
      </c>
      <c r="E2464" s="4">
        <v>13.6472</v>
      </c>
      <c r="F2464" s="4">
        <f t="shared" si="152"/>
        <v>13.460599999999999</v>
      </c>
      <c r="I2464" s="4" t="s">
        <v>3134</v>
      </c>
      <c r="J2464" s="4">
        <v>13.4636</v>
      </c>
      <c r="K2464" s="4">
        <v>13.0167</v>
      </c>
      <c r="L2464" s="4">
        <v>13.9297</v>
      </c>
      <c r="M2464" s="4">
        <f t="shared" si="153"/>
        <v>13.469999999999999</v>
      </c>
      <c r="P2464" s="4" t="str">
        <f>"dpf-5"</f>
        <v>dpf-5</v>
      </c>
      <c r="Q2464" s="4">
        <v>13.059591386181101</v>
      </c>
      <c r="R2464" s="4">
        <v>13.0652475725554</v>
      </c>
      <c r="S2464" s="4">
        <v>13.109746008841601</v>
      </c>
      <c r="T2464" s="4">
        <f t="shared" si="154"/>
        <v>13.078194989192701</v>
      </c>
      <c r="W2464" s="4" t="str">
        <f>"fbxa-4"</f>
        <v>fbxa-4</v>
      </c>
      <c r="X2464" s="4">
        <v>13.491304439472</v>
      </c>
      <c r="Y2464" s="4">
        <v>12.875969945281399</v>
      </c>
      <c r="Z2464" s="4">
        <v>12.9321524033519</v>
      </c>
      <c r="AA2464" s="4">
        <f t="shared" si="155"/>
        <v>13.099808929368434</v>
      </c>
    </row>
    <row r="2465" spans="2:27" x14ac:dyDescent="0.2">
      <c r="B2465" s="4" t="s">
        <v>1169</v>
      </c>
      <c r="C2465" s="4">
        <v>13.421900000000001</v>
      </c>
      <c r="D2465" s="4">
        <v>13.4506</v>
      </c>
      <c r="E2465" s="4">
        <v>13.507199999999999</v>
      </c>
      <c r="F2465" s="4">
        <f t="shared" si="152"/>
        <v>13.459899999999999</v>
      </c>
      <c r="I2465" s="4" t="s">
        <v>1447</v>
      </c>
      <c r="J2465" s="4">
        <v>13.6004</v>
      </c>
      <c r="K2465" s="4">
        <v>13.247999999999999</v>
      </c>
      <c r="L2465" s="4">
        <v>13.553900000000001</v>
      </c>
      <c r="M2465" s="4">
        <f t="shared" si="153"/>
        <v>13.467433333333332</v>
      </c>
      <c r="P2465" s="4" t="str">
        <f>"bgal-1"</f>
        <v>bgal-1</v>
      </c>
      <c r="Q2465" s="4">
        <v>13.395889992419599</v>
      </c>
      <c r="R2465" s="4">
        <v>12.9284883504492</v>
      </c>
      <c r="S2465" s="4">
        <v>12.9035546694196</v>
      </c>
      <c r="T2465" s="4">
        <f t="shared" si="154"/>
        <v>13.075977670762798</v>
      </c>
      <c r="W2465" s="4" t="str">
        <f>"gpb-1"</f>
        <v>gpb-1</v>
      </c>
      <c r="X2465" s="4">
        <v>12.882121252174301</v>
      </c>
      <c r="Y2465" s="4">
        <v>12.6728437639334</v>
      </c>
      <c r="Z2465" s="4">
        <v>13.742568421191899</v>
      </c>
      <c r="AA2465" s="4">
        <f t="shared" si="155"/>
        <v>13.099177812433199</v>
      </c>
    </row>
    <row r="2466" spans="2:27" x14ac:dyDescent="0.2">
      <c r="B2466" s="4" t="s">
        <v>1614</v>
      </c>
      <c r="C2466" s="4">
        <v>13.371600000000001</v>
      </c>
      <c r="D2466" s="4">
        <v>13.5678</v>
      </c>
      <c r="E2466" s="4">
        <v>13.433299999999999</v>
      </c>
      <c r="F2466" s="4">
        <f t="shared" si="152"/>
        <v>13.457566666666665</v>
      </c>
      <c r="I2466" s="4" t="s">
        <v>4040</v>
      </c>
      <c r="J2466" s="4">
        <v>13.406599999999999</v>
      </c>
      <c r="K2466" s="4">
        <v>12.8155</v>
      </c>
      <c r="L2466" s="4">
        <v>14.179500000000001</v>
      </c>
      <c r="M2466" s="4">
        <f t="shared" si="153"/>
        <v>13.4672</v>
      </c>
      <c r="P2466" s="4" t="str">
        <f>"ver-3"</f>
        <v>ver-3</v>
      </c>
      <c r="Q2466" s="4">
        <v>12.884494520431099</v>
      </c>
      <c r="R2466" s="4">
        <v>12.997589644306199</v>
      </c>
      <c r="S2466" s="4">
        <v>13.338157889605901</v>
      </c>
      <c r="T2466" s="4">
        <f t="shared" si="154"/>
        <v>13.0734140181144</v>
      </c>
      <c r="W2466" s="4" t="str">
        <f>"epg-5"</f>
        <v>epg-5</v>
      </c>
      <c r="X2466" s="4">
        <v>13.2233062184247</v>
      </c>
      <c r="Y2466" s="4">
        <v>13.225742627513601</v>
      </c>
      <c r="Z2466" s="4">
        <v>12.846954819567999</v>
      </c>
      <c r="AA2466" s="4">
        <f t="shared" si="155"/>
        <v>13.098667888502099</v>
      </c>
    </row>
    <row r="2467" spans="2:27" x14ac:dyDescent="0.2">
      <c r="B2467" s="4" t="s">
        <v>526</v>
      </c>
      <c r="C2467" s="4">
        <v>13.2501</v>
      </c>
      <c r="D2467" s="4">
        <v>13.8894</v>
      </c>
      <c r="E2467" s="4">
        <v>13.232200000000001</v>
      </c>
      <c r="F2467" s="4">
        <f t="shared" si="152"/>
        <v>13.457233333333333</v>
      </c>
      <c r="I2467" s="4" t="s">
        <v>3950</v>
      </c>
      <c r="J2467" s="4">
        <v>13.412100000000001</v>
      </c>
      <c r="K2467" s="4">
        <v>13.2584</v>
      </c>
      <c r="L2467" s="4">
        <v>13.7247</v>
      </c>
      <c r="M2467" s="4">
        <f t="shared" si="153"/>
        <v>13.465066666666667</v>
      </c>
      <c r="P2467" s="4" t="str">
        <f>"ubr-5"</f>
        <v>ubr-5</v>
      </c>
      <c r="Q2467" s="4">
        <v>13.005301792797599</v>
      </c>
      <c r="R2467" s="4">
        <v>13.1978790622268</v>
      </c>
      <c r="S2467" s="4">
        <v>13.014765995656999</v>
      </c>
      <c r="T2467" s="4">
        <f t="shared" si="154"/>
        <v>13.072648950227133</v>
      </c>
      <c r="W2467" s="4" t="str">
        <f>"hpo-10"</f>
        <v>hpo-10</v>
      </c>
      <c r="X2467" s="4">
        <v>13.0627201296614</v>
      </c>
      <c r="Y2467" s="4">
        <v>13.150372627575701</v>
      </c>
      <c r="Z2467" s="4">
        <v>13.072678691490401</v>
      </c>
      <c r="AA2467" s="4">
        <f t="shared" si="155"/>
        <v>13.095257149575835</v>
      </c>
    </row>
    <row r="2468" spans="2:27" x14ac:dyDescent="0.2">
      <c r="B2468" s="4" t="s">
        <v>4802</v>
      </c>
      <c r="C2468" s="4">
        <v>13.3895</v>
      </c>
      <c r="D2468" s="4">
        <v>13.5306</v>
      </c>
      <c r="E2468" s="4">
        <v>13.447100000000001</v>
      </c>
      <c r="F2468" s="4">
        <f t="shared" si="152"/>
        <v>13.455733333333333</v>
      </c>
      <c r="I2468" s="4" t="s">
        <v>4766</v>
      </c>
      <c r="J2468" s="4">
        <v>14.0702</v>
      </c>
      <c r="K2468" s="4">
        <v>13.6082</v>
      </c>
      <c r="L2468" s="4">
        <v>12.714399999999999</v>
      </c>
      <c r="M2468" s="4">
        <f t="shared" si="153"/>
        <v>13.464266666666667</v>
      </c>
      <c r="P2468" s="4" t="str">
        <f>"ugt-64"</f>
        <v>ugt-64</v>
      </c>
      <c r="Q2468" s="4">
        <v>13.041502950200201</v>
      </c>
      <c r="R2468" s="4">
        <v>13.0819441505404</v>
      </c>
      <c r="S2468" s="4">
        <v>13.089929648111699</v>
      </c>
      <c r="T2468" s="4">
        <f t="shared" si="154"/>
        <v>13.071125582950765</v>
      </c>
      <c r="W2468" s="4" t="str">
        <f>"abhd-12"</f>
        <v>abhd-12</v>
      </c>
      <c r="X2468" s="4">
        <v>12.9658618493752</v>
      </c>
      <c r="Y2468" s="4">
        <v>13.3531763558407</v>
      </c>
      <c r="Z2468" s="4">
        <v>12.9618521171453</v>
      </c>
      <c r="AA2468" s="4">
        <f t="shared" si="155"/>
        <v>13.093630107453734</v>
      </c>
    </row>
    <row r="2469" spans="2:27" x14ac:dyDescent="0.2">
      <c r="B2469" s="4" t="s">
        <v>2742</v>
      </c>
      <c r="C2469" s="4">
        <v>13.4026</v>
      </c>
      <c r="D2469" s="4">
        <v>13.504300000000001</v>
      </c>
      <c r="E2469" s="4">
        <v>13.4536</v>
      </c>
      <c r="F2469" s="4">
        <f t="shared" si="152"/>
        <v>13.4535</v>
      </c>
      <c r="I2469" s="4" t="s">
        <v>3359</v>
      </c>
      <c r="J2469" s="4">
        <v>13.4352</v>
      </c>
      <c r="K2469" s="4">
        <v>13.265499999999999</v>
      </c>
      <c r="L2469" s="4">
        <v>13.6875</v>
      </c>
      <c r="M2469" s="4">
        <f t="shared" si="153"/>
        <v>13.462733333333333</v>
      </c>
      <c r="P2469" s="4" t="str">
        <f>"vps-15"</f>
        <v>vps-15</v>
      </c>
      <c r="Q2469" s="4">
        <v>12.827583015394</v>
      </c>
      <c r="R2469" s="4">
        <v>13.056187622268199</v>
      </c>
      <c r="S2469" s="4">
        <v>13.326441632907599</v>
      </c>
      <c r="T2469" s="4">
        <f t="shared" si="154"/>
        <v>13.0700707568566</v>
      </c>
      <c r="W2469" s="4" t="str">
        <f>"exc-1"</f>
        <v>exc-1</v>
      </c>
      <c r="X2469" s="4">
        <v>13.0632291613758</v>
      </c>
      <c r="Y2469" s="4">
        <v>13.0259720868487</v>
      </c>
      <c r="Z2469" s="4">
        <v>13.189902844314</v>
      </c>
      <c r="AA2469" s="4">
        <f t="shared" si="155"/>
        <v>13.093034697512833</v>
      </c>
    </row>
    <row r="2470" spans="2:27" x14ac:dyDescent="0.2">
      <c r="B2470" s="4" t="s">
        <v>3717</v>
      </c>
      <c r="C2470" s="4">
        <v>13.3872</v>
      </c>
      <c r="D2470" s="4">
        <v>13.755800000000001</v>
      </c>
      <c r="E2470" s="4">
        <v>13.216699999999999</v>
      </c>
      <c r="F2470" s="4">
        <f t="shared" si="152"/>
        <v>13.453233333333335</v>
      </c>
      <c r="I2470" s="4" t="s">
        <v>3036</v>
      </c>
      <c r="J2470" s="4">
        <v>13.494</v>
      </c>
      <c r="K2470" s="4">
        <v>13.758699999999999</v>
      </c>
      <c r="L2470" s="4">
        <v>13.134499999999999</v>
      </c>
      <c r="M2470" s="4">
        <f t="shared" si="153"/>
        <v>13.462399999999997</v>
      </c>
      <c r="P2470" s="4" t="str">
        <f>"R186.3"</f>
        <v>R186.3</v>
      </c>
      <c r="Q2470" s="4">
        <v>13.0947822151227</v>
      </c>
      <c r="R2470" s="4">
        <v>13.1746122193115</v>
      </c>
      <c r="S2470" s="4">
        <v>12.935069742009</v>
      </c>
      <c r="T2470" s="4">
        <f t="shared" si="154"/>
        <v>13.068154725481067</v>
      </c>
      <c r="W2470" s="4" t="str">
        <f>"aos-1"</f>
        <v>aos-1</v>
      </c>
      <c r="X2470" s="4">
        <v>12.960104728505801</v>
      </c>
      <c r="Y2470" s="4">
        <v>13.1550361436299</v>
      </c>
      <c r="Z2470" s="4">
        <v>13.1622219651411</v>
      </c>
      <c r="AA2470" s="4">
        <f t="shared" si="155"/>
        <v>13.092454279092266</v>
      </c>
    </row>
    <row r="2471" spans="2:27" x14ac:dyDescent="0.2">
      <c r="B2471" s="4" t="s">
        <v>2562</v>
      </c>
      <c r="C2471" s="4">
        <v>13.277900000000001</v>
      </c>
      <c r="D2471" s="4">
        <v>13.5535</v>
      </c>
      <c r="E2471" s="4">
        <v>13.5283</v>
      </c>
      <c r="F2471" s="4">
        <f t="shared" si="152"/>
        <v>13.453233333333335</v>
      </c>
      <c r="I2471" s="4" t="s">
        <v>4066</v>
      </c>
      <c r="J2471" s="4">
        <v>13.1586</v>
      </c>
      <c r="K2471" s="4">
        <v>13.928900000000001</v>
      </c>
      <c r="L2471" s="4">
        <v>13.295</v>
      </c>
      <c r="M2471" s="4">
        <f t="shared" si="153"/>
        <v>13.460833333333333</v>
      </c>
      <c r="P2471" s="4" t="str">
        <f>"F07F6.4"</f>
        <v>F07F6.4</v>
      </c>
      <c r="Q2471" s="4">
        <v>13.2455858594282</v>
      </c>
      <c r="R2471" s="4">
        <v>12.6809864373975</v>
      </c>
      <c r="S2471" s="4">
        <v>13.268485367324001</v>
      </c>
      <c r="T2471" s="4">
        <f t="shared" si="154"/>
        <v>13.065019221383233</v>
      </c>
      <c r="W2471" s="4" t="str">
        <f>"Y43C5B.3"</f>
        <v>Y43C5B.3</v>
      </c>
      <c r="X2471" s="4">
        <v>13.2813578504947</v>
      </c>
      <c r="Y2471" s="4">
        <v>13.040416017393699</v>
      </c>
      <c r="Z2471" s="4">
        <v>12.953160791294099</v>
      </c>
      <c r="AA2471" s="4">
        <f t="shared" si="155"/>
        <v>13.091644886394166</v>
      </c>
    </row>
    <row r="2472" spans="2:27" x14ac:dyDescent="0.2">
      <c r="B2472" s="4" t="s">
        <v>4589</v>
      </c>
      <c r="C2472" s="4">
        <v>13.616199999999999</v>
      </c>
      <c r="D2472" s="4">
        <v>13.4033</v>
      </c>
      <c r="E2472" s="4">
        <v>13.3361</v>
      </c>
      <c r="F2472" s="4">
        <f t="shared" si="152"/>
        <v>13.451866666666668</v>
      </c>
      <c r="I2472" s="4" t="s">
        <v>2213</v>
      </c>
      <c r="J2472" s="4">
        <v>13.4716</v>
      </c>
      <c r="K2472" s="4">
        <v>13.3916</v>
      </c>
      <c r="L2472" s="4">
        <v>13.5185</v>
      </c>
      <c r="M2472" s="4">
        <f t="shared" si="153"/>
        <v>13.460566666666665</v>
      </c>
      <c r="P2472" s="4" t="str">
        <f>"ints-3"</f>
        <v>ints-3</v>
      </c>
      <c r="Q2472" s="4">
        <v>12.850504259283101</v>
      </c>
      <c r="R2472" s="4">
        <v>13.2764480787833</v>
      </c>
      <c r="S2472" s="4">
        <v>13.067368070420301</v>
      </c>
      <c r="T2472" s="4">
        <f t="shared" si="154"/>
        <v>13.064773469495568</v>
      </c>
      <c r="W2472" s="4" t="str">
        <f>"grl-9"</f>
        <v>grl-9</v>
      </c>
      <c r="X2472" s="4">
        <v>11.973027123544799</v>
      </c>
      <c r="Y2472" s="4">
        <v>13.5404859897207</v>
      </c>
      <c r="Z2472" s="4">
        <v>13.7568986844318</v>
      </c>
      <c r="AA2472" s="4">
        <f t="shared" si="155"/>
        <v>13.0901372658991</v>
      </c>
    </row>
    <row r="2473" spans="2:27" x14ac:dyDescent="0.2">
      <c r="B2473" s="4" t="s">
        <v>2448</v>
      </c>
      <c r="C2473" s="4">
        <v>13.482900000000001</v>
      </c>
      <c r="D2473" s="4">
        <v>13.370200000000001</v>
      </c>
      <c r="E2473" s="4">
        <v>13.5024</v>
      </c>
      <c r="F2473" s="4">
        <f t="shared" si="152"/>
        <v>13.451833333333333</v>
      </c>
      <c r="I2473" s="4" t="s">
        <v>1590</v>
      </c>
      <c r="J2473" s="4">
        <v>13.575699999999999</v>
      </c>
      <c r="K2473" s="4">
        <v>13.369899999999999</v>
      </c>
      <c r="L2473" s="4">
        <v>13.4316</v>
      </c>
      <c r="M2473" s="4">
        <f t="shared" si="153"/>
        <v>13.459066666666667</v>
      </c>
      <c r="P2473" s="4" t="str">
        <f>"nlt-1"</f>
        <v>nlt-1</v>
      </c>
      <c r="Q2473" s="4">
        <v>13.8824057392908</v>
      </c>
      <c r="R2473" s="4">
        <v>12.862537281850599</v>
      </c>
      <c r="S2473" s="4">
        <v>12.445622178156</v>
      </c>
      <c r="T2473" s="4">
        <f t="shared" si="154"/>
        <v>13.063521733099131</v>
      </c>
      <c r="W2473" s="4" t="str">
        <f>"Y39B6A.3"</f>
        <v>Y39B6A.3</v>
      </c>
      <c r="X2473" s="4">
        <v>12.534556503731</v>
      </c>
      <c r="Y2473" s="4">
        <v>13.2104703448622</v>
      </c>
      <c r="Z2473" s="4">
        <v>13.524208896711199</v>
      </c>
      <c r="AA2473" s="4">
        <f t="shared" si="155"/>
        <v>13.0897452484348</v>
      </c>
    </row>
    <row r="2474" spans="2:27" x14ac:dyDescent="0.2">
      <c r="B2474" s="4" t="s">
        <v>1441</v>
      </c>
      <c r="C2474" s="4">
        <v>13.2803</v>
      </c>
      <c r="D2474" s="4">
        <v>13.5223</v>
      </c>
      <c r="E2474" s="4">
        <v>13.5528</v>
      </c>
      <c r="F2474" s="4">
        <f t="shared" si="152"/>
        <v>13.451799999999999</v>
      </c>
      <c r="I2474" s="4" t="s">
        <v>1301</v>
      </c>
      <c r="J2474" s="4">
        <v>13.617699999999999</v>
      </c>
      <c r="K2474" s="4">
        <v>13.5181</v>
      </c>
      <c r="L2474" s="4">
        <v>13.228400000000001</v>
      </c>
      <c r="M2474" s="4">
        <f t="shared" si="153"/>
        <v>13.454733333333332</v>
      </c>
      <c r="P2474" s="4" t="str">
        <f>"otpl-4"</f>
        <v>otpl-4</v>
      </c>
      <c r="Q2474" s="4">
        <v>12.6958102420529</v>
      </c>
      <c r="R2474" s="4">
        <v>13.093272234683001</v>
      </c>
      <c r="S2474" s="4">
        <v>13.3989568380596</v>
      </c>
      <c r="T2474" s="4">
        <f t="shared" si="154"/>
        <v>13.062679771598502</v>
      </c>
      <c r="W2474" s="4" t="str">
        <f>"vps-8"</f>
        <v>vps-8</v>
      </c>
      <c r="X2474" s="4">
        <v>13.1221678614538</v>
      </c>
      <c r="Y2474" s="4">
        <v>13.200687179427399</v>
      </c>
      <c r="Z2474" s="4">
        <v>12.9427658558517</v>
      </c>
      <c r="AA2474" s="4">
        <f t="shared" si="155"/>
        <v>13.088540298910965</v>
      </c>
    </row>
    <row r="2475" spans="2:27" x14ac:dyDescent="0.2">
      <c r="B2475" s="4" t="s">
        <v>2770</v>
      </c>
      <c r="C2475" s="4">
        <v>13.719900000000001</v>
      </c>
      <c r="D2475" s="4">
        <v>12.9648</v>
      </c>
      <c r="E2475" s="4">
        <v>13.670500000000001</v>
      </c>
      <c r="F2475" s="4">
        <f t="shared" si="152"/>
        <v>13.451733333333332</v>
      </c>
      <c r="I2475" s="4" t="s">
        <v>3368</v>
      </c>
      <c r="J2475" s="4">
        <v>13.507300000000001</v>
      </c>
      <c r="K2475" s="4">
        <v>13.1707</v>
      </c>
      <c r="L2475" s="4">
        <v>13.6823</v>
      </c>
      <c r="M2475" s="4">
        <f t="shared" si="153"/>
        <v>13.453433333333335</v>
      </c>
      <c r="P2475" s="4" t="str">
        <f>"metr-1"</f>
        <v>metr-1</v>
      </c>
      <c r="Q2475" s="4">
        <v>13.1023670283834</v>
      </c>
      <c r="R2475" s="4">
        <v>13.2493372708935</v>
      </c>
      <c r="S2475" s="4">
        <v>12.8348372798315</v>
      </c>
      <c r="T2475" s="4">
        <f t="shared" si="154"/>
        <v>13.062180526369467</v>
      </c>
      <c r="W2475" s="4" t="str">
        <f>"dcaf-13"</f>
        <v>dcaf-13</v>
      </c>
      <c r="X2475" s="4">
        <v>13.106065007604601</v>
      </c>
      <c r="Y2475" s="4">
        <v>13.164920042029699</v>
      </c>
      <c r="Z2475" s="4">
        <v>12.990480677244401</v>
      </c>
      <c r="AA2475" s="4">
        <f t="shared" si="155"/>
        <v>13.0871552422929</v>
      </c>
    </row>
    <row r="2476" spans="2:27" x14ac:dyDescent="0.2">
      <c r="B2476" s="4" t="s">
        <v>3822</v>
      </c>
      <c r="C2476" s="4">
        <v>13.532400000000001</v>
      </c>
      <c r="D2476" s="4">
        <v>13.1569</v>
      </c>
      <c r="E2476" s="4">
        <v>13.6571</v>
      </c>
      <c r="F2476" s="4">
        <f t="shared" si="152"/>
        <v>13.4488</v>
      </c>
      <c r="I2476" s="4" t="s">
        <v>2892</v>
      </c>
      <c r="J2476" s="4">
        <v>13.502000000000001</v>
      </c>
      <c r="K2476" s="4">
        <v>13.6975</v>
      </c>
      <c r="L2476" s="4">
        <v>13.159599999999999</v>
      </c>
      <c r="M2476" s="4">
        <f t="shared" si="153"/>
        <v>13.453033333333332</v>
      </c>
      <c r="P2476" s="4" t="str">
        <f>"pac-1"</f>
        <v>pac-1</v>
      </c>
      <c r="Q2476" s="4">
        <v>12.495950173780701</v>
      </c>
      <c r="R2476" s="4">
        <v>13.249734312860101</v>
      </c>
      <c r="S2476" s="4">
        <v>13.435120378761701</v>
      </c>
      <c r="T2476" s="4">
        <f t="shared" si="154"/>
        <v>13.060268288467499</v>
      </c>
      <c r="W2476" s="4" t="str">
        <f>"obr-1"</f>
        <v>obr-1</v>
      </c>
      <c r="X2476" s="4">
        <v>13.0334776285149</v>
      </c>
      <c r="Y2476" s="4">
        <v>13.1362825894638</v>
      </c>
      <c r="Z2476" s="4">
        <v>13.084062063596599</v>
      </c>
      <c r="AA2476" s="4">
        <f t="shared" si="155"/>
        <v>13.084607427191765</v>
      </c>
    </row>
    <row r="2477" spans="2:27" x14ac:dyDescent="0.2">
      <c r="B2477" s="4" t="s">
        <v>3349</v>
      </c>
      <c r="C2477" s="4">
        <v>13.592000000000001</v>
      </c>
      <c r="D2477" s="4">
        <v>13.3552</v>
      </c>
      <c r="E2477" s="4">
        <v>13.3992</v>
      </c>
      <c r="F2477" s="4">
        <f t="shared" si="152"/>
        <v>13.4488</v>
      </c>
      <c r="I2477" s="4" t="s">
        <v>2161</v>
      </c>
      <c r="J2477" s="4">
        <v>13.1305</v>
      </c>
      <c r="K2477" s="4">
        <v>13.5884</v>
      </c>
      <c r="L2477" s="4">
        <v>13.639900000000001</v>
      </c>
      <c r="M2477" s="4">
        <f t="shared" si="153"/>
        <v>13.452933333333334</v>
      </c>
      <c r="P2477" s="4" t="str">
        <f>"mdt-1.2"</f>
        <v>mdt-1.2</v>
      </c>
      <c r="Q2477" s="4">
        <v>12.9265499748845</v>
      </c>
      <c r="R2477" s="4">
        <v>13.3887759779373</v>
      </c>
      <c r="S2477" s="4">
        <v>12.860896543747799</v>
      </c>
      <c r="T2477" s="4">
        <f t="shared" si="154"/>
        <v>13.058740832189867</v>
      </c>
      <c r="W2477" s="4" t="str">
        <f>"gpa-17"</f>
        <v>gpa-17</v>
      </c>
      <c r="X2477" s="4">
        <v>12.9998130120402</v>
      </c>
      <c r="Y2477" s="4">
        <v>12.8452808065519</v>
      </c>
      <c r="Z2477" s="4">
        <v>13.4072456116678</v>
      </c>
      <c r="AA2477" s="4">
        <f t="shared" si="155"/>
        <v>13.084113143419964</v>
      </c>
    </row>
    <row r="2478" spans="2:27" x14ac:dyDescent="0.2">
      <c r="B2478" s="4" t="s">
        <v>4803</v>
      </c>
      <c r="C2478" s="4">
        <v>13.4129</v>
      </c>
      <c r="D2478" s="4">
        <v>13.302199999999999</v>
      </c>
      <c r="E2478" s="4">
        <v>13.6281</v>
      </c>
      <c r="F2478" s="4">
        <f t="shared" si="152"/>
        <v>13.447733333333332</v>
      </c>
      <c r="I2478" s="4" t="s">
        <v>3663</v>
      </c>
      <c r="J2478" s="4">
        <v>13.307</v>
      </c>
      <c r="K2478" s="4">
        <v>13.228400000000001</v>
      </c>
      <c r="L2478" s="4">
        <v>13.7849</v>
      </c>
      <c r="M2478" s="4">
        <f t="shared" si="153"/>
        <v>13.440100000000001</v>
      </c>
      <c r="P2478" s="4" t="str">
        <f>"coa-6"</f>
        <v>coa-6</v>
      </c>
      <c r="Q2478" s="4">
        <v>13.3347263278055</v>
      </c>
      <c r="R2478" s="4">
        <v>12.7170779329299</v>
      </c>
      <c r="S2478" s="4">
        <v>13.122366300441399</v>
      </c>
      <c r="T2478" s="4">
        <f t="shared" si="154"/>
        <v>13.058056853725601</v>
      </c>
      <c r="W2478" s="4" t="str">
        <f>"crt-1"</f>
        <v>crt-1</v>
      </c>
      <c r="X2478" s="4">
        <v>13.5531995804673</v>
      </c>
      <c r="Y2478" s="4">
        <v>12.580301978199</v>
      </c>
      <c r="Z2478" s="4">
        <v>13.1172325122015</v>
      </c>
      <c r="AA2478" s="4">
        <f t="shared" si="155"/>
        <v>13.0835780236226</v>
      </c>
    </row>
    <row r="2479" spans="2:27" x14ac:dyDescent="0.2">
      <c r="B2479" s="4" t="s">
        <v>252</v>
      </c>
      <c r="C2479" s="4">
        <v>13.603999999999999</v>
      </c>
      <c r="D2479" s="4">
        <v>13.160399999999999</v>
      </c>
      <c r="E2479" s="4">
        <v>13.5768</v>
      </c>
      <c r="F2479" s="4">
        <f t="shared" si="152"/>
        <v>13.447066666666666</v>
      </c>
      <c r="I2479" s="4" t="s">
        <v>1295</v>
      </c>
      <c r="J2479" s="4">
        <v>13.3528</v>
      </c>
      <c r="K2479" s="4">
        <v>13.574199999999999</v>
      </c>
      <c r="L2479" s="4">
        <v>13.3803</v>
      </c>
      <c r="M2479" s="4">
        <f t="shared" si="153"/>
        <v>13.435766666666666</v>
      </c>
      <c r="P2479" s="4" t="str">
        <f>"unc-94"</f>
        <v>unc-94</v>
      </c>
      <c r="Q2479" s="4">
        <v>13.236345798255799</v>
      </c>
      <c r="R2479" s="4">
        <v>12.767939993181599</v>
      </c>
      <c r="S2479" s="4">
        <v>13.1686476148535</v>
      </c>
      <c r="T2479" s="4">
        <f t="shared" si="154"/>
        <v>13.057644468763632</v>
      </c>
      <c r="W2479" s="4" t="str">
        <f>"Y47G6A.33"</f>
        <v>Y47G6A.33</v>
      </c>
      <c r="X2479" s="4">
        <v>13.1516581062683</v>
      </c>
      <c r="Y2479" s="4">
        <v>13.1793480924368</v>
      </c>
      <c r="Z2479" s="4">
        <v>12.919316684253401</v>
      </c>
      <c r="AA2479" s="4">
        <f t="shared" si="155"/>
        <v>13.083440960986167</v>
      </c>
    </row>
    <row r="2480" spans="2:27" x14ac:dyDescent="0.2">
      <c r="B2480" s="4" t="s">
        <v>1524</v>
      </c>
      <c r="C2480" s="4">
        <v>13.3293</v>
      </c>
      <c r="D2480" s="4">
        <v>13.8492</v>
      </c>
      <c r="E2480" s="4">
        <v>13.1594</v>
      </c>
      <c r="F2480" s="4">
        <f t="shared" si="152"/>
        <v>13.445966666666665</v>
      </c>
      <c r="I2480" s="4" t="s">
        <v>175</v>
      </c>
      <c r="J2480" s="4">
        <v>13.2225</v>
      </c>
      <c r="K2480" s="4">
        <v>13.4993</v>
      </c>
      <c r="L2480" s="4">
        <v>13.5802</v>
      </c>
      <c r="M2480" s="4">
        <f t="shared" si="153"/>
        <v>13.433999999999999</v>
      </c>
      <c r="P2480" s="4" t="str">
        <f>"B0432.7"</f>
        <v>B0432.7</v>
      </c>
      <c r="Q2480" s="4">
        <v>13.0172068414288</v>
      </c>
      <c r="R2480" s="4">
        <v>13.264357547343399</v>
      </c>
      <c r="S2480" s="4">
        <v>12.888072285684</v>
      </c>
      <c r="T2480" s="4">
        <f t="shared" si="154"/>
        <v>13.056545558152067</v>
      </c>
      <c r="W2480" s="4" t="str">
        <f>"ntl-3"</f>
        <v>ntl-3</v>
      </c>
      <c r="X2480" s="4">
        <v>13.3947132232654</v>
      </c>
      <c r="Y2480" s="4">
        <v>13.2347113729173</v>
      </c>
      <c r="Z2480" s="4">
        <v>12.611155263917199</v>
      </c>
      <c r="AA2480" s="4">
        <f t="shared" si="155"/>
        <v>13.080193286699966</v>
      </c>
    </row>
    <row r="2481" spans="2:27" x14ac:dyDescent="0.2">
      <c r="B2481" s="4" t="s">
        <v>434</v>
      </c>
      <c r="C2481" s="4">
        <v>13.4878</v>
      </c>
      <c r="D2481" s="4">
        <v>12.916499999999999</v>
      </c>
      <c r="E2481" s="4">
        <v>13.9331</v>
      </c>
      <c r="F2481" s="4">
        <f t="shared" si="152"/>
        <v>13.4458</v>
      </c>
      <c r="I2481" s="4" t="s">
        <v>2508</v>
      </c>
      <c r="J2481" s="4">
        <v>13.350300000000001</v>
      </c>
      <c r="K2481" s="4">
        <v>13.4322</v>
      </c>
      <c r="L2481" s="4">
        <v>13.5177</v>
      </c>
      <c r="M2481" s="4">
        <f t="shared" si="153"/>
        <v>13.433399999999999</v>
      </c>
      <c r="P2481" s="4" t="str">
        <f>"C25F9.4"</f>
        <v>C25F9.4</v>
      </c>
      <c r="Q2481" s="4">
        <v>12.9240013480642</v>
      </c>
      <c r="R2481" s="4">
        <v>13.1835047285476</v>
      </c>
      <c r="S2481" s="4">
        <v>13.055659063224899</v>
      </c>
      <c r="T2481" s="4">
        <f t="shared" si="154"/>
        <v>13.054388379945566</v>
      </c>
      <c r="W2481" s="4" t="str">
        <f>"R13H4.5"</f>
        <v>R13H4.5</v>
      </c>
      <c r="X2481" s="4">
        <v>12.805672873222401</v>
      </c>
      <c r="Y2481" s="4">
        <v>13.309007496139399</v>
      </c>
      <c r="Z2481" s="4">
        <v>13.1229498221239</v>
      </c>
      <c r="AA2481" s="4">
        <f t="shared" si="155"/>
        <v>13.079210063828567</v>
      </c>
    </row>
    <row r="2482" spans="2:27" x14ac:dyDescent="0.2">
      <c r="B2482" s="4" t="s">
        <v>3916</v>
      </c>
      <c r="C2482" s="4">
        <v>13.5655</v>
      </c>
      <c r="D2482" s="4">
        <v>13.3392</v>
      </c>
      <c r="E2482" s="4">
        <v>13.430899999999999</v>
      </c>
      <c r="F2482" s="4">
        <f t="shared" si="152"/>
        <v>13.4452</v>
      </c>
      <c r="I2482" s="4" t="s">
        <v>4697</v>
      </c>
      <c r="J2482" s="4">
        <v>13.4824</v>
      </c>
      <c r="K2482" s="4">
        <v>13.536300000000001</v>
      </c>
      <c r="L2482" s="4">
        <v>13.276199999999999</v>
      </c>
      <c r="M2482" s="4">
        <f t="shared" si="153"/>
        <v>13.431633333333332</v>
      </c>
      <c r="P2482" s="4" t="str">
        <f>"Y48B6A.1"</f>
        <v>Y48B6A.1</v>
      </c>
      <c r="Q2482" s="4">
        <v>13.063046268187</v>
      </c>
      <c r="R2482" s="4">
        <v>13.078143534559</v>
      </c>
      <c r="S2482" s="4">
        <v>13.0219068047994</v>
      </c>
      <c r="T2482" s="4">
        <f t="shared" si="154"/>
        <v>13.054365535848467</v>
      </c>
      <c r="W2482" s="4" t="str">
        <f>"ZK287.7"</f>
        <v>ZK287.7</v>
      </c>
      <c r="X2482" s="4">
        <v>12.931770513718099</v>
      </c>
      <c r="Y2482" s="4">
        <v>13.109029163752201</v>
      </c>
      <c r="Z2482" s="4">
        <v>13.187518392847</v>
      </c>
      <c r="AA2482" s="4">
        <f t="shared" si="155"/>
        <v>13.076106023439101</v>
      </c>
    </row>
    <row r="2483" spans="2:27" x14ac:dyDescent="0.2">
      <c r="B2483" s="4" t="s">
        <v>1560</v>
      </c>
      <c r="C2483" s="4">
        <v>13.5992</v>
      </c>
      <c r="D2483" s="4">
        <v>12.932600000000001</v>
      </c>
      <c r="E2483" s="4">
        <v>13.801500000000001</v>
      </c>
      <c r="F2483" s="4">
        <f t="shared" si="152"/>
        <v>13.444433333333334</v>
      </c>
      <c r="I2483" s="4" t="s">
        <v>3565</v>
      </c>
      <c r="J2483" s="4">
        <v>13.632400000000001</v>
      </c>
      <c r="K2483" s="4">
        <v>13.5786</v>
      </c>
      <c r="L2483" s="4">
        <v>13.082100000000001</v>
      </c>
      <c r="M2483" s="4">
        <f t="shared" si="153"/>
        <v>13.431033333333332</v>
      </c>
      <c r="P2483" s="4" t="str">
        <f>"F57C9.4"</f>
        <v>F57C9.4</v>
      </c>
      <c r="Q2483" s="4">
        <v>13.102792042272901</v>
      </c>
      <c r="R2483" s="4">
        <v>12.8443391368346</v>
      </c>
      <c r="S2483" s="4">
        <v>13.2095964232409</v>
      </c>
      <c r="T2483" s="4">
        <f t="shared" si="154"/>
        <v>13.052242534116132</v>
      </c>
      <c r="W2483" s="4" t="str">
        <f>"F14D12.1"</f>
        <v>F14D12.1</v>
      </c>
      <c r="X2483" s="4">
        <v>13.0936831869301</v>
      </c>
      <c r="Y2483" s="4">
        <v>13.0452568915947</v>
      </c>
      <c r="Z2483" s="4">
        <v>13.0820300853705</v>
      </c>
      <c r="AA2483" s="4">
        <f t="shared" si="155"/>
        <v>13.073656721298434</v>
      </c>
    </row>
    <row r="2484" spans="2:27" x14ac:dyDescent="0.2">
      <c r="B2484" s="4" t="s">
        <v>4462</v>
      </c>
      <c r="C2484" s="4">
        <v>13.557399999999999</v>
      </c>
      <c r="D2484" s="4">
        <v>13.501200000000001</v>
      </c>
      <c r="E2484" s="4">
        <v>13.270899999999999</v>
      </c>
      <c r="F2484" s="4">
        <f t="shared" si="152"/>
        <v>13.443166666666665</v>
      </c>
      <c r="I2484" s="4" t="s">
        <v>1616</v>
      </c>
      <c r="J2484" s="4">
        <v>13.415900000000001</v>
      </c>
      <c r="K2484" s="4">
        <v>13.327999999999999</v>
      </c>
      <c r="L2484" s="4">
        <v>13.5489</v>
      </c>
      <c r="M2484" s="4">
        <f t="shared" si="153"/>
        <v>13.430933333333334</v>
      </c>
      <c r="P2484" s="4" t="str">
        <f>"M04B2.2"</f>
        <v>M04B2.2</v>
      </c>
      <c r="Q2484" s="4">
        <v>13.0082029713494</v>
      </c>
      <c r="R2484" s="4">
        <v>13.099755003996499</v>
      </c>
      <c r="S2484" s="4">
        <v>13.0467609765484</v>
      </c>
      <c r="T2484" s="4">
        <f t="shared" si="154"/>
        <v>13.051572983964766</v>
      </c>
      <c r="W2484" s="4" t="str">
        <f>"T26A5.6"</f>
        <v>T26A5.6</v>
      </c>
      <c r="X2484" s="4">
        <v>13.0472934745942</v>
      </c>
      <c r="Y2484" s="4">
        <v>13.0468740005801</v>
      </c>
      <c r="Z2484" s="4">
        <v>13.125568209700999</v>
      </c>
      <c r="AA2484" s="4">
        <f t="shared" si="155"/>
        <v>13.073245228291768</v>
      </c>
    </row>
    <row r="2485" spans="2:27" x14ac:dyDescent="0.2">
      <c r="B2485" s="4" t="s">
        <v>2029</v>
      </c>
      <c r="C2485" s="4">
        <v>13.4619</v>
      </c>
      <c r="D2485" s="4">
        <v>13.412800000000001</v>
      </c>
      <c r="E2485" s="4">
        <v>13.454700000000001</v>
      </c>
      <c r="F2485" s="4">
        <f t="shared" si="152"/>
        <v>13.443133333333334</v>
      </c>
      <c r="I2485" s="4" t="s">
        <v>521</v>
      </c>
      <c r="J2485" s="4">
        <v>13.598100000000001</v>
      </c>
      <c r="K2485" s="4">
        <v>13.221500000000001</v>
      </c>
      <c r="L2485" s="4">
        <v>13.472099999999999</v>
      </c>
      <c r="M2485" s="4">
        <f t="shared" si="153"/>
        <v>13.430566666666666</v>
      </c>
      <c r="P2485" s="4" t="str">
        <f>"ate-1"</f>
        <v>ate-1</v>
      </c>
      <c r="Q2485" s="4">
        <v>13.0572527592242</v>
      </c>
      <c r="R2485" s="4">
        <v>12.9732772307262</v>
      </c>
      <c r="S2485" s="4">
        <v>13.124060292025</v>
      </c>
      <c r="T2485" s="4">
        <f t="shared" si="154"/>
        <v>13.051530093991801</v>
      </c>
      <c r="W2485" s="4" t="str">
        <f>"Y41D4A.4"</f>
        <v>Y41D4A.4</v>
      </c>
      <c r="X2485" s="4">
        <v>13.466835184338599</v>
      </c>
      <c r="Y2485" s="4">
        <v>12.7969985485734</v>
      </c>
      <c r="Z2485" s="4">
        <v>12.952755075607501</v>
      </c>
      <c r="AA2485" s="4">
        <f t="shared" si="155"/>
        <v>13.072196269506499</v>
      </c>
    </row>
    <row r="2486" spans="2:27" x14ac:dyDescent="0.2">
      <c r="B2486" s="4" t="s">
        <v>2237</v>
      </c>
      <c r="C2486" s="4">
        <v>13.456799999999999</v>
      </c>
      <c r="D2486" s="4">
        <v>13.638299999999999</v>
      </c>
      <c r="E2486" s="4">
        <v>13.233599999999999</v>
      </c>
      <c r="F2486" s="4">
        <f t="shared" si="152"/>
        <v>13.4429</v>
      </c>
      <c r="I2486" s="4" t="s">
        <v>231</v>
      </c>
      <c r="J2486" s="4">
        <v>13.3683</v>
      </c>
      <c r="K2486" s="4">
        <v>13.1564</v>
      </c>
      <c r="L2486" s="4">
        <v>13.7601</v>
      </c>
      <c r="M2486" s="4">
        <f t="shared" si="153"/>
        <v>13.428266666666666</v>
      </c>
      <c r="P2486" s="4" t="str">
        <f>"cnk-1"</f>
        <v>cnk-1</v>
      </c>
      <c r="Q2486" s="4">
        <v>12.9808171313377</v>
      </c>
      <c r="R2486" s="4">
        <v>13.056332858106</v>
      </c>
      <c r="S2486" s="4">
        <v>13.1153083835147</v>
      </c>
      <c r="T2486" s="4">
        <f t="shared" si="154"/>
        <v>13.0508194576528</v>
      </c>
      <c r="W2486" s="4" t="str">
        <f>"cchl-1"</f>
        <v>cchl-1</v>
      </c>
      <c r="X2486" s="4">
        <v>12.579998247901701</v>
      </c>
      <c r="Y2486" s="4">
        <v>13.303448030152399</v>
      </c>
      <c r="Z2486" s="4">
        <v>13.3320261875411</v>
      </c>
      <c r="AA2486" s="4">
        <f t="shared" si="155"/>
        <v>13.071824155198399</v>
      </c>
    </row>
    <row r="2487" spans="2:27" x14ac:dyDescent="0.2">
      <c r="B2487" s="4" t="s">
        <v>4804</v>
      </c>
      <c r="C2487" s="4">
        <v>13.0692</v>
      </c>
      <c r="D2487" s="4">
        <v>13.9785</v>
      </c>
      <c r="E2487" s="4">
        <v>13.2738</v>
      </c>
      <c r="F2487" s="4">
        <f t="shared" si="152"/>
        <v>13.4405</v>
      </c>
      <c r="I2487" s="4" t="s">
        <v>2673</v>
      </c>
      <c r="J2487" s="4">
        <v>13.0459</v>
      </c>
      <c r="K2487" s="4">
        <v>13.739800000000001</v>
      </c>
      <c r="L2487" s="4">
        <v>13.4946</v>
      </c>
      <c r="M2487" s="4">
        <f t="shared" si="153"/>
        <v>13.426766666666666</v>
      </c>
      <c r="P2487" s="4" t="str">
        <f>"lys-8"</f>
        <v>lys-8</v>
      </c>
      <c r="Q2487" s="4">
        <v>13.257473659756799</v>
      </c>
      <c r="R2487" s="4">
        <v>13.2869166378117</v>
      </c>
      <c r="S2487" s="4">
        <v>12.606716810201</v>
      </c>
      <c r="T2487" s="4">
        <f t="shared" si="154"/>
        <v>13.050369035923167</v>
      </c>
      <c r="W2487" s="4" t="str">
        <f>"nas-11"</f>
        <v>nas-11</v>
      </c>
      <c r="X2487" s="4">
        <v>13.074423178955801</v>
      </c>
      <c r="Y2487" s="4">
        <v>12.969299298377299</v>
      </c>
      <c r="Z2487" s="4">
        <v>13.1660724186492</v>
      </c>
      <c r="AA2487" s="4">
        <f t="shared" si="155"/>
        <v>13.0699316319941</v>
      </c>
    </row>
    <row r="2488" spans="2:27" x14ac:dyDescent="0.2">
      <c r="B2488" s="4" t="s">
        <v>1391</v>
      </c>
      <c r="C2488" s="4">
        <v>13.294700000000001</v>
      </c>
      <c r="D2488" s="4">
        <v>12.928599999999999</v>
      </c>
      <c r="E2488" s="4">
        <v>14.0969</v>
      </c>
      <c r="F2488" s="4">
        <f t="shared" si="152"/>
        <v>13.440066666666667</v>
      </c>
      <c r="I2488" s="4" t="s">
        <v>108</v>
      </c>
      <c r="J2488" s="4">
        <v>13.0608</v>
      </c>
      <c r="K2488" s="4">
        <v>13.9155</v>
      </c>
      <c r="L2488" s="4">
        <v>13.292999999999999</v>
      </c>
      <c r="M2488" s="4">
        <f t="shared" si="153"/>
        <v>13.4231</v>
      </c>
      <c r="P2488" s="4" t="str">
        <f>"C37C3.2"</f>
        <v>C37C3.2</v>
      </c>
      <c r="Q2488" s="4">
        <v>12.964520120118101</v>
      </c>
      <c r="R2488" s="4">
        <v>12.970626908471299</v>
      </c>
      <c r="S2488" s="4">
        <v>13.2072833384382</v>
      </c>
      <c r="T2488" s="4">
        <f t="shared" si="154"/>
        <v>13.047476789009201</v>
      </c>
      <c r="W2488" s="4" t="str">
        <f>"cyp-25a2"</f>
        <v>cyp-25a2</v>
      </c>
      <c r="X2488" s="4">
        <v>12.9502135806331</v>
      </c>
      <c r="Y2488" s="4">
        <v>13.1774642161055</v>
      </c>
      <c r="Z2488" s="4">
        <v>13.080830882570901</v>
      </c>
      <c r="AA2488" s="4">
        <f t="shared" si="155"/>
        <v>13.069502893103168</v>
      </c>
    </row>
    <row r="2489" spans="2:27" x14ac:dyDescent="0.2">
      <c r="B2489" s="4" t="s">
        <v>2161</v>
      </c>
      <c r="C2489" s="4">
        <v>13.2569</v>
      </c>
      <c r="D2489" s="4">
        <v>13.635999999999999</v>
      </c>
      <c r="E2489" s="4">
        <v>13.426299999999999</v>
      </c>
      <c r="F2489" s="4">
        <f t="shared" si="152"/>
        <v>13.439733333333331</v>
      </c>
      <c r="I2489" s="4" t="s">
        <v>1271</v>
      </c>
      <c r="J2489" s="4">
        <v>13.432499999999999</v>
      </c>
      <c r="K2489" s="4">
        <v>13.180199999999999</v>
      </c>
      <c r="L2489" s="4">
        <v>13.6526</v>
      </c>
      <c r="M2489" s="4">
        <f t="shared" si="153"/>
        <v>13.421766666666665</v>
      </c>
      <c r="P2489" s="4" t="str">
        <f>"Y71H2AM.11"</f>
        <v>Y71H2AM.11</v>
      </c>
      <c r="Q2489" s="4">
        <v>13.2917097797203</v>
      </c>
      <c r="R2489" s="4">
        <v>13.018194531144401</v>
      </c>
      <c r="S2489" s="4">
        <v>12.831812036749101</v>
      </c>
      <c r="T2489" s="4">
        <f t="shared" si="154"/>
        <v>13.047238782537933</v>
      </c>
      <c r="W2489" s="4" t="str">
        <f>"ubc-7"</f>
        <v>ubc-7</v>
      </c>
      <c r="X2489" s="4">
        <v>12.8048726661179</v>
      </c>
      <c r="Y2489" s="4">
        <v>13.070476985507399</v>
      </c>
      <c r="Z2489" s="4">
        <v>13.323983318408001</v>
      </c>
      <c r="AA2489" s="4">
        <f t="shared" si="155"/>
        <v>13.066444323344433</v>
      </c>
    </row>
    <row r="2490" spans="2:27" x14ac:dyDescent="0.2">
      <c r="B2490" s="4" t="s">
        <v>1325</v>
      </c>
      <c r="C2490" s="4">
        <v>13.4278</v>
      </c>
      <c r="D2490" s="4">
        <v>13.5921</v>
      </c>
      <c r="E2490" s="4">
        <v>13.295299999999999</v>
      </c>
      <c r="F2490" s="4">
        <f t="shared" si="152"/>
        <v>13.4384</v>
      </c>
      <c r="I2490" s="4" t="s">
        <v>2422</v>
      </c>
      <c r="J2490" s="4">
        <v>13.487</v>
      </c>
      <c r="K2490" s="4">
        <v>13.5589</v>
      </c>
      <c r="L2490" s="4">
        <v>13.2187</v>
      </c>
      <c r="M2490" s="4">
        <f t="shared" si="153"/>
        <v>13.421533333333334</v>
      </c>
      <c r="P2490" s="4" t="str">
        <f>"kin-29"</f>
        <v>kin-29</v>
      </c>
      <c r="Q2490" s="4">
        <v>13.0884979764578</v>
      </c>
      <c r="R2490" s="4">
        <v>13.128550747270999</v>
      </c>
      <c r="S2490" s="4">
        <v>12.924044765503201</v>
      </c>
      <c r="T2490" s="4">
        <f t="shared" si="154"/>
        <v>13.047031163077335</v>
      </c>
      <c r="W2490" s="4" t="str">
        <f>"myo-6"</f>
        <v>myo-6</v>
      </c>
      <c r="X2490" s="4">
        <v>12.698332262695599</v>
      </c>
      <c r="Y2490" s="4">
        <v>12.9544277863685</v>
      </c>
      <c r="Z2490" s="4">
        <v>13.542166560182499</v>
      </c>
      <c r="AA2490" s="4">
        <f t="shared" si="155"/>
        <v>13.064975536415533</v>
      </c>
    </row>
    <row r="2491" spans="2:27" x14ac:dyDescent="0.2">
      <c r="B2491" s="4" t="s">
        <v>4388</v>
      </c>
      <c r="C2491" s="4">
        <v>14.028499999999999</v>
      </c>
      <c r="D2491" s="4">
        <v>13.165100000000001</v>
      </c>
      <c r="E2491" s="4">
        <v>13.1128</v>
      </c>
      <c r="F2491" s="4">
        <f t="shared" si="152"/>
        <v>13.435466666666665</v>
      </c>
      <c r="I2491" s="4" t="s">
        <v>3701</v>
      </c>
      <c r="J2491" s="4">
        <v>14.045999999999999</v>
      </c>
      <c r="K2491" s="4">
        <v>13.5717</v>
      </c>
      <c r="L2491" s="4">
        <v>12.644299999999999</v>
      </c>
      <c r="M2491" s="4">
        <f t="shared" si="153"/>
        <v>13.420666666666667</v>
      </c>
      <c r="P2491" s="4" t="str">
        <f>"nepr-1"</f>
        <v>nepr-1</v>
      </c>
      <c r="Q2491" s="4">
        <v>12.7645255438742</v>
      </c>
      <c r="R2491" s="4">
        <v>13.0467544686034</v>
      </c>
      <c r="S2491" s="4">
        <v>13.3226828921972</v>
      </c>
      <c r="T2491" s="4">
        <f t="shared" si="154"/>
        <v>13.044654301558268</v>
      </c>
      <c r="W2491" s="4" t="str">
        <f>"T20D3.5"</f>
        <v>T20D3.5</v>
      </c>
      <c r="X2491" s="4">
        <v>12.7982751822226</v>
      </c>
      <c r="Y2491" s="4">
        <v>13.0992731702889</v>
      </c>
      <c r="Z2491" s="4">
        <v>13.295218463495001</v>
      </c>
      <c r="AA2491" s="4">
        <f t="shared" si="155"/>
        <v>13.064255605335498</v>
      </c>
    </row>
    <row r="2492" spans="2:27" x14ac:dyDescent="0.2">
      <c r="B2492" s="4" t="s">
        <v>4805</v>
      </c>
      <c r="C2492" s="4">
        <v>13.4739</v>
      </c>
      <c r="D2492" s="4">
        <v>13.557499999999999</v>
      </c>
      <c r="E2492" s="4">
        <v>13.2737</v>
      </c>
      <c r="F2492" s="4">
        <f t="shared" si="152"/>
        <v>13.435033333333331</v>
      </c>
      <c r="I2492" s="4" t="s">
        <v>2491</v>
      </c>
      <c r="J2492" s="4">
        <v>13.612399999999999</v>
      </c>
      <c r="K2492" s="4">
        <v>14.046200000000001</v>
      </c>
      <c r="L2492" s="4">
        <v>12.5999</v>
      </c>
      <c r="M2492" s="4">
        <f t="shared" si="153"/>
        <v>13.419499999999999</v>
      </c>
      <c r="P2492" s="4" t="str">
        <f>"T07E3.3"</f>
        <v>T07E3.3</v>
      </c>
      <c r="Q2492" s="4">
        <v>13.7054954576226</v>
      </c>
      <c r="R2492" s="4">
        <v>12.775953521087001</v>
      </c>
      <c r="S2492" s="4">
        <v>12.651913343097601</v>
      </c>
      <c r="T2492" s="4">
        <f t="shared" si="154"/>
        <v>13.044454107269067</v>
      </c>
      <c r="W2492" s="4" t="str">
        <f>"vha-8"</f>
        <v>vha-8</v>
      </c>
      <c r="X2492" s="4">
        <v>13.065101785175001</v>
      </c>
      <c r="Y2492" s="4">
        <v>12.9322700387072</v>
      </c>
      <c r="Z2492" s="4">
        <v>13.1912619194194</v>
      </c>
      <c r="AA2492" s="4">
        <f t="shared" si="155"/>
        <v>13.062877914433868</v>
      </c>
    </row>
    <row r="2493" spans="2:27" x14ac:dyDescent="0.2">
      <c r="B2493" s="4" t="s">
        <v>2136</v>
      </c>
      <c r="C2493" s="4">
        <v>13.569699999999999</v>
      </c>
      <c r="D2493" s="4">
        <v>13.4915</v>
      </c>
      <c r="E2493" s="4">
        <v>13.2385</v>
      </c>
      <c r="F2493" s="4">
        <f t="shared" si="152"/>
        <v>13.433233333333334</v>
      </c>
      <c r="I2493" s="4" t="s">
        <v>1217</v>
      </c>
      <c r="J2493" s="4">
        <v>13.4674</v>
      </c>
      <c r="K2493" s="4">
        <v>13.2492</v>
      </c>
      <c r="L2493" s="4">
        <v>13.538399999999999</v>
      </c>
      <c r="M2493" s="4">
        <f t="shared" si="153"/>
        <v>13.418333333333331</v>
      </c>
      <c r="P2493" s="4" t="str">
        <f>"let-754"</f>
        <v>let-754</v>
      </c>
      <c r="Q2493" s="4">
        <v>12.852745598151801</v>
      </c>
      <c r="R2493" s="4">
        <v>13.1756908071692</v>
      </c>
      <c r="S2493" s="4">
        <v>13.1008340249357</v>
      </c>
      <c r="T2493" s="4">
        <f t="shared" si="154"/>
        <v>13.043090143418901</v>
      </c>
      <c r="W2493" s="4" t="str">
        <f>"mrps-7"</f>
        <v>mrps-7</v>
      </c>
      <c r="X2493" s="4">
        <v>13.2585429446387</v>
      </c>
      <c r="Y2493" s="4">
        <v>13.2550252203462</v>
      </c>
      <c r="Z2493" s="4">
        <v>12.6716431962566</v>
      </c>
      <c r="AA2493" s="4">
        <f t="shared" si="155"/>
        <v>13.061737120413833</v>
      </c>
    </row>
    <row r="2494" spans="2:27" x14ac:dyDescent="0.2">
      <c r="B2494" s="4" t="s">
        <v>2594</v>
      </c>
      <c r="C2494" s="4">
        <v>13.4704</v>
      </c>
      <c r="D2494" s="4">
        <v>13.4445</v>
      </c>
      <c r="E2494" s="4">
        <v>13.3741</v>
      </c>
      <c r="F2494" s="4">
        <f t="shared" si="152"/>
        <v>13.429666666666668</v>
      </c>
      <c r="I2494" s="4" t="s">
        <v>144</v>
      </c>
      <c r="J2494" s="4">
        <v>13.443199999999999</v>
      </c>
      <c r="K2494" s="4">
        <v>13.565899999999999</v>
      </c>
      <c r="L2494" s="4">
        <v>13.244400000000001</v>
      </c>
      <c r="M2494" s="4">
        <f t="shared" si="153"/>
        <v>13.417833333333332</v>
      </c>
      <c r="P2494" s="4" t="str">
        <f>"elo-3"</f>
        <v>elo-3</v>
      </c>
      <c r="Q2494" s="4">
        <v>12.9254787563302</v>
      </c>
      <c r="R2494" s="4">
        <v>13.080169773478699</v>
      </c>
      <c r="S2494" s="4">
        <v>13.122616483017699</v>
      </c>
      <c r="T2494" s="4">
        <f t="shared" si="154"/>
        <v>13.042755004275534</v>
      </c>
      <c r="W2494" s="4" t="str">
        <f>"rpb-11"</f>
        <v>rpb-11</v>
      </c>
      <c r="X2494" s="4">
        <v>13.8513378461095</v>
      </c>
      <c r="Y2494" s="4">
        <v>12.295507985297499</v>
      </c>
      <c r="Z2494" s="4">
        <v>13.037198198210699</v>
      </c>
      <c r="AA2494" s="4">
        <f t="shared" si="155"/>
        <v>13.061348009872566</v>
      </c>
    </row>
    <row r="2495" spans="2:27" x14ac:dyDescent="0.2">
      <c r="B2495" s="4" t="s">
        <v>449</v>
      </c>
      <c r="C2495" s="4">
        <v>13.779400000000001</v>
      </c>
      <c r="D2495" s="4">
        <v>12.6615</v>
      </c>
      <c r="E2495" s="4">
        <v>13.8469</v>
      </c>
      <c r="F2495" s="4">
        <f t="shared" si="152"/>
        <v>13.429266666666665</v>
      </c>
      <c r="I2495" s="4" t="s">
        <v>566</v>
      </c>
      <c r="J2495" s="4">
        <v>13.5891</v>
      </c>
      <c r="K2495" s="4">
        <v>13.122999999999999</v>
      </c>
      <c r="L2495" s="4">
        <v>13.5275</v>
      </c>
      <c r="M2495" s="4">
        <f t="shared" si="153"/>
        <v>13.413199999999998</v>
      </c>
      <c r="P2495" s="4" t="str">
        <f>"gpa-12"</f>
        <v>gpa-12</v>
      </c>
      <c r="Q2495" s="4">
        <v>12.7881807467285</v>
      </c>
      <c r="R2495" s="4">
        <v>13.1554035286852</v>
      </c>
      <c r="S2495" s="4">
        <v>13.1817910177974</v>
      </c>
      <c r="T2495" s="4">
        <f t="shared" si="154"/>
        <v>13.041791764403699</v>
      </c>
      <c r="W2495" s="4" t="str">
        <f>"nstp-5"</f>
        <v>nstp-5</v>
      </c>
      <c r="X2495" s="4">
        <v>13.353591591130501</v>
      </c>
      <c r="Y2495" s="4">
        <v>12.6561412334009</v>
      </c>
      <c r="Z2495" s="4">
        <v>13.163020341570499</v>
      </c>
      <c r="AA2495" s="4">
        <f t="shared" si="155"/>
        <v>13.057584388700633</v>
      </c>
    </row>
    <row r="2496" spans="2:27" x14ac:dyDescent="0.2">
      <c r="B2496" s="4" t="s">
        <v>2804</v>
      </c>
      <c r="C2496" s="4">
        <v>13.377599999999999</v>
      </c>
      <c r="D2496" s="4">
        <v>13.404</v>
      </c>
      <c r="E2496" s="4">
        <v>13.5023</v>
      </c>
      <c r="F2496" s="4">
        <f t="shared" si="152"/>
        <v>13.427966666666665</v>
      </c>
      <c r="I2496" s="4" t="s">
        <v>3885</v>
      </c>
      <c r="J2496" s="4">
        <v>13.48</v>
      </c>
      <c r="K2496" s="4">
        <v>13.291700000000001</v>
      </c>
      <c r="L2496" s="4">
        <v>13.4648</v>
      </c>
      <c r="M2496" s="4">
        <f t="shared" si="153"/>
        <v>13.412166666666669</v>
      </c>
      <c r="P2496" s="4" t="str">
        <f>"zig-9"</f>
        <v>zig-9</v>
      </c>
      <c r="Q2496" s="4">
        <v>12.7478282054103</v>
      </c>
      <c r="R2496" s="4">
        <v>13.3709048652755</v>
      </c>
      <c r="S2496" s="4">
        <v>12.997805998615</v>
      </c>
      <c r="T2496" s="4">
        <f t="shared" si="154"/>
        <v>13.0388463564336</v>
      </c>
      <c r="W2496" s="4" t="str">
        <f>"aex-6"</f>
        <v>aex-6</v>
      </c>
      <c r="X2496" s="4">
        <v>13.340096922833601</v>
      </c>
      <c r="Y2496" s="4">
        <v>13.227175029020501</v>
      </c>
      <c r="Z2496" s="4">
        <v>12.6026580521151</v>
      </c>
      <c r="AA2496" s="4">
        <f t="shared" si="155"/>
        <v>13.0566433346564</v>
      </c>
    </row>
    <row r="2497" spans="2:27" x14ac:dyDescent="0.2">
      <c r="B2497" s="4" t="s">
        <v>4271</v>
      </c>
      <c r="C2497" s="4">
        <v>13.2926</v>
      </c>
      <c r="D2497" s="4">
        <v>13.610900000000001</v>
      </c>
      <c r="E2497" s="4">
        <v>13.375299999999999</v>
      </c>
      <c r="F2497" s="4">
        <f t="shared" si="152"/>
        <v>13.426266666666669</v>
      </c>
      <c r="I2497" s="4" t="s">
        <v>721</v>
      </c>
      <c r="J2497" s="4">
        <v>13.425700000000001</v>
      </c>
      <c r="K2497" s="4">
        <v>13.452999999999999</v>
      </c>
      <c r="L2497" s="4">
        <v>13.357799999999999</v>
      </c>
      <c r="M2497" s="4">
        <f t="shared" si="153"/>
        <v>13.412166666666666</v>
      </c>
      <c r="P2497" s="4" t="str">
        <f>"F53F8.5"</f>
        <v>F53F8.5</v>
      </c>
      <c r="Q2497" s="4">
        <v>12.8575835408933</v>
      </c>
      <c r="R2497" s="4">
        <v>13.363441598165201</v>
      </c>
      <c r="S2497" s="4">
        <v>12.8931875980716</v>
      </c>
      <c r="T2497" s="4">
        <f t="shared" si="154"/>
        <v>13.038070912376702</v>
      </c>
      <c r="W2497" s="4" t="str">
        <f>"prp-19"</f>
        <v>prp-19</v>
      </c>
      <c r="X2497" s="4">
        <v>12.806875150063901</v>
      </c>
      <c r="Y2497" s="4">
        <v>12.8233761526908</v>
      </c>
      <c r="Z2497" s="4">
        <v>13.5393918152455</v>
      </c>
      <c r="AA2497" s="4">
        <f t="shared" si="155"/>
        <v>13.056547706000067</v>
      </c>
    </row>
    <row r="2498" spans="2:27" x14ac:dyDescent="0.2">
      <c r="B2498" s="4" t="s">
        <v>4519</v>
      </c>
      <c r="C2498" s="4">
        <v>13.7706</v>
      </c>
      <c r="D2498" s="4">
        <v>14.1677</v>
      </c>
      <c r="E2498" s="4">
        <v>12.340199999999999</v>
      </c>
      <c r="F2498" s="4">
        <f t="shared" ref="F2498:F2561" si="156">(C2498+D2498+E2498)/3</f>
        <v>13.426166666666665</v>
      </c>
      <c r="I2498" s="4" t="s">
        <v>595</v>
      </c>
      <c r="J2498" s="4">
        <v>13.56</v>
      </c>
      <c r="K2498" s="4">
        <v>13.065799999999999</v>
      </c>
      <c r="L2498" s="4">
        <v>13.610300000000001</v>
      </c>
      <c r="M2498" s="4">
        <f t="shared" ref="M2498:M2561" si="157">(J2498+K2498+L2498)/3</f>
        <v>13.412033333333333</v>
      </c>
      <c r="P2498" s="4" t="str">
        <f>"nova-1"</f>
        <v>nova-1</v>
      </c>
      <c r="Q2498" s="4">
        <v>12.879656986635799</v>
      </c>
      <c r="R2498" s="4">
        <v>13.039787297370401</v>
      </c>
      <c r="S2498" s="4">
        <v>13.1921208876986</v>
      </c>
      <c r="T2498" s="4">
        <f t="shared" ref="T2498:T2561" si="158">(Q2498+R2498+S2498)/3</f>
        <v>13.037188390568266</v>
      </c>
      <c r="W2498" s="4" t="str">
        <f>"mrp-7"</f>
        <v>mrp-7</v>
      </c>
      <c r="X2498" s="4">
        <v>13.4032258101251</v>
      </c>
      <c r="Y2498" s="4">
        <v>12.985770694836599</v>
      </c>
      <c r="Z2498" s="4">
        <v>12.779147470225499</v>
      </c>
      <c r="AA2498" s="4">
        <f t="shared" ref="AA2498:AA2561" si="159">(X2498+Y2498+Z2498)/3</f>
        <v>13.056047991729066</v>
      </c>
    </row>
    <row r="2499" spans="2:27" x14ac:dyDescent="0.2">
      <c r="B2499" s="4" t="s">
        <v>1532</v>
      </c>
      <c r="C2499" s="4">
        <v>13.115</v>
      </c>
      <c r="D2499" s="4">
        <v>13.5124</v>
      </c>
      <c r="E2499" s="4">
        <v>13.6486</v>
      </c>
      <c r="F2499" s="4">
        <f t="shared" si="156"/>
        <v>13.425333333333334</v>
      </c>
      <c r="I2499" s="4" t="s">
        <v>4472</v>
      </c>
      <c r="J2499" s="4">
        <v>13.693300000000001</v>
      </c>
      <c r="K2499" s="4">
        <v>13.4702</v>
      </c>
      <c r="L2499" s="4">
        <v>13.0725</v>
      </c>
      <c r="M2499" s="4">
        <f t="shared" si="157"/>
        <v>13.411999999999999</v>
      </c>
      <c r="P2499" s="4" t="str">
        <f>"tag-225"</f>
        <v>tag-225</v>
      </c>
      <c r="Q2499" s="4">
        <v>12.507347537104801</v>
      </c>
      <c r="R2499" s="4">
        <v>13.3268186926586</v>
      </c>
      <c r="S2499" s="4">
        <v>13.2765964358661</v>
      </c>
      <c r="T2499" s="4">
        <f t="shared" si="158"/>
        <v>13.036920888543166</v>
      </c>
      <c r="W2499" s="4" t="str">
        <f>"grl-15"</f>
        <v>grl-15</v>
      </c>
      <c r="X2499" s="4">
        <v>13.350276283657401</v>
      </c>
      <c r="Y2499" s="4">
        <v>12.2862064606958</v>
      </c>
      <c r="Z2499" s="4">
        <v>13.5315324746689</v>
      </c>
      <c r="AA2499" s="4">
        <f t="shared" si="159"/>
        <v>13.056005073007368</v>
      </c>
    </row>
    <row r="2500" spans="2:27" x14ac:dyDescent="0.2">
      <c r="B2500" s="4" t="s">
        <v>3573</v>
      </c>
      <c r="C2500" s="4">
        <v>13.204499999999999</v>
      </c>
      <c r="D2500" s="4">
        <v>13.777799999999999</v>
      </c>
      <c r="E2500" s="4">
        <v>13.2936</v>
      </c>
      <c r="F2500" s="4">
        <f t="shared" si="156"/>
        <v>13.4253</v>
      </c>
      <c r="I2500" s="4" t="s">
        <v>2956</v>
      </c>
      <c r="J2500" s="4">
        <v>13.317500000000001</v>
      </c>
      <c r="K2500" s="4">
        <v>13.4344</v>
      </c>
      <c r="L2500" s="4">
        <v>13.4817</v>
      </c>
      <c r="M2500" s="4">
        <f t="shared" si="157"/>
        <v>13.411199999999999</v>
      </c>
      <c r="P2500" s="4" t="str">
        <f>"zwl-1"</f>
        <v>zwl-1</v>
      </c>
      <c r="Q2500" s="4">
        <v>12.8061569283611</v>
      </c>
      <c r="R2500" s="4">
        <v>13.1284030641998</v>
      </c>
      <c r="S2500" s="4">
        <v>13.1735205603204</v>
      </c>
      <c r="T2500" s="4">
        <f t="shared" si="158"/>
        <v>13.036026850960432</v>
      </c>
      <c r="W2500" s="4" t="str">
        <f>"argk-1"</f>
        <v>argk-1</v>
      </c>
      <c r="X2500" s="4">
        <v>13.533633416422401</v>
      </c>
      <c r="Y2500" s="4">
        <v>13.0850792706558</v>
      </c>
      <c r="Z2500" s="4">
        <v>12.548803397933501</v>
      </c>
      <c r="AA2500" s="4">
        <f t="shared" si="159"/>
        <v>13.055838695003899</v>
      </c>
    </row>
    <row r="2501" spans="2:27" x14ac:dyDescent="0.2">
      <c r="B2501" s="4" t="s">
        <v>3458</v>
      </c>
      <c r="C2501" s="4">
        <v>13.6107</v>
      </c>
      <c r="D2501" s="4">
        <v>13.3973</v>
      </c>
      <c r="E2501" s="4">
        <v>13.2676</v>
      </c>
      <c r="F2501" s="4">
        <f t="shared" si="156"/>
        <v>13.425199999999998</v>
      </c>
      <c r="I2501" s="4" t="s">
        <v>2853</v>
      </c>
      <c r="J2501" s="4">
        <v>13.423500000000001</v>
      </c>
      <c r="K2501" s="4">
        <v>13.408099999999999</v>
      </c>
      <c r="L2501" s="4">
        <v>13.3874</v>
      </c>
      <c r="M2501" s="4">
        <f t="shared" si="157"/>
        <v>13.406333333333334</v>
      </c>
      <c r="P2501" s="4" t="str">
        <f>"F32D8.4"</f>
        <v>F32D8.4</v>
      </c>
      <c r="Q2501" s="4">
        <v>12.7493968114256</v>
      </c>
      <c r="R2501" s="4">
        <v>13.333149569613999</v>
      </c>
      <c r="S2501" s="4">
        <v>13.0229299078367</v>
      </c>
      <c r="T2501" s="4">
        <f t="shared" si="158"/>
        <v>13.035158762958766</v>
      </c>
      <c r="W2501" s="4" t="str">
        <f>"urb-1"</f>
        <v>urb-1</v>
      </c>
      <c r="X2501" s="4">
        <v>13.078251439536899</v>
      </c>
      <c r="Y2501" s="4">
        <v>13.012070581579099</v>
      </c>
      <c r="Z2501" s="4">
        <v>13.075957920975499</v>
      </c>
      <c r="AA2501" s="4">
        <f t="shared" si="159"/>
        <v>13.055426647363833</v>
      </c>
    </row>
    <row r="2502" spans="2:27" x14ac:dyDescent="0.2">
      <c r="B2502" s="4" t="s">
        <v>1490</v>
      </c>
      <c r="C2502" s="4">
        <v>13.6129</v>
      </c>
      <c r="D2502" s="4">
        <v>13.296799999999999</v>
      </c>
      <c r="E2502" s="4">
        <v>13.3612</v>
      </c>
      <c r="F2502" s="4">
        <f t="shared" si="156"/>
        <v>13.423633333333333</v>
      </c>
      <c r="I2502" s="4" t="s">
        <v>629</v>
      </c>
      <c r="J2502" s="4">
        <v>13.0121</v>
      </c>
      <c r="K2502" s="4">
        <v>13.757400000000001</v>
      </c>
      <c r="L2502" s="4">
        <v>13.4445</v>
      </c>
      <c r="M2502" s="4">
        <f t="shared" si="157"/>
        <v>13.404666666666666</v>
      </c>
      <c r="P2502" s="4" t="str">
        <f>"sax-1"</f>
        <v>sax-1</v>
      </c>
      <c r="Q2502" s="4">
        <v>13.090277642550999</v>
      </c>
      <c r="R2502" s="4">
        <v>13.1841727490956</v>
      </c>
      <c r="S2502" s="4">
        <v>12.829475355937401</v>
      </c>
      <c r="T2502" s="4">
        <f t="shared" si="158"/>
        <v>13.034641915861334</v>
      </c>
      <c r="W2502" s="4" t="str">
        <f>"puf-3"</f>
        <v>puf-3</v>
      </c>
      <c r="X2502" s="4">
        <v>13.321877282488201</v>
      </c>
      <c r="Y2502" s="4">
        <v>12.9480727773759</v>
      </c>
      <c r="Z2502" s="4">
        <v>12.8953319938399</v>
      </c>
      <c r="AA2502" s="4">
        <f t="shared" si="159"/>
        <v>13.055094017901334</v>
      </c>
    </row>
    <row r="2503" spans="2:27" x14ac:dyDescent="0.2">
      <c r="B2503" s="4" t="s">
        <v>1779</v>
      </c>
      <c r="C2503" s="4">
        <v>13.875</v>
      </c>
      <c r="D2503" s="4">
        <v>13.161799999999999</v>
      </c>
      <c r="E2503" s="4">
        <v>13.2272</v>
      </c>
      <c r="F2503" s="4">
        <f t="shared" si="156"/>
        <v>13.421333333333331</v>
      </c>
      <c r="I2503" s="4" t="s">
        <v>4273</v>
      </c>
      <c r="J2503" s="4">
        <v>13.3552</v>
      </c>
      <c r="K2503" s="4">
        <v>13.4122</v>
      </c>
      <c r="L2503" s="4">
        <v>13.4453</v>
      </c>
      <c r="M2503" s="4">
        <f t="shared" si="157"/>
        <v>13.404233333333332</v>
      </c>
      <c r="P2503" s="4" t="str">
        <f>"B0272.3"</f>
        <v>B0272.3</v>
      </c>
      <c r="Q2503" s="4">
        <v>13.176370327059001</v>
      </c>
      <c r="R2503" s="4">
        <v>13.0349942049415</v>
      </c>
      <c r="S2503" s="4">
        <v>12.891939131301401</v>
      </c>
      <c r="T2503" s="4">
        <f t="shared" si="158"/>
        <v>13.034434554433966</v>
      </c>
      <c r="W2503" s="4" t="str">
        <f>"hil-1"</f>
        <v>hil-1</v>
      </c>
      <c r="X2503" s="4">
        <v>12.820174564270699</v>
      </c>
      <c r="Y2503" s="4">
        <v>13.217711539189199</v>
      </c>
      <c r="Z2503" s="4">
        <v>13.119323372952501</v>
      </c>
      <c r="AA2503" s="4">
        <f t="shared" si="159"/>
        <v>13.052403158804132</v>
      </c>
    </row>
    <row r="2504" spans="2:27" x14ac:dyDescent="0.2">
      <c r="B2504" s="4" t="s">
        <v>3587</v>
      </c>
      <c r="C2504" s="4">
        <v>13.448600000000001</v>
      </c>
      <c r="D2504" s="4">
        <v>13.367100000000001</v>
      </c>
      <c r="E2504" s="4">
        <v>13.4473</v>
      </c>
      <c r="F2504" s="4">
        <f t="shared" si="156"/>
        <v>13.420999999999999</v>
      </c>
      <c r="I2504" s="4" t="s">
        <v>3948</v>
      </c>
      <c r="J2504" s="4">
        <v>13.233499999999999</v>
      </c>
      <c r="K2504" s="4">
        <v>13.7372</v>
      </c>
      <c r="L2504" s="4">
        <v>13.242000000000001</v>
      </c>
      <c r="M2504" s="4">
        <f t="shared" si="157"/>
        <v>13.404233333333332</v>
      </c>
      <c r="P2504" s="4" t="str">
        <f>"F25F8.1"</f>
        <v>F25F8.1</v>
      </c>
      <c r="Q2504" s="4">
        <v>13.1959795978219</v>
      </c>
      <c r="R2504" s="4">
        <v>12.9492219663085</v>
      </c>
      <c r="S2504" s="4">
        <v>12.9551979613812</v>
      </c>
      <c r="T2504" s="4">
        <f t="shared" si="158"/>
        <v>13.033466508503865</v>
      </c>
      <c r="W2504" s="4" t="str">
        <f>"ran-5"</f>
        <v>ran-5</v>
      </c>
      <c r="X2504" s="4">
        <v>13.2934061875817</v>
      </c>
      <c r="Y2504" s="4">
        <v>12.9548837207955</v>
      </c>
      <c r="Z2504" s="4">
        <v>12.9020181820103</v>
      </c>
      <c r="AA2504" s="4">
        <f t="shared" si="159"/>
        <v>13.050102696795834</v>
      </c>
    </row>
    <row r="2505" spans="2:27" x14ac:dyDescent="0.2">
      <c r="B2505" s="4" t="s">
        <v>4273</v>
      </c>
      <c r="C2505" s="4">
        <v>13.3111</v>
      </c>
      <c r="D2505" s="4">
        <v>13.520899999999999</v>
      </c>
      <c r="E2505" s="4">
        <v>13.4214</v>
      </c>
      <c r="F2505" s="4">
        <f t="shared" si="156"/>
        <v>13.4178</v>
      </c>
      <c r="I2505" s="4" t="s">
        <v>3560</v>
      </c>
      <c r="J2505" s="4">
        <v>13.504899999999999</v>
      </c>
      <c r="K2505" s="4">
        <v>13.3972</v>
      </c>
      <c r="L2505" s="4">
        <v>13.309100000000001</v>
      </c>
      <c r="M2505" s="4">
        <f t="shared" si="157"/>
        <v>13.403733333333333</v>
      </c>
      <c r="P2505" s="4" t="str">
        <f>"gei-1"</f>
        <v>gei-1</v>
      </c>
      <c r="Q2505" s="4">
        <v>13.2953644986037</v>
      </c>
      <c r="R2505" s="4">
        <v>13.005874297141499</v>
      </c>
      <c r="S2505" s="4">
        <v>12.798951846547199</v>
      </c>
      <c r="T2505" s="4">
        <f t="shared" si="158"/>
        <v>13.033396880764132</v>
      </c>
      <c r="W2505" s="4" t="str">
        <f>"mrpl-22"</f>
        <v>mrpl-22</v>
      </c>
      <c r="X2505" s="4">
        <v>13.1126309502572</v>
      </c>
      <c r="Y2505" s="4">
        <v>12.278519106398001</v>
      </c>
      <c r="Z2505" s="4">
        <v>13.756971975645699</v>
      </c>
      <c r="AA2505" s="4">
        <f t="shared" si="159"/>
        <v>13.049374010766966</v>
      </c>
    </row>
    <row r="2506" spans="2:27" x14ac:dyDescent="0.2">
      <c r="B2506" s="4" t="s">
        <v>1823</v>
      </c>
      <c r="C2506" s="4">
        <v>13.8668</v>
      </c>
      <c r="D2506" s="4">
        <v>13.5235</v>
      </c>
      <c r="E2506" s="4">
        <v>12.8621</v>
      </c>
      <c r="F2506" s="4">
        <f t="shared" si="156"/>
        <v>13.417466666666668</v>
      </c>
      <c r="I2506" s="4" t="s">
        <v>4805</v>
      </c>
      <c r="J2506" s="4">
        <v>13.4917</v>
      </c>
      <c r="K2506" s="4">
        <v>13.3939</v>
      </c>
      <c r="L2506" s="4">
        <v>13.323700000000001</v>
      </c>
      <c r="M2506" s="4">
        <f t="shared" si="157"/>
        <v>13.4031</v>
      </c>
      <c r="P2506" s="4" t="str">
        <f>"cdr-2"</f>
        <v>cdr-2</v>
      </c>
      <c r="Q2506" s="4">
        <v>13.045317236520001</v>
      </c>
      <c r="R2506" s="4">
        <v>12.9294167736237</v>
      </c>
      <c r="S2506" s="4">
        <v>13.1216603045699</v>
      </c>
      <c r="T2506" s="4">
        <f t="shared" si="158"/>
        <v>13.032131438237867</v>
      </c>
      <c r="W2506" s="4" t="str">
        <f>"rad-8"</f>
        <v>rad-8</v>
      </c>
      <c r="X2506" s="4">
        <v>12.926102822227699</v>
      </c>
      <c r="Y2506" s="4">
        <v>13.146224585688801</v>
      </c>
      <c r="Z2506" s="4">
        <v>13.0746837352588</v>
      </c>
      <c r="AA2506" s="4">
        <f t="shared" si="159"/>
        <v>13.049003714391766</v>
      </c>
    </row>
    <row r="2507" spans="2:27" x14ac:dyDescent="0.2">
      <c r="B2507" s="4" t="s">
        <v>3582</v>
      </c>
      <c r="C2507" s="4">
        <v>13.6151</v>
      </c>
      <c r="D2507" s="4">
        <v>13.367699999999999</v>
      </c>
      <c r="E2507" s="4">
        <v>13.269500000000001</v>
      </c>
      <c r="F2507" s="4">
        <f t="shared" si="156"/>
        <v>13.417433333333333</v>
      </c>
      <c r="I2507" s="4" t="s">
        <v>335</v>
      </c>
      <c r="J2507" s="4">
        <v>13.156499999999999</v>
      </c>
      <c r="K2507" s="4">
        <v>13.4488</v>
      </c>
      <c r="L2507" s="4">
        <v>13.5929</v>
      </c>
      <c r="M2507" s="4">
        <f t="shared" si="157"/>
        <v>13.3994</v>
      </c>
      <c r="P2507" s="4" t="str">
        <f>"F35C8.5"</f>
        <v>F35C8.5</v>
      </c>
      <c r="Q2507" s="4">
        <v>13.1306520760917</v>
      </c>
      <c r="R2507" s="4">
        <v>12.7918979336996</v>
      </c>
      <c r="S2507" s="4">
        <v>13.170032929585201</v>
      </c>
      <c r="T2507" s="4">
        <f t="shared" si="158"/>
        <v>13.030860979792166</v>
      </c>
      <c r="W2507" s="4" t="str">
        <f>"T10B5.3"</f>
        <v>T10B5.3</v>
      </c>
      <c r="X2507" s="4">
        <v>13.166572898932399</v>
      </c>
      <c r="Y2507" s="4">
        <v>12.9280123901267</v>
      </c>
      <c r="Z2507" s="4">
        <v>13.051047529530299</v>
      </c>
      <c r="AA2507" s="4">
        <f t="shared" si="159"/>
        <v>13.048544272863133</v>
      </c>
    </row>
    <row r="2508" spans="2:27" x14ac:dyDescent="0.2">
      <c r="B2508" s="4" t="s">
        <v>4806</v>
      </c>
      <c r="C2508" s="4">
        <v>13.390599999999999</v>
      </c>
      <c r="D2508" s="4">
        <v>13.242800000000001</v>
      </c>
      <c r="E2508" s="4">
        <v>13.616300000000001</v>
      </c>
      <c r="F2508" s="4">
        <f t="shared" si="156"/>
        <v>13.416566666666668</v>
      </c>
      <c r="I2508" s="4" t="s">
        <v>4470</v>
      </c>
      <c r="J2508" s="4">
        <v>13.3626</v>
      </c>
      <c r="K2508" s="4">
        <v>13.6936</v>
      </c>
      <c r="L2508" s="4">
        <v>13.1379</v>
      </c>
      <c r="M2508" s="4">
        <f t="shared" si="157"/>
        <v>13.398033333333332</v>
      </c>
      <c r="P2508" s="4" t="str">
        <f>"unc-51"</f>
        <v>unc-51</v>
      </c>
      <c r="Q2508" s="4">
        <v>12.791470288165799</v>
      </c>
      <c r="R2508" s="4">
        <v>13.2661526069183</v>
      </c>
      <c r="S2508" s="4">
        <v>13.034658360602</v>
      </c>
      <c r="T2508" s="4">
        <f t="shared" si="158"/>
        <v>13.030760418562034</v>
      </c>
      <c r="W2508" s="4" t="str">
        <f>"abhd-11.2"</f>
        <v>abhd-11.2</v>
      </c>
      <c r="X2508" s="4">
        <v>13.2144414923458</v>
      </c>
      <c r="Y2508" s="4">
        <v>12.7930452641274</v>
      </c>
      <c r="Z2508" s="4">
        <v>13.1362828645906</v>
      </c>
      <c r="AA2508" s="4">
        <f t="shared" si="159"/>
        <v>13.047923207021265</v>
      </c>
    </row>
    <row r="2509" spans="2:27" x14ac:dyDescent="0.2">
      <c r="B2509" s="4" t="s">
        <v>435</v>
      </c>
      <c r="C2509" s="4">
        <v>13.313700000000001</v>
      </c>
      <c r="D2509" s="4">
        <v>13.3565</v>
      </c>
      <c r="E2509" s="4">
        <v>13.5716</v>
      </c>
      <c r="F2509" s="4">
        <f t="shared" si="156"/>
        <v>13.413933333333333</v>
      </c>
      <c r="I2509" s="4" t="s">
        <v>2183</v>
      </c>
      <c r="J2509" s="4">
        <v>13.2843</v>
      </c>
      <c r="K2509" s="4">
        <v>13.481</v>
      </c>
      <c r="L2509" s="4">
        <v>13.4245</v>
      </c>
      <c r="M2509" s="4">
        <f t="shared" si="157"/>
        <v>13.396599999999999</v>
      </c>
      <c r="P2509" s="4" t="str">
        <f>"thoc-1"</f>
        <v>thoc-1</v>
      </c>
      <c r="Q2509" s="4">
        <v>12.8311232959893</v>
      </c>
      <c r="R2509" s="4">
        <v>13.146736900949</v>
      </c>
      <c r="S2509" s="4">
        <v>13.1117547654696</v>
      </c>
      <c r="T2509" s="4">
        <f t="shared" si="158"/>
        <v>13.029871654135967</v>
      </c>
      <c r="W2509" s="4" t="str">
        <f>"nish-1"</f>
        <v>nish-1</v>
      </c>
      <c r="X2509" s="4">
        <v>13.2599865807853</v>
      </c>
      <c r="Y2509" s="4">
        <v>12.855065289110099</v>
      </c>
      <c r="Z2509" s="4">
        <v>13.028123894607599</v>
      </c>
      <c r="AA2509" s="4">
        <f t="shared" si="159"/>
        <v>13.047725254834333</v>
      </c>
    </row>
    <row r="2510" spans="2:27" x14ac:dyDescent="0.2">
      <c r="B2510" s="4" t="s">
        <v>1838</v>
      </c>
      <c r="C2510" s="4">
        <v>13.0359</v>
      </c>
      <c r="D2510" s="4">
        <v>13.7361</v>
      </c>
      <c r="E2510" s="4">
        <v>13.466699999999999</v>
      </c>
      <c r="F2510" s="4">
        <f t="shared" si="156"/>
        <v>13.412899999999999</v>
      </c>
      <c r="I2510" s="4" t="s">
        <v>3740</v>
      </c>
      <c r="J2510" s="4">
        <v>13.1104</v>
      </c>
      <c r="K2510" s="4">
        <v>13.553100000000001</v>
      </c>
      <c r="L2510" s="4">
        <v>13.522</v>
      </c>
      <c r="M2510" s="4">
        <f t="shared" si="157"/>
        <v>13.395166666666666</v>
      </c>
      <c r="P2510" s="4" t="str">
        <f>"F58A6.1"</f>
        <v>F58A6.1</v>
      </c>
      <c r="Q2510" s="4">
        <v>12.554829246244999</v>
      </c>
      <c r="R2510" s="4">
        <v>13.368254163560501</v>
      </c>
      <c r="S2510" s="4">
        <v>13.1560795048239</v>
      </c>
      <c r="T2510" s="4">
        <f t="shared" si="158"/>
        <v>13.026387638209799</v>
      </c>
      <c r="W2510" s="4" t="str">
        <f>"tbp-1"</f>
        <v>tbp-1</v>
      </c>
      <c r="X2510" s="4">
        <v>13.0333789131289</v>
      </c>
      <c r="Y2510" s="4">
        <v>13.1802326498479</v>
      </c>
      <c r="Z2510" s="4">
        <v>12.927012184436199</v>
      </c>
      <c r="AA2510" s="4">
        <f t="shared" si="159"/>
        <v>13.046874582471</v>
      </c>
    </row>
    <row r="2511" spans="2:27" x14ac:dyDescent="0.2">
      <c r="B2511" s="4" t="s">
        <v>124</v>
      </c>
      <c r="C2511" s="4">
        <v>13.454499999999999</v>
      </c>
      <c r="D2511" s="4">
        <v>13.2614</v>
      </c>
      <c r="E2511" s="4">
        <v>13.5192</v>
      </c>
      <c r="F2511" s="4">
        <f t="shared" si="156"/>
        <v>13.411699999999998</v>
      </c>
      <c r="I2511" s="4" t="s">
        <v>3968</v>
      </c>
      <c r="J2511" s="4">
        <v>13.6275</v>
      </c>
      <c r="K2511" s="4">
        <v>13.2478</v>
      </c>
      <c r="L2511" s="4">
        <v>13.3009</v>
      </c>
      <c r="M2511" s="4">
        <f t="shared" si="157"/>
        <v>13.392066666666667</v>
      </c>
      <c r="P2511" s="4" t="str">
        <f>"lap-1"</f>
        <v>lap-1</v>
      </c>
      <c r="Q2511" s="4">
        <v>12.762946102996301</v>
      </c>
      <c r="R2511" s="4">
        <v>12.8543813000204</v>
      </c>
      <c r="S2511" s="4">
        <v>13.4592595849258</v>
      </c>
      <c r="T2511" s="4">
        <f t="shared" si="158"/>
        <v>13.025528995980835</v>
      </c>
      <c r="W2511" s="4" t="str">
        <f>"ddx-46"</f>
        <v>ddx-46</v>
      </c>
      <c r="X2511" s="4">
        <v>12.9846418935737</v>
      </c>
      <c r="Y2511" s="4">
        <v>13.1653937757987</v>
      </c>
      <c r="Z2511" s="4">
        <v>12.987335453192999</v>
      </c>
      <c r="AA2511" s="4">
        <f t="shared" si="159"/>
        <v>13.045790374188465</v>
      </c>
    </row>
    <row r="2512" spans="2:27" x14ac:dyDescent="0.2">
      <c r="B2512" s="4" t="s">
        <v>1125</v>
      </c>
      <c r="C2512" s="4">
        <v>13.1859</v>
      </c>
      <c r="D2512" s="4">
        <v>13.744300000000001</v>
      </c>
      <c r="E2512" s="4">
        <v>13.303100000000001</v>
      </c>
      <c r="F2512" s="4">
        <f t="shared" si="156"/>
        <v>13.411099999999999</v>
      </c>
      <c r="I2512" s="4" t="s">
        <v>3000</v>
      </c>
      <c r="J2512" s="4">
        <v>13.4214</v>
      </c>
      <c r="K2512" s="4">
        <v>13.0641</v>
      </c>
      <c r="L2512" s="4">
        <v>13.690300000000001</v>
      </c>
      <c r="M2512" s="4">
        <f t="shared" si="157"/>
        <v>13.391933333333334</v>
      </c>
      <c r="P2512" s="4" t="str">
        <f>"inx-13"</f>
        <v>inx-13</v>
      </c>
      <c r="Q2512" s="4">
        <v>12.7301062228386</v>
      </c>
      <c r="R2512" s="4">
        <v>13.014011639827499</v>
      </c>
      <c r="S2512" s="4">
        <v>13.331140725895199</v>
      </c>
      <c r="T2512" s="4">
        <f t="shared" si="158"/>
        <v>13.025086196187099</v>
      </c>
      <c r="W2512" s="4" t="str">
        <f>"ced-2"</f>
        <v>ced-2</v>
      </c>
      <c r="X2512" s="4">
        <v>12.7586965734163</v>
      </c>
      <c r="Y2512" s="4">
        <v>13.146394583598701</v>
      </c>
      <c r="Z2512" s="4">
        <v>13.228811888490601</v>
      </c>
      <c r="AA2512" s="4">
        <f t="shared" si="159"/>
        <v>13.044634348501868</v>
      </c>
    </row>
    <row r="2513" spans="2:27" x14ac:dyDescent="0.2">
      <c r="B2513" s="4" t="s">
        <v>4266</v>
      </c>
      <c r="C2513" s="4">
        <v>13.290800000000001</v>
      </c>
      <c r="D2513" s="4">
        <v>13.6023</v>
      </c>
      <c r="E2513" s="4">
        <v>13.336399999999999</v>
      </c>
      <c r="F2513" s="4">
        <f t="shared" si="156"/>
        <v>13.409833333333333</v>
      </c>
      <c r="I2513" s="4" t="s">
        <v>2308</v>
      </c>
      <c r="J2513" s="4">
        <v>13.280799999999999</v>
      </c>
      <c r="K2513" s="4">
        <v>13.090400000000001</v>
      </c>
      <c r="L2513" s="4">
        <v>13.8033</v>
      </c>
      <c r="M2513" s="4">
        <f t="shared" si="157"/>
        <v>13.391500000000001</v>
      </c>
      <c r="P2513" s="4" t="str">
        <f>"lec-9"</f>
        <v>lec-9</v>
      </c>
      <c r="Q2513" s="4">
        <v>13.0658515960386</v>
      </c>
      <c r="R2513" s="4">
        <v>13.0489913801519</v>
      </c>
      <c r="S2513" s="4">
        <v>12.958980597659799</v>
      </c>
      <c r="T2513" s="4">
        <f t="shared" si="158"/>
        <v>13.024607857950102</v>
      </c>
      <c r="W2513" s="4" t="str">
        <f>"cpna-3"</f>
        <v>cpna-3</v>
      </c>
      <c r="X2513" s="4">
        <v>13.5261595738009</v>
      </c>
      <c r="Y2513" s="4">
        <v>12.7507453036994</v>
      </c>
      <c r="Z2513" s="4">
        <v>12.8529797058968</v>
      </c>
      <c r="AA2513" s="4">
        <f t="shared" si="159"/>
        <v>13.043294861132367</v>
      </c>
    </row>
    <row r="2514" spans="2:27" x14ac:dyDescent="0.2">
      <c r="B2514" s="4" t="s">
        <v>2726</v>
      </c>
      <c r="C2514" s="4">
        <v>13.3803</v>
      </c>
      <c r="D2514" s="4">
        <v>13.728</v>
      </c>
      <c r="E2514" s="4">
        <v>13.12</v>
      </c>
      <c r="F2514" s="4">
        <f t="shared" si="156"/>
        <v>13.409433333333332</v>
      </c>
      <c r="I2514" s="4" t="s">
        <v>4544</v>
      </c>
      <c r="J2514" s="4">
        <v>13.111599999999999</v>
      </c>
      <c r="K2514" s="4">
        <v>13.8086</v>
      </c>
      <c r="L2514" s="4">
        <v>13.252800000000001</v>
      </c>
      <c r="M2514" s="4">
        <f t="shared" si="157"/>
        <v>13.391</v>
      </c>
      <c r="P2514" s="4" t="str">
        <f>"unc-59"</f>
        <v>unc-59</v>
      </c>
      <c r="Q2514" s="4">
        <v>12.8877328404359</v>
      </c>
      <c r="R2514" s="4">
        <v>13.173031324292101</v>
      </c>
      <c r="S2514" s="4">
        <v>13.012213102889</v>
      </c>
      <c r="T2514" s="4">
        <f t="shared" si="158"/>
        <v>13.024325755872333</v>
      </c>
      <c r="W2514" s="4" t="str">
        <f>"rsa-2"</f>
        <v>rsa-2</v>
      </c>
      <c r="X2514" s="4">
        <v>13.410300040699299</v>
      </c>
      <c r="Y2514" s="4">
        <v>12.8028047882497</v>
      </c>
      <c r="Z2514" s="4">
        <v>12.915984274607901</v>
      </c>
      <c r="AA2514" s="4">
        <f t="shared" si="159"/>
        <v>13.043029701185633</v>
      </c>
    </row>
    <row r="2515" spans="2:27" x14ac:dyDescent="0.2">
      <c r="B2515" s="4" t="s">
        <v>3036</v>
      </c>
      <c r="C2515" s="4">
        <v>13.447900000000001</v>
      </c>
      <c r="D2515" s="4">
        <v>13.7151</v>
      </c>
      <c r="E2515" s="4">
        <v>13.0632</v>
      </c>
      <c r="F2515" s="4">
        <f t="shared" si="156"/>
        <v>13.408733333333332</v>
      </c>
      <c r="I2515" s="4" t="s">
        <v>1968</v>
      </c>
      <c r="J2515" s="4">
        <v>13.4717</v>
      </c>
      <c r="K2515" s="4">
        <v>13.4369</v>
      </c>
      <c r="L2515" s="4">
        <v>13.2621</v>
      </c>
      <c r="M2515" s="4">
        <f t="shared" si="157"/>
        <v>13.390233333333333</v>
      </c>
      <c r="P2515" s="4" t="str">
        <f>"chdh-1"</f>
        <v>chdh-1</v>
      </c>
      <c r="Q2515" s="4">
        <v>13.098210175789699</v>
      </c>
      <c r="R2515" s="4">
        <v>12.930320870344699</v>
      </c>
      <c r="S2515" s="4">
        <v>13.039405550855699</v>
      </c>
      <c r="T2515" s="4">
        <f t="shared" si="158"/>
        <v>13.022645532330031</v>
      </c>
      <c r="W2515" s="4" t="str">
        <f>"sly-1"</f>
        <v>sly-1</v>
      </c>
      <c r="X2515" s="4">
        <v>13.050898369230801</v>
      </c>
      <c r="Y2515" s="4">
        <v>12.8687225517931</v>
      </c>
      <c r="Z2515" s="4">
        <v>13.2079414073377</v>
      </c>
      <c r="AA2515" s="4">
        <f t="shared" si="159"/>
        <v>13.042520776120533</v>
      </c>
    </row>
    <row r="2516" spans="2:27" x14ac:dyDescent="0.2">
      <c r="B2516" s="4" t="s">
        <v>2611</v>
      </c>
      <c r="C2516" s="4">
        <v>13.580500000000001</v>
      </c>
      <c r="D2516" s="4">
        <v>13.483499999999999</v>
      </c>
      <c r="E2516" s="4">
        <v>13.161</v>
      </c>
      <c r="F2516" s="4">
        <f t="shared" si="156"/>
        <v>13.408333333333333</v>
      </c>
      <c r="I2516" s="4" t="s">
        <v>2237</v>
      </c>
      <c r="J2516" s="4">
        <v>13.382199999999999</v>
      </c>
      <c r="K2516" s="4">
        <v>12.9156</v>
      </c>
      <c r="L2516" s="4">
        <v>13.8643</v>
      </c>
      <c r="M2516" s="4">
        <f t="shared" si="157"/>
        <v>13.387366666666665</v>
      </c>
      <c r="P2516" s="4" t="str">
        <f>"C05D11.1"</f>
        <v>C05D11.1</v>
      </c>
      <c r="Q2516" s="4">
        <v>13.0952487682093</v>
      </c>
      <c r="R2516" s="4">
        <v>12.9920320615135</v>
      </c>
      <c r="S2516" s="4">
        <v>12.979586053953</v>
      </c>
      <c r="T2516" s="4">
        <f t="shared" si="158"/>
        <v>13.022288961225266</v>
      </c>
      <c r="W2516" s="4" t="str">
        <f>"math-41"</f>
        <v>math-41</v>
      </c>
      <c r="X2516" s="4">
        <v>13.1278849436389</v>
      </c>
      <c r="Y2516" s="4">
        <v>13.049707979493499</v>
      </c>
      <c r="Z2516" s="4">
        <v>12.947655482462</v>
      </c>
      <c r="AA2516" s="4">
        <f t="shared" si="159"/>
        <v>13.041749468531469</v>
      </c>
    </row>
    <row r="2517" spans="2:27" x14ac:dyDescent="0.2">
      <c r="B2517" s="4" t="s">
        <v>2016</v>
      </c>
      <c r="C2517" s="4">
        <v>13.2403</v>
      </c>
      <c r="D2517" s="4">
        <v>13.1051</v>
      </c>
      <c r="E2517" s="4">
        <v>13.8779</v>
      </c>
      <c r="F2517" s="4">
        <f t="shared" si="156"/>
        <v>13.407766666666666</v>
      </c>
      <c r="I2517" s="4" t="s">
        <v>2861</v>
      </c>
      <c r="J2517" s="4">
        <v>13.6198</v>
      </c>
      <c r="K2517" s="4">
        <v>13.5381</v>
      </c>
      <c r="L2517" s="4">
        <v>13.004099999999999</v>
      </c>
      <c r="M2517" s="4">
        <f t="shared" si="157"/>
        <v>13.387333333333332</v>
      </c>
      <c r="P2517" s="4" t="str">
        <f>"pld-1"</f>
        <v>pld-1</v>
      </c>
      <c r="Q2517" s="4">
        <v>12.9869925243104</v>
      </c>
      <c r="R2517" s="4">
        <v>12.8698504635598</v>
      </c>
      <c r="S2517" s="4">
        <v>13.2099068537729</v>
      </c>
      <c r="T2517" s="4">
        <f t="shared" si="158"/>
        <v>13.022249947214368</v>
      </c>
      <c r="W2517" s="4" t="str">
        <f>"rsd-3"</f>
        <v>rsd-3</v>
      </c>
      <c r="X2517" s="4">
        <v>13.261544949793199</v>
      </c>
      <c r="Y2517" s="4">
        <v>12.8384367352952</v>
      </c>
      <c r="Z2517" s="4">
        <v>13.021455074734201</v>
      </c>
      <c r="AA2517" s="4">
        <f t="shared" si="159"/>
        <v>13.040478919940867</v>
      </c>
    </row>
    <row r="2518" spans="2:27" x14ac:dyDescent="0.2">
      <c r="B2518" s="4" t="s">
        <v>1494</v>
      </c>
      <c r="C2518" s="4">
        <v>13.409800000000001</v>
      </c>
      <c r="D2518" s="4">
        <v>13.440099999999999</v>
      </c>
      <c r="E2518" s="4">
        <v>13.3673</v>
      </c>
      <c r="F2518" s="4">
        <f t="shared" si="156"/>
        <v>13.405733333333332</v>
      </c>
      <c r="I2518" s="4" t="s">
        <v>3331</v>
      </c>
      <c r="J2518" s="4">
        <v>13.212</v>
      </c>
      <c r="K2518" s="4">
        <v>13.3286</v>
      </c>
      <c r="L2518" s="4">
        <v>13.618600000000001</v>
      </c>
      <c r="M2518" s="4">
        <f t="shared" si="157"/>
        <v>13.3864</v>
      </c>
      <c r="P2518" s="4" t="str">
        <f>"mua-3"</f>
        <v>mua-3</v>
      </c>
      <c r="Q2518" s="4">
        <v>13.050990583931201</v>
      </c>
      <c r="R2518" s="4">
        <v>13.2019060679683</v>
      </c>
      <c r="S2518" s="4">
        <v>12.812396673029101</v>
      </c>
      <c r="T2518" s="4">
        <f t="shared" si="158"/>
        <v>13.021764441642867</v>
      </c>
      <c r="W2518" s="4" t="str">
        <f>"efr-3"</f>
        <v>efr-3</v>
      </c>
      <c r="X2518" s="4">
        <v>12.968942251609199</v>
      </c>
      <c r="Y2518" s="4">
        <v>12.9804190961242</v>
      </c>
      <c r="Z2518" s="4">
        <v>13.169248316444801</v>
      </c>
      <c r="AA2518" s="4">
        <f t="shared" si="159"/>
        <v>13.039536554726068</v>
      </c>
    </row>
    <row r="2519" spans="2:27" x14ac:dyDescent="0.2">
      <c r="B2519" s="4" t="s">
        <v>4185</v>
      </c>
      <c r="C2519" s="4">
        <v>13.315300000000001</v>
      </c>
      <c r="D2519" s="4">
        <v>13.4946</v>
      </c>
      <c r="E2519" s="4">
        <v>13.4008</v>
      </c>
      <c r="F2519" s="4">
        <f t="shared" si="156"/>
        <v>13.403566666666668</v>
      </c>
      <c r="I2519" s="4" t="s">
        <v>1453</v>
      </c>
      <c r="J2519" s="4">
        <v>13.5068</v>
      </c>
      <c r="K2519" s="4">
        <v>12.7943</v>
      </c>
      <c r="L2519" s="4">
        <v>13.854799999999999</v>
      </c>
      <c r="M2519" s="4">
        <f t="shared" si="157"/>
        <v>13.385299999999999</v>
      </c>
      <c r="P2519" s="4" t="str">
        <f>"pqn-41"</f>
        <v>pqn-41</v>
      </c>
      <c r="Q2519" s="4">
        <v>13.244025183604499</v>
      </c>
      <c r="R2519" s="4">
        <v>12.872052398138999</v>
      </c>
      <c r="S2519" s="4">
        <v>12.944776814926501</v>
      </c>
      <c r="T2519" s="4">
        <f t="shared" si="158"/>
        <v>13.020284798889998</v>
      </c>
      <c r="W2519" s="4" t="str">
        <f>"hpo-15"</f>
        <v>hpo-15</v>
      </c>
      <c r="X2519" s="4">
        <v>13.302610343901</v>
      </c>
      <c r="Y2519" s="4">
        <v>13.0788552385829</v>
      </c>
      <c r="Z2519" s="4">
        <v>12.7324963200182</v>
      </c>
      <c r="AA2519" s="4">
        <f t="shared" si="159"/>
        <v>13.037987300834033</v>
      </c>
    </row>
    <row r="2520" spans="2:27" x14ac:dyDescent="0.2">
      <c r="B2520" s="4" t="s">
        <v>2386</v>
      </c>
      <c r="C2520" s="4">
        <v>13.285600000000001</v>
      </c>
      <c r="D2520" s="4">
        <v>13.3725</v>
      </c>
      <c r="E2520" s="4">
        <v>13.5524</v>
      </c>
      <c r="F2520" s="4">
        <f t="shared" si="156"/>
        <v>13.403500000000001</v>
      </c>
      <c r="I2520" s="4" t="s">
        <v>3808</v>
      </c>
      <c r="J2520" s="4">
        <v>13.5631</v>
      </c>
      <c r="K2520" s="4">
        <v>13.4123</v>
      </c>
      <c r="L2520" s="4">
        <v>13.174799999999999</v>
      </c>
      <c r="M2520" s="4">
        <f t="shared" si="157"/>
        <v>13.3834</v>
      </c>
      <c r="P2520" s="4" t="str">
        <f>"pqn-59"</f>
        <v>pqn-59</v>
      </c>
      <c r="Q2520" s="4">
        <v>13.1616260317392</v>
      </c>
      <c r="R2520" s="4">
        <v>12.9444479024493</v>
      </c>
      <c r="S2520" s="4">
        <v>12.9541669977514</v>
      </c>
      <c r="T2520" s="4">
        <f t="shared" si="158"/>
        <v>13.020080310646634</v>
      </c>
      <c r="W2520" s="4" t="str">
        <f>"noa-1"</f>
        <v>noa-1</v>
      </c>
      <c r="X2520" s="4">
        <v>12.8539342025752</v>
      </c>
      <c r="Y2520" s="4">
        <v>13.0048437310185</v>
      </c>
      <c r="Z2520" s="4">
        <v>13.2540757815884</v>
      </c>
      <c r="AA2520" s="4">
        <f t="shared" si="159"/>
        <v>13.037617905060699</v>
      </c>
    </row>
    <row r="2521" spans="2:27" x14ac:dyDescent="0.2">
      <c r="B2521" s="4" t="s">
        <v>432</v>
      </c>
      <c r="C2521" s="4">
        <v>13.578099999999999</v>
      </c>
      <c r="D2521" s="4">
        <v>13.5533</v>
      </c>
      <c r="E2521" s="4">
        <v>13.0784</v>
      </c>
      <c r="F2521" s="4">
        <f t="shared" si="156"/>
        <v>13.403266666666667</v>
      </c>
      <c r="I2521" s="4" t="s">
        <v>3863</v>
      </c>
      <c r="J2521" s="4">
        <v>12.834</v>
      </c>
      <c r="K2521" s="4">
        <v>13.4549</v>
      </c>
      <c r="L2521" s="4">
        <v>13.859400000000001</v>
      </c>
      <c r="M2521" s="4">
        <f t="shared" si="157"/>
        <v>13.382766666666667</v>
      </c>
      <c r="P2521" s="4" t="str">
        <f>"acl-9"</f>
        <v>acl-9</v>
      </c>
      <c r="Q2521" s="4">
        <v>12.800400024832401</v>
      </c>
      <c r="R2521" s="4">
        <v>13.1799130362181</v>
      </c>
      <c r="S2521" s="4">
        <v>13.079919754050801</v>
      </c>
      <c r="T2521" s="4">
        <f t="shared" si="158"/>
        <v>13.020077605033768</v>
      </c>
      <c r="W2521" s="4" t="str">
        <f>"R186.3"</f>
        <v>R186.3</v>
      </c>
      <c r="X2521" s="4">
        <v>13.3182400956325</v>
      </c>
      <c r="Y2521" s="4">
        <v>13.073129817941499</v>
      </c>
      <c r="Z2521" s="4">
        <v>12.720884398812199</v>
      </c>
      <c r="AA2521" s="4">
        <f t="shared" si="159"/>
        <v>13.037418104128733</v>
      </c>
    </row>
    <row r="2522" spans="2:27" x14ac:dyDescent="0.2">
      <c r="B2522" s="4" t="s">
        <v>3175</v>
      </c>
      <c r="C2522" s="4">
        <v>13.891400000000001</v>
      </c>
      <c r="D2522" s="4">
        <v>13.034700000000001</v>
      </c>
      <c r="E2522" s="4">
        <v>13.277699999999999</v>
      </c>
      <c r="F2522" s="4">
        <f t="shared" si="156"/>
        <v>13.401266666666666</v>
      </c>
      <c r="I2522" s="4" t="s">
        <v>3916</v>
      </c>
      <c r="J2522" s="4">
        <v>13.879099999999999</v>
      </c>
      <c r="K2522" s="4">
        <v>13.4846</v>
      </c>
      <c r="L2522" s="4">
        <v>12.779400000000001</v>
      </c>
      <c r="M2522" s="4">
        <f t="shared" si="157"/>
        <v>13.381033333333335</v>
      </c>
      <c r="P2522" s="4" t="str">
        <f>"adss-1"</f>
        <v>adss-1</v>
      </c>
      <c r="Q2522" s="4">
        <v>13.2714694771186</v>
      </c>
      <c r="R2522" s="4">
        <v>12.9814645958252</v>
      </c>
      <c r="S2522" s="4">
        <v>12.8070817423993</v>
      </c>
      <c r="T2522" s="4">
        <f t="shared" si="158"/>
        <v>13.020005271781033</v>
      </c>
      <c r="W2522" s="4" t="str">
        <f>"ZK1127.5"</f>
        <v>ZK1127.5</v>
      </c>
      <c r="X2522" s="4">
        <v>12.643383367694</v>
      </c>
      <c r="Y2522" s="4">
        <v>13.4962769695854</v>
      </c>
      <c r="Z2522" s="4">
        <v>12.9657266615589</v>
      </c>
      <c r="AA2522" s="4">
        <f t="shared" si="159"/>
        <v>13.035128999612766</v>
      </c>
    </row>
    <row r="2523" spans="2:27" x14ac:dyDescent="0.2">
      <c r="B2523" s="4" t="s">
        <v>4740</v>
      </c>
      <c r="C2523" s="4">
        <v>13.3537</v>
      </c>
      <c r="D2523" s="4">
        <v>13.516999999999999</v>
      </c>
      <c r="E2523" s="4">
        <v>13.321400000000001</v>
      </c>
      <c r="F2523" s="4">
        <f t="shared" si="156"/>
        <v>13.397366666666665</v>
      </c>
      <c r="I2523" s="4" t="s">
        <v>1372</v>
      </c>
      <c r="J2523" s="4">
        <v>13.516500000000001</v>
      </c>
      <c r="K2523" s="4">
        <v>13.2319</v>
      </c>
      <c r="L2523" s="4">
        <v>13.394500000000001</v>
      </c>
      <c r="M2523" s="4">
        <f t="shared" si="157"/>
        <v>13.380966666666666</v>
      </c>
      <c r="P2523" s="4" t="str">
        <f>"mtq-2"</f>
        <v>mtq-2</v>
      </c>
      <c r="Q2523" s="4">
        <v>13.0268874800042</v>
      </c>
      <c r="R2523" s="4">
        <v>12.7337297413656</v>
      </c>
      <c r="S2523" s="4">
        <v>13.287975959299001</v>
      </c>
      <c r="T2523" s="4">
        <f t="shared" si="158"/>
        <v>13.016197726889601</v>
      </c>
      <c r="W2523" s="4" t="str">
        <f>"tiar-2"</f>
        <v>tiar-2</v>
      </c>
      <c r="X2523" s="4">
        <v>12.950412492081799</v>
      </c>
      <c r="Y2523" s="4">
        <v>13.166739818717099</v>
      </c>
      <c r="Z2523" s="4">
        <v>12.985516605338001</v>
      </c>
      <c r="AA2523" s="4">
        <f t="shared" si="159"/>
        <v>13.034222972045633</v>
      </c>
    </row>
    <row r="2524" spans="2:27" x14ac:dyDescent="0.2">
      <c r="B2524" s="4" t="s">
        <v>2811</v>
      </c>
      <c r="C2524" s="4">
        <v>13.4482</v>
      </c>
      <c r="D2524" s="4">
        <v>13.2239</v>
      </c>
      <c r="E2524" s="4">
        <v>13.513400000000001</v>
      </c>
      <c r="F2524" s="4">
        <f t="shared" si="156"/>
        <v>13.395166666666668</v>
      </c>
      <c r="I2524" s="4" t="s">
        <v>4807</v>
      </c>
      <c r="J2524" s="4">
        <v>13.5306</v>
      </c>
      <c r="K2524" s="4">
        <v>13.145300000000001</v>
      </c>
      <c r="L2524" s="4">
        <v>13.4605</v>
      </c>
      <c r="M2524" s="4">
        <f t="shared" si="157"/>
        <v>13.378799999999998</v>
      </c>
      <c r="P2524" s="4" t="str">
        <f>"M18.3"</f>
        <v>M18.3</v>
      </c>
      <c r="Q2524" s="4">
        <v>12.9866351145981</v>
      </c>
      <c r="R2524" s="4">
        <v>13.2202937936833</v>
      </c>
      <c r="S2524" s="4">
        <v>12.839751754552999</v>
      </c>
      <c r="T2524" s="4">
        <f t="shared" si="158"/>
        <v>13.015560220944799</v>
      </c>
      <c r="W2524" s="4" t="str">
        <f>"ttc-37"</f>
        <v>ttc-37</v>
      </c>
      <c r="X2524" s="4">
        <v>13.1237960713418</v>
      </c>
      <c r="Y2524" s="4">
        <v>13.2202907638968</v>
      </c>
      <c r="Z2524" s="4">
        <v>12.7524796827337</v>
      </c>
      <c r="AA2524" s="4">
        <f t="shared" si="159"/>
        <v>13.0321888393241</v>
      </c>
    </row>
    <row r="2525" spans="2:27" x14ac:dyDescent="0.2">
      <c r="B2525" s="4" t="s">
        <v>2714</v>
      </c>
      <c r="C2525" s="4">
        <v>13.541600000000001</v>
      </c>
      <c r="D2525" s="4">
        <v>13.030200000000001</v>
      </c>
      <c r="E2525" s="4">
        <v>13.610200000000001</v>
      </c>
      <c r="F2525" s="4">
        <f t="shared" si="156"/>
        <v>13.394</v>
      </c>
      <c r="I2525" s="4" t="s">
        <v>3850</v>
      </c>
      <c r="J2525" s="4">
        <v>13.2174</v>
      </c>
      <c r="K2525" s="4">
        <v>13.715299999999999</v>
      </c>
      <c r="L2525" s="4">
        <v>13.196099999999999</v>
      </c>
      <c r="M2525" s="4">
        <f t="shared" si="157"/>
        <v>13.376266666666666</v>
      </c>
      <c r="P2525" s="4" t="str">
        <f>"Y17G7B.12"</f>
        <v>Y17G7B.12</v>
      </c>
      <c r="Q2525" s="4">
        <v>12.926135341152101</v>
      </c>
      <c r="R2525" s="4">
        <v>13.1530679919798</v>
      </c>
      <c r="S2525" s="4">
        <v>12.9588622675354</v>
      </c>
      <c r="T2525" s="4">
        <f t="shared" si="158"/>
        <v>13.012688533555767</v>
      </c>
      <c r="W2525" s="4" t="str">
        <f>"mec-8"</f>
        <v>mec-8</v>
      </c>
      <c r="X2525" s="4">
        <v>12.8604352550629</v>
      </c>
      <c r="Y2525" s="4">
        <v>13.229134838471699</v>
      </c>
      <c r="Z2525" s="4">
        <v>13.0061641443352</v>
      </c>
      <c r="AA2525" s="4">
        <f t="shared" si="159"/>
        <v>13.031911412623266</v>
      </c>
    </row>
    <row r="2526" spans="2:27" x14ac:dyDescent="0.2">
      <c r="B2526" s="4" t="s">
        <v>4808</v>
      </c>
      <c r="C2526" s="4">
        <v>13.608000000000001</v>
      </c>
      <c r="D2526" s="4">
        <v>13.429399999999999</v>
      </c>
      <c r="E2526" s="4">
        <v>13.1387</v>
      </c>
      <c r="F2526" s="4">
        <f t="shared" si="156"/>
        <v>13.392033333333332</v>
      </c>
      <c r="I2526" s="4" t="s">
        <v>3717</v>
      </c>
      <c r="J2526" s="4">
        <v>13.8088</v>
      </c>
      <c r="K2526" s="4">
        <v>13.3423</v>
      </c>
      <c r="L2526" s="4">
        <v>12.9747</v>
      </c>
      <c r="M2526" s="4">
        <f t="shared" si="157"/>
        <v>13.375266666666667</v>
      </c>
      <c r="P2526" s="4" t="str">
        <f>"glna-2"</f>
        <v>glna-2</v>
      </c>
      <c r="Q2526" s="4">
        <v>12.8172820327094</v>
      </c>
      <c r="R2526" s="4">
        <v>13.1589582602354</v>
      </c>
      <c r="S2526" s="4">
        <v>13.061369133920699</v>
      </c>
      <c r="T2526" s="4">
        <f t="shared" si="158"/>
        <v>13.012536475621834</v>
      </c>
      <c r="W2526" s="4" t="str">
        <f>"pacs-1"</f>
        <v>pacs-1</v>
      </c>
      <c r="X2526" s="4">
        <v>12.740963010835699</v>
      </c>
      <c r="Y2526" s="4">
        <v>12.9439380559137</v>
      </c>
      <c r="Z2526" s="4">
        <v>13.4103683908251</v>
      </c>
      <c r="AA2526" s="4">
        <f t="shared" si="159"/>
        <v>13.031756485858166</v>
      </c>
    </row>
    <row r="2527" spans="2:27" x14ac:dyDescent="0.2">
      <c r="B2527" s="4" t="s">
        <v>4809</v>
      </c>
      <c r="C2527" s="4">
        <v>13.536099999999999</v>
      </c>
      <c r="D2527" s="4">
        <v>13.557700000000001</v>
      </c>
      <c r="E2527" s="4">
        <v>13.071899999999999</v>
      </c>
      <c r="F2527" s="4">
        <f t="shared" si="156"/>
        <v>13.388566666666668</v>
      </c>
      <c r="I2527" s="4" t="s">
        <v>4416</v>
      </c>
      <c r="J2527" s="4">
        <v>13.172800000000001</v>
      </c>
      <c r="K2527" s="4">
        <v>13.664400000000001</v>
      </c>
      <c r="L2527" s="4">
        <v>13.286300000000001</v>
      </c>
      <c r="M2527" s="4">
        <f t="shared" si="157"/>
        <v>13.374500000000003</v>
      </c>
      <c r="P2527" s="4" t="str">
        <f>"ctb-1"</f>
        <v>ctb-1</v>
      </c>
      <c r="Q2527" s="4">
        <v>13.0180378989684</v>
      </c>
      <c r="R2527" s="4">
        <v>13.294922973424701</v>
      </c>
      <c r="S2527" s="4">
        <v>12.7204342991334</v>
      </c>
      <c r="T2527" s="4">
        <f t="shared" si="158"/>
        <v>13.011131723842167</v>
      </c>
      <c r="W2527" s="4" t="str">
        <f>"unc-68"</f>
        <v>unc-68</v>
      </c>
      <c r="X2527" s="4">
        <v>13.194688538094899</v>
      </c>
      <c r="Y2527" s="4">
        <v>12.9352498377943</v>
      </c>
      <c r="Z2527" s="4">
        <v>12.9518124624444</v>
      </c>
      <c r="AA2527" s="4">
        <f t="shared" si="159"/>
        <v>13.027250279444532</v>
      </c>
    </row>
    <row r="2528" spans="2:27" x14ac:dyDescent="0.2">
      <c r="B2528" s="4" t="s">
        <v>765</v>
      </c>
      <c r="C2528" s="4">
        <v>13.112</v>
      </c>
      <c r="D2528" s="4">
        <v>13.2987</v>
      </c>
      <c r="E2528" s="4">
        <v>13.7521</v>
      </c>
      <c r="F2528" s="4">
        <f t="shared" si="156"/>
        <v>13.387599999999999</v>
      </c>
      <c r="I2528" s="4" t="s">
        <v>4810</v>
      </c>
      <c r="J2528" s="4">
        <v>12.998799999999999</v>
      </c>
      <c r="K2528" s="4">
        <v>13.615500000000001</v>
      </c>
      <c r="L2528" s="4">
        <v>13.506600000000001</v>
      </c>
      <c r="M2528" s="4">
        <f t="shared" si="157"/>
        <v>13.373633333333332</v>
      </c>
      <c r="P2528" s="4" t="str">
        <f>"snx-6"</f>
        <v>snx-6</v>
      </c>
      <c r="Q2528" s="4">
        <v>12.8557570981331</v>
      </c>
      <c r="R2528" s="4">
        <v>13.2681600559344</v>
      </c>
      <c r="S2528" s="4">
        <v>12.908502874824901</v>
      </c>
      <c r="T2528" s="4">
        <f t="shared" si="158"/>
        <v>13.010806676297468</v>
      </c>
      <c r="W2528" s="4" t="str">
        <f>"spcs-1"</f>
        <v>spcs-1</v>
      </c>
      <c r="X2528" s="4">
        <v>13.0629837735788</v>
      </c>
      <c r="Y2528" s="4">
        <v>12.9710628232117</v>
      </c>
      <c r="Z2528" s="4">
        <v>13.043379702556001</v>
      </c>
      <c r="AA2528" s="4">
        <f t="shared" si="159"/>
        <v>13.025808766448833</v>
      </c>
    </row>
    <row r="2529" spans="2:27" x14ac:dyDescent="0.2">
      <c r="B2529" s="4" t="s">
        <v>1483</v>
      </c>
      <c r="C2529" s="4">
        <v>13.478300000000001</v>
      </c>
      <c r="D2529" s="4">
        <v>13.2925</v>
      </c>
      <c r="E2529" s="4">
        <v>13.382</v>
      </c>
      <c r="F2529" s="4">
        <f t="shared" si="156"/>
        <v>13.384266666666667</v>
      </c>
      <c r="I2529" s="4" t="s">
        <v>609</v>
      </c>
      <c r="J2529" s="4">
        <v>13.475899999999999</v>
      </c>
      <c r="K2529" s="4">
        <v>13.3261</v>
      </c>
      <c r="L2529" s="4">
        <v>13.318300000000001</v>
      </c>
      <c r="M2529" s="4">
        <f t="shared" si="157"/>
        <v>13.373433333333333</v>
      </c>
      <c r="P2529" s="4" t="str">
        <f>"paqr-1"</f>
        <v>paqr-1</v>
      </c>
      <c r="Q2529" s="4">
        <v>13.010281540250499</v>
      </c>
      <c r="R2529" s="4">
        <v>12.97823402038</v>
      </c>
      <c r="S2529" s="4">
        <v>13.040439878689099</v>
      </c>
      <c r="T2529" s="4">
        <f t="shared" si="158"/>
        <v>13.009651813106535</v>
      </c>
      <c r="W2529" s="4" t="str">
        <f>"tir-1"</f>
        <v>tir-1</v>
      </c>
      <c r="X2529" s="4">
        <v>13.071921316424699</v>
      </c>
      <c r="Y2529" s="4">
        <v>12.819464165563</v>
      </c>
      <c r="Z2529" s="4">
        <v>13.184372552247201</v>
      </c>
      <c r="AA2529" s="4">
        <f t="shared" si="159"/>
        <v>13.025252678078298</v>
      </c>
    </row>
    <row r="2530" spans="2:27" x14ac:dyDescent="0.2">
      <c r="B2530" s="4" t="s">
        <v>4811</v>
      </c>
      <c r="C2530" s="4">
        <v>13.736700000000001</v>
      </c>
      <c r="D2530" s="4">
        <v>13.2072</v>
      </c>
      <c r="E2530" s="4">
        <v>13.2065</v>
      </c>
      <c r="F2530" s="4">
        <f t="shared" si="156"/>
        <v>13.383466666666665</v>
      </c>
      <c r="I2530" s="4" t="s">
        <v>4794</v>
      </c>
      <c r="J2530" s="4">
        <v>13.6364</v>
      </c>
      <c r="K2530" s="4">
        <v>13.135899999999999</v>
      </c>
      <c r="L2530" s="4">
        <v>13.345800000000001</v>
      </c>
      <c r="M2530" s="4">
        <f t="shared" si="157"/>
        <v>13.3727</v>
      </c>
      <c r="P2530" s="4" t="str">
        <f>"wwp-1"</f>
        <v>wwp-1</v>
      </c>
      <c r="Q2530" s="4">
        <v>12.8749356443631</v>
      </c>
      <c r="R2530" s="4">
        <v>13.0649804909342</v>
      </c>
      <c r="S2530" s="4">
        <v>13.085768472103201</v>
      </c>
      <c r="T2530" s="4">
        <f t="shared" si="158"/>
        <v>13.008561535800169</v>
      </c>
      <c r="W2530" s="4" t="str">
        <f>"larp-1"</f>
        <v>larp-1</v>
      </c>
      <c r="X2530" s="4">
        <v>12.974560708614099</v>
      </c>
      <c r="Y2530" s="4">
        <v>13.329706717746999</v>
      </c>
      <c r="Z2530" s="4">
        <v>12.7701622882719</v>
      </c>
      <c r="AA2530" s="4">
        <f t="shared" si="159"/>
        <v>13.024809904877666</v>
      </c>
    </row>
    <row r="2531" spans="2:27" x14ac:dyDescent="0.2">
      <c r="B2531" s="4" t="s">
        <v>4373</v>
      </c>
      <c r="C2531" s="4">
        <v>12.968</v>
      </c>
      <c r="D2531" s="4">
        <v>13.922499999999999</v>
      </c>
      <c r="E2531" s="4">
        <v>13.2554</v>
      </c>
      <c r="F2531" s="4">
        <f t="shared" si="156"/>
        <v>13.381966666666665</v>
      </c>
      <c r="I2531" s="4" t="s">
        <v>4806</v>
      </c>
      <c r="J2531" s="4">
        <v>13.949299999999999</v>
      </c>
      <c r="K2531" s="4">
        <v>13.043900000000001</v>
      </c>
      <c r="L2531" s="4">
        <v>13.114599999999999</v>
      </c>
      <c r="M2531" s="4">
        <f t="shared" si="157"/>
        <v>13.369266666666666</v>
      </c>
      <c r="P2531" s="4" t="str">
        <f>"acs-9"</f>
        <v>acs-9</v>
      </c>
      <c r="Q2531" s="4">
        <v>13.487738454388801</v>
      </c>
      <c r="R2531" s="4">
        <v>12.9556141352656</v>
      </c>
      <c r="S2531" s="4">
        <v>12.578923042706499</v>
      </c>
      <c r="T2531" s="4">
        <f t="shared" si="158"/>
        <v>13.007425210786968</v>
      </c>
      <c r="W2531" s="4" t="str">
        <f>"nasp-2"</f>
        <v>nasp-2</v>
      </c>
      <c r="X2531" s="4">
        <v>13.230320856167401</v>
      </c>
      <c r="Y2531" s="4">
        <v>12.9060508440337</v>
      </c>
      <c r="Z2531" s="4">
        <v>12.9365310741971</v>
      </c>
      <c r="AA2531" s="4">
        <f t="shared" si="159"/>
        <v>13.0243009247994</v>
      </c>
    </row>
    <row r="2532" spans="2:27" x14ac:dyDescent="0.2">
      <c r="B2532" s="4" t="s">
        <v>4812</v>
      </c>
      <c r="C2532" s="4">
        <v>13.637499999999999</v>
      </c>
      <c r="D2532" s="4">
        <v>13.3805</v>
      </c>
      <c r="E2532" s="4">
        <v>13.1249</v>
      </c>
      <c r="F2532" s="4">
        <f t="shared" si="156"/>
        <v>13.380966666666666</v>
      </c>
      <c r="I2532" s="4" t="s">
        <v>3104</v>
      </c>
      <c r="J2532" s="4">
        <v>13.134499999999999</v>
      </c>
      <c r="K2532" s="4">
        <v>13.586499999999999</v>
      </c>
      <c r="L2532" s="4">
        <v>13.3789</v>
      </c>
      <c r="M2532" s="4">
        <f t="shared" si="157"/>
        <v>13.366633333333333</v>
      </c>
      <c r="P2532" s="4" t="str">
        <f>"C01G10.9"</f>
        <v>C01G10.9</v>
      </c>
      <c r="Q2532" s="4">
        <v>12.9210584460173</v>
      </c>
      <c r="R2532" s="4">
        <v>13.2180862376732</v>
      </c>
      <c r="S2532" s="4">
        <v>12.880447008182699</v>
      </c>
      <c r="T2532" s="4">
        <f t="shared" si="158"/>
        <v>13.006530563957734</v>
      </c>
      <c r="W2532" s="4" t="str">
        <f>"D1044.1"</f>
        <v>D1044.1</v>
      </c>
      <c r="X2532" s="4">
        <v>13.1189914688009</v>
      </c>
      <c r="Y2532" s="4">
        <v>13.108654251085101</v>
      </c>
      <c r="Z2532" s="4">
        <v>12.840212728433</v>
      </c>
      <c r="AA2532" s="4">
        <f t="shared" si="159"/>
        <v>13.022619482773001</v>
      </c>
    </row>
    <row r="2533" spans="2:27" x14ac:dyDescent="0.2">
      <c r="B2533" s="4" t="s">
        <v>4593</v>
      </c>
      <c r="C2533" s="4">
        <v>13.698700000000001</v>
      </c>
      <c r="D2533" s="4">
        <v>12.8117</v>
      </c>
      <c r="E2533" s="4">
        <v>13.6259</v>
      </c>
      <c r="F2533" s="4">
        <f t="shared" si="156"/>
        <v>13.378766666666666</v>
      </c>
      <c r="I2533" s="4" t="s">
        <v>402</v>
      </c>
      <c r="J2533" s="4">
        <v>13.357100000000001</v>
      </c>
      <c r="K2533" s="4">
        <v>12.849600000000001</v>
      </c>
      <c r="L2533" s="4">
        <v>13.891999999999999</v>
      </c>
      <c r="M2533" s="4">
        <f t="shared" si="157"/>
        <v>13.366233333333334</v>
      </c>
      <c r="P2533" s="4" t="str">
        <f>"pbo-4"</f>
        <v>pbo-4</v>
      </c>
      <c r="Q2533" s="4">
        <v>12.900205435333</v>
      </c>
      <c r="R2533" s="4">
        <v>12.9961582052167</v>
      </c>
      <c r="S2533" s="4">
        <v>13.1220243702513</v>
      </c>
      <c r="T2533" s="4">
        <f t="shared" si="158"/>
        <v>13.006129336933668</v>
      </c>
      <c r="W2533" s="4" t="str">
        <f>"msra-1"</f>
        <v>msra-1</v>
      </c>
      <c r="X2533" s="4">
        <v>13.0158905388419</v>
      </c>
      <c r="Y2533" s="4">
        <v>13.105920015756199</v>
      </c>
      <c r="Z2533" s="4">
        <v>12.938788898218499</v>
      </c>
      <c r="AA2533" s="4">
        <f t="shared" si="159"/>
        <v>13.020199817605532</v>
      </c>
    </row>
    <row r="2534" spans="2:27" x14ac:dyDescent="0.2">
      <c r="B2534" s="4" t="s">
        <v>4314</v>
      </c>
      <c r="C2534" s="4">
        <v>13.3249</v>
      </c>
      <c r="D2534" s="4">
        <v>13.397</v>
      </c>
      <c r="E2534" s="4">
        <v>13.414300000000001</v>
      </c>
      <c r="F2534" s="4">
        <f t="shared" si="156"/>
        <v>13.378733333333335</v>
      </c>
      <c r="I2534" s="4" t="s">
        <v>3377</v>
      </c>
      <c r="J2534" s="4">
        <v>13.082100000000001</v>
      </c>
      <c r="K2534" s="4">
        <v>13.1424</v>
      </c>
      <c r="L2534" s="4">
        <v>13.8636</v>
      </c>
      <c r="M2534" s="4">
        <f t="shared" si="157"/>
        <v>13.362699999999998</v>
      </c>
      <c r="P2534" s="4" t="str">
        <f>"C50B6.3"</f>
        <v>C50B6.3</v>
      </c>
      <c r="Q2534" s="4">
        <v>12.6911022080366</v>
      </c>
      <c r="R2534" s="4">
        <v>12.837750493770701</v>
      </c>
      <c r="S2534" s="4">
        <v>13.4851845044361</v>
      </c>
      <c r="T2534" s="4">
        <f t="shared" si="158"/>
        <v>13.0046790687478</v>
      </c>
      <c r="W2534" s="4" t="str">
        <f>"mtq-2"</f>
        <v>mtq-2</v>
      </c>
      <c r="X2534" s="4">
        <v>13.264925976736199</v>
      </c>
      <c r="Y2534" s="4">
        <v>12.8919575742077</v>
      </c>
      <c r="Z2534" s="4">
        <v>12.901506876668501</v>
      </c>
      <c r="AA2534" s="4">
        <f t="shared" si="159"/>
        <v>13.019463475870801</v>
      </c>
    </row>
    <row r="2535" spans="2:27" x14ac:dyDescent="0.2">
      <c r="B2535" s="4" t="s">
        <v>3126</v>
      </c>
      <c r="C2535" s="4">
        <v>13.353400000000001</v>
      </c>
      <c r="D2535" s="4">
        <v>13.3323</v>
      </c>
      <c r="E2535" s="4">
        <v>13.4358</v>
      </c>
      <c r="F2535" s="4">
        <f t="shared" si="156"/>
        <v>13.373833333333332</v>
      </c>
      <c r="I2535" s="4" t="s">
        <v>3784</v>
      </c>
      <c r="J2535" s="4">
        <v>13.1708</v>
      </c>
      <c r="K2535" s="4">
        <v>13.820399999999999</v>
      </c>
      <c r="L2535" s="4">
        <v>13.0969</v>
      </c>
      <c r="M2535" s="4">
        <f t="shared" si="157"/>
        <v>13.362699999999998</v>
      </c>
      <c r="P2535" s="4" t="str">
        <f>"C48B6.2"</f>
        <v>C48B6.2</v>
      </c>
      <c r="Q2535" s="4">
        <v>12.949668656579901</v>
      </c>
      <c r="R2535" s="4">
        <v>13.1101248168252</v>
      </c>
      <c r="S2535" s="4">
        <v>12.953404775020701</v>
      </c>
      <c r="T2535" s="4">
        <f t="shared" si="158"/>
        <v>13.004399416141935</v>
      </c>
      <c r="W2535" s="4" t="str">
        <f>"lem-2"</f>
        <v>lem-2</v>
      </c>
      <c r="X2535" s="4">
        <v>13.2329595697905</v>
      </c>
      <c r="Y2535" s="4">
        <v>12.860489315901701</v>
      </c>
      <c r="Z2535" s="4">
        <v>12.9592334287077</v>
      </c>
      <c r="AA2535" s="4">
        <f t="shared" si="159"/>
        <v>13.017560771466634</v>
      </c>
    </row>
    <row r="2536" spans="2:27" x14ac:dyDescent="0.2">
      <c r="B2536" s="4" t="s">
        <v>228</v>
      </c>
      <c r="C2536" s="4">
        <v>13.2957</v>
      </c>
      <c r="D2536" s="4">
        <v>13.5434</v>
      </c>
      <c r="E2536" s="4">
        <v>13.2789</v>
      </c>
      <c r="F2536" s="4">
        <f t="shared" si="156"/>
        <v>13.372666666666667</v>
      </c>
      <c r="I2536" s="4" t="s">
        <v>2872</v>
      </c>
      <c r="J2536" s="4">
        <v>13.008599999999999</v>
      </c>
      <c r="K2536" s="4">
        <v>13.43</v>
      </c>
      <c r="L2536" s="4">
        <v>13.6379</v>
      </c>
      <c r="M2536" s="4">
        <f t="shared" si="157"/>
        <v>13.358833333333335</v>
      </c>
      <c r="P2536" s="4" t="str">
        <f>"Y48G10A.1"</f>
        <v>Y48G10A.1</v>
      </c>
      <c r="Q2536" s="4">
        <v>12.6161865744428</v>
      </c>
      <c r="R2536" s="4">
        <v>13.0917704414212</v>
      </c>
      <c r="S2536" s="4">
        <v>13.2981719005382</v>
      </c>
      <c r="T2536" s="4">
        <f t="shared" si="158"/>
        <v>13.002042972134069</v>
      </c>
      <c r="W2536" s="4" t="str">
        <f>"gst-43"</f>
        <v>gst-43</v>
      </c>
      <c r="X2536" s="4">
        <v>12.930273562480201</v>
      </c>
      <c r="Y2536" s="4">
        <v>13.304995380522501</v>
      </c>
      <c r="Z2536" s="4">
        <v>12.8125529347059</v>
      </c>
      <c r="AA2536" s="4">
        <f t="shared" si="159"/>
        <v>13.015940625902866</v>
      </c>
    </row>
    <row r="2537" spans="2:27" x14ac:dyDescent="0.2">
      <c r="B2537" s="4" t="s">
        <v>48</v>
      </c>
      <c r="C2537" s="4">
        <v>13.351000000000001</v>
      </c>
      <c r="D2537" s="4">
        <v>13.4186</v>
      </c>
      <c r="E2537" s="4">
        <v>13.3451</v>
      </c>
      <c r="F2537" s="4">
        <f t="shared" si="156"/>
        <v>13.371566666666666</v>
      </c>
      <c r="I2537" s="4" t="s">
        <v>4320</v>
      </c>
      <c r="J2537" s="4">
        <v>13.3469</v>
      </c>
      <c r="K2537" s="4">
        <v>13.2216</v>
      </c>
      <c r="L2537" s="4">
        <v>13.506500000000001</v>
      </c>
      <c r="M2537" s="4">
        <f t="shared" si="157"/>
        <v>13.358333333333334</v>
      </c>
      <c r="P2537" s="4" t="str">
        <f>"ppm-2"</f>
        <v>ppm-2</v>
      </c>
      <c r="Q2537" s="4">
        <v>13.247362231121</v>
      </c>
      <c r="R2537" s="4">
        <v>12.8027508633587</v>
      </c>
      <c r="S2537" s="4">
        <v>12.955223343726599</v>
      </c>
      <c r="T2537" s="4">
        <f t="shared" si="158"/>
        <v>13.001778812735433</v>
      </c>
      <c r="W2537" s="4" t="str">
        <f>"cnk-1"</f>
        <v>cnk-1</v>
      </c>
      <c r="X2537" s="4">
        <v>13.145991410204999</v>
      </c>
      <c r="Y2537" s="4">
        <v>13.0810252249056</v>
      </c>
      <c r="Z2537" s="4">
        <v>12.8189831471619</v>
      </c>
      <c r="AA2537" s="4">
        <f t="shared" si="159"/>
        <v>13.015333260757501</v>
      </c>
    </row>
    <row r="2538" spans="2:27" x14ac:dyDescent="0.2">
      <c r="B2538" s="4" t="s">
        <v>4813</v>
      </c>
      <c r="C2538" s="4">
        <v>13.280900000000001</v>
      </c>
      <c r="D2538" s="4">
        <v>13.516299999999999</v>
      </c>
      <c r="E2538" s="4">
        <v>13.309100000000001</v>
      </c>
      <c r="F2538" s="4">
        <f t="shared" si="156"/>
        <v>13.368766666666668</v>
      </c>
      <c r="I2538" s="4" t="s">
        <v>603</v>
      </c>
      <c r="J2538" s="4">
        <v>13.527699999999999</v>
      </c>
      <c r="K2538" s="4">
        <v>13.5311</v>
      </c>
      <c r="L2538" s="4">
        <v>13.0024</v>
      </c>
      <c r="M2538" s="4">
        <f t="shared" si="157"/>
        <v>13.353733333333333</v>
      </c>
      <c r="P2538" s="4" t="str">
        <f>"perm-4"</f>
        <v>perm-4</v>
      </c>
      <c r="Q2538" s="4">
        <v>12.594921817161399</v>
      </c>
      <c r="R2538" s="4">
        <v>13.016434919709701</v>
      </c>
      <c r="S2538" s="4">
        <v>13.389540739937001</v>
      </c>
      <c r="T2538" s="4">
        <f t="shared" si="158"/>
        <v>13.000299158936036</v>
      </c>
      <c r="W2538" s="4" t="str">
        <f>"Y87G2A.19"</f>
        <v>Y87G2A.19</v>
      </c>
      <c r="X2538" s="4">
        <v>12.8840017884877</v>
      </c>
      <c r="Y2538" s="4">
        <v>13.099128231584</v>
      </c>
      <c r="Z2538" s="4">
        <v>13.062303983696999</v>
      </c>
      <c r="AA2538" s="4">
        <f t="shared" si="159"/>
        <v>13.015144667922899</v>
      </c>
    </row>
    <row r="2539" spans="2:27" x14ac:dyDescent="0.2">
      <c r="B2539" s="4" t="s">
        <v>2522</v>
      </c>
      <c r="C2539" s="4">
        <v>12.977399999999999</v>
      </c>
      <c r="D2539" s="4">
        <v>13.929600000000001</v>
      </c>
      <c r="E2539" s="4">
        <v>13.198499999999999</v>
      </c>
      <c r="F2539" s="4">
        <f t="shared" si="156"/>
        <v>13.368499999999999</v>
      </c>
      <c r="I2539" s="4" t="s">
        <v>2091</v>
      </c>
      <c r="J2539" s="4">
        <v>13.1059</v>
      </c>
      <c r="K2539" s="4">
        <v>13.608499999999999</v>
      </c>
      <c r="L2539" s="4">
        <v>13.3461</v>
      </c>
      <c r="M2539" s="4">
        <f t="shared" si="157"/>
        <v>13.353499999999999</v>
      </c>
      <c r="P2539" s="4" t="str">
        <f>"Y45F10B.13"</f>
        <v>Y45F10B.13</v>
      </c>
      <c r="Q2539" s="4">
        <v>13.6036016785398</v>
      </c>
      <c r="R2539" s="4">
        <v>12.378599607668299</v>
      </c>
      <c r="S2539" s="4">
        <v>13.0169762240072</v>
      </c>
      <c r="T2539" s="4">
        <f t="shared" si="158"/>
        <v>12.999725836738433</v>
      </c>
      <c r="W2539" s="4" t="str">
        <f>"alp-1"</f>
        <v>alp-1</v>
      </c>
      <c r="X2539" s="4">
        <v>12.501928211191901</v>
      </c>
      <c r="Y2539" s="4">
        <v>13.1579167610114</v>
      </c>
      <c r="Z2539" s="4">
        <v>13.383303117005401</v>
      </c>
      <c r="AA2539" s="4">
        <f t="shared" si="159"/>
        <v>13.014382696402899</v>
      </c>
    </row>
    <row r="2540" spans="2:27" x14ac:dyDescent="0.2">
      <c r="B2540" s="4" t="s">
        <v>2929</v>
      </c>
      <c r="C2540" s="4">
        <v>13.337400000000001</v>
      </c>
      <c r="D2540" s="4">
        <v>13.332599999999999</v>
      </c>
      <c r="E2540" s="4">
        <v>13.433999999999999</v>
      </c>
      <c r="F2540" s="4">
        <f t="shared" si="156"/>
        <v>13.368</v>
      </c>
      <c r="I2540" s="4" t="s">
        <v>4727</v>
      </c>
      <c r="J2540" s="4">
        <v>13.7927</v>
      </c>
      <c r="K2540" s="4">
        <v>13.476800000000001</v>
      </c>
      <c r="L2540" s="4">
        <v>12.790800000000001</v>
      </c>
      <c r="M2540" s="4">
        <f t="shared" si="157"/>
        <v>13.353433333333333</v>
      </c>
      <c r="P2540" s="4" t="str">
        <f>"dcaf-13"</f>
        <v>dcaf-13</v>
      </c>
      <c r="Q2540" s="4">
        <v>12.9577036405004</v>
      </c>
      <c r="R2540" s="4">
        <v>13.164705017913199</v>
      </c>
      <c r="S2540" s="4">
        <v>12.8738484665617</v>
      </c>
      <c r="T2540" s="4">
        <f t="shared" si="158"/>
        <v>12.998752374991767</v>
      </c>
      <c r="W2540" s="4" t="str">
        <f>"spe-15"</f>
        <v>spe-15</v>
      </c>
      <c r="X2540" s="4">
        <v>12.9437181880712</v>
      </c>
      <c r="Y2540" s="4">
        <v>13.197379570077301</v>
      </c>
      <c r="Z2540" s="4">
        <v>12.8964655562679</v>
      </c>
      <c r="AA2540" s="4">
        <f t="shared" si="159"/>
        <v>13.012521104805467</v>
      </c>
    </row>
    <row r="2541" spans="2:27" x14ac:dyDescent="0.2">
      <c r="B2541" s="4" t="s">
        <v>1298</v>
      </c>
      <c r="C2541" s="4">
        <v>13.285500000000001</v>
      </c>
      <c r="D2541" s="4">
        <v>13.5496</v>
      </c>
      <c r="E2541" s="4">
        <v>13.266500000000001</v>
      </c>
      <c r="F2541" s="4">
        <f t="shared" si="156"/>
        <v>13.367200000000002</v>
      </c>
      <c r="I2541" s="4" t="s">
        <v>1024</v>
      </c>
      <c r="J2541" s="4">
        <v>13.430300000000001</v>
      </c>
      <c r="K2541" s="4">
        <v>13.3035</v>
      </c>
      <c r="L2541" s="4">
        <v>13.3254</v>
      </c>
      <c r="M2541" s="4">
        <f t="shared" si="157"/>
        <v>13.353066666666669</v>
      </c>
      <c r="P2541" s="4" t="str">
        <f>"ttc-37"</f>
        <v>ttc-37</v>
      </c>
      <c r="Q2541" s="4">
        <v>13.006617716696701</v>
      </c>
      <c r="R2541" s="4">
        <v>13.179794824179901</v>
      </c>
      <c r="S2541" s="4">
        <v>12.798688816210801</v>
      </c>
      <c r="T2541" s="4">
        <f t="shared" si="158"/>
        <v>12.995033785695801</v>
      </c>
      <c r="W2541" s="4" t="str">
        <f>"dpf-3"</f>
        <v>dpf-3</v>
      </c>
      <c r="X2541" s="4">
        <v>12.921543846048699</v>
      </c>
      <c r="Y2541" s="4">
        <v>12.9862968455393</v>
      </c>
      <c r="Z2541" s="4">
        <v>13.1245137189276</v>
      </c>
      <c r="AA2541" s="4">
        <f t="shared" si="159"/>
        <v>13.010784803505201</v>
      </c>
    </row>
    <row r="2542" spans="2:27" x14ac:dyDescent="0.2">
      <c r="B2542" s="4" t="s">
        <v>571</v>
      </c>
      <c r="C2542" s="4">
        <v>13.155099999999999</v>
      </c>
      <c r="D2542" s="4">
        <v>13.851900000000001</v>
      </c>
      <c r="E2542" s="4">
        <v>13.0762</v>
      </c>
      <c r="F2542" s="4">
        <f t="shared" si="156"/>
        <v>13.361066666666666</v>
      </c>
      <c r="I2542" s="4" t="s">
        <v>1298</v>
      </c>
      <c r="J2542" s="4">
        <v>13.397500000000001</v>
      </c>
      <c r="K2542" s="4">
        <v>13.197100000000001</v>
      </c>
      <c r="L2542" s="4">
        <v>13.462</v>
      </c>
      <c r="M2542" s="4">
        <f t="shared" si="157"/>
        <v>13.352200000000002</v>
      </c>
      <c r="P2542" s="4" t="str">
        <f>"Y38F2AR.12"</f>
        <v>Y38F2AR.12</v>
      </c>
      <c r="Q2542" s="4">
        <v>12.9412567620406</v>
      </c>
      <c r="R2542" s="4">
        <v>12.984985353446699</v>
      </c>
      <c r="S2542" s="4">
        <v>13.054436699019799</v>
      </c>
      <c r="T2542" s="4">
        <f t="shared" si="158"/>
        <v>12.993559604835701</v>
      </c>
      <c r="W2542" s="4" t="str">
        <f>"cls-3"</f>
        <v>cls-3</v>
      </c>
      <c r="X2542" s="4">
        <v>12.8256586424821</v>
      </c>
      <c r="Y2542" s="4">
        <v>13.1307601134995</v>
      </c>
      <c r="Z2542" s="4">
        <v>13.074156072858999</v>
      </c>
      <c r="AA2542" s="4">
        <f t="shared" si="159"/>
        <v>13.010191609613534</v>
      </c>
    </row>
    <row r="2543" spans="2:27" x14ac:dyDescent="0.2">
      <c r="B2543" s="4" t="s">
        <v>3778</v>
      </c>
      <c r="C2543" s="4">
        <v>13.626099999999999</v>
      </c>
      <c r="D2543" s="4">
        <v>13.4544</v>
      </c>
      <c r="E2543" s="4">
        <v>12.999599999999999</v>
      </c>
      <c r="F2543" s="4">
        <f t="shared" si="156"/>
        <v>13.360033333333334</v>
      </c>
      <c r="I2543" s="4" t="s">
        <v>3376</v>
      </c>
      <c r="J2543" s="4">
        <v>13.4146</v>
      </c>
      <c r="K2543" s="4">
        <v>13.1235</v>
      </c>
      <c r="L2543" s="4">
        <v>13.514799999999999</v>
      </c>
      <c r="M2543" s="4">
        <f t="shared" si="157"/>
        <v>13.350966666666666</v>
      </c>
      <c r="P2543" s="4" t="str">
        <f>"crml-1"</f>
        <v>crml-1</v>
      </c>
      <c r="Q2543" s="4">
        <v>12.7328558270348</v>
      </c>
      <c r="R2543" s="4">
        <v>13.0583785771904</v>
      </c>
      <c r="S2543" s="4">
        <v>13.188716740950801</v>
      </c>
      <c r="T2543" s="4">
        <f t="shared" si="158"/>
        <v>12.993317048392001</v>
      </c>
      <c r="W2543" s="4" t="str">
        <f>"dct-6"</f>
        <v>dct-6</v>
      </c>
      <c r="X2543" s="4">
        <v>13.0939330997673</v>
      </c>
      <c r="Y2543" s="4">
        <v>12.848313803037</v>
      </c>
      <c r="Z2543" s="4">
        <v>13.083142512046701</v>
      </c>
      <c r="AA2543" s="4">
        <f t="shared" si="159"/>
        <v>13.008463138283666</v>
      </c>
    </row>
    <row r="2544" spans="2:27" x14ac:dyDescent="0.2">
      <c r="B2544" s="4" t="s">
        <v>1688</v>
      </c>
      <c r="C2544" s="4">
        <v>13.1972</v>
      </c>
      <c r="D2544" s="4">
        <v>13.699199999999999</v>
      </c>
      <c r="E2544" s="4">
        <v>13.1837</v>
      </c>
      <c r="F2544" s="4">
        <f t="shared" si="156"/>
        <v>13.360033333333334</v>
      </c>
      <c r="I2544" s="4" t="s">
        <v>2148</v>
      </c>
      <c r="J2544" s="4">
        <v>13.589600000000001</v>
      </c>
      <c r="K2544" s="4">
        <v>13.0785</v>
      </c>
      <c r="L2544" s="4">
        <v>13.381399999999999</v>
      </c>
      <c r="M2544" s="4">
        <f t="shared" si="157"/>
        <v>13.349833333333335</v>
      </c>
      <c r="P2544" s="4" t="str">
        <f>"R166.3"</f>
        <v>R166.3</v>
      </c>
      <c r="Q2544" s="4">
        <v>13.261524749124799</v>
      </c>
      <c r="R2544" s="4">
        <v>12.9320641238814</v>
      </c>
      <c r="S2544" s="4">
        <v>12.782616657006299</v>
      </c>
      <c r="T2544" s="4">
        <f t="shared" si="158"/>
        <v>12.992068510004167</v>
      </c>
      <c r="W2544" s="4" t="str">
        <f>"mes-2"</f>
        <v>mes-2</v>
      </c>
      <c r="X2544" s="4">
        <v>12.9379578372219</v>
      </c>
      <c r="Y2544" s="4">
        <v>12.9267238140666</v>
      </c>
      <c r="Z2544" s="4">
        <v>13.155222035880399</v>
      </c>
      <c r="AA2544" s="4">
        <f t="shared" si="159"/>
        <v>13.006634562389634</v>
      </c>
    </row>
    <row r="2545" spans="2:27" x14ac:dyDescent="0.2">
      <c r="B2545" s="4" t="s">
        <v>2962</v>
      </c>
      <c r="C2545" s="4">
        <v>12.9307</v>
      </c>
      <c r="D2545" s="4">
        <v>13.4511</v>
      </c>
      <c r="E2545" s="4">
        <v>13.6922</v>
      </c>
      <c r="F2545" s="4">
        <f t="shared" si="156"/>
        <v>13.357999999999999</v>
      </c>
      <c r="I2545" s="4" t="s">
        <v>2192</v>
      </c>
      <c r="J2545" s="4">
        <v>13.123699999999999</v>
      </c>
      <c r="K2545" s="4">
        <v>13.5678</v>
      </c>
      <c r="L2545" s="4">
        <v>13.358000000000001</v>
      </c>
      <c r="M2545" s="4">
        <f t="shared" si="157"/>
        <v>13.349833333333331</v>
      </c>
      <c r="P2545" s="4" t="str">
        <f>"C45G9.6"</f>
        <v>C45G9.6</v>
      </c>
      <c r="Q2545" s="4">
        <v>13.0908412323775</v>
      </c>
      <c r="R2545" s="4">
        <v>13.043069348489</v>
      </c>
      <c r="S2545" s="4">
        <v>12.840632847278</v>
      </c>
      <c r="T2545" s="4">
        <f t="shared" si="158"/>
        <v>12.991514476048167</v>
      </c>
      <c r="W2545" s="4" t="str">
        <f>"ptrn-1"</f>
        <v>ptrn-1</v>
      </c>
      <c r="X2545" s="4">
        <v>13.2027670600911</v>
      </c>
      <c r="Y2545" s="4">
        <v>12.740390961665399</v>
      </c>
      <c r="Z2545" s="4">
        <v>13.0750991320112</v>
      </c>
      <c r="AA2545" s="4">
        <f t="shared" si="159"/>
        <v>13.006085717922566</v>
      </c>
    </row>
    <row r="2546" spans="2:27" x14ac:dyDescent="0.2">
      <c r="B2546" s="4" t="s">
        <v>4399</v>
      </c>
      <c r="C2546" s="4">
        <v>12.9694</v>
      </c>
      <c r="D2546" s="4">
        <v>13.583</v>
      </c>
      <c r="E2546" s="4">
        <v>13.5114</v>
      </c>
      <c r="F2546" s="4">
        <f t="shared" si="156"/>
        <v>13.3546</v>
      </c>
      <c r="I2546" s="4" t="s">
        <v>2432</v>
      </c>
      <c r="J2546" s="4">
        <v>13.502700000000001</v>
      </c>
      <c r="K2546" s="4">
        <v>13.0779</v>
      </c>
      <c r="L2546" s="4">
        <v>13.4674</v>
      </c>
      <c r="M2546" s="4">
        <f t="shared" si="157"/>
        <v>13.349333333333334</v>
      </c>
      <c r="P2546" s="4" t="str">
        <f>"pnk-4"</f>
        <v>pnk-4</v>
      </c>
      <c r="Q2546" s="4">
        <v>13.3385497626905</v>
      </c>
      <c r="R2546" s="4">
        <v>12.8305793579399</v>
      </c>
      <c r="S2546" s="4">
        <v>12.8042821410704</v>
      </c>
      <c r="T2546" s="4">
        <f t="shared" si="158"/>
        <v>12.991137087233602</v>
      </c>
      <c r="W2546" s="4" t="str">
        <f>"unc-115"</f>
        <v>unc-115</v>
      </c>
      <c r="X2546" s="4">
        <v>12.862224875372499</v>
      </c>
      <c r="Y2546" s="4">
        <v>12.565674674315201</v>
      </c>
      <c r="Z2546" s="4">
        <v>13.586487482045801</v>
      </c>
      <c r="AA2546" s="4">
        <f t="shared" si="159"/>
        <v>13.004795677244502</v>
      </c>
    </row>
    <row r="2547" spans="2:27" x14ac:dyDescent="0.2">
      <c r="B2547" s="4" t="s">
        <v>2853</v>
      </c>
      <c r="C2547" s="4">
        <v>13.4472</v>
      </c>
      <c r="D2547" s="4">
        <v>13.090999999999999</v>
      </c>
      <c r="E2547" s="4">
        <v>13.524800000000001</v>
      </c>
      <c r="F2547" s="4">
        <f t="shared" si="156"/>
        <v>13.354333333333335</v>
      </c>
      <c r="I2547" s="4" t="s">
        <v>4383</v>
      </c>
      <c r="J2547" s="4">
        <v>13.3658</v>
      </c>
      <c r="K2547" s="4">
        <v>13.2478</v>
      </c>
      <c r="L2547" s="4">
        <v>13.428900000000001</v>
      </c>
      <c r="M2547" s="4">
        <f t="shared" si="157"/>
        <v>13.347499999999998</v>
      </c>
      <c r="P2547" s="4" t="str">
        <f>"F26G1.1"</f>
        <v>F26G1.1</v>
      </c>
      <c r="Q2547" s="4">
        <v>12.7463165381905</v>
      </c>
      <c r="R2547" s="4">
        <v>13.227158016248</v>
      </c>
      <c r="S2547" s="4">
        <v>12.998419822336</v>
      </c>
      <c r="T2547" s="4">
        <f t="shared" si="158"/>
        <v>12.990631458924833</v>
      </c>
      <c r="W2547" s="4" t="str">
        <f>"Y37H9A.3"</f>
        <v>Y37H9A.3</v>
      </c>
      <c r="X2547" s="4">
        <v>13.242682074283399</v>
      </c>
      <c r="Y2547" s="4">
        <v>12.957583035931901</v>
      </c>
      <c r="Z2547" s="4">
        <v>12.811647854836901</v>
      </c>
      <c r="AA2547" s="4">
        <f t="shared" si="159"/>
        <v>13.003970988350732</v>
      </c>
    </row>
    <row r="2548" spans="2:27" x14ac:dyDescent="0.2">
      <c r="B2548" s="4" t="s">
        <v>2468</v>
      </c>
      <c r="C2548" s="4">
        <v>13.400700000000001</v>
      </c>
      <c r="D2548" s="4">
        <v>13.181100000000001</v>
      </c>
      <c r="E2548" s="4">
        <v>13.4781</v>
      </c>
      <c r="F2548" s="4">
        <f t="shared" si="156"/>
        <v>13.353299999999999</v>
      </c>
      <c r="I2548" s="4" t="s">
        <v>2714</v>
      </c>
      <c r="J2548" s="4">
        <v>13.321899999999999</v>
      </c>
      <c r="K2548" s="4">
        <v>13.3497</v>
      </c>
      <c r="L2548" s="4">
        <v>13.369199999999999</v>
      </c>
      <c r="M2548" s="4">
        <f t="shared" si="157"/>
        <v>13.346933333333332</v>
      </c>
      <c r="P2548" s="4" t="str">
        <f>"cest-2.1"</f>
        <v>cest-2.1</v>
      </c>
      <c r="Q2548" s="4">
        <v>13.0745247346842</v>
      </c>
      <c r="R2548" s="4">
        <v>13.094382520986599</v>
      </c>
      <c r="S2548" s="4">
        <v>12.798455176242699</v>
      </c>
      <c r="T2548" s="4">
        <f t="shared" si="158"/>
        <v>12.989120810637834</v>
      </c>
      <c r="W2548" s="4" t="str">
        <f>"suf-1"</f>
        <v>suf-1</v>
      </c>
      <c r="X2548" s="4">
        <v>13.296351029012101</v>
      </c>
      <c r="Y2548" s="4">
        <v>12.8348828748265</v>
      </c>
      <c r="Z2548" s="4">
        <v>12.8792065795816</v>
      </c>
      <c r="AA2548" s="4">
        <f t="shared" si="159"/>
        <v>13.003480161140066</v>
      </c>
    </row>
    <row r="2549" spans="2:27" x14ac:dyDescent="0.2">
      <c r="B2549" s="4" t="s">
        <v>1616</v>
      </c>
      <c r="C2549" s="4">
        <v>13.3828</v>
      </c>
      <c r="D2549" s="4">
        <v>13.6272</v>
      </c>
      <c r="E2549" s="4">
        <v>13.0494</v>
      </c>
      <c r="F2549" s="4">
        <f t="shared" si="156"/>
        <v>13.353133333333332</v>
      </c>
      <c r="I2549" s="4" t="s">
        <v>764</v>
      </c>
      <c r="J2549" s="4">
        <v>12.6472</v>
      </c>
      <c r="K2549" s="4">
        <v>13.9229</v>
      </c>
      <c r="L2549" s="4">
        <v>13.4688</v>
      </c>
      <c r="M2549" s="4">
        <f t="shared" si="157"/>
        <v>13.346299999999999</v>
      </c>
      <c r="P2549" s="4" t="str">
        <f>"mig-14"</f>
        <v>mig-14</v>
      </c>
      <c r="Q2549" s="4">
        <v>12.3404284362258</v>
      </c>
      <c r="R2549" s="4">
        <v>13.300195959948701</v>
      </c>
      <c r="S2549" s="4">
        <v>13.323164906780301</v>
      </c>
      <c r="T2549" s="4">
        <f t="shared" si="158"/>
        <v>12.9879297676516</v>
      </c>
      <c r="W2549" s="4" t="str">
        <f>"F40F8.11"</f>
        <v>F40F8.11</v>
      </c>
      <c r="X2549" s="4">
        <v>13.074918366924001</v>
      </c>
      <c r="Y2549" s="4">
        <v>13.1475321823994</v>
      </c>
      <c r="Z2549" s="4">
        <v>12.786331010487901</v>
      </c>
      <c r="AA2549" s="4">
        <f t="shared" si="159"/>
        <v>13.002927186603769</v>
      </c>
    </row>
    <row r="2550" spans="2:27" x14ac:dyDescent="0.2">
      <c r="B2550" s="4" t="s">
        <v>1290</v>
      </c>
      <c r="C2550" s="4">
        <v>13.2624</v>
      </c>
      <c r="D2550" s="4">
        <v>13.591900000000001</v>
      </c>
      <c r="E2550" s="4">
        <v>13.200699999999999</v>
      </c>
      <c r="F2550" s="4">
        <f t="shared" si="156"/>
        <v>13.351666666666667</v>
      </c>
      <c r="I2550" s="44">
        <v>45536</v>
      </c>
      <c r="J2550" s="4">
        <v>13.3834</v>
      </c>
      <c r="K2550" s="4">
        <v>13.476900000000001</v>
      </c>
      <c r="L2550" s="4">
        <v>13.1785</v>
      </c>
      <c r="M2550" s="4">
        <f t="shared" si="157"/>
        <v>13.346266666666667</v>
      </c>
      <c r="P2550" s="4" t="str">
        <f>"cst-1"</f>
        <v>cst-1</v>
      </c>
      <c r="Q2550" s="4">
        <v>13.3231461097928</v>
      </c>
      <c r="R2550" s="4">
        <v>12.9042562832639</v>
      </c>
      <c r="S2550" s="4">
        <v>12.730446725097</v>
      </c>
      <c r="T2550" s="4">
        <f t="shared" si="158"/>
        <v>12.985949706051235</v>
      </c>
      <c r="W2550" s="4" t="str">
        <f>"rbm-34"</f>
        <v>rbm-34</v>
      </c>
      <c r="X2550" s="4">
        <v>12.765436599377599</v>
      </c>
      <c r="Y2550" s="4">
        <v>13.2492329325861</v>
      </c>
      <c r="Z2550" s="4">
        <v>12.9903085619242</v>
      </c>
      <c r="AA2550" s="4">
        <f t="shared" si="159"/>
        <v>13.001659364629299</v>
      </c>
    </row>
    <row r="2551" spans="2:27" x14ac:dyDescent="0.2">
      <c r="B2551" s="4" t="s">
        <v>2070</v>
      </c>
      <c r="C2551" s="4">
        <v>13.619</v>
      </c>
      <c r="D2551" s="4">
        <v>12.9711</v>
      </c>
      <c r="E2551" s="4">
        <v>13.4633</v>
      </c>
      <c r="F2551" s="4">
        <f t="shared" si="156"/>
        <v>13.351133333333332</v>
      </c>
      <c r="I2551" s="4" t="s">
        <v>3481</v>
      </c>
      <c r="J2551" s="4">
        <v>13.402799999999999</v>
      </c>
      <c r="K2551" s="4">
        <v>13.589499999999999</v>
      </c>
      <c r="L2551" s="4">
        <v>13.0464</v>
      </c>
      <c r="M2551" s="4">
        <f t="shared" si="157"/>
        <v>13.346233333333332</v>
      </c>
      <c r="P2551" s="4" t="str">
        <f>"tli-1"</f>
        <v>tli-1</v>
      </c>
      <c r="Q2551" s="4">
        <v>12.7880716580023</v>
      </c>
      <c r="R2551" s="4">
        <v>12.967687313489799</v>
      </c>
      <c r="S2551" s="4">
        <v>13.2017940715391</v>
      </c>
      <c r="T2551" s="4">
        <f t="shared" si="158"/>
        <v>12.985851014343732</v>
      </c>
      <c r="W2551" s="4" t="str">
        <f>"sac-1"</f>
        <v>sac-1</v>
      </c>
      <c r="X2551" s="4">
        <v>13.425034101492701</v>
      </c>
      <c r="Y2551" s="4">
        <v>12.7503406777825</v>
      </c>
      <c r="Z2551" s="4">
        <v>12.819197106675499</v>
      </c>
      <c r="AA2551" s="4">
        <f t="shared" si="159"/>
        <v>12.998190628650235</v>
      </c>
    </row>
    <row r="2552" spans="2:27" x14ac:dyDescent="0.2">
      <c r="B2552" s="4" t="s">
        <v>3863</v>
      </c>
      <c r="C2552" s="4">
        <v>13.467700000000001</v>
      </c>
      <c r="D2552" s="4">
        <v>13.765000000000001</v>
      </c>
      <c r="E2552" s="4">
        <v>12.8123</v>
      </c>
      <c r="F2552" s="4">
        <f t="shared" si="156"/>
        <v>13.348333333333334</v>
      </c>
      <c r="I2552" s="4" t="s">
        <v>2421</v>
      </c>
      <c r="J2552" s="4">
        <v>13.0199</v>
      </c>
      <c r="K2552" s="4">
        <v>13.266400000000001</v>
      </c>
      <c r="L2552" s="4">
        <v>13.735300000000001</v>
      </c>
      <c r="M2552" s="4">
        <f t="shared" si="157"/>
        <v>13.340533333333333</v>
      </c>
      <c r="P2552" s="4" t="str">
        <f>"ndub-5"</f>
        <v>ndub-5</v>
      </c>
      <c r="Q2552" s="4">
        <v>13.0442599516877</v>
      </c>
      <c r="R2552" s="4">
        <v>13.0797550204177</v>
      </c>
      <c r="S2552" s="4">
        <v>12.8206632998518</v>
      </c>
      <c r="T2552" s="4">
        <f t="shared" si="158"/>
        <v>12.981559423985734</v>
      </c>
      <c r="W2552" s="4" t="str">
        <f>"tbc-20"</f>
        <v>tbc-20</v>
      </c>
      <c r="X2552" s="4">
        <v>12.938653629005399</v>
      </c>
      <c r="Y2552" s="4">
        <v>12.9137246367373</v>
      </c>
      <c r="Z2552" s="4">
        <v>13.1361508148008</v>
      </c>
      <c r="AA2552" s="4">
        <f t="shared" si="159"/>
        <v>12.996176360181167</v>
      </c>
    </row>
    <row r="2553" spans="2:27" x14ac:dyDescent="0.2">
      <c r="B2553" s="4" t="s">
        <v>1687</v>
      </c>
      <c r="C2553" s="4">
        <v>13.4239</v>
      </c>
      <c r="D2553" s="4">
        <v>13.619400000000001</v>
      </c>
      <c r="E2553" s="4">
        <v>13.0017</v>
      </c>
      <c r="F2553" s="4">
        <f t="shared" si="156"/>
        <v>13.348333333333334</v>
      </c>
      <c r="I2553" s="4" t="s">
        <v>4198</v>
      </c>
      <c r="J2553" s="4">
        <v>13.612399999999999</v>
      </c>
      <c r="K2553" s="4">
        <v>13.682600000000001</v>
      </c>
      <c r="L2553" s="4">
        <v>12.724600000000001</v>
      </c>
      <c r="M2553" s="4">
        <f t="shared" si="157"/>
        <v>13.339866666666667</v>
      </c>
      <c r="P2553" s="4" t="str">
        <f>"mpk-1"</f>
        <v>mpk-1</v>
      </c>
      <c r="Q2553" s="4">
        <v>13.064835426421</v>
      </c>
      <c r="R2553" s="4">
        <v>13.020365937002</v>
      </c>
      <c r="S2553" s="4">
        <v>12.859218070931499</v>
      </c>
      <c r="T2553" s="4">
        <f t="shared" si="158"/>
        <v>12.981473144784834</v>
      </c>
      <c r="W2553" s="4" t="str">
        <f>"Y6B3B.9"</f>
        <v>Y6B3B.9</v>
      </c>
      <c r="X2553" s="4">
        <v>13.227052391450799</v>
      </c>
      <c r="Y2553" s="4">
        <v>13.148739748374499</v>
      </c>
      <c r="Z2553" s="4">
        <v>12.612469374427301</v>
      </c>
      <c r="AA2553" s="4">
        <f t="shared" si="159"/>
        <v>12.996087171417534</v>
      </c>
    </row>
    <row r="2554" spans="2:27" x14ac:dyDescent="0.2">
      <c r="B2554" s="4" t="s">
        <v>1492</v>
      </c>
      <c r="C2554" s="4">
        <v>13.3841</v>
      </c>
      <c r="D2554" s="4">
        <v>13.4757</v>
      </c>
      <c r="E2554" s="4">
        <v>13.1843</v>
      </c>
      <c r="F2554" s="4">
        <f t="shared" si="156"/>
        <v>13.348033333333333</v>
      </c>
      <c r="I2554" s="4" t="s">
        <v>615</v>
      </c>
      <c r="J2554" s="4">
        <v>13.5299</v>
      </c>
      <c r="K2554" s="4">
        <v>12.6982</v>
      </c>
      <c r="L2554" s="4">
        <v>13.7887</v>
      </c>
      <c r="M2554" s="4">
        <f t="shared" si="157"/>
        <v>13.338933333333332</v>
      </c>
      <c r="P2554" s="4" t="str">
        <f>"F13D12.5"</f>
        <v>F13D12.5</v>
      </c>
      <c r="Q2554" s="4">
        <v>13.1492100002237</v>
      </c>
      <c r="R2554" s="4">
        <v>12.850759856425601</v>
      </c>
      <c r="S2554" s="4">
        <v>12.9438812302917</v>
      </c>
      <c r="T2554" s="4">
        <f t="shared" si="158"/>
        <v>12.981283695647001</v>
      </c>
      <c r="W2554" s="4" t="str">
        <f>"tbc-1"</f>
        <v>tbc-1</v>
      </c>
      <c r="X2554" s="4">
        <v>12.7725062388465</v>
      </c>
      <c r="Y2554" s="4">
        <v>13.130431573923399</v>
      </c>
      <c r="Z2554" s="4">
        <v>13.0809206187133</v>
      </c>
      <c r="AA2554" s="4">
        <f t="shared" si="159"/>
        <v>12.994619477161066</v>
      </c>
    </row>
    <row r="2555" spans="2:27" x14ac:dyDescent="0.2">
      <c r="B2555" s="4" t="s">
        <v>1850</v>
      </c>
      <c r="C2555" s="4">
        <v>13.4459</v>
      </c>
      <c r="D2555" s="4">
        <v>12.888</v>
      </c>
      <c r="E2555" s="4">
        <v>13.7094</v>
      </c>
      <c r="F2555" s="4">
        <f t="shared" si="156"/>
        <v>13.347766666666667</v>
      </c>
      <c r="I2555" s="4" t="s">
        <v>1230</v>
      </c>
      <c r="J2555" s="4">
        <v>13.546900000000001</v>
      </c>
      <c r="K2555" s="4">
        <v>13.554</v>
      </c>
      <c r="L2555" s="4">
        <v>12.9145</v>
      </c>
      <c r="M2555" s="4">
        <f t="shared" si="157"/>
        <v>13.338466666666667</v>
      </c>
      <c r="P2555" s="4" t="str">
        <f>"C01G6.5"</f>
        <v>C01G6.5</v>
      </c>
      <c r="Q2555" s="4">
        <v>12.922901006234101</v>
      </c>
      <c r="R2555" s="4">
        <v>12.9196506654977</v>
      </c>
      <c r="S2555" s="4">
        <v>13.092303109371199</v>
      </c>
      <c r="T2555" s="4">
        <f t="shared" si="158"/>
        <v>12.978284927034332</v>
      </c>
      <c r="W2555" s="4" t="str">
        <f>"oct-2"</f>
        <v>oct-2</v>
      </c>
      <c r="X2555" s="4">
        <v>12.962929689426</v>
      </c>
      <c r="Y2555" s="4">
        <v>12.978529099366099</v>
      </c>
      <c r="Z2555" s="4">
        <v>13.032708321485</v>
      </c>
      <c r="AA2555" s="4">
        <f t="shared" si="159"/>
        <v>12.991389036759031</v>
      </c>
    </row>
    <row r="2556" spans="2:27" x14ac:dyDescent="0.2">
      <c r="B2556" s="4" t="s">
        <v>3283</v>
      </c>
      <c r="C2556" s="4">
        <v>13.1777</v>
      </c>
      <c r="D2556" s="4">
        <v>13.4145</v>
      </c>
      <c r="E2556" s="4">
        <v>13.4504</v>
      </c>
      <c r="F2556" s="4">
        <f t="shared" si="156"/>
        <v>13.347533333333333</v>
      </c>
      <c r="I2556" s="4" t="s">
        <v>2893</v>
      </c>
      <c r="J2556" s="4">
        <v>13.401899999999999</v>
      </c>
      <c r="K2556" s="4">
        <v>13.0985</v>
      </c>
      <c r="L2556" s="4">
        <v>13.513999999999999</v>
      </c>
      <c r="M2556" s="4">
        <f t="shared" si="157"/>
        <v>13.338133333333332</v>
      </c>
      <c r="P2556" s="4" t="str">
        <f>"fkb-2"</f>
        <v>fkb-2</v>
      </c>
      <c r="Q2556" s="4">
        <v>12.776916514477801</v>
      </c>
      <c r="R2556" s="4">
        <v>12.6693059160699</v>
      </c>
      <c r="S2556" s="4">
        <v>13.482740922908301</v>
      </c>
      <c r="T2556" s="4">
        <f t="shared" si="158"/>
        <v>12.976321117818665</v>
      </c>
      <c r="W2556" s="4" t="str">
        <f>"T06E6.1"</f>
        <v>T06E6.1</v>
      </c>
      <c r="X2556" s="4">
        <v>14.050707973101099</v>
      </c>
      <c r="Y2556" s="4">
        <v>12.4384353440923</v>
      </c>
      <c r="Z2556" s="4">
        <v>12.481190137901301</v>
      </c>
      <c r="AA2556" s="4">
        <f t="shared" si="159"/>
        <v>12.990111151698235</v>
      </c>
    </row>
    <row r="2557" spans="2:27" x14ac:dyDescent="0.2">
      <c r="B2557" s="4" t="s">
        <v>3951</v>
      </c>
      <c r="C2557" s="4">
        <v>13.3248</v>
      </c>
      <c r="D2557" s="4">
        <v>13.2096</v>
      </c>
      <c r="E2557" s="4">
        <v>13.5055</v>
      </c>
      <c r="F2557" s="4">
        <f t="shared" si="156"/>
        <v>13.346633333333331</v>
      </c>
      <c r="I2557" s="4" t="s">
        <v>2703</v>
      </c>
      <c r="J2557" s="4">
        <v>13.414</v>
      </c>
      <c r="K2557" s="4">
        <v>13.3589</v>
      </c>
      <c r="L2557" s="4">
        <v>13.241199999999999</v>
      </c>
      <c r="M2557" s="4">
        <f t="shared" si="157"/>
        <v>13.338033333333334</v>
      </c>
      <c r="P2557" s="4" t="str">
        <f>"C17G10.1"</f>
        <v>C17G10.1</v>
      </c>
      <c r="Q2557" s="4">
        <v>12.5425737212979</v>
      </c>
      <c r="R2557" s="4">
        <v>13.238846780502801</v>
      </c>
      <c r="S2557" s="4">
        <v>13.1466316814055</v>
      </c>
      <c r="T2557" s="4">
        <f t="shared" si="158"/>
        <v>12.976017394402069</v>
      </c>
      <c r="W2557" s="4" t="str">
        <f>"gsp-3"</f>
        <v>gsp-3</v>
      </c>
      <c r="X2557" s="4">
        <v>13.003821614042399</v>
      </c>
      <c r="Y2557" s="4">
        <v>12.9667926082068</v>
      </c>
      <c r="Z2557" s="4">
        <v>12.9978107744427</v>
      </c>
      <c r="AA2557" s="4">
        <f t="shared" si="159"/>
        <v>12.9894749988973</v>
      </c>
    </row>
    <row r="2558" spans="2:27" x14ac:dyDescent="0.2">
      <c r="B2558" s="4" t="s">
        <v>3742</v>
      </c>
      <c r="C2558" s="4">
        <v>13.4945</v>
      </c>
      <c r="D2558" s="4">
        <v>14.0198</v>
      </c>
      <c r="E2558" s="4">
        <v>12.525399999999999</v>
      </c>
      <c r="F2558" s="4">
        <f t="shared" si="156"/>
        <v>13.346566666666666</v>
      </c>
      <c r="I2558" s="4" t="s">
        <v>2594</v>
      </c>
      <c r="J2558" s="4">
        <v>13.5258</v>
      </c>
      <c r="K2558" s="4">
        <v>13.3156</v>
      </c>
      <c r="L2558" s="4">
        <v>13.164</v>
      </c>
      <c r="M2558" s="4">
        <f t="shared" si="157"/>
        <v>13.335133333333333</v>
      </c>
      <c r="P2558" s="4" t="str">
        <f>"sec-12"</f>
        <v>sec-12</v>
      </c>
      <c r="Q2558" s="4">
        <v>12.9497088996514</v>
      </c>
      <c r="R2558" s="4">
        <v>12.9245419215969</v>
      </c>
      <c r="S2558" s="4">
        <v>13.0512188712563</v>
      </c>
      <c r="T2558" s="4">
        <f t="shared" si="158"/>
        <v>12.9751565641682</v>
      </c>
      <c r="W2558" s="4" t="str">
        <f>"Y47G6A.21"</f>
        <v>Y47G6A.21</v>
      </c>
      <c r="X2558" s="4">
        <v>12.732780883</v>
      </c>
      <c r="Y2558" s="4">
        <v>12.850425765530501</v>
      </c>
      <c r="Z2558" s="4">
        <v>13.3836480169414</v>
      </c>
      <c r="AA2558" s="4">
        <f t="shared" si="159"/>
        <v>12.9889515551573</v>
      </c>
    </row>
    <row r="2559" spans="2:27" x14ac:dyDescent="0.2">
      <c r="B2559" s="4" t="s">
        <v>4814</v>
      </c>
      <c r="C2559" s="4">
        <v>13.160399999999999</v>
      </c>
      <c r="D2559" s="4">
        <v>13.3782</v>
      </c>
      <c r="E2559" s="4">
        <v>13.500400000000001</v>
      </c>
      <c r="F2559" s="4">
        <f t="shared" si="156"/>
        <v>13.346333333333334</v>
      </c>
      <c r="I2559" s="4" t="s">
        <v>3726</v>
      </c>
      <c r="J2559" s="4">
        <v>13.472</v>
      </c>
      <c r="K2559" s="4">
        <v>13.361000000000001</v>
      </c>
      <c r="L2559" s="4">
        <v>13.1648</v>
      </c>
      <c r="M2559" s="4">
        <f t="shared" si="157"/>
        <v>13.332599999999999</v>
      </c>
      <c r="P2559" s="4" t="str">
        <f>"ntl-3"</f>
        <v>ntl-3</v>
      </c>
      <c r="Q2559" s="4">
        <v>12.877885325268201</v>
      </c>
      <c r="R2559" s="4">
        <v>12.9788204878105</v>
      </c>
      <c r="S2559" s="4">
        <v>13.063660303120701</v>
      </c>
      <c r="T2559" s="4">
        <f t="shared" si="158"/>
        <v>12.973455372066468</v>
      </c>
      <c r="W2559" s="4" t="str">
        <f>"F40F4.7"</f>
        <v>F40F4.7</v>
      </c>
      <c r="X2559" s="4">
        <v>12.990736506663801</v>
      </c>
      <c r="Y2559" s="4">
        <v>13.135502166338799</v>
      </c>
      <c r="Z2559" s="4">
        <v>12.837427938816401</v>
      </c>
      <c r="AA2559" s="4">
        <f t="shared" si="159"/>
        <v>12.987888870606334</v>
      </c>
    </row>
    <row r="2560" spans="2:27" x14ac:dyDescent="0.2">
      <c r="B2560" s="4" t="s">
        <v>3763</v>
      </c>
      <c r="C2560" s="4">
        <v>13.5383</v>
      </c>
      <c r="D2560" s="4">
        <v>12.507300000000001</v>
      </c>
      <c r="E2560" s="4">
        <v>13.9778</v>
      </c>
      <c r="F2560" s="4">
        <f t="shared" si="156"/>
        <v>13.341133333333334</v>
      </c>
      <c r="I2560" s="4" t="s">
        <v>3735</v>
      </c>
      <c r="J2560" s="4">
        <v>13.6851</v>
      </c>
      <c r="K2560" s="4">
        <v>13.5047</v>
      </c>
      <c r="L2560" s="4">
        <v>12.8005</v>
      </c>
      <c r="M2560" s="4">
        <f t="shared" si="157"/>
        <v>13.3301</v>
      </c>
      <c r="P2560" s="4" t="str">
        <f>"pgp-10"</f>
        <v>pgp-10</v>
      </c>
      <c r="Q2560" s="4">
        <v>12.713330112908</v>
      </c>
      <c r="R2560" s="4">
        <v>13.1071565590237</v>
      </c>
      <c r="S2560" s="4">
        <v>13.086777799587299</v>
      </c>
      <c r="T2560" s="4">
        <f t="shared" si="158"/>
        <v>12.969088157172999</v>
      </c>
      <c r="W2560" s="4" t="str">
        <f>"noca-1"</f>
        <v>noca-1</v>
      </c>
      <c r="X2560" s="4">
        <v>13.306643447870499</v>
      </c>
      <c r="Y2560" s="4">
        <v>12.798399481455601</v>
      </c>
      <c r="Z2560" s="4">
        <v>12.8573138739547</v>
      </c>
      <c r="AA2560" s="4">
        <f t="shared" si="159"/>
        <v>12.987452267760267</v>
      </c>
    </row>
    <row r="2561" spans="2:27" x14ac:dyDescent="0.2">
      <c r="B2561" s="4" t="s">
        <v>2648</v>
      </c>
      <c r="C2561" s="4">
        <v>13.2057</v>
      </c>
      <c r="D2561" s="4">
        <v>13.0785</v>
      </c>
      <c r="E2561" s="4">
        <v>13.731</v>
      </c>
      <c r="F2561" s="4">
        <f t="shared" si="156"/>
        <v>13.3384</v>
      </c>
      <c r="I2561" s="4" t="s">
        <v>3525</v>
      </c>
      <c r="J2561" s="4">
        <v>13.5456</v>
      </c>
      <c r="K2561" s="4">
        <v>13.242000000000001</v>
      </c>
      <c r="L2561" s="4">
        <v>13.1957</v>
      </c>
      <c r="M2561" s="4">
        <f t="shared" si="157"/>
        <v>13.327766666666667</v>
      </c>
      <c r="P2561" s="4" t="str">
        <f>"F36D4.5"</f>
        <v>F36D4.5</v>
      </c>
      <c r="Q2561" s="4">
        <v>12.627541642482001</v>
      </c>
      <c r="R2561" s="4">
        <v>13.1813982899591</v>
      </c>
      <c r="S2561" s="4">
        <v>13.0979144475412</v>
      </c>
      <c r="T2561" s="4">
        <f t="shared" si="158"/>
        <v>12.9689514599941</v>
      </c>
      <c r="W2561" s="4" t="str">
        <f>"riok-3"</f>
        <v>riok-3</v>
      </c>
      <c r="X2561" s="4">
        <v>13.000455052378699</v>
      </c>
      <c r="Y2561" s="4">
        <v>13.3435246843058</v>
      </c>
      <c r="Z2561" s="4">
        <v>12.618148366226601</v>
      </c>
      <c r="AA2561" s="4">
        <f t="shared" si="159"/>
        <v>12.987376034303701</v>
      </c>
    </row>
    <row r="2562" spans="2:27" x14ac:dyDescent="0.2">
      <c r="B2562" s="4" t="s">
        <v>4320</v>
      </c>
      <c r="C2562" s="4">
        <v>13.1401</v>
      </c>
      <c r="D2562" s="4">
        <v>13.4551</v>
      </c>
      <c r="E2562" s="4">
        <v>13.417299999999999</v>
      </c>
      <c r="F2562" s="4">
        <f t="shared" ref="F2562:F2625" si="160">(C2562+D2562+E2562)/3</f>
        <v>13.337499999999999</v>
      </c>
      <c r="I2562" s="4" t="s">
        <v>3431</v>
      </c>
      <c r="J2562" s="4">
        <v>12.8452</v>
      </c>
      <c r="K2562" s="4">
        <v>13.679600000000001</v>
      </c>
      <c r="L2562" s="4">
        <v>13.4581</v>
      </c>
      <c r="M2562" s="4">
        <f t="shared" ref="M2562:M2625" si="161">(J2562+K2562+L2562)/3</f>
        <v>13.327633333333333</v>
      </c>
      <c r="P2562" s="4" t="str">
        <f>"F20G2.2"</f>
        <v>F20G2.2</v>
      </c>
      <c r="Q2562" s="4">
        <v>12.449898840391899</v>
      </c>
      <c r="R2562" s="4">
        <v>13.354844019045901</v>
      </c>
      <c r="S2562" s="4">
        <v>13.094697719451601</v>
      </c>
      <c r="T2562" s="4">
        <f t="shared" ref="T2562:T2625" si="162">(Q2562+R2562+S2562)/3</f>
        <v>12.966480192963134</v>
      </c>
      <c r="W2562" s="4" t="str">
        <f>"chd-1"</f>
        <v>chd-1</v>
      </c>
      <c r="X2562" s="4">
        <v>12.7589436941687</v>
      </c>
      <c r="Y2562" s="4">
        <v>13.158314390604801</v>
      </c>
      <c r="Z2562" s="4">
        <v>13.0428497421515</v>
      </c>
      <c r="AA2562" s="4">
        <f t="shared" ref="AA2562:AA2625" si="163">(X2562+Y2562+Z2562)/3</f>
        <v>12.986702608975</v>
      </c>
    </row>
    <row r="2563" spans="2:27" x14ac:dyDescent="0.2">
      <c r="B2563" s="4" t="s">
        <v>4815</v>
      </c>
      <c r="C2563" s="4">
        <v>13.392099999999999</v>
      </c>
      <c r="D2563" s="4">
        <v>13.200900000000001</v>
      </c>
      <c r="E2563" s="4">
        <v>13.4194</v>
      </c>
      <c r="F2563" s="4">
        <f t="shared" si="160"/>
        <v>13.337466666666666</v>
      </c>
      <c r="I2563" s="4" t="s">
        <v>1312</v>
      </c>
      <c r="J2563" s="4">
        <v>12.981299999999999</v>
      </c>
      <c r="K2563" s="4">
        <v>13.1485</v>
      </c>
      <c r="L2563" s="4">
        <v>13.851599999999999</v>
      </c>
      <c r="M2563" s="4">
        <f t="shared" si="161"/>
        <v>13.327133333333334</v>
      </c>
      <c r="P2563" s="4" t="str">
        <f>"Y53F4B.21"</f>
        <v>Y53F4B.21</v>
      </c>
      <c r="Q2563" s="4">
        <v>12.9478230271241</v>
      </c>
      <c r="R2563" s="4">
        <v>13.240006685629499</v>
      </c>
      <c r="S2563" s="4">
        <v>12.708305741134099</v>
      </c>
      <c r="T2563" s="4">
        <f t="shared" si="162"/>
        <v>12.965378484629232</v>
      </c>
      <c r="W2563" s="4" t="str">
        <f>"C27A7.6"</f>
        <v>C27A7.6</v>
      </c>
      <c r="X2563" s="4">
        <v>13.345671958354</v>
      </c>
      <c r="Y2563" s="4">
        <v>12.979645079130099</v>
      </c>
      <c r="Z2563" s="4">
        <v>12.633434812342101</v>
      </c>
      <c r="AA2563" s="4">
        <f t="shared" si="163"/>
        <v>12.986250616608734</v>
      </c>
    </row>
    <row r="2564" spans="2:27" x14ac:dyDescent="0.2">
      <c r="B2564" s="4" t="s">
        <v>515</v>
      </c>
      <c r="C2564" s="4">
        <v>13.012600000000001</v>
      </c>
      <c r="D2564" s="4">
        <v>14.1195</v>
      </c>
      <c r="E2564" s="4">
        <v>12.877599999999999</v>
      </c>
      <c r="F2564" s="4">
        <f t="shared" si="160"/>
        <v>13.336566666666668</v>
      </c>
      <c r="I2564" s="4" t="s">
        <v>1560</v>
      </c>
      <c r="J2564" s="4">
        <v>13.5527</v>
      </c>
      <c r="K2564" s="4">
        <v>13.118</v>
      </c>
      <c r="L2564" s="4">
        <v>13.29</v>
      </c>
      <c r="M2564" s="4">
        <f t="shared" si="161"/>
        <v>13.320233333333334</v>
      </c>
      <c r="P2564" s="4" t="str">
        <f>"C29F3.7"</f>
        <v>C29F3.7</v>
      </c>
      <c r="Q2564" s="4">
        <v>12.730638014376</v>
      </c>
      <c r="R2564" s="4">
        <v>13.0951050543386</v>
      </c>
      <c r="S2564" s="4">
        <v>13.069764784451699</v>
      </c>
      <c r="T2564" s="4">
        <f t="shared" si="162"/>
        <v>12.965169284388766</v>
      </c>
      <c r="W2564" s="4" t="str">
        <f>"gst-27"</f>
        <v>gst-27</v>
      </c>
      <c r="X2564" s="4">
        <v>13.252199005106201</v>
      </c>
      <c r="Y2564" s="4">
        <v>13.106362030249899</v>
      </c>
      <c r="Z2564" s="4">
        <v>12.587274816854601</v>
      </c>
      <c r="AA2564" s="4">
        <f t="shared" si="163"/>
        <v>12.981945284070234</v>
      </c>
    </row>
    <row r="2565" spans="2:27" x14ac:dyDescent="0.2">
      <c r="B2565" s="4" t="s">
        <v>1625</v>
      </c>
      <c r="C2565" s="4">
        <v>13.2714</v>
      </c>
      <c r="D2565" s="4">
        <v>13.793100000000001</v>
      </c>
      <c r="E2565" s="4">
        <v>12.940099999999999</v>
      </c>
      <c r="F2565" s="4">
        <f t="shared" si="160"/>
        <v>13.334866666666668</v>
      </c>
      <c r="I2565" s="4" t="s">
        <v>2440</v>
      </c>
      <c r="J2565" s="4">
        <v>13.2799</v>
      </c>
      <c r="K2565" s="4">
        <v>13.138299999999999</v>
      </c>
      <c r="L2565" s="4">
        <v>13.542199999999999</v>
      </c>
      <c r="M2565" s="4">
        <f t="shared" si="161"/>
        <v>13.320133333333333</v>
      </c>
      <c r="P2565" s="4" t="str">
        <f>"jmjd-1.2"</f>
        <v>jmjd-1.2</v>
      </c>
      <c r="Q2565" s="4">
        <v>12.8726998172852</v>
      </c>
      <c r="R2565" s="4">
        <v>12.8967113874491</v>
      </c>
      <c r="S2565" s="4">
        <v>13.1185990552248</v>
      </c>
      <c r="T2565" s="4">
        <f t="shared" si="162"/>
        <v>12.962670086653034</v>
      </c>
      <c r="W2565" s="4" t="str">
        <f>"cku-70"</f>
        <v>cku-70</v>
      </c>
      <c r="X2565" s="4">
        <v>12.738657995758</v>
      </c>
      <c r="Y2565" s="4">
        <v>13.020392854777</v>
      </c>
      <c r="Z2565" s="4">
        <v>13.1858982812404</v>
      </c>
      <c r="AA2565" s="4">
        <f t="shared" si="163"/>
        <v>12.981649710591801</v>
      </c>
    </row>
    <row r="2566" spans="2:27" x14ac:dyDescent="0.2">
      <c r="B2566" s="4" t="s">
        <v>1952</v>
      </c>
      <c r="C2566" s="4">
        <v>13.4536</v>
      </c>
      <c r="D2566" s="4">
        <v>13.1564</v>
      </c>
      <c r="E2566" s="4">
        <v>13.393000000000001</v>
      </c>
      <c r="F2566" s="4">
        <f t="shared" si="160"/>
        <v>13.334333333333333</v>
      </c>
      <c r="I2566" s="4" t="s">
        <v>3426</v>
      </c>
      <c r="J2566" s="4">
        <v>13.4368</v>
      </c>
      <c r="K2566" s="4">
        <v>13.0763</v>
      </c>
      <c r="L2566" s="4">
        <v>13.430199999999999</v>
      </c>
      <c r="M2566" s="4">
        <f t="shared" si="161"/>
        <v>13.314433333333334</v>
      </c>
      <c r="P2566" s="4" t="str">
        <f>"Y110A7A.15"</f>
        <v>Y110A7A.15</v>
      </c>
      <c r="Q2566" s="4">
        <v>13.075224600277799</v>
      </c>
      <c r="R2566" s="4">
        <v>12.9658409773405</v>
      </c>
      <c r="S2566" s="4">
        <v>12.8418264707554</v>
      </c>
      <c r="T2566" s="4">
        <f t="shared" si="162"/>
        <v>12.960964016124565</v>
      </c>
      <c r="W2566" s="4" t="str">
        <f>"vps-52"</f>
        <v>vps-52</v>
      </c>
      <c r="X2566" s="4">
        <v>13.070118492045699</v>
      </c>
      <c r="Y2566" s="4">
        <v>12.744622353526101</v>
      </c>
      <c r="Z2566" s="4">
        <v>13.1222340925393</v>
      </c>
      <c r="AA2566" s="4">
        <f t="shared" si="163"/>
        <v>12.978991646037032</v>
      </c>
    </row>
    <row r="2567" spans="2:27" x14ac:dyDescent="0.2">
      <c r="B2567" s="4" t="s">
        <v>8</v>
      </c>
      <c r="C2567" s="4">
        <v>13.62</v>
      </c>
      <c r="D2567" s="4">
        <v>12.870699999999999</v>
      </c>
      <c r="E2567" s="4">
        <v>13.5098</v>
      </c>
      <c r="F2567" s="4">
        <f t="shared" si="160"/>
        <v>13.333499999999999</v>
      </c>
      <c r="I2567" s="4" t="s">
        <v>1953</v>
      </c>
      <c r="J2567" s="4">
        <v>13.1976</v>
      </c>
      <c r="K2567" s="4">
        <v>13.5181</v>
      </c>
      <c r="L2567" s="4">
        <v>13.2265</v>
      </c>
      <c r="M2567" s="4">
        <f t="shared" si="161"/>
        <v>13.314066666666667</v>
      </c>
      <c r="P2567" s="4" t="str">
        <f>"rpn-12"</f>
        <v>rpn-12</v>
      </c>
      <c r="Q2567" s="4">
        <v>12.6780955706316</v>
      </c>
      <c r="R2567" s="4">
        <v>13.3523459699617</v>
      </c>
      <c r="S2567" s="4">
        <v>12.847707719802001</v>
      </c>
      <c r="T2567" s="4">
        <f t="shared" si="162"/>
        <v>12.959383086798434</v>
      </c>
      <c r="W2567" s="4" t="str">
        <f>"atg-3"</f>
        <v>atg-3</v>
      </c>
      <c r="X2567" s="4">
        <v>13.1454516515811</v>
      </c>
      <c r="Y2567" s="4">
        <v>12.944650802186301</v>
      </c>
      <c r="Z2567" s="4">
        <v>12.841667489566399</v>
      </c>
      <c r="AA2567" s="4">
        <f t="shared" si="163"/>
        <v>12.977256647777933</v>
      </c>
    </row>
    <row r="2568" spans="2:27" x14ac:dyDescent="0.2">
      <c r="B2568" s="4" t="s">
        <v>1531</v>
      </c>
      <c r="C2568" s="4">
        <v>13.0908</v>
      </c>
      <c r="D2568" s="4">
        <v>13.536799999999999</v>
      </c>
      <c r="E2568" s="4">
        <v>13.3725</v>
      </c>
      <c r="F2568" s="4">
        <f t="shared" si="160"/>
        <v>13.333366666666668</v>
      </c>
      <c r="I2568" s="4" t="s">
        <v>4578</v>
      </c>
      <c r="J2568" s="4">
        <v>13.3362</v>
      </c>
      <c r="K2568" s="4">
        <v>12.9712</v>
      </c>
      <c r="L2568" s="4">
        <v>13.6313</v>
      </c>
      <c r="M2568" s="4">
        <f t="shared" si="161"/>
        <v>13.312899999999999</v>
      </c>
      <c r="P2568" s="4" t="str">
        <f>"R151.8A"</f>
        <v>R151.8A</v>
      </c>
      <c r="Q2568" s="4">
        <v>12.7380650391693</v>
      </c>
      <c r="R2568" s="4">
        <v>13.2440156974984</v>
      </c>
      <c r="S2568" s="4">
        <v>12.8930661330273</v>
      </c>
      <c r="T2568" s="4">
        <f t="shared" si="162"/>
        <v>12.958382289898333</v>
      </c>
      <c r="W2568" s="4" t="str">
        <f>"crh-1"</f>
        <v>crh-1</v>
      </c>
      <c r="X2568" s="4">
        <v>13.3303183266049</v>
      </c>
      <c r="Y2568" s="4">
        <v>13.411195387557701</v>
      </c>
      <c r="Z2568" s="4">
        <v>12.189708078438599</v>
      </c>
      <c r="AA2568" s="4">
        <f t="shared" si="163"/>
        <v>12.977073930867066</v>
      </c>
    </row>
    <row r="2569" spans="2:27" x14ac:dyDescent="0.2">
      <c r="B2569" s="4" t="s">
        <v>575</v>
      </c>
      <c r="C2569" s="4">
        <v>13.023</v>
      </c>
      <c r="D2569" s="4">
        <v>13.562099999999999</v>
      </c>
      <c r="E2569" s="4">
        <v>13.4115</v>
      </c>
      <c r="F2569" s="4">
        <f t="shared" si="160"/>
        <v>13.3322</v>
      </c>
      <c r="I2569" s="4" t="s">
        <v>2754</v>
      </c>
      <c r="J2569" s="4">
        <v>13.243499999999999</v>
      </c>
      <c r="K2569" s="4">
        <v>13.347</v>
      </c>
      <c r="L2569" s="4">
        <v>13.348000000000001</v>
      </c>
      <c r="M2569" s="4">
        <f t="shared" si="161"/>
        <v>13.312833333333332</v>
      </c>
      <c r="P2569" s="4" t="str">
        <f>"R119.3"</f>
        <v>R119.3</v>
      </c>
      <c r="Q2569" s="4">
        <v>12.878342459627399</v>
      </c>
      <c r="R2569" s="4">
        <v>13.004336129617201</v>
      </c>
      <c r="S2569" s="4">
        <v>12.9915794123889</v>
      </c>
      <c r="T2569" s="4">
        <f t="shared" si="162"/>
        <v>12.958086000544499</v>
      </c>
      <c r="W2569" s="4" t="str">
        <f>"glna-2"</f>
        <v>glna-2</v>
      </c>
      <c r="X2569" s="4">
        <v>12.8586269113966</v>
      </c>
      <c r="Y2569" s="4">
        <v>13.2033345399248</v>
      </c>
      <c r="Z2569" s="4">
        <v>12.8653286394108</v>
      </c>
      <c r="AA2569" s="4">
        <f t="shared" si="163"/>
        <v>12.9757633635774</v>
      </c>
    </row>
    <row r="2570" spans="2:27" x14ac:dyDescent="0.2">
      <c r="B2570" s="4" t="s">
        <v>4516</v>
      </c>
      <c r="C2570" s="4">
        <v>12.8744</v>
      </c>
      <c r="D2570" s="4">
        <v>14.0623</v>
      </c>
      <c r="E2570" s="4">
        <v>13.0588</v>
      </c>
      <c r="F2570" s="4">
        <f t="shared" si="160"/>
        <v>13.331833333333334</v>
      </c>
      <c r="I2570" s="4" t="s">
        <v>3148</v>
      </c>
      <c r="J2570" s="4">
        <v>13.4183</v>
      </c>
      <c r="K2570" s="4">
        <v>13.215199999999999</v>
      </c>
      <c r="L2570" s="4">
        <v>13.302</v>
      </c>
      <c r="M2570" s="4">
        <f t="shared" si="161"/>
        <v>13.311833333333333</v>
      </c>
      <c r="P2570" s="4" t="str">
        <f>"T25B2.2"</f>
        <v>T25B2.2</v>
      </c>
      <c r="Q2570" s="4">
        <v>13.1586209930369</v>
      </c>
      <c r="R2570" s="4">
        <v>12.915267906492501</v>
      </c>
      <c r="S2570" s="4">
        <v>12.7954476947865</v>
      </c>
      <c r="T2570" s="4">
        <f t="shared" si="162"/>
        <v>12.956445531438632</v>
      </c>
      <c r="W2570" s="4" t="str">
        <f>"ZC204.12"</f>
        <v>ZC204.12</v>
      </c>
      <c r="X2570" s="4">
        <v>13.274352594533401</v>
      </c>
      <c r="Y2570" s="4">
        <v>12.791480006894901</v>
      </c>
      <c r="Z2570" s="4">
        <v>12.8589816143829</v>
      </c>
      <c r="AA2570" s="4">
        <f t="shared" si="163"/>
        <v>12.974938071937068</v>
      </c>
    </row>
    <row r="2571" spans="2:27" x14ac:dyDescent="0.2">
      <c r="B2571" s="4" t="s">
        <v>4106</v>
      </c>
      <c r="C2571" s="4">
        <v>13.1225</v>
      </c>
      <c r="D2571" s="4">
        <v>13.483499999999999</v>
      </c>
      <c r="E2571" s="4">
        <v>13.3857</v>
      </c>
      <c r="F2571" s="4">
        <f t="shared" si="160"/>
        <v>13.330566666666668</v>
      </c>
      <c r="I2571" s="4" t="s">
        <v>4619</v>
      </c>
      <c r="J2571" s="4">
        <v>13.1493</v>
      </c>
      <c r="K2571" s="4">
        <v>12.9521</v>
      </c>
      <c r="L2571" s="4">
        <v>13.833500000000001</v>
      </c>
      <c r="M2571" s="4">
        <f t="shared" si="161"/>
        <v>13.311633333333333</v>
      </c>
      <c r="P2571" s="4" t="str">
        <f>"rsf-1"</f>
        <v>rsf-1</v>
      </c>
      <c r="Q2571" s="4">
        <v>13.1245267736661</v>
      </c>
      <c r="R2571" s="4">
        <v>12.8848883243008</v>
      </c>
      <c r="S2571" s="4">
        <v>12.8578015459911</v>
      </c>
      <c r="T2571" s="4">
        <f t="shared" si="162"/>
        <v>12.955738881319334</v>
      </c>
      <c r="W2571" s="4" t="str">
        <f>"gyg-1"</f>
        <v>gyg-1</v>
      </c>
      <c r="X2571" s="4">
        <v>13.0824309663842</v>
      </c>
      <c r="Y2571" s="4">
        <v>12.587402852630801</v>
      </c>
      <c r="Z2571" s="4">
        <v>13.2516360607181</v>
      </c>
      <c r="AA2571" s="4">
        <f t="shared" si="163"/>
        <v>12.973823293244367</v>
      </c>
    </row>
    <row r="2572" spans="2:27" x14ac:dyDescent="0.2">
      <c r="B2572" s="4" t="s">
        <v>4136</v>
      </c>
      <c r="C2572" s="4">
        <v>13.4046</v>
      </c>
      <c r="D2572" s="4">
        <v>13.4434</v>
      </c>
      <c r="E2572" s="4">
        <v>13.125999999999999</v>
      </c>
      <c r="F2572" s="4">
        <f t="shared" si="160"/>
        <v>13.324666666666666</v>
      </c>
      <c r="I2572" s="4" t="s">
        <v>2952</v>
      </c>
      <c r="J2572" s="4">
        <v>13.2742</v>
      </c>
      <c r="K2572" s="4">
        <v>13.216200000000001</v>
      </c>
      <c r="L2572" s="4">
        <v>13.4392</v>
      </c>
      <c r="M2572" s="4">
        <f t="shared" si="161"/>
        <v>13.309866666666666</v>
      </c>
      <c r="P2572" s="4" t="str">
        <f>"mig-15"</f>
        <v>mig-15</v>
      </c>
      <c r="Q2572" s="4">
        <v>13.1752572110685</v>
      </c>
      <c r="R2572" s="4">
        <v>12.8487145395854</v>
      </c>
      <c r="S2572" s="4">
        <v>12.8432343112519</v>
      </c>
      <c r="T2572" s="4">
        <f t="shared" si="162"/>
        <v>12.955735353968599</v>
      </c>
      <c r="W2572" s="4" t="str">
        <f>"eppl-1"</f>
        <v>eppl-1</v>
      </c>
      <c r="X2572" s="4">
        <v>12.9372884269886</v>
      </c>
      <c r="Y2572" s="4">
        <v>12.815694590108899</v>
      </c>
      <c r="Z2572" s="4">
        <v>13.167049495812</v>
      </c>
      <c r="AA2572" s="4">
        <f t="shared" si="163"/>
        <v>12.973344170969833</v>
      </c>
    </row>
    <row r="2573" spans="2:27" x14ac:dyDescent="0.2">
      <c r="B2573" s="4" t="s">
        <v>3780</v>
      </c>
      <c r="C2573" s="4">
        <v>13.5192</v>
      </c>
      <c r="D2573" s="4">
        <v>14.2346</v>
      </c>
      <c r="E2573" s="4">
        <v>12.2135</v>
      </c>
      <c r="F2573" s="4">
        <f t="shared" si="160"/>
        <v>13.322433333333331</v>
      </c>
      <c r="I2573" s="4" t="s">
        <v>886</v>
      </c>
      <c r="J2573" s="4">
        <v>13.190899999999999</v>
      </c>
      <c r="K2573" s="4">
        <v>13.609299999999999</v>
      </c>
      <c r="L2573" s="4">
        <v>13.121</v>
      </c>
      <c r="M2573" s="4">
        <f t="shared" si="161"/>
        <v>13.307066666666666</v>
      </c>
      <c r="P2573" s="4" t="str">
        <f>"cox-11"</f>
        <v>cox-11</v>
      </c>
      <c r="Q2573" s="4">
        <v>12.901034072980501</v>
      </c>
      <c r="R2573" s="4">
        <v>12.965605234875801</v>
      </c>
      <c r="S2573" s="4">
        <v>12.994014740202999</v>
      </c>
      <c r="T2573" s="4">
        <f t="shared" si="162"/>
        <v>12.9535513493531</v>
      </c>
      <c r="W2573" s="4" t="str">
        <f>"oxa-1"</f>
        <v>oxa-1</v>
      </c>
      <c r="X2573" s="4">
        <v>13.0258345778115</v>
      </c>
      <c r="Y2573" s="4">
        <v>13.123284469198101</v>
      </c>
      <c r="Z2573" s="4">
        <v>12.7701703398553</v>
      </c>
      <c r="AA2573" s="4">
        <f t="shared" si="163"/>
        <v>12.973096462288298</v>
      </c>
    </row>
    <row r="2574" spans="2:27" x14ac:dyDescent="0.2">
      <c r="B2574" s="4" t="s">
        <v>398</v>
      </c>
      <c r="C2574" s="4">
        <v>12.9377</v>
      </c>
      <c r="D2574" s="4">
        <v>13.621700000000001</v>
      </c>
      <c r="E2574" s="4">
        <v>13.3972</v>
      </c>
      <c r="F2574" s="4">
        <f t="shared" si="160"/>
        <v>13.318866666666667</v>
      </c>
      <c r="I2574" s="4" t="s">
        <v>303</v>
      </c>
      <c r="J2574" s="4">
        <v>12.8437</v>
      </c>
      <c r="K2574" s="4">
        <v>13.787800000000001</v>
      </c>
      <c r="L2574" s="4">
        <v>13.2889</v>
      </c>
      <c r="M2574" s="4">
        <f t="shared" si="161"/>
        <v>13.306800000000001</v>
      </c>
      <c r="P2574" s="4" t="str">
        <f>"pro-1"</f>
        <v>pro-1</v>
      </c>
      <c r="Q2574" s="4">
        <v>12.9850765561957</v>
      </c>
      <c r="R2574" s="4">
        <v>13.098928582784399</v>
      </c>
      <c r="S2574" s="4">
        <v>12.7743885126362</v>
      </c>
      <c r="T2574" s="4">
        <f t="shared" si="162"/>
        <v>12.952797883872099</v>
      </c>
      <c r="W2574" s="4" t="str">
        <f>"clik-3"</f>
        <v>clik-3</v>
      </c>
      <c r="X2574" s="4">
        <v>13.2142682866832</v>
      </c>
      <c r="Y2574" s="4">
        <v>12.7233569376499</v>
      </c>
      <c r="Z2574" s="4">
        <v>12.974956237748099</v>
      </c>
      <c r="AA2574" s="4">
        <f t="shared" si="163"/>
        <v>12.970860487360399</v>
      </c>
    </row>
    <row r="2575" spans="2:27" x14ac:dyDescent="0.2">
      <c r="B2575" s="4" t="s">
        <v>542</v>
      </c>
      <c r="C2575" s="4">
        <v>13.294600000000001</v>
      </c>
      <c r="D2575" s="4">
        <v>13.456899999999999</v>
      </c>
      <c r="E2575" s="4">
        <v>13.200200000000001</v>
      </c>
      <c r="F2575" s="4">
        <f t="shared" si="160"/>
        <v>13.317233333333334</v>
      </c>
      <c r="I2575" s="4" t="s">
        <v>4816</v>
      </c>
      <c r="J2575" s="4">
        <v>13.4849</v>
      </c>
      <c r="K2575" s="4">
        <v>13.094099999999999</v>
      </c>
      <c r="L2575" s="4">
        <v>13.337899999999999</v>
      </c>
      <c r="M2575" s="4">
        <f t="shared" si="161"/>
        <v>13.305633333333333</v>
      </c>
      <c r="P2575" s="4" t="str">
        <f>"ret-1"</f>
        <v>ret-1</v>
      </c>
      <c r="Q2575" s="4">
        <v>13.0355468377133</v>
      </c>
      <c r="R2575" s="4">
        <v>12.993512788938901</v>
      </c>
      <c r="S2575" s="4">
        <v>12.8288440238332</v>
      </c>
      <c r="T2575" s="4">
        <f t="shared" si="162"/>
        <v>12.952634550161799</v>
      </c>
      <c r="W2575" s="4" t="str">
        <f>"wdr-48"</f>
        <v>wdr-48</v>
      </c>
      <c r="X2575" s="4">
        <v>12.712318683431899</v>
      </c>
      <c r="Y2575" s="4">
        <v>12.7532614099089</v>
      </c>
      <c r="Z2575" s="4">
        <v>13.442014131475901</v>
      </c>
      <c r="AA2575" s="4">
        <f t="shared" si="163"/>
        <v>12.9691980749389</v>
      </c>
    </row>
    <row r="2576" spans="2:27" x14ac:dyDescent="0.2">
      <c r="B2576" s="4" t="s">
        <v>2703</v>
      </c>
      <c r="C2576" s="4">
        <v>12.879300000000001</v>
      </c>
      <c r="D2576" s="4">
        <v>13.3886</v>
      </c>
      <c r="E2576" s="4">
        <v>13.682600000000001</v>
      </c>
      <c r="F2576" s="4">
        <f t="shared" si="160"/>
        <v>13.316833333333335</v>
      </c>
      <c r="I2576" s="4" t="s">
        <v>271</v>
      </c>
      <c r="J2576" s="4">
        <v>13.2753</v>
      </c>
      <c r="K2576" s="4">
        <v>13.1751</v>
      </c>
      <c r="L2576" s="4">
        <v>13.466100000000001</v>
      </c>
      <c r="M2576" s="4">
        <f t="shared" si="161"/>
        <v>13.3055</v>
      </c>
      <c r="P2576" s="4" t="str">
        <f>"ints-1"</f>
        <v>ints-1</v>
      </c>
      <c r="Q2576" s="4">
        <v>12.929016145025299</v>
      </c>
      <c r="R2576" s="4">
        <v>13.0614717026811</v>
      </c>
      <c r="S2576" s="4">
        <v>12.865259896166</v>
      </c>
      <c r="T2576" s="4">
        <f t="shared" si="162"/>
        <v>12.951915914624132</v>
      </c>
      <c r="W2576" s="4" t="str">
        <f>"let-754"</f>
        <v>let-754</v>
      </c>
      <c r="X2576" s="4">
        <v>12.976045479441799</v>
      </c>
      <c r="Y2576" s="4">
        <v>12.8316686970578</v>
      </c>
      <c r="Z2576" s="4">
        <v>13.0997943822226</v>
      </c>
      <c r="AA2576" s="4">
        <f t="shared" si="163"/>
        <v>12.969169519574066</v>
      </c>
    </row>
    <row r="2577" spans="2:27" x14ac:dyDescent="0.2">
      <c r="B2577" s="4" t="s">
        <v>437</v>
      </c>
      <c r="C2577" s="4">
        <v>13.318199999999999</v>
      </c>
      <c r="D2577" s="4">
        <v>13.4518</v>
      </c>
      <c r="E2577" s="4">
        <v>13.1776</v>
      </c>
      <c r="F2577" s="4">
        <f t="shared" si="160"/>
        <v>13.315866666666667</v>
      </c>
      <c r="I2577" s="4" t="s">
        <v>3019</v>
      </c>
      <c r="J2577" s="4">
        <v>13.3497</v>
      </c>
      <c r="K2577" s="4">
        <v>13.2377</v>
      </c>
      <c r="L2577" s="4">
        <v>13.3249</v>
      </c>
      <c r="M2577" s="4">
        <f t="shared" si="161"/>
        <v>13.3041</v>
      </c>
      <c r="P2577" s="4" t="str">
        <f>"K09F5.6"</f>
        <v>K09F5.6</v>
      </c>
      <c r="Q2577" s="4">
        <v>12.5992629791458</v>
      </c>
      <c r="R2577" s="4">
        <v>12.987854032682501</v>
      </c>
      <c r="S2577" s="4">
        <v>13.268122819243899</v>
      </c>
      <c r="T2577" s="4">
        <f t="shared" si="162"/>
        <v>12.951746610357398</v>
      </c>
      <c r="W2577" s="4" t="str">
        <f>"npp-14"</f>
        <v>npp-14</v>
      </c>
      <c r="X2577" s="4">
        <v>13.3008029325993</v>
      </c>
      <c r="Y2577" s="4">
        <v>13.243555409553201</v>
      </c>
      <c r="Z2577" s="4">
        <v>12.362732927721201</v>
      </c>
      <c r="AA2577" s="4">
        <f t="shared" si="163"/>
        <v>12.969030423291235</v>
      </c>
    </row>
    <row r="2578" spans="2:27" x14ac:dyDescent="0.2">
      <c r="B2578" s="4" t="s">
        <v>1358</v>
      </c>
      <c r="C2578" s="4">
        <v>13.530200000000001</v>
      </c>
      <c r="D2578" s="4">
        <v>13.0489</v>
      </c>
      <c r="E2578" s="4">
        <v>13.354900000000001</v>
      </c>
      <c r="F2578" s="4">
        <f t="shared" si="160"/>
        <v>13.311333333333332</v>
      </c>
      <c r="I2578" s="4" t="s">
        <v>4795</v>
      </c>
      <c r="J2578" s="4">
        <v>13.279500000000001</v>
      </c>
      <c r="K2578" s="4">
        <v>13.5845</v>
      </c>
      <c r="L2578" s="4">
        <v>13.043799999999999</v>
      </c>
      <c r="M2578" s="4">
        <f t="shared" si="161"/>
        <v>13.3026</v>
      </c>
      <c r="P2578" s="4" t="str">
        <f>"imp-3"</f>
        <v>imp-3</v>
      </c>
      <c r="Q2578" s="4">
        <v>13.0578036627887</v>
      </c>
      <c r="R2578" s="4">
        <v>12.866080342237799</v>
      </c>
      <c r="S2578" s="4">
        <v>12.9308220452022</v>
      </c>
      <c r="T2578" s="4">
        <f t="shared" si="162"/>
        <v>12.951568683409567</v>
      </c>
      <c r="W2578" s="4" t="str">
        <f>"M01G5.1"</f>
        <v>M01G5.1</v>
      </c>
      <c r="X2578" s="4">
        <v>13.0449813086418</v>
      </c>
      <c r="Y2578" s="4">
        <v>13.003794950564901</v>
      </c>
      <c r="Z2578" s="4">
        <v>12.8531494833369</v>
      </c>
      <c r="AA2578" s="4">
        <f t="shared" si="163"/>
        <v>12.967308580847865</v>
      </c>
    </row>
    <row r="2579" spans="2:27" x14ac:dyDescent="0.2">
      <c r="B2579" s="4" t="s">
        <v>2452</v>
      </c>
      <c r="C2579" s="4">
        <v>12.801399999999999</v>
      </c>
      <c r="D2579" s="4">
        <v>13.6486</v>
      </c>
      <c r="E2579" s="4">
        <v>13.4808</v>
      </c>
      <c r="F2579" s="4">
        <f t="shared" si="160"/>
        <v>13.310266666666665</v>
      </c>
      <c r="I2579" s="4" t="s">
        <v>4136</v>
      </c>
      <c r="J2579" s="4">
        <v>13.4397</v>
      </c>
      <c r="K2579" s="4">
        <v>13.1853</v>
      </c>
      <c r="L2579" s="4">
        <v>13.278700000000001</v>
      </c>
      <c r="M2579" s="4">
        <f t="shared" si="161"/>
        <v>13.301233333333334</v>
      </c>
      <c r="P2579" s="4" t="str">
        <f>"folt-2"</f>
        <v>folt-2</v>
      </c>
      <c r="Q2579" s="4">
        <v>12.6613304509169</v>
      </c>
      <c r="R2579" s="4">
        <v>13.0187970122997</v>
      </c>
      <c r="S2579" s="4">
        <v>13.1717820727279</v>
      </c>
      <c r="T2579" s="4">
        <f t="shared" si="162"/>
        <v>12.9506365119815</v>
      </c>
      <c r="W2579" s="4" t="str">
        <f>"cest-2.1"</f>
        <v>cest-2.1</v>
      </c>
      <c r="X2579" s="4">
        <v>13.099464304806</v>
      </c>
      <c r="Y2579" s="4">
        <v>12.6691850785082</v>
      </c>
      <c r="Z2579" s="4">
        <v>13.127231212281099</v>
      </c>
      <c r="AA2579" s="4">
        <f t="shared" si="163"/>
        <v>12.9652935318651</v>
      </c>
    </row>
    <row r="2580" spans="2:27" x14ac:dyDescent="0.2">
      <c r="B2580" s="4" t="s">
        <v>96</v>
      </c>
      <c r="C2580" s="4">
        <v>13.384499999999999</v>
      </c>
      <c r="D2580" s="4">
        <v>13.1654</v>
      </c>
      <c r="E2580" s="4">
        <v>13.3771</v>
      </c>
      <c r="F2580" s="4">
        <f t="shared" si="160"/>
        <v>13.308999999999999</v>
      </c>
      <c r="I2580" s="4" t="s">
        <v>792</v>
      </c>
      <c r="J2580" s="4">
        <v>13.093299999999999</v>
      </c>
      <c r="K2580" s="4">
        <v>13.3675</v>
      </c>
      <c r="L2580" s="4">
        <v>13.4421</v>
      </c>
      <c r="M2580" s="4">
        <f t="shared" si="161"/>
        <v>13.300966666666667</v>
      </c>
      <c r="P2580" s="4" t="str">
        <f>"ubc-12"</f>
        <v>ubc-12</v>
      </c>
      <c r="Q2580" s="4">
        <v>13.021300053788901</v>
      </c>
      <c r="R2580" s="4">
        <v>12.8635626882115</v>
      </c>
      <c r="S2580" s="4">
        <v>12.9664897322022</v>
      </c>
      <c r="T2580" s="4">
        <f t="shared" si="162"/>
        <v>12.950450824734199</v>
      </c>
      <c r="W2580" s="4" t="str">
        <f>"ZK669.5"</f>
        <v>ZK669.5</v>
      </c>
      <c r="X2580" s="4">
        <v>12.7672237003302</v>
      </c>
      <c r="Y2580" s="4">
        <v>13.295692345120001</v>
      </c>
      <c r="Z2580" s="4">
        <v>12.8283533745395</v>
      </c>
      <c r="AA2580" s="4">
        <f t="shared" si="163"/>
        <v>12.9637564733299</v>
      </c>
    </row>
    <row r="2581" spans="2:27" x14ac:dyDescent="0.2">
      <c r="B2581" s="4" t="s">
        <v>383</v>
      </c>
      <c r="C2581" s="4">
        <v>13.5154</v>
      </c>
      <c r="D2581" s="4">
        <v>13.5578</v>
      </c>
      <c r="E2581" s="4">
        <v>12.851699999999999</v>
      </c>
      <c r="F2581" s="4">
        <f t="shared" si="160"/>
        <v>13.308300000000001</v>
      </c>
      <c r="I2581" s="4" t="s">
        <v>3852</v>
      </c>
      <c r="J2581" s="4">
        <v>13.4672</v>
      </c>
      <c r="K2581" s="4">
        <v>13.4876</v>
      </c>
      <c r="L2581" s="4">
        <v>12.9407</v>
      </c>
      <c r="M2581" s="4">
        <f t="shared" si="161"/>
        <v>13.298499999999999</v>
      </c>
      <c r="P2581" s="4" t="str">
        <f>"cel-1"</f>
        <v>cel-1</v>
      </c>
      <c r="Q2581" s="4">
        <v>12.812825335480801</v>
      </c>
      <c r="R2581" s="4">
        <v>13.1481294033313</v>
      </c>
      <c r="S2581" s="4">
        <v>12.8854550297745</v>
      </c>
      <c r="T2581" s="4">
        <f t="shared" si="162"/>
        <v>12.948803256195532</v>
      </c>
      <c r="W2581" s="4" t="str">
        <f>"nepr-1"</f>
        <v>nepr-1</v>
      </c>
      <c r="X2581" s="4">
        <v>12.9948428494172</v>
      </c>
      <c r="Y2581" s="4">
        <v>13.04302528489</v>
      </c>
      <c r="Z2581" s="4">
        <v>12.8495714377365</v>
      </c>
      <c r="AA2581" s="4">
        <f t="shared" si="163"/>
        <v>12.962479857347901</v>
      </c>
    </row>
    <row r="2582" spans="2:27" x14ac:dyDescent="0.2">
      <c r="B2582" s="4" t="s">
        <v>2053</v>
      </c>
      <c r="C2582" s="4">
        <v>13.467599999999999</v>
      </c>
      <c r="D2582" s="4">
        <v>13.3725</v>
      </c>
      <c r="E2582" s="4">
        <v>13.083399999999999</v>
      </c>
      <c r="F2582" s="4">
        <f t="shared" si="160"/>
        <v>13.307833333333333</v>
      </c>
      <c r="I2582" s="4" t="s">
        <v>4817</v>
      </c>
      <c r="J2582" s="4">
        <v>12.801500000000001</v>
      </c>
      <c r="K2582" s="4">
        <v>13.242800000000001</v>
      </c>
      <c r="L2582" s="4">
        <v>13.847300000000001</v>
      </c>
      <c r="M2582" s="4">
        <f t="shared" si="161"/>
        <v>13.297199999999998</v>
      </c>
      <c r="P2582" s="4" t="str">
        <f>"acl-5"</f>
        <v>acl-5</v>
      </c>
      <c r="Q2582" s="4">
        <v>12.887959397174299</v>
      </c>
      <c r="R2582" s="4">
        <v>13.0883647431541</v>
      </c>
      <c r="S2582" s="4">
        <v>12.8675811747753</v>
      </c>
      <c r="T2582" s="4">
        <f t="shared" si="162"/>
        <v>12.9479684383679</v>
      </c>
      <c r="W2582" s="4" t="str">
        <f>"cpin-1"</f>
        <v>cpin-1</v>
      </c>
      <c r="X2582" s="4">
        <v>12.603391174808101</v>
      </c>
      <c r="Y2582" s="4">
        <v>13.399488275464099</v>
      </c>
      <c r="Z2582" s="4">
        <v>12.880123369469899</v>
      </c>
      <c r="AA2582" s="4">
        <f t="shared" si="163"/>
        <v>12.961000939914035</v>
      </c>
    </row>
    <row r="2583" spans="2:27" x14ac:dyDescent="0.2">
      <c r="B2583" s="4" t="s">
        <v>4753</v>
      </c>
      <c r="C2583" s="4">
        <v>13.6502</v>
      </c>
      <c r="D2583" s="4">
        <v>12.9468</v>
      </c>
      <c r="E2583" s="4">
        <v>13.317500000000001</v>
      </c>
      <c r="F2583" s="4">
        <f t="shared" si="160"/>
        <v>13.304833333333335</v>
      </c>
      <c r="I2583" s="4" t="s">
        <v>3151</v>
      </c>
      <c r="J2583" s="4">
        <v>13.4785</v>
      </c>
      <c r="K2583" s="4">
        <v>13.3217</v>
      </c>
      <c r="L2583" s="4">
        <v>13.0914</v>
      </c>
      <c r="M2583" s="4">
        <f t="shared" si="161"/>
        <v>13.297199999999998</v>
      </c>
      <c r="P2583" s="4" t="str">
        <f>"rbx-1"</f>
        <v>rbx-1</v>
      </c>
      <c r="Q2583" s="4">
        <v>12.377243568545699</v>
      </c>
      <c r="R2583" s="4">
        <v>13.4907606201864</v>
      </c>
      <c r="S2583" s="4">
        <v>12.9745906469901</v>
      </c>
      <c r="T2583" s="4">
        <f t="shared" si="162"/>
        <v>12.947531611907401</v>
      </c>
      <c r="W2583" s="4" t="str">
        <f>"rnp-1"</f>
        <v>rnp-1</v>
      </c>
      <c r="X2583" s="4">
        <v>12.622413371359</v>
      </c>
      <c r="Y2583" s="4">
        <v>13.478265881279</v>
      </c>
      <c r="Z2583" s="4">
        <v>12.775229993710401</v>
      </c>
      <c r="AA2583" s="4">
        <f t="shared" si="163"/>
        <v>12.958636415449467</v>
      </c>
    </row>
    <row r="2584" spans="2:27" x14ac:dyDescent="0.2">
      <c r="B2584" s="4" t="s">
        <v>1596</v>
      </c>
      <c r="C2584" s="4">
        <v>13.3986</v>
      </c>
      <c r="D2584" s="4">
        <v>12.3552</v>
      </c>
      <c r="E2584" s="4">
        <v>14.158099999999999</v>
      </c>
      <c r="F2584" s="4">
        <f t="shared" si="160"/>
        <v>13.303966666666666</v>
      </c>
      <c r="I2584" s="4" t="s">
        <v>4615</v>
      </c>
      <c r="J2584" s="4">
        <v>13.188700000000001</v>
      </c>
      <c r="K2584" s="4">
        <v>13.547499999999999</v>
      </c>
      <c r="L2584" s="4">
        <v>13.153</v>
      </c>
      <c r="M2584" s="4">
        <f t="shared" si="161"/>
        <v>13.2964</v>
      </c>
      <c r="P2584" s="4" t="str">
        <f>"tra-4"</f>
        <v>tra-4</v>
      </c>
      <c r="Q2584" s="4">
        <v>13.0759003770335</v>
      </c>
      <c r="R2584" s="4">
        <v>12.886101909134799</v>
      </c>
      <c r="S2584" s="4">
        <v>12.875844442290999</v>
      </c>
      <c r="T2584" s="4">
        <f t="shared" si="162"/>
        <v>12.945948909486432</v>
      </c>
      <c r="W2584" s="4" t="str">
        <f>"B0272.3"</f>
        <v>B0272.3</v>
      </c>
      <c r="X2584" s="4">
        <v>12.4293940230503</v>
      </c>
      <c r="Y2584" s="4">
        <v>13.2583750005618</v>
      </c>
      <c r="Z2584" s="4">
        <v>13.186989161716999</v>
      </c>
      <c r="AA2584" s="4">
        <f t="shared" si="163"/>
        <v>12.958252728443034</v>
      </c>
    </row>
    <row r="2585" spans="2:27" x14ac:dyDescent="0.2">
      <c r="B2585" s="4" t="s">
        <v>610</v>
      </c>
      <c r="C2585" s="4">
        <v>13.720499999999999</v>
      </c>
      <c r="D2585" s="4">
        <v>13.099600000000001</v>
      </c>
      <c r="E2585" s="4">
        <v>13.0913</v>
      </c>
      <c r="F2585" s="4">
        <f t="shared" si="160"/>
        <v>13.303800000000001</v>
      </c>
      <c r="I2585" s="4" t="s">
        <v>4723</v>
      </c>
      <c r="J2585" s="4">
        <v>13.2636</v>
      </c>
      <c r="K2585" s="4">
        <v>13.5738</v>
      </c>
      <c r="L2585" s="4">
        <v>13.045299999999999</v>
      </c>
      <c r="M2585" s="4">
        <f t="shared" si="161"/>
        <v>13.294233333333333</v>
      </c>
      <c r="P2585" s="4" t="str">
        <f>"F17C11.12"</f>
        <v>F17C11.12</v>
      </c>
      <c r="Q2585" s="4">
        <v>12.606563172529601</v>
      </c>
      <c r="R2585" s="4">
        <v>13.007002247933899</v>
      </c>
      <c r="S2585" s="4">
        <v>13.215951607729799</v>
      </c>
      <c r="T2585" s="4">
        <f t="shared" si="162"/>
        <v>12.943172342731101</v>
      </c>
      <c r="W2585" s="4" t="str">
        <f>"perm-1"</f>
        <v>perm-1</v>
      </c>
      <c r="X2585" s="4">
        <v>13.659647591371201</v>
      </c>
      <c r="Y2585" s="4">
        <v>12.6413360557123</v>
      </c>
      <c r="Z2585" s="4">
        <v>12.572211646581801</v>
      </c>
      <c r="AA2585" s="4">
        <f t="shared" si="163"/>
        <v>12.957731764555099</v>
      </c>
    </row>
    <row r="2586" spans="2:27" x14ac:dyDescent="0.2">
      <c r="B2586" s="4" t="s">
        <v>2952</v>
      </c>
      <c r="C2586" s="4">
        <v>13.4894</v>
      </c>
      <c r="D2586" s="4">
        <v>13.0823</v>
      </c>
      <c r="E2586" s="4">
        <v>13.3391</v>
      </c>
      <c r="F2586" s="4">
        <f t="shared" si="160"/>
        <v>13.303600000000001</v>
      </c>
      <c r="I2586" s="4" t="s">
        <v>2218</v>
      </c>
      <c r="J2586" s="4">
        <v>13.2448</v>
      </c>
      <c r="K2586" s="4">
        <v>12.9818</v>
      </c>
      <c r="L2586" s="4">
        <v>13.6518</v>
      </c>
      <c r="M2586" s="4">
        <f t="shared" si="161"/>
        <v>13.2928</v>
      </c>
      <c r="P2586" s="4" t="str">
        <f>"fcd-2"</f>
        <v>fcd-2</v>
      </c>
      <c r="Q2586" s="4">
        <v>12.6043592437785</v>
      </c>
      <c r="R2586" s="4">
        <v>13.3089480670348</v>
      </c>
      <c r="S2586" s="4">
        <v>12.916090537188801</v>
      </c>
      <c r="T2586" s="4">
        <f t="shared" si="162"/>
        <v>12.943132616000701</v>
      </c>
      <c r="W2586" s="4" t="str">
        <f>"F53F1.2"</f>
        <v>F53F1.2</v>
      </c>
      <c r="X2586" s="4">
        <v>12.6837565375435</v>
      </c>
      <c r="Y2586" s="4">
        <v>12.9738188076653</v>
      </c>
      <c r="Z2586" s="4">
        <v>13.207011705117401</v>
      </c>
      <c r="AA2586" s="4">
        <f t="shared" si="163"/>
        <v>12.954862350108733</v>
      </c>
    </row>
    <row r="2587" spans="2:27" x14ac:dyDescent="0.2">
      <c r="B2587" s="4" t="s">
        <v>1299</v>
      </c>
      <c r="C2587" s="4">
        <v>13.1256</v>
      </c>
      <c r="D2587" s="4">
        <v>13.181100000000001</v>
      </c>
      <c r="E2587" s="4">
        <v>13.602499999999999</v>
      </c>
      <c r="F2587" s="4">
        <f t="shared" si="160"/>
        <v>13.303066666666666</v>
      </c>
      <c r="I2587" s="4" t="s">
        <v>4768</v>
      </c>
      <c r="J2587" s="4">
        <v>13.263400000000001</v>
      </c>
      <c r="K2587" s="4">
        <v>13.3558</v>
      </c>
      <c r="L2587" s="4">
        <v>13.251200000000001</v>
      </c>
      <c r="M2587" s="4">
        <f t="shared" si="161"/>
        <v>13.290133333333335</v>
      </c>
      <c r="P2587" s="4" t="str">
        <f>"ubc-7"</f>
        <v>ubc-7</v>
      </c>
      <c r="Q2587" s="4">
        <v>12.8192348726422</v>
      </c>
      <c r="R2587" s="4">
        <v>12.968284430254901</v>
      </c>
      <c r="S2587" s="4">
        <v>13.040506528932401</v>
      </c>
      <c r="T2587" s="4">
        <f t="shared" si="162"/>
        <v>12.942675277276502</v>
      </c>
      <c r="W2587" s="4" t="str">
        <f>"hpd-1"</f>
        <v>hpd-1</v>
      </c>
      <c r="X2587" s="4">
        <v>12.909337075948301</v>
      </c>
      <c r="Y2587" s="4">
        <v>13.000211740915301</v>
      </c>
      <c r="Z2587" s="4">
        <v>12.9529022424442</v>
      </c>
      <c r="AA2587" s="4">
        <f t="shared" si="163"/>
        <v>12.9541503531026</v>
      </c>
    </row>
    <row r="2588" spans="2:27" x14ac:dyDescent="0.2">
      <c r="B2588" s="4" t="s">
        <v>4267</v>
      </c>
      <c r="C2588" s="4">
        <v>13.4861</v>
      </c>
      <c r="D2588" s="4">
        <v>12.712199999999999</v>
      </c>
      <c r="E2588" s="4">
        <v>13.706300000000001</v>
      </c>
      <c r="F2588" s="4">
        <f t="shared" si="160"/>
        <v>13.301533333333333</v>
      </c>
      <c r="I2588" s="4" t="s">
        <v>995</v>
      </c>
      <c r="J2588" s="4">
        <v>13.280799999999999</v>
      </c>
      <c r="K2588" s="4">
        <v>13.210100000000001</v>
      </c>
      <c r="L2588" s="4">
        <v>13.3736</v>
      </c>
      <c r="M2588" s="4">
        <f t="shared" si="161"/>
        <v>13.288166666666667</v>
      </c>
      <c r="P2588" s="4" t="str">
        <f>"fbxa-4"</f>
        <v>fbxa-4</v>
      </c>
      <c r="Q2588" s="4">
        <v>13.061870894029701</v>
      </c>
      <c r="R2588" s="4">
        <v>13.173960837030799</v>
      </c>
      <c r="S2588" s="4">
        <v>12.588659283238099</v>
      </c>
      <c r="T2588" s="4">
        <f t="shared" si="162"/>
        <v>12.9414970047662</v>
      </c>
      <c r="W2588" s="4" t="str">
        <f>"cua-1"</f>
        <v>cua-1</v>
      </c>
      <c r="X2588" s="4">
        <v>13.0535678228094</v>
      </c>
      <c r="Y2588" s="4">
        <v>12.5035993543627</v>
      </c>
      <c r="Z2588" s="4">
        <v>13.3028130103474</v>
      </c>
      <c r="AA2588" s="4">
        <f t="shared" si="163"/>
        <v>12.953326729173165</v>
      </c>
    </row>
    <row r="2589" spans="2:27" x14ac:dyDescent="0.2">
      <c r="B2589" s="4" t="s">
        <v>721</v>
      </c>
      <c r="C2589" s="4">
        <v>13.081899999999999</v>
      </c>
      <c r="D2589" s="4">
        <v>13.458299999999999</v>
      </c>
      <c r="E2589" s="4">
        <v>13.363300000000001</v>
      </c>
      <c r="F2589" s="4">
        <f t="shared" si="160"/>
        <v>13.301166666666667</v>
      </c>
      <c r="I2589" s="4" t="s">
        <v>2332</v>
      </c>
      <c r="J2589" s="4">
        <v>13.3582</v>
      </c>
      <c r="K2589" s="4">
        <v>13.1663</v>
      </c>
      <c r="L2589" s="4">
        <v>13.3354</v>
      </c>
      <c r="M2589" s="4">
        <f t="shared" si="161"/>
        <v>13.286633333333333</v>
      </c>
      <c r="P2589" s="4" t="str">
        <f>"ncl-1"</f>
        <v>ncl-1</v>
      </c>
      <c r="Q2589" s="4">
        <v>13.020180447345</v>
      </c>
      <c r="R2589" s="4">
        <v>12.854462619384201</v>
      </c>
      <c r="S2589" s="4">
        <v>12.9494594046462</v>
      </c>
      <c r="T2589" s="4">
        <f t="shared" si="162"/>
        <v>12.941367490458466</v>
      </c>
      <c r="W2589" s="4" t="str">
        <f>"folt-2"</f>
        <v>folt-2</v>
      </c>
      <c r="X2589" s="4">
        <v>13.179547968964901</v>
      </c>
      <c r="Y2589" s="4">
        <v>12.906867465168</v>
      </c>
      <c r="Z2589" s="4">
        <v>12.768996702814301</v>
      </c>
      <c r="AA2589" s="4">
        <f t="shared" si="163"/>
        <v>12.951804045649068</v>
      </c>
    </row>
    <row r="2590" spans="2:27" x14ac:dyDescent="0.2">
      <c r="B2590" s="4" t="s">
        <v>4816</v>
      </c>
      <c r="C2590" s="4">
        <v>13.5069</v>
      </c>
      <c r="D2590" s="4">
        <v>12.8879</v>
      </c>
      <c r="E2590" s="4">
        <v>13.5067</v>
      </c>
      <c r="F2590" s="4">
        <f t="shared" si="160"/>
        <v>13.3005</v>
      </c>
      <c r="I2590" s="4" t="s">
        <v>2039</v>
      </c>
      <c r="J2590" s="4">
        <v>13.0267</v>
      </c>
      <c r="K2590" s="4">
        <v>12.819699999999999</v>
      </c>
      <c r="L2590" s="4">
        <v>14.0128</v>
      </c>
      <c r="M2590" s="4">
        <f t="shared" si="161"/>
        <v>13.2864</v>
      </c>
      <c r="P2590" s="4" t="str">
        <f>"ran-5"</f>
        <v>ran-5</v>
      </c>
      <c r="Q2590" s="4">
        <v>12.9491861566162</v>
      </c>
      <c r="R2590" s="4">
        <v>12.859691377555899</v>
      </c>
      <c r="S2590" s="4">
        <v>13.0088189383467</v>
      </c>
      <c r="T2590" s="4">
        <f t="shared" si="162"/>
        <v>12.939232157506266</v>
      </c>
      <c r="W2590" s="4" t="str">
        <f>"phat-2"</f>
        <v>phat-2</v>
      </c>
      <c r="X2590" s="4">
        <v>12.681693669335401</v>
      </c>
      <c r="Y2590" s="4">
        <v>12.881913648482101</v>
      </c>
      <c r="Z2590" s="4">
        <v>13.2829508844267</v>
      </c>
      <c r="AA2590" s="4">
        <f t="shared" si="163"/>
        <v>12.948852734081399</v>
      </c>
    </row>
    <row r="2591" spans="2:27" x14ac:dyDescent="0.2">
      <c r="B2591" s="4" t="s">
        <v>3701</v>
      </c>
      <c r="C2591" s="4">
        <v>13.5372</v>
      </c>
      <c r="D2591" s="4">
        <v>13.423299999999999</v>
      </c>
      <c r="E2591" s="4">
        <v>12.924099999999999</v>
      </c>
      <c r="F2591" s="4">
        <f t="shared" si="160"/>
        <v>13.294866666666666</v>
      </c>
      <c r="I2591" s="4" t="s">
        <v>1268</v>
      </c>
      <c r="J2591" s="4">
        <v>13.179</v>
      </c>
      <c r="K2591" s="4">
        <v>12.9246</v>
      </c>
      <c r="L2591" s="4">
        <v>13.755100000000001</v>
      </c>
      <c r="M2591" s="4">
        <f t="shared" si="161"/>
        <v>13.286233333333334</v>
      </c>
      <c r="P2591" s="4" t="str">
        <f>"tag-340"</f>
        <v>tag-340</v>
      </c>
      <c r="Q2591" s="4">
        <v>12.7833108831201</v>
      </c>
      <c r="R2591" s="4">
        <v>13.0630015393874</v>
      </c>
      <c r="S2591" s="4">
        <v>12.9660707610077</v>
      </c>
      <c r="T2591" s="4">
        <f t="shared" si="162"/>
        <v>12.937461061171733</v>
      </c>
      <c r="W2591" s="4" t="str">
        <f>"gpcp-2"</f>
        <v>gpcp-2</v>
      </c>
      <c r="X2591" s="4">
        <v>13.0649667196192</v>
      </c>
      <c r="Y2591" s="4">
        <v>13.255587383313999</v>
      </c>
      <c r="Z2591" s="4">
        <v>12.5186375692662</v>
      </c>
      <c r="AA2591" s="4">
        <f t="shared" si="163"/>
        <v>12.946397224066468</v>
      </c>
    </row>
    <row r="2592" spans="2:27" x14ac:dyDescent="0.2">
      <c r="B2592" s="4" t="s">
        <v>2553</v>
      </c>
      <c r="C2592" s="4">
        <v>13.410500000000001</v>
      </c>
      <c r="D2592" s="4">
        <v>13.2117</v>
      </c>
      <c r="E2592" s="4">
        <v>13.2583</v>
      </c>
      <c r="F2592" s="4">
        <f t="shared" si="160"/>
        <v>13.2935</v>
      </c>
      <c r="I2592" s="4" t="s">
        <v>249</v>
      </c>
      <c r="J2592" s="4">
        <v>12.8931</v>
      </c>
      <c r="K2592" s="4">
        <v>13.231199999999999</v>
      </c>
      <c r="L2592" s="4">
        <v>13.7316</v>
      </c>
      <c r="M2592" s="4">
        <f t="shared" si="161"/>
        <v>13.285299999999999</v>
      </c>
      <c r="P2592" s="4" t="str">
        <f>"dnj-8"</f>
        <v>dnj-8</v>
      </c>
      <c r="Q2592" s="4">
        <v>12.8482250229718</v>
      </c>
      <c r="R2592" s="4">
        <v>13.0041461964903</v>
      </c>
      <c r="S2592" s="4">
        <v>12.9592019000479</v>
      </c>
      <c r="T2592" s="4">
        <f t="shared" si="162"/>
        <v>12.937191039836668</v>
      </c>
      <c r="W2592" s="4" t="str">
        <f>"dnj-8"</f>
        <v>dnj-8</v>
      </c>
      <c r="X2592" s="4">
        <v>12.7984251395774</v>
      </c>
      <c r="Y2592" s="4">
        <v>13.0094959932433</v>
      </c>
      <c r="Z2592" s="4">
        <v>13.0283615211262</v>
      </c>
      <c r="AA2592" s="4">
        <f t="shared" si="163"/>
        <v>12.945427551315634</v>
      </c>
    </row>
    <row r="2593" spans="2:27" x14ac:dyDescent="0.2">
      <c r="B2593" s="4" t="s">
        <v>3433</v>
      </c>
      <c r="C2593" s="4">
        <v>13.0176</v>
      </c>
      <c r="D2593" s="4">
        <v>13.0381</v>
      </c>
      <c r="E2593" s="4">
        <v>13.816599999999999</v>
      </c>
      <c r="F2593" s="4">
        <f t="shared" si="160"/>
        <v>13.290766666666668</v>
      </c>
      <c r="I2593" s="4" t="s">
        <v>1236</v>
      </c>
      <c r="J2593" s="4">
        <v>13.2149</v>
      </c>
      <c r="K2593" s="4">
        <v>13.0975</v>
      </c>
      <c r="L2593" s="4">
        <v>13.540699999999999</v>
      </c>
      <c r="M2593" s="4">
        <f t="shared" si="161"/>
        <v>13.284366666666665</v>
      </c>
      <c r="P2593" s="4" t="str">
        <f>"riok-2"</f>
        <v>riok-2</v>
      </c>
      <c r="Q2593" s="4">
        <v>12.654670919408799</v>
      </c>
      <c r="R2593" s="4">
        <v>13.117532027218999</v>
      </c>
      <c r="S2593" s="4">
        <v>13.0294273084391</v>
      </c>
      <c r="T2593" s="4">
        <f t="shared" si="162"/>
        <v>12.933876751688965</v>
      </c>
      <c r="W2593" s="4" t="str">
        <f>"ver-3"</f>
        <v>ver-3</v>
      </c>
      <c r="X2593" s="4">
        <v>12.8941851813629</v>
      </c>
      <c r="Y2593" s="4">
        <v>12.842433011698599</v>
      </c>
      <c r="Z2593" s="4">
        <v>13.0923823476565</v>
      </c>
      <c r="AA2593" s="4">
        <f t="shared" si="163"/>
        <v>12.943000180239332</v>
      </c>
    </row>
    <row r="2594" spans="2:27" x14ac:dyDescent="0.2">
      <c r="B2594" s="4" t="s">
        <v>4539</v>
      </c>
      <c r="C2594" s="4">
        <v>13.036099999999999</v>
      </c>
      <c r="D2594" s="4">
        <v>13.650600000000001</v>
      </c>
      <c r="E2594" s="4">
        <v>13.1684</v>
      </c>
      <c r="F2594" s="4">
        <f t="shared" si="160"/>
        <v>13.285033333333333</v>
      </c>
      <c r="I2594" s="4" t="s">
        <v>4818</v>
      </c>
      <c r="J2594" s="4">
        <v>13.4863</v>
      </c>
      <c r="K2594" s="4">
        <v>12.812200000000001</v>
      </c>
      <c r="L2594" s="4">
        <v>13.552099999999999</v>
      </c>
      <c r="M2594" s="4">
        <f t="shared" si="161"/>
        <v>13.283533333333333</v>
      </c>
      <c r="P2594" s="4" t="str">
        <f>"samp-1"</f>
        <v>samp-1</v>
      </c>
      <c r="Q2594" s="4">
        <v>13.126894260136501</v>
      </c>
      <c r="R2594" s="4">
        <v>12.850205697707</v>
      </c>
      <c r="S2594" s="4">
        <v>12.8194998356275</v>
      </c>
      <c r="T2594" s="4">
        <f t="shared" si="162"/>
        <v>12.932199931157001</v>
      </c>
      <c r="W2594" s="4" t="str">
        <f>"hda-4"</f>
        <v>hda-4</v>
      </c>
      <c r="X2594" s="4">
        <v>12.494907135288701</v>
      </c>
      <c r="Y2594" s="4">
        <v>13.00071836565</v>
      </c>
      <c r="Z2594" s="4">
        <v>13.333010525994</v>
      </c>
      <c r="AA2594" s="4">
        <f t="shared" si="163"/>
        <v>12.942878675644232</v>
      </c>
    </row>
    <row r="2595" spans="2:27" x14ac:dyDescent="0.2">
      <c r="B2595" s="4" t="s">
        <v>4819</v>
      </c>
      <c r="C2595" s="4">
        <v>13.0052</v>
      </c>
      <c r="D2595" s="4">
        <v>12.8238</v>
      </c>
      <c r="E2595" s="4">
        <v>14.021100000000001</v>
      </c>
      <c r="F2595" s="4">
        <f t="shared" si="160"/>
        <v>13.283366666666666</v>
      </c>
      <c r="I2595" s="4" t="s">
        <v>4804</v>
      </c>
      <c r="J2595" s="4">
        <v>13.599</v>
      </c>
      <c r="K2595" s="4">
        <v>12.736700000000001</v>
      </c>
      <c r="L2595" s="4">
        <v>13.507</v>
      </c>
      <c r="M2595" s="4">
        <f t="shared" si="161"/>
        <v>13.280900000000001</v>
      </c>
      <c r="P2595" s="4" t="str">
        <f>"ZK1010.2"</f>
        <v>ZK1010.2</v>
      </c>
      <c r="Q2595" s="4">
        <v>12.69009857759</v>
      </c>
      <c r="R2595" s="4">
        <v>13.030731252929399</v>
      </c>
      <c r="S2595" s="4">
        <v>13.072649256473801</v>
      </c>
      <c r="T2595" s="4">
        <f t="shared" si="162"/>
        <v>12.9311596956644</v>
      </c>
      <c r="W2595" s="4" t="str">
        <f>"F17C11.12"</f>
        <v>F17C11.12</v>
      </c>
      <c r="X2595" s="4">
        <v>13.2387277714448</v>
      </c>
      <c r="Y2595" s="4">
        <v>12.9450978855226</v>
      </c>
      <c r="Z2595" s="4">
        <v>12.643885624307501</v>
      </c>
      <c r="AA2595" s="4">
        <f t="shared" si="163"/>
        <v>12.942570427091633</v>
      </c>
    </row>
    <row r="2596" spans="2:27" x14ac:dyDescent="0.2">
      <c r="B2596" s="4" t="s">
        <v>1781</v>
      </c>
      <c r="C2596" s="4">
        <v>13.0601</v>
      </c>
      <c r="D2596" s="4">
        <v>13.696999999999999</v>
      </c>
      <c r="E2596" s="4">
        <v>13.089600000000001</v>
      </c>
      <c r="F2596" s="4">
        <f t="shared" si="160"/>
        <v>13.282233333333332</v>
      </c>
      <c r="I2596" s="4" t="s">
        <v>1329</v>
      </c>
      <c r="J2596" s="4">
        <v>13.3431</v>
      </c>
      <c r="K2596" s="4">
        <v>13.1694</v>
      </c>
      <c r="L2596" s="4">
        <v>13.329599999999999</v>
      </c>
      <c r="M2596" s="4">
        <f t="shared" si="161"/>
        <v>13.280700000000001</v>
      </c>
      <c r="P2596" s="4" t="str">
        <f>"hum-6"</f>
        <v>hum-6</v>
      </c>
      <c r="Q2596" s="4">
        <v>12.797442659694999</v>
      </c>
      <c r="R2596" s="4">
        <v>13.117742156919901</v>
      </c>
      <c r="S2596" s="4">
        <v>12.8734545959335</v>
      </c>
      <c r="T2596" s="4">
        <f t="shared" si="162"/>
        <v>12.929546470849466</v>
      </c>
      <c r="W2596" s="4" t="str">
        <f>"Y87G2A.13"</f>
        <v>Y87G2A.13</v>
      </c>
      <c r="X2596" s="4">
        <v>12.8868653496822</v>
      </c>
      <c r="Y2596" s="4">
        <v>12.758696226050301</v>
      </c>
      <c r="Z2596" s="4">
        <v>13.179290322242201</v>
      </c>
      <c r="AA2596" s="4">
        <f t="shared" si="163"/>
        <v>12.941617299324902</v>
      </c>
    </row>
    <row r="2597" spans="2:27" x14ac:dyDescent="0.2">
      <c r="B2597" s="4" t="s">
        <v>286</v>
      </c>
      <c r="C2597" s="4">
        <v>13.0375</v>
      </c>
      <c r="D2597" s="4">
        <v>13.361700000000001</v>
      </c>
      <c r="E2597" s="4">
        <v>13.440799999999999</v>
      </c>
      <c r="F2597" s="4">
        <f t="shared" si="160"/>
        <v>13.280000000000001</v>
      </c>
      <c r="I2597" s="4" t="s">
        <v>1774</v>
      </c>
      <c r="J2597" s="4">
        <v>13.2667</v>
      </c>
      <c r="K2597" s="4">
        <v>13.7819</v>
      </c>
      <c r="L2597" s="4">
        <v>12.788</v>
      </c>
      <c r="M2597" s="4">
        <f t="shared" si="161"/>
        <v>13.278866666666667</v>
      </c>
      <c r="P2597" s="4" t="str">
        <f>"wht-2"</f>
        <v>wht-2</v>
      </c>
      <c r="Q2597" s="4">
        <v>12.6290615342899</v>
      </c>
      <c r="R2597" s="4">
        <v>13.0074066305157</v>
      </c>
      <c r="S2597" s="4">
        <v>13.1445534171517</v>
      </c>
      <c r="T2597" s="4">
        <f t="shared" si="162"/>
        <v>12.927007193985766</v>
      </c>
      <c r="W2597" s="4" t="str">
        <f>"dpyd-1"</f>
        <v>dpyd-1</v>
      </c>
      <c r="X2597" s="4">
        <v>13.266535987235899</v>
      </c>
      <c r="Y2597" s="4">
        <v>12.5195414157962</v>
      </c>
      <c r="Z2597" s="4">
        <v>13.0387106404992</v>
      </c>
      <c r="AA2597" s="4">
        <f t="shared" si="163"/>
        <v>12.941596014510433</v>
      </c>
    </row>
    <row r="2598" spans="2:27" x14ac:dyDescent="0.2">
      <c r="B2598" s="24" t="s">
        <v>403</v>
      </c>
      <c r="C2598" s="24">
        <v>13.2103</v>
      </c>
      <c r="D2598" s="24">
        <v>13.3515</v>
      </c>
      <c r="E2598" s="24">
        <v>13.2782</v>
      </c>
      <c r="F2598" s="4">
        <f t="shared" si="160"/>
        <v>13.28</v>
      </c>
      <c r="I2598" s="4" t="s">
        <v>3955</v>
      </c>
      <c r="J2598" s="4">
        <v>13.6303</v>
      </c>
      <c r="K2598" s="4">
        <v>13.4528</v>
      </c>
      <c r="L2598" s="4">
        <v>12.7464</v>
      </c>
      <c r="M2598" s="4">
        <f t="shared" si="161"/>
        <v>13.2765</v>
      </c>
      <c r="P2598" s="4" t="str">
        <f>"rpoa-49"</f>
        <v>rpoa-49</v>
      </c>
      <c r="Q2598" s="4">
        <v>12.834827812919899</v>
      </c>
      <c r="R2598" s="4">
        <v>12.887050213201899</v>
      </c>
      <c r="S2598" s="4">
        <v>13.05484012456</v>
      </c>
      <c r="T2598" s="4">
        <f t="shared" si="162"/>
        <v>12.925572716893933</v>
      </c>
      <c r="W2598" s="4" t="str">
        <f>"ints-3"</f>
        <v>ints-3</v>
      </c>
      <c r="X2598" s="4">
        <v>12.985997256180401</v>
      </c>
      <c r="Y2598" s="4">
        <v>12.9395483798206</v>
      </c>
      <c r="Z2598" s="4">
        <v>12.8975518346732</v>
      </c>
      <c r="AA2598" s="4">
        <f t="shared" si="163"/>
        <v>12.941032490224734</v>
      </c>
    </row>
    <row r="2599" spans="2:27" x14ac:dyDescent="0.2">
      <c r="B2599" s="4" t="s">
        <v>3414</v>
      </c>
      <c r="C2599" s="4">
        <v>13.4771</v>
      </c>
      <c r="D2599" s="4">
        <v>13.2515</v>
      </c>
      <c r="E2599" s="4">
        <v>13.109299999999999</v>
      </c>
      <c r="F2599" s="4">
        <f t="shared" si="160"/>
        <v>13.279299999999999</v>
      </c>
      <c r="I2599" s="4" t="s">
        <v>4803</v>
      </c>
      <c r="J2599" s="4">
        <v>13.4665</v>
      </c>
      <c r="K2599" s="4">
        <v>13.0959</v>
      </c>
      <c r="L2599" s="4">
        <v>13.264799999999999</v>
      </c>
      <c r="M2599" s="4">
        <f t="shared" si="161"/>
        <v>13.275733333333333</v>
      </c>
      <c r="P2599" s="4" t="str">
        <f>"C50D2.5"</f>
        <v>C50D2.5</v>
      </c>
      <c r="Q2599" s="4">
        <v>13.058607271453999</v>
      </c>
      <c r="R2599" s="4">
        <v>12.924593767389901</v>
      </c>
      <c r="S2599" s="4">
        <v>12.7895624962421</v>
      </c>
      <c r="T2599" s="4">
        <f t="shared" si="162"/>
        <v>12.924254511695333</v>
      </c>
      <c r="W2599" s="4" t="str">
        <f>"riok-2"</f>
        <v>riok-2</v>
      </c>
      <c r="X2599" s="4">
        <v>13.3568605020211</v>
      </c>
      <c r="Y2599" s="4">
        <v>12.721880322269801</v>
      </c>
      <c r="Z2599" s="4">
        <v>12.741209592134799</v>
      </c>
      <c r="AA2599" s="4">
        <f t="shared" si="163"/>
        <v>12.939983472141899</v>
      </c>
    </row>
    <row r="2600" spans="2:27" x14ac:dyDescent="0.2">
      <c r="B2600" s="4" t="s">
        <v>3064</v>
      </c>
      <c r="C2600" s="4">
        <v>13.6601</v>
      </c>
      <c r="D2600" s="4">
        <v>12.6601</v>
      </c>
      <c r="E2600" s="4">
        <v>13.5162</v>
      </c>
      <c r="F2600" s="4">
        <f t="shared" si="160"/>
        <v>13.278799999999999</v>
      </c>
      <c r="I2600" s="4" t="s">
        <v>1000</v>
      </c>
      <c r="J2600" s="4">
        <v>13.4711</v>
      </c>
      <c r="K2600" s="4">
        <v>13.080399999999999</v>
      </c>
      <c r="L2600" s="4">
        <v>13.273300000000001</v>
      </c>
      <c r="M2600" s="4">
        <f t="shared" si="161"/>
        <v>13.274933333333331</v>
      </c>
      <c r="P2600" s="4" t="str">
        <f>"ttr-2"</f>
        <v>ttr-2</v>
      </c>
      <c r="Q2600" s="4">
        <v>12.844034081530999</v>
      </c>
      <c r="R2600" s="4">
        <v>12.9047369427251</v>
      </c>
      <c r="S2600" s="4">
        <v>13.0222999403631</v>
      </c>
      <c r="T2600" s="4">
        <f t="shared" si="162"/>
        <v>12.923690321539732</v>
      </c>
      <c r="W2600" s="4" t="str">
        <f>"gpa-12"</f>
        <v>gpa-12</v>
      </c>
      <c r="X2600" s="4">
        <v>13.0018299575983</v>
      </c>
      <c r="Y2600" s="4">
        <v>12.8820028133602</v>
      </c>
      <c r="Z2600" s="4">
        <v>12.935275809153801</v>
      </c>
      <c r="AA2600" s="4">
        <f t="shared" si="163"/>
        <v>12.939702860037434</v>
      </c>
    </row>
    <row r="2601" spans="2:27" x14ac:dyDescent="0.2">
      <c r="B2601" s="4" t="s">
        <v>335</v>
      </c>
      <c r="C2601" s="4">
        <v>13.1389</v>
      </c>
      <c r="D2601" s="4">
        <v>13.4155</v>
      </c>
      <c r="E2601" s="4">
        <v>13.2791</v>
      </c>
      <c r="F2601" s="4">
        <f t="shared" si="160"/>
        <v>13.277833333333334</v>
      </c>
      <c r="I2601" s="4" t="s">
        <v>4705</v>
      </c>
      <c r="J2601" s="4">
        <v>13.157500000000001</v>
      </c>
      <c r="K2601" s="4">
        <v>13.7247</v>
      </c>
      <c r="L2601" s="4">
        <v>12.940099999999999</v>
      </c>
      <c r="M2601" s="4">
        <f t="shared" si="161"/>
        <v>13.274099999999999</v>
      </c>
      <c r="P2601" s="4" t="str">
        <f>"ooc-5"</f>
        <v>ooc-5</v>
      </c>
      <c r="Q2601" s="4">
        <v>12.712625489998</v>
      </c>
      <c r="R2601" s="4">
        <v>13.2071097518484</v>
      </c>
      <c r="S2601" s="4">
        <v>12.849682750638401</v>
      </c>
      <c r="T2601" s="4">
        <f t="shared" si="162"/>
        <v>12.923139330828269</v>
      </c>
      <c r="W2601" s="4" t="str">
        <f>"inx-9"</f>
        <v>inx-9</v>
      </c>
      <c r="X2601" s="4">
        <v>13.234068197850499</v>
      </c>
      <c r="Y2601" s="4">
        <v>13.0773406811018</v>
      </c>
      <c r="Z2601" s="4">
        <v>12.4960367175663</v>
      </c>
      <c r="AA2601" s="4">
        <f t="shared" si="163"/>
        <v>12.935815198839533</v>
      </c>
    </row>
    <row r="2602" spans="2:27" x14ac:dyDescent="0.2">
      <c r="B2602" s="4" t="s">
        <v>1006</v>
      </c>
      <c r="C2602" s="4">
        <v>13.302300000000001</v>
      </c>
      <c r="D2602" s="4">
        <v>12.9864</v>
      </c>
      <c r="E2602" s="4">
        <v>13.5448</v>
      </c>
      <c r="F2602" s="4">
        <f t="shared" si="160"/>
        <v>13.277833333333334</v>
      </c>
      <c r="I2602" s="4" t="s">
        <v>1967</v>
      </c>
      <c r="J2602" s="4">
        <v>12.921200000000001</v>
      </c>
      <c r="K2602" s="4">
        <v>13.431100000000001</v>
      </c>
      <c r="L2602" s="4">
        <v>13.4581</v>
      </c>
      <c r="M2602" s="4">
        <f t="shared" si="161"/>
        <v>13.270133333333334</v>
      </c>
      <c r="P2602" s="4" t="str">
        <f>"F53F1.2"</f>
        <v>F53F1.2</v>
      </c>
      <c r="Q2602" s="4">
        <v>12.6664312165456</v>
      </c>
      <c r="R2602" s="4">
        <v>12.9827586920225</v>
      </c>
      <c r="S2602" s="4">
        <v>13.119916234977</v>
      </c>
      <c r="T2602" s="4">
        <f t="shared" si="162"/>
        <v>12.9230353811817</v>
      </c>
      <c r="W2602" s="4" t="str">
        <f>"nhx-2"</f>
        <v>nhx-2</v>
      </c>
      <c r="X2602" s="4">
        <v>12.9864701392321</v>
      </c>
      <c r="Y2602" s="4">
        <v>13.026046501477399</v>
      </c>
      <c r="Z2602" s="4">
        <v>12.7928262132219</v>
      </c>
      <c r="AA2602" s="4">
        <f t="shared" si="163"/>
        <v>12.935114284643801</v>
      </c>
    </row>
    <row r="2603" spans="2:27" x14ac:dyDescent="0.2">
      <c r="B2603" s="4" t="s">
        <v>4783</v>
      </c>
      <c r="C2603" s="4">
        <v>13.114100000000001</v>
      </c>
      <c r="D2603" s="4">
        <v>13.656700000000001</v>
      </c>
      <c r="E2603" s="4">
        <v>13.061299999999999</v>
      </c>
      <c r="F2603" s="4">
        <f t="shared" si="160"/>
        <v>13.277366666666666</v>
      </c>
      <c r="I2603" s="4" t="s">
        <v>2452</v>
      </c>
      <c r="J2603" s="4">
        <v>13.031499999999999</v>
      </c>
      <c r="K2603" s="4">
        <v>13.118399999999999</v>
      </c>
      <c r="L2603" s="4">
        <v>13.6568</v>
      </c>
      <c r="M2603" s="4">
        <f t="shared" si="161"/>
        <v>13.2689</v>
      </c>
      <c r="P2603" s="4" t="str">
        <f>"mut-16"</f>
        <v>mut-16</v>
      </c>
      <c r="Q2603" s="4">
        <v>12.916879530451601</v>
      </c>
      <c r="R2603" s="4">
        <v>12.992774499072199</v>
      </c>
      <c r="S2603" s="4">
        <v>12.8559169006438</v>
      </c>
      <c r="T2603" s="4">
        <f t="shared" si="162"/>
        <v>12.921856976722532</v>
      </c>
      <c r="W2603" s="4" t="str">
        <f>"F22G12.4"</f>
        <v>F22G12.4</v>
      </c>
      <c r="X2603" s="4">
        <v>13.174894701343799</v>
      </c>
      <c r="Y2603" s="4">
        <v>12.623014893151201</v>
      </c>
      <c r="Z2603" s="4">
        <v>13.0060689652812</v>
      </c>
      <c r="AA2603" s="4">
        <f t="shared" si="163"/>
        <v>12.934659519925399</v>
      </c>
    </row>
    <row r="2604" spans="2:27" x14ac:dyDescent="0.2">
      <c r="B2604" s="44">
        <v>45536</v>
      </c>
      <c r="C2604" s="4">
        <v>13.3028</v>
      </c>
      <c r="D2604" s="4">
        <v>13.185499999999999</v>
      </c>
      <c r="E2604" s="4">
        <v>13.334199999999999</v>
      </c>
      <c r="F2604" s="4">
        <f t="shared" si="160"/>
        <v>13.274166666666666</v>
      </c>
      <c r="I2604" s="4" t="s">
        <v>2087</v>
      </c>
      <c r="J2604" s="4">
        <v>13.6401</v>
      </c>
      <c r="K2604" s="4">
        <v>13.333600000000001</v>
      </c>
      <c r="L2604" s="4">
        <v>12.829800000000001</v>
      </c>
      <c r="M2604" s="4">
        <f t="shared" si="161"/>
        <v>13.267833333333334</v>
      </c>
      <c r="P2604" s="4" t="str">
        <f>"str-176"</f>
        <v>str-176</v>
      </c>
      <c r="Q2604" s="4">
        <v>12.7209764353297</v>
      </c>
      <c r="R2604" s="4">
        <v>12.9600294172942</v>
      </c>
      <c r="S2604" s="4">
        <v>13.081672961027699</v>
      </c>
      <c r="T2604" s="4">
        <f t="shared" si="162"/>
        <v>12.920892937883865</v>
      </c>
      <c r="W2604" s="4" t="str">
        <f>"capg-2"</f>
        <v>capg-2</v>
      </c>
      <c r="X2604" s="4">
        <v>12.9239043803139</v>
      </c>
      <c r="Y2604" s="4">
        <v>12.934080236089301</v>
      </c>
      <c r="Z2604" s="4">
        <v>12.9457466030776</v>
      </c>
      <c r="AA2604" s="4">
        <f t="shared" si="163"/>
        <v>12.934577073160268</v>
      </c>
    </row>
    <row r="2605" spans="2:27" x14ac:dyDescent="0.2">
      <c r="B2605" s="4" t="s">
        <v>193</v>
      </c>
      <c r="C2605" s="4">
        <v>13.0809</v>
      </c>
      <c r="D2605" s="4">
        <v>13.452500000000001</v>
      </c>
      <c r="E2605" s="4">
        <v>13.286899999999999</v>
      </c>
      <c r="F2605" s="4">
        <f t="shared" si="160"/>
        <v>13.273433333333335</v>
      </c>
      <c r="I2605" s="4" t="s">
        <v>4280</v>
      </c>
      <c r="J2605" s="4">
        <v>13.120699999999999</v>
      </c>
      <c r="K2605" s="4">
        <v>13.6006</v>
      </c>
      <c r="L2605" s="4">
        <v>13.081799999999999</v>
      </c>
      <c r="M2605" s="4">
        <f t="shared" si="161"/>
        <v>13.2677</v>
      </c>
      <c r="P2605" s="4" t="str">
        <f>"F08G12.1"</f>
        <v>F08G12.1</v>
      </c>
      <c r="Q2605" s="4">
        <v>13.2992678961891</v>
      </c>
      <c r="R2605" s="4">
        <v>12.4936428051181</v>
      </c>
      <c r="S2605" s="4">
        <v>12.969496947034999</v>
      </c>
      <c r="T2605" s="4">
        <f t="shared" si="162"/>
        <v>12.9208025494474</v>
      </c>
      <c r="W2605" s="4" t="str">
        <f>"amdh-1"</f>
        <v>amdh-1</v>
      </c>
      <c r="X2605" s="4">
        <v>12.858006676833799</v>
      </c>
      <c r="Y2605" s="4">
        <v>12.7990691167855</v>
      </c>
      <c r="Z2605" s="4">
        <v>13.1402877314799</v>
      </c>
      <c r="AA2605" s="4">
        <f t="shared" si="163"/>
        <v>12.9324545083664</v>
      </c>
    </row>
    <row r="2606" spans="2:27" x14ac:dyDescent="0.2">
      <c r="B2606" s="4" t="s">
        <v>4807</v>
      </c>
      <c r="C2606" s="4">
        <v>13.209</v>
      </c>
      <c r="D2606" s="4">
        <v>13.282999999999999</v>
      </c>
      <c r="E2606" s="4">
        <v>13.3186</v>
      </c>
      <c r="F2606" s="4">
        <f t="shared" si="160"/>
        <v>13.270199999999997</v>
      </c>
      <c r="I2606" s="4" t="s">
        <v>2059</v>
      </c>
      <c r="J2606" s="4">
        <v>13.4208</v>
      </c>
      <c r="K2606" s="4">
        <v>13.321899999999999</v>
      </c>
      <c r="L2606" s="4">
        <v>13.0602</v>
      </c>
      <c r="M2606" s="4">
        <f t="shared" si="161"/>
        <v>13.267633333333334</v>
      </c>
      <c r="P2606" s="4" t="str">
        <f>"cdf-2"</f>
        <v>cdf-2</v>
      </c>
      <c r="Q2606" s="4">
        <v>12.851412787132499</v>
      </c>
      <c r="R2606" s="4">
        <v>13.196478983836901</v>
      </c>
      <c r="S2606" s="4">
        <v>12.711365304988201</v>
      </c>
      <c r="T2606" s="4">
        <f t="shared" si="162"/>
        <v>12.919752358652532</v>
      </c>
      <c r="W2606" s="4" t="str">
        <f>"hil-4"</f>
        <v>hil-4</v>
      </c>
      <c r="X2606" s="4">
        <v>12.9848769902386</v>
      </c>
      <c r="Y2606" s="4">
        <v>12.978869231562699</v>
      </c>
      <c r="Z2606" s="4">
        <v>12.832797117753101</v>
      </c>
      <c r="AA2606" s="4">
        <f t="shared" si="163"/>
        <v>12.932181113184802</v>
      </c>
    </row>
    <row r="2607" spans="2:27" x14ac:dyDescent="0.2">
      <c r="B2607" s="4" t="s">
        <v>2699</v>
      </c>
      <c r="C2607" s="4">
        <v>13.363099999999999</v>
      </c>
      <c r="D2607" s="4">
        <v>13.085000000000001</v>
      </c>
      <c r="E2607" s="4">
        <v>13.356</v>
      </c>
      <c r="F2607" s="4">
        <f t="shared" si="160"/>
        <v>13.268033333333333</v>
      </c>
      <c r="I2607" s="4" t="s">
        <v>4770</v>
      </c>
      <c r="J2607" s="4">
        <v>12.8626</v>
      </c>
      <c r="K2607" s="4">
        <v>13.527900000000001</v>
      </c>
      <c r="L2607" s="4">
        <v>13.4117</v>
      </c>
      <c r="M2607" s="4">
        <f t="shared" si="161"/>
        <v>13.2674</v>
      </c>
      <c r="P2607" s="4" t="str">
        <f>"obr-1"</f>
        <v>obr-1</v>
      </c>
      <c r="Q2607" s="4">
        <v>12.869294458429501</v>
      </c>
      <c r="R2607" s="4">
        <v>12.9746368748112</v>
      </c>
      <c r="S2607" s="4">
        <v>12.9134012222076</v>
      </c>
      <c r="T2607" s="4">
        <f t="shared" si="162"/>
        <v>12.9191108518161</v>
      </c>
      <c r="W2607" s="4" t="str">
        <f>"asps-1"</f>
        <v>asps-1</v>
      </c>
      <c r="X2607" s="4">
        <v>12.9284364090365</v>
      </c>
      <c r="Y2607" s="4">
        <v>13.050553374678801</v>
      </c>
      <c r="Z2607" s="4">
        <v>12.810874514139201</v>
      </c>
      <c r="AA2607" s="4">
        <f t="shared" si="163"/>
        <v>12.9299547659515</v>
      </c>
    </row>
    <row r="2608" spans="2:27" x14ac:dyDescent="0.2">
      <c r="B2608" s="4" t="s">
        <v>4493</v>
      </c>
      <c r="C2608" s="4">
        <v>13.4178</v>
      </c>
      <c r="D2608" s="4">
        <v>13.238799999999999</v>
      </c>
      <c r="E2608" s="4">
        <v>13.146699999999999</v>
      </c>
      <c r="F2608" s="4">
        <f t="shared" si="160"/>
        <v>13.267766666666665</v>
      </c>
      <c r="I2608" s="4" t="s">
        <v>2136</v>
      </c>
      <c r="J2608" s="4">
        <v>13.3919</v>
      </c>
      <c r="K2608" s="4">
        <v>13.141299999999999</v>
      </c>
      <c r="L2608" s="4">
        <v>13.256500000000001</v>
      </c>
      <c r="M2608" s="4">
        <f t="shared" si="161"/>
        <v>13.263233333333334</v>
      </c>
      <c r="P2608" s="4" t="str">
        <f>"unc-115"</f>
        <v>unc-115</v>
      </c>
      <c r="Q2608" s="4">
        <v>12.4623550933064</v>
      </c>
      <c r="R2608" s="4">
        <v>13.0973241473594</v>
      </c>
      <c r="S2608" s="4">
        <v>13.1961144188336</v>
      </c>
      <c r="T2608" s="4">
        <f t="shared" si="162"/>
        <v>12.918597886499802</v>
      </c>
      <c r="W2608" s="4" t="str">
        <f>"F42A8.1"</f>
        <v>F42A8.1</v>
      </c>
      <c r="X2608" s="4">
        <v>13.4091136489082</v>
      </c>
      <c r="Y2608" s="4">
        <v>12.601197122981601</v>
      </c>
      <c r="Z2608" s="4">
        <v>12.7755546677953</v>
      </c>
      <c r="AA2608" s="4">
        <f t="shared" si="163"/>
        <v>12.928621813228366</v>
      </c>
    </row>
    <row r="2609" spans="2:27" x14ac:dyDescent="0.2">
      <c r="B2609" s="4" t="s">
        <v>4820</v>
      </c>
      <c r="C2609" s="4">
        <v>13.5776</v>
      </c>
      <c r="D2609" s="4">
        <v>13.2942</v>
      </c>
      <c r="E2609" s="4">
        <v>12.93</v>
      </c>
      <c r="F2609" s="4">
        <f t="shared" si="160"/>
        <v>13.267266666666666</v>
      </c>
      <c r="I2609" s="4" t="s">
        <v>3397</v>
      </c>
      <c r="J2609" s="4">
        <v>13.288</v>
      </c>
      <c r="K2609" s="4">
        <v>13.3361</v>
      </c>
      <c r="L2609" s="4">
        <v>13.16</v>
      </c>
      <c r="M2609" s="4">
        <f t="shared" si="161"/>
        <v>13.261366666666666</v>
      </c>
      <c r="P2609" s="4" t="str">
        <f>"pmp-3"</f>
        <v>pmp-3</v>
      </c>
      <c r="Q2609" s="4">
        <v>12.6941246903944</v>
      </c>
      <c r="R2609" s="4">
        <v>13.1282541869352</v>
      </c>
      <c r="S2609" s="4">
        <v>12.932253110007499</v>
      </c>
      <c r="T2609" s="4">
        <f t="shared" si="162"/>
        <v>12.9182106624457</v>
      </c>
      <c r="W2609" s="4" t="str">
        <f>"rad-26"</f>
        <v>rad-26</v>
      </c>
      <c r="X2609" s="4">
        <v>12.746422445422599</v>
      </c>
      <c r="Y2609" s="4">
        <v>13.093288101071501</v>
      </c>
      <c r="Z2609" s="4">
        <v>12.9456455360001</v>
      </c>
      <c r="AA2609" s="4">
        <f t="shared" si="163"/>
        <v>12.928452027498068</v>
      </c>
    </row>
    <row r="2610" spans="2:27" x14ac:dyDescent="0.2">
      <c r="B2610" s="4" t="s">
        <v>4360</v>
      </c>
      <c r="C2610" s="4">
        <v>13.341699999999999</v>
      </c>
      <c r="D2610" s="4">
        <v>12.930199999999999</v>
      </c>
      <c r="E2610" s="4">
        <v>13.5161</v>
      </c>
      <c r="F2610" s="4">
        <f t="shared" si="160"/>
        <v>13.262666666666666</v>
      </c>
      <c r="I2610" s="4" t="s">
        <v>1222</v>
      </c>
      <c r="J2610" s="4">
        <v>13.4887</v>
      </c>
      <c r="K2610" s="4">
        <v>13.1943</v>
      </c>
      <c r="L2610" s="4">
        <v>13.100199999999999</v>
      </c>
      <c r="M2610" s="4">
        <f t="shared" si="161"/>
        <v>13.261066666666666</v>
      </c>
      <c r="P2610" s="4" t="str">
        <f>"oct-2"</f>
        <v>oct-2</v>
      </c>
      <c r="Q2610" s="4">
        <v>12.494713740618</v>
      </c>
      <c r="R2610" s="4">
        <v>13.0197360294842</v>
      </c>
      <c r="S2610" s="4">
        <v>13.2333143069344</v>
      </c>
      <c r="T2610" s="4">
        <f t="shared" si="162"/>
        <v>12.9159213590122</v>
      </c>
      <c r="W2610" s="4" t="str">
        <f>"mag-1"</f>
        <v>mag-1</v>
      </c>
      <c r="X2610" s="4">
        <v>12.635209511341801</v>
      </c>
      <c r="Y2610" s="4">
        <v>12.971470742771</v>
      </c>
      <c r="Z2610" s="4">
        <v>13.1765117584119</v>
      </c>
      <c r="AA2610" s="4">
        <f t="shared" si="163"/>
        <v>12.927730670841568</v>
      </c>
    </row>
    <row r="2611" spans="2:27" x14ac:dyDescent="0.2">
      <c r="B2611" s="4" t="s">
        <v>3148</v>
      </c>
      <c r="C2611" s="4">
        <v>13.2768</v>
      </c>
      <c r="D2611" s="4">
        <v>13.126300000000001</v>
      </c>
      <c r="E2611" s="4">
        <v>13.3843</v>
      </c>
      <c r="F2611" s="4">
        <f t="shared" si="160"/>
        <v>13.262466666666668</v>
      </c>
      <c r="I2611" s="4" t="s">
        <v>3778</v>
      </c>
      <c r="J2611" s="4">
        <v>13.2165</v>
      </c>
      <c r="K2611" s="4">
        <v>13.272</v>
      </c>
      <c r="L2611" s="4">
        <v>13.2921</v>
      </c>
      <c r="M2611" s="4">
        <f t="shared" si="161"/>
        <v>13.260199999999999</v>
      </c>
      <c r="P2611" s="4" t="str">
        <f>"hrp-1"</f>
        <v>hrp-1</v>
      </c>
      <c r="Q2611" s="4">
        <v>12.860362227539101</v>
      </c>
      <c r="R2611" s="4">
        <v>12.9470480287575</v>
      </c>
      <c r="S2611" s="4">
        <v>12.9371382642745</v>
      </c>
      <c r="T2611" s="4">
        <f t="shared" si="162"/>
        <v>12.914849506857033</v>
      </c>
      <c r="W2611" s="4" t="str">
        <f>"pqn-39"</f>
        <v>pqn-39</v>
      </c>
      <c r="X2611" s="4">
        <v>12.6733288405373</v>
      </c>
      <c r="Y2611" s="4">
        <v>13.269436437381</v>
      </c>
      <c r="Z2611" s="4">
        <v>12.8400179575032</v>
      </c>
      <c r="AA2611" s="4">
        <f t="shared" si="163"/>
        <v>12.927594411807165</v>
      </c>
    </row>
    <row r="2612" spans="2:27" x14ac:dyDescent="0.2">
      <c r="B2612" s="4" t="s">
        <v>3852</v>
      </c>
      <c r="C2612" s="4">
        <v>13.565899999999999</v>
      </c>
      <c r="D2612" s="4">
        <v>13.0303</v>
      </c>
      <c r="E2612" s="4">
        <v>13.1891</v>
      </c>
      <c r="F2612" s="4">
        <f t="shared" si="160"/>
        <v>13.261766666666666</v>
      </c>
      <c r="I2612" s="4" t="s">
        <v>2654</v>
      </c>
      <c r="J2612" s="4">
        <v>12.6732</v>
      </c>
      <c r="K2612" s="4">
        <v>13.428800000000001</v>
      </c>
      <c r="L2612" s="4">
        <v>13.677099999999999</v>
      </c>
      <c r="M2612" s="4">
        <f t="shared" si="161"/>
        <v>13.2597</v>
      </c>
      <c r="P2612" s="4" t="str">
        <f>"mys-1"</f>
        <v>mys-1</v>
      </c>
      <c r="Q2612" s="4">
        <v>13.0259460405328</v>
      </c>
      <c r="R2612" s="4">
        <v>12.752716545386299</v>
      </c>
      <c r="S2612" s="4">
        <v>12.9653425912585</v>
      </c>
      <c r="T2612" s="4">
        <f t="shared" si="162"/>
        <v>12.914668392392533</v>
      </c>
      <c r="W2612" s="4" t="str">
        <f>"Y45F10D.6"</f>
        <v>Y45F10D.6</v>
      </c>
      <c r="X2612" s="4">
        <v>12.798066894059801</v>
      </c>
      <c r="Y2612" s="4">
        <v>12.918838404765401</v>
      </c>
      <c r="Z2612" s="4">
        <v>13.0643883785754</v>
      </c>
      <c r="AA2612" s="4">
        <f t="shared" si="163"/>
        <v>12.927097892466868</v>
      </c>
    </row>
    <row r="2613" spans="2:27" x14ac:dyDescent="0.2">
      <c r="B2613" s="4" t="s">
        <v>2363</v>
      </c>
      <c r="C2613" s="4">
        <v>13.330500000000001</v>
      </c>
      <c r="D2613" s="4">
        <v>12.8611</v>
      </c>
      <c r="E2613" s="4">
        <v>13.5929</v>
      </c>
      <c r="F2613" s="4">
        <f t="shared" si="160"/>
        <v>13.2615</v>
      </c>
      <c r="I2613" s="4" t="s">
        <v>4748</v>
      </c>
      <c r="J2613" s="4">
        <v>13.0823</v>
      </c>
      <c r="K2613" s="4">
        <v>13.486700000000001</v>
      </c>
      <c r="L2613" s="4">
        <v>13.199299999999999</v>
      </c>
      <c r="M2613" s="4">
        <f t="shared" si="161"/>
        <v>13.256100000000002</v>
      </c>
      <c r="P2613" s="4" t="str">
        <f>"nhr-49"</f>
        <v>nhr-49</v>
      </c>
      <c r="Q2613" s="4">
        <v>12.634636997965901</v>
      </c>
      <c r="R2613" s="4">
        <v>13.091822109382299</v>
      </c>
      <c r="S2613" s="4">
        <v>13.0124576784995</v>
      </c>
      <c r="T2613" s="4">
        <f t="shared" si="162"/>
        <v>12.912972261949234</v>
      </c>
      <c r="W2613" s="4" t="str">
        <f>"ooc-5"</f>
        <v>ooc-5</v>
      </c>
      <c r="X2613" s="4">
        <v>13.0690025436047</v>
      </c>
      <c r="Y2613" s="4">
        <v>13.0500293823119</v>
      </c>
      <c r="Z2613" s="4">
        <v>12.6608302674626</v>
      </c>
      <c r="AA2613" s="4">
        <f t="shared" si="163"/>
        <v>12.9266207311264</v>
      </c>
    </row>
    <row r="2614" spans="2:27" x14ac:dyDescent="0.2">
      <c r="B2614" s="4" t="s">
        <v>2508</v>
      </c>
      <c r="C2614" s="4">
        <v>13.124000000000001</v>
      </c>
      <c r="D2614" s="4">
        <v>13.3508</v>
      </c>
      <c r="E2614" s="4">
        <v>13.303599999999999</v>
      </c>
      <c r="F2614" s="4">
        <f t="shared" si="160"/>
        <v>13.259466666666668</v>
      </c>
      <c r="I2614" s="4" t="s">
        <v>4737</v>
      </c>
      <c r="J2614" s="4">
        <v>13.1806</v>
      </c>
      <c r="K2614" s="4">
        <v>13.189500000000001</v>
      </c>
      <c r="L2614" s="4">
        <v>13.3909</v>
      </c>
      <c r="M2614" s="4">
        <f t="shared" si="161"/>
        <v>13.253666666666668</v>
      </c>
      <c r="P2614" s="4" t="str">
        <f>"dhs-11"</f>
        <v>dhs-11</v>
      </c>
      <c r="Q2614" s="4">
        <v>13.032434397893599</v>
      </c>
      <c r="R2614" s="4">
        <v>12.8841491589992</v>
      </c>
      <c r="S2614" s="4">
        <v>12.806863698212499</v>
      </c>
      <c r="T2614" s="4">
        <f t="shared" si="162"/>
        <v>12.907815751701767</v>
      </c>
      <c r="W2614" s="4" t="str">
        <f>"R02F2.7"</f>
        <v>R02F2.7</v>
      </c>
      <c r="X2614" s="4">
        <v>12.821667379109501</v>
      </c>
      <c r="Y2614" s="4">
        <v>12.936090431370699</v>
      </c>
      <c r="Z2614" s="4">
        <v>13.020236153688501</v>
      </c>
      <c r="AA2614" s="4">
        <f t="shared" si="163"/>
        <v>12.925997988056233</v>
      </c>
    </row>
    <row r="2615" spans="2:27" x14ac:dyDescent="0.2">
      <c r="B2615" s="4" t="s">
        <v>76</v>
      </c>
      <c r="C2615" s="4">
        <v>13.5771</v>
      </c>
      <c r="D2615" s="4">
        <v>13.145</v>
      </c>
      <c r="E2615" s="4">
        <v>13.0556</v>
      </c>
      <c r="F2615" s="4">
        <f t="shared" si="160"/>
        <v>13.259233333333333</v>
      </c>
      <c r="I2615" s="4" t="s">
        <v>4554</v>
      </c>
      <c r="J2615" s="4">
        <v>13.399800000000001</v>
      </c>
      <c r="K2615" s="4">
        <v>13.411099999999999</v>
      </c>
      <c r="L2615" s="4">
        <v>12.9382</v>
      </c>
      <c r="M2615" s="4">
        <f t="shared" si="161"/>
        <v>13.249699999999999</v>
      </c>
      <c r="P2615" s="4" t="str">
        <f>"pgp-1"</f>
        <v>pgp-1</v>
      </c>
      <c r="Q2615" s="4">
        <v>12.5546939756843</v>
      </c>
      <c r="R2615" s="4">
        <v>12.961591226696701</v>
      </c>
      <c r="S2615" s="4">
        <v>13.203931276331399</v>
      </c>
      <c r="T2615" s="4">
        <f t="shared" si="162"/>
        <v>12.906738826237467</v>
      </c>
      <c r="W2615" s="4" t="str">
        <f>"tftc-3"</f>
        <v>tftc-3</v>
      </c>
      <c r="X2615" s="4">
        <v>12.929400908076101</v>
      </c>
      <c r="Y2615" s="4">
        <v>13.032470020730299</v>
      </c>
      <c r="Z2615" s="4">
        <v>12.8155967776697</v>
      </c>
      <c r="AA2615" s="4">
        <f t="shared" si="163"/>
        <v>12.925822568825367</v>
      </c>
    </row>
    <row r="2616" spans="2:27" x14ac:dyDescent="0.2">
      <c r="B2616" s="4" t="s">
        <v>4501</v>
      </c>
      <c r="C2616" s="4">
        <v>13.4163</v>
      </c>
      <c r="D2616" s="4">
        <v>12.698600000000001</v>
      </c>
      <c r="E2616" s="4">
        <v>13.6509</v>
      </c>
      <c r="F2616" s="4">
        <f t="shared" si="160"/>
        <v>13.255266666666666</v>
      </c>
      <c r="I2616" s="4" t="s">
        <v>4821</v>
      </c>
      <c r="J2616" s="4">
        <v>12.9605</v>
      </c>
      <c r="K2616" s="4">
        <v>13.405099999999999</v>
      </c>
      <c r="L2616" s="4">
        <v>13.380599999999999</v>
      </c>
      <c r="M2616" s="4">
        <f t="shared" si="161"/>
        <v>13.248733333333334</v>
      </c>
      <c r="P2616" s="4" t="str">
        <f>"F12F6.1"</f>
        <v>F12F6.1</v>
      </c>
      <c r="Q2616" s="4">
        <v>12.6586431032317</v>
      </c>
      <c r="R2616" s="4">
        <v>13.1153642644519</v>
      </c>
      <c r="S2616" s="4">
        <v>12.9449324291979</v>
      </c>
      <c r="T2616" s="4">
        <f t="shared" si="162"/>
        <v>12.906313265627167</v>
      </c>
      <c r="W2616" s="4" t="str">
        <f>"F55D12.2"</f>
        <v>F55D12.2</v>
      </c>
      <c r="X2616" s="4">
        <v>13.055704224271601</v>
      </c>
      <c r="Y2616" s="4">
        <v>12.730731854998</v>
      </c>
      <c r="Z2616" s="4">
        <v>12.986405115786701</v>
      </c>
      <c r="AA2616" s="4">
        <f t="shared" si="163"/>
        <v>12.924280398352101</v>
      </c>
    </row>
    <row r="2617" spans="2:27" x14ac:dyDescent="0.2">
      <c r="B2617" s="4" t="s">
        <v>4722</v>
      </c>
      <c r="C2617" s="4">
        <v>12.5433</v>
      </c>
      <c r="D2617" s="4">
        <v>12.900499999999999</v>
      </c>
      <c r="E2617" s="4">
        <v>14.317299999999999</v>
      </c>
      <c r="F2617" s="4">
        <f t="shared" si="160"/>
        <v>13.2537</v>
      </c>
      <c r="I2617" s="4" t="s">
        <v>212</v>
      </c>
      <c r="J2617" s="4">
        <v>13.094799999999999</v>
      </c>
      <c r="K2617" s="4">
        <v>13.1851</v>
      </c>
      <c r="L2617" s="4">
        <v>13.452</v>
      </c>
      <c r="M2617" s="4">
        <f t="shared" si="161"/>
        <v>13.243966666666665</v>
      </c>
      <c r="P2617" s="4" t="str">
        <f>"glrx-3"</f>
        <v>glrx-3</v>
      </c>
      <c r="Q2617" s="4">
        <v>12.9835325683555</v>
      </c>
      <c r="R2617" s="4">
        <v>12.754314620722001</v>
      </c>
      <c r="S2617" s="4">
        <v>12.9805040588891</v>
      </c>
      <c r="T2617" s="4">
        <f t="shared" si="162"/>
        <v>12.906117082655532</v>
      </c>
      <c r="W2617" s="4" t="str">
        <f>"gap-3"</f>
        <v>gap-3</v>
      </c>
      <c r="X2617" s="4">
        <v>12.8382194489878</v>
      </c>
      <c r="Y2617" s="4">
        <v>13.205837005317999</v>
      </c>
      <c r="Z2617" s="4">
        <v>12.727009802384099</v>
      </c>
      <c r="AA2617" s="4">
        <f t="shared" si="163"/>
        <v>12.923688752229966</v>
      </c>
    </row>
    <row r="2618" spans="2:27" x14ac:dyDescent="0.2">
      <c r="B2618" s="4" t="s">
        <v>2178</v>
      </c>
      <c r="C2618" s="4">
        <v>13.460599999999999</v>
      </c>
      <c r="D2618" s="4">
        <v>12.2979</v>
      </c>
      <c r="E2618" s="4">
        <v>13.999599999999999</v>
      </c>
      <c r="F2618" s="4">
        <f t="shared" si="160"/>
        <v>13.252699999999999</v>
      </c>
      <c r="I2618" s="4" t="s">
        <v>4194</v>
      </c>
      <c r="J2618" s="4">
        <v>13.142300000000001</v>
      </c>
      <c r="K2618" s="4">
        <v>13.475099999999999</v>
      </c>
      <c r="L2618" s="4">
        <v>13.1143</v>
      </c>
      <c r="M2618" s="4">
        <f t="shared" si="161"/>
        <v>13.243900000000002</v>
      </c>
      <c r="P2618" s="4" t="str">
        <f>"ero-1"</f>
        <v>ero-1</v>
      </c>
      <c r="Q2618" s="4">
        <v>12.9255335258812</v>
      </c>
      <c r="R2618" s="4">
        <v>13.2054095526239</v>
      </c>
      <c r="S2618" s="4">
        <v>12.5865013002316</v>
      </c>
      <c r="T2618" s="4">
        <f t="shared" si="162"/>
        <v>12.905814792912233</v>
      </c>
      <c r="W2618" s="4" t="str">
        <f>"jhdm-1"</f>
        <v>jhdm-1</v>
      </c>
      <c r="X2618" s="4">
        <v>12.757112314511099</v>
      </c>
      <c r="Y2618" s="4">
        <v>12.6682907469096</v>
      </c>
      <c r="Z2618" s="4">
        <v>13.342733922526399</v>
      </c>
      <c r="AA2618" s="4">
        <f t="shared" si="163"/>
        <v>12.922712327982367</v>
      </c>
    </row>
    <row r="2619" spans="2:27" x14ac:dyDescent="0.2">
      <c r="B2619" s="4" t="s">
        <v>218</v>
      </c>
      <c r="C2619" s="4">
        <v>13.1714</v>
      </c>
      <c r="D2619" s="4">
        <v>13.466200000000001</v>
      </c>
      <c r="E2619" s="4">
        <v>13.1203</v>
      </c>
      <c r="F2619" s="4">
        <f t="shared" si="160"/>
        <v>13.252633333333334</v>
      </c>
      <c r="I2619" s="4" t="s">
        <v>2522</v>
      </c>
      <c r="J2619" s="4">
        <v>13.3393</v>
      </c>
      <c r="K2619" s="4">
        <v>12.9651</v>
      </c>
      <c r="L2619" s="4">
        <v>13.421799999999999</v>
      </c>
      <c r="M2619" s="4">
        <f t="shared" si="161"/>
        <v>13.242066666666666</v>
      </c>
      <c r="P2619" s="4" t="str">
        <f>"mrps-23"</f>
        <v>mrps-23</v>
      </c>
      <c r="Q2619" s="4">
        <v>13.1420466140708</v>
      </c>
      <c r="R2619" s="4">
        <v>12.6984311016641</v>
      </c>
      <c r="S2619" s="4">
        <v>12.8696586890473</v>
      </c>
      <c r="T2619" s="4">
        <f t="shared" si="162"/>
        <v>12.903378801594066</v>
      </c>
      <c r="W2619" s="4" t="str">
        <f>"rab-33"</f>
        <v>rab-33</v>
      </c>
      <c r="X2619" s="4">
        <v>13.3893279647556</v>
      </c>
      <c r="Y2619" s="4">
        <v>12.631311530568899</v>
      </c>
      <c r="Z2619" s="4">
        <v>12.7423957434212</v>
      </c>
      <c r="AA2619" s="4">
        <f t="shared" si="163"/>
        <v>12.921011746248567</v>
      </c>
    </row>
    <row r="2620" spans="2:27" x14ac:dyDescent="0.2">
      <c r="B2620" s="4" t="s">
        <v>1855</v>
      </c>
      <c r="C2620" s="4">
        <v>13.1168</v>
      </c>
      <c r="D2620" s="4">
        <v>13.203900000000001</v>
      </c>
      <c r="E2620" s="4">
        <v>13.4338</v>
      </c>
      <c r="F2620" s="4">
        <f t="shared" si="160"/>
        <v>13.2515</v>
      </c>
      <c r="I2620" s="4" t="s">
        <v>2468</v>
      </c>
      <c r="J2620" s="4">
        <v>13.1096</v>
      </c>
      <c r="K2620" s="4">
        <v>13.3786</v>
      </c>
      <c r="L2620" s="4">
        <v>13.2346</v>
      </c>
      <c r="M2620" s="4">
        <f t="shared" si="161"/>
        <v>13.240933333333333</v>
      </c>
      <c r="P2620" s="4" t="str">
        <f>"acox-1.4"</f>
        <v>acox-1.4</v>
      </c>
      <c r="Q2620" s="4">
        <v>12.847682904158299</v>
      </c>
      <c r="R2620" s="4">
        <v>13.0548143140478</v>
      </c>
      <c r="S2620" s="4">
        <v>12.8015782004587</v>
      </c>
      <c r="T2620" s="4">
        <f t="shared" si="162"/>
        <v>12.901358472888267</v>
      </c>
      <c r="W2620" s="4" t="str">
        <f>"elo-6"</f>
        <v>elo-6</v>
      </c>
      <c r="X2620" s="4">
        <v>14.5882497465167</v>
      </c>
      <c r="Y2620" s="4">
        <v>12.7653182662161</v>
      </c>
      <c r="Z2620" s="4">
        <v>11.4076038948511</v>
      </c>
      <c r="AA2620" s="4">
        <f t="shared" si="163"/>
        <v>12.920390635861301</v>
      </c>
    </row>
    <row r="2621" spans="2:27" x14ac:dyDescent="0.2">
      <c r="B2621" s="4" t="s">
        <v>3011</v>
      </c>
      <c r="C2621" s="4">
        <v>13.347099999999999</v>
      </c>
      <c r="D2621" s="4">
        <v>13.0578</v>
      </c>
      <c r="E2621" s="4">
        <v>13.348699999999999</v>
      </c>
      <c r="F2621" s="4">
        <f t="shared" si="160"/>
        <v>13.251199999999999</v>
      </c>
      <c r="I2621" s="4" t="s">
        <v>4789</v>
      </c>
      <c r="J2621" s="4">
        <v>13.5657</v>
      </c>
      <c r="K2621" s="4">
        <v>13.768000000000001</v>
      </c>
      <c r="L2621" s="4">
        <v>12.3888</v>
      </c>
      <c r="M2621" s="4">
        <f t="shared" si="161"/>
        <v>13.240833333333333</v>
      </c>
      <c r="P2621" s="4" t="str">
        <f>"rad-54.b"</f>
        <v>rad-54.b</v>
      </c>
      <c r="Q2621" s="4">
        <v>12.692600740997101</v>
      </c>
      <c r="R2621" s="4">
        <v>13.073944047929499</v>
      </c>
      <c r="S2621" s="4">
        <v>12.9369179419775</v>
      </c>
      <c r="T2621" s="4">
        <f t="shared" si="162"/>
        <v>12.9011542436347</v>
      </c>
      <c r="W2621" s="4" t="str">
        <f>"cdc-37"</f>
        <v>cdc-37</v>
      </c>
      <c r="X2621" s="4">
        <v>12.581232290644</v>
      </c>
      <c r="Y2621" s="4">
        <v>13.091129403913101</v>
      </c>
      <c r="Z2621" s="4">
        <v>13.0842644945642</v>
      </c>
      <c r="AA2621" s="4">
        <f t="shared" si="163"/>
        <v>12.918875396373766</v>
      </c>
    </row>
    <row r="2622" spans="2:27" x14ac:dyDescent="0.2">
      <c r="B2622" s="4" t="s">
        <v>1372</v>
      </c>
      <c r="C2622" s="4">
        <v>13.160500000000001</v>
      </c>
      <c r="D2622" s="4">
        <v>13.2827</v>
      </c>
      <c r="E2622" s="4">
        <v>13.305400000000001</v>
      </c>
      <c r="F2622" s="4">
        <f t="shared" si="160"/>
        <v>13.249533333333334</v>
      </c>
      <c r="I2622" s="4" t="s">
        <v>4775</v>
      </c>
      <c r="J2622" s="4">
        <v>12.789300000000001</v>
      </c>
      <c r="K2622" s="4">
        <v>13.2826</v>
      </c>
      <c r="L2622" s="4">
        <v>13.650399999999999</v>
      </c>
      <c r="M2622" s="4">
        <f t="shared" si="161"/>
        <v>13.240766666666666</v>
      </c>
      <c r="P2622" s="4" t="str">
        <f>"C14B9.8"</f>
        <v>C14B9.8</v>
      </c>
      <c r="Q2622" s="4">
        <v>12.6885511484871</v>
      </c>
      <c r="R2622" s="4">
        <v>13.0149013673594</v>
      </c>
      <c r="S2622" s="4">
        <v>12.9932984694467</v>
      </c>
      <c r="T2622" s="4">
        <f t="shared" si="162"/>
        <v>12.898916995097734</v>
      </c>
      <c r="W2622" s="4" t="str">
        <f>"F54C8.4"</f>
        <v>F54C8.4</v>
      </c>
      <c r="X2622" s="4">
        <v>12.953634838090901</v>
      </c>
      <c r="Y2622" s="4">
        <v>12.7943252763527</v>
      </c>
      <c r="Z2622" s="4">
        <v>13.008391818824601</v>
      </c>
      <c r="AA2622" s="4">
        <f t="shared" si="163"/>
        <v>12.918783977756066</v>
      </c>
    </row>
    <row r="2623" spans="2:27" x14ac:dyDescent="0.2">
      <c r="B2623" s="4" t="s">
        <v>2459</v>
      </c>
      <c r="C2623" s="4">
        <v>13.166499999999999</v>
      </c>
      <c r="D2623" s="4">
        <v>12.517899999999999</v>
      </c>
      <c r="E2623" s="4">
        <v>14.0586</v>
      </c>
      <c r="F2623" s="4">
        <f t="shared" si="160"/>
        <v>13.247666666666666</v>
      </c>
      <c r="I2623" s="4" t="s">
        <v>1504</v>
      </c>
      <c r="J2623" s="4">
        <v>12.9763</v>
      </c>
      <c r="K2623" s="4">
        <v>12.547800000000001</v>
      </c>
      <c r="L2623" s="4">
        <v>14.197699999999999</v>
      </c>
      <c r="M2623" s="4">
        <f t="shared" si="161"/>
        <v>13.240600000000001</v>
      </c>
      <c r="P2623" s="4" t="str">
        <f>"cmd-1"</f>
        <v>cmd-1</v>
      </c>
      <c r="Q2623" s="4">
        <v>12.964895824804</v>
      </c>
      <c r="R2623" s="4">
        <v>12.8626046770298</v>
      </c>
      <c r="S2623" s="4">
        <v>12.8689031950156</v>
      </c>
      <c r="T2623" s="4">
        <f t="shared" si="162"/>
        <v>12.898801232283134</v>
      </c>
      <c r="W2623" s="4" t="str">
        <f>"bli-3"</f>
        <v>bli-3</v>
      </c>
      <c r="X2623" s="4">
        <v>12.732840897489501</v>
      </c>
      <c r="Y2623" s="4">
        <v>13.0333264830888</v>
      </c>
      <c r="Z2623" s="4">
        <v>12.9882175511176</v>
      </c>
      <c r="AA2623" s="4">
        <f t="shared" si="163"/>
        <v>12.918128310565301</v>
      </c>
    </row>
    <row r="2624" spans="2:27" x14ac:dyDescent="0.2">
      <c r="B2624" s="4" t="s">
        <v>508</v>
      </c>
      <c r="C2624" s="4">
        <v>13.2187</v>
      </c>
      <c r="D2624" s="4">
        <v>13.2814</v>
      </c>
      <c r="E2624" s="4">
        <v>13.241300000000001</v>
      </c>
      <c r="F2624" s="4">
        <f t="shared" si="160"/>
        <v>13.247133333333332</v>
      </c>
      <c r="I2624" s="4" t="s">
        <v>4052</v>
      </c>
      <c r="J2624" s="4">
        <v>13.2539</v>
      </c>
      <c r="K2624" s="4">
        <v>12.9445</v>
      </c>
      <c r="L2624" s="4">
        <v>13.5223</v>
      </c>
      <c r="M2624" s="4">
        <f t="shared" si="161"/>
        <v>13.240233333333334</v>
      </c>
      <c r="P2624" s="4" t="str">
        <f>"spcs-1"</f>
        <v>spcs-1</v>
      </c>
      <c r="Q2624" s="4">
        <v>12.8171862892927</v>
      </c>
      <c r="R2624" s="4">
        <v>13.083844247771401</v>
      </c>
      <c r="S2624" s="4">
        <v>12.7920878914203</v>
      </c>
      <c r="T2624" s="4">
        <f t="shared" si="162"/>
        <v>12.897706142828135</v>
      </c>
      <c r="W2624" s="4" t="str">
        <f>"pbo-4"</f>
        <v>pbo-4</v>
      </c>
      <c r="X2624" s="4">
        <v>13.0253504699449</v>
      </c>
      <c r="Y2624" s="4">
        <v>12.934981930862399</v>
      </c>
      <c r="Z2624" s="4">
        <v>12.7890322384494</v>
      </c>
      <c r="AA2624" s="4">
        <f t="shared" si="163"/>
        <v>12.916454879752232</v>
      </c>
    </row>
    <row r="2625" spans="2:27" x14ac:dyDescent="0.2">
      <c r="B2625" s="4" t="s">
        <v>3241</v>
      </c>
      <c r="C2625" s="4">
        <v>13.186299999999999</v>
      </c>
      <c r="D2625" s="4">
        <v>13.2098</v>
      </c>
      <c r="E2625" s="4">
        <v>13.342499999999999</v>
      </c>
      <c r="F2625" s="4">
        <f t="shared" si="160"/>
        <v>13.2462</v>
      </c>
      <c r="I2625" s="4" t="s">
        <v>4314</v>
      </c>
      <c r="J2625" s="4">
        <v>13.234999999999999</v>
      </c>
      <c r="K2625" s="4">
        <v>13.1632</v>
      </c>
      <c r="L2625" s="4">
        <v>13.3209</v>
      </c>
      <c r="M2625" s="4">
        <f t="shared" si="161"/>
        <v>13.239699999999999</v>
      </c>
      <c r="P2625" s="4" t="str">
        <f>"Y37E11AL.3"</f>
        <v>Y37E11AL.3</v>
      </c>
      <c r="Q2625" s="4">
        <v>13.1554117826938</v>
      </c>
      <c r="R2625" s="4">
        <v>12.7358694875478</v>
      </c>
      <c r="S2625" s="4">
        <v>12.799955910804799</v>
      </c>
      <c r="T2625" s="4">
        <f t="shared" si="162"/>
        <v>12.897079060348799</v>
      </c>
      <c r="W2625" s="4" t="str">
        <f>"cacn-1"</f>
        <v>cacn-1</v>
      </c>
      <c r="X2625" s="4">
        <v>13.174582170922999</v>
      </c>
      <c r="Y2625" s="4">
        <v>12.660398483731299</v>
      </c>
      <c r="Z2625" s="4">
        <v>12.914268176319499</v>
      </c>
      <c r="AA2625" s="4">
        <f t="shared" si="163"/>
        <v>12.916416276991265</v>
      </c>
    </row>
    <row r="2626" spans="2:27" x14ac:dyDescent="0.2">
      <c r="B2626" s="4" t="s">
        <v>4416</v>
      </c>
      <c r="C2626" s="4">
        <v>13.5961</v>
      </c>
      <c r="D2626" s="4">
        <v>13.1335</v>
      </c>
      <c r="E2626" s="4">
        <v>13.004300000000001</v>
      </c>
      <c r="F2626" s="4">
        <f t="shared" ref="F2626:F2689" si="164">(C2626+D2626+E2626)/3</f>
        <v>13.244633333333333</v>
      </c>
      <c r="I2626" s="4" t="s">
        <v>1842</v>
      </c>
      <c r="J2626" s="4">
        <v>13.6835</v>
      </c>
      <c r="K2626" s="4">
        <v>12.912100000000001</v>
      </c>
      <c r="L2626" s="4">
        <v>13.122</v>
      </c>
      <c r="M2626" s="4">
        <f t="shared" ref="M2626:M2689" si="165">(J2626+K2626+L2626)/3</f>
        <v>13.239200000000002</v>
      </c>
      <c r="P2626" s="4" t="str">
        <f>"K06G5.1"</f>
        <v>K06G5.1</v>
      </c>
      <c r="Q2626" s="4">
        <v>12.9412849651548</v>
      </c>
      <c r="R2626" s="4">
        <v>12.868361386032101</v>
      </c>
      <c r="S2626" s="4">
        <v>12.8815797843749</v>
      </c>
      <c r="T2626" s="4">
        <f t="shared" ref="T2626:T2689" si="166">(Q2626+R2626+S2626)/3</f>
        <v>12.897075378520599</v>
      </c>
      <c r="W2626" s="4" t="str">
        <f>"nuo-6"</f>
        <v>nuo-6</v>
      </c>
      <c r="X2626" s="4">
        <v>13.156739088824899</v>
      </c>
      <c r="Y2626" s="4">
        <v>12.723255014685</v>
      </c>
      <c r="Z2626" s="4">
        <v>12.8656494701304</v>
      </c>
      <c r="AA2626" s="4">
        <f t="shared" ref="AA2626:AA2689" si="167">(X2626+Y2626+Z2626)/3</f>
        <v>12.915214524546768</v>
      </c>
    </row>
    <row r="2627" spans="2:27" x14ac:dyDescent="0.2">
      <c r="B2627" s="4" t="s">
        <v>3397</v>
      </c>
      <c r="C2627" s="4">
        <v>13.2561</v>
      </c>
      <c r="D2627" s="4">
        <v>12.9466</v>
      </c>
      <c r="E2627" s="4">
        <v>13.528</v>
      </c>
      <c r="F2627" s="4">
        <f t="shared" si="164"/>
        <v>13.243566666666666</v>
      </c>
      <c r="I2627" s="4" t="s">
        <v>4790</v>
      </c>
      <c r="J2627" s="4">
        <v>12.853</v>
      </c>
      <c r="K2627" s="4">
        <v>13.641299999999999</v>
      </c>
      <c r="L2627" s="4">
        <v>13.2232</v>
      </c>
      <c r="M2627" s="4">
        <f t="shared" si="165"/>
        <v>13.239166666666668</v>
      </c>
      <c r="P2627" s="4" t="str">
        <f>"ptrn-1"</f>
        <v>ptrn-1</v>
      </c>
      <c r="Q2627" s="4">
        <v>12.9983127277672</v>
      </c>
      <c r="R2627" s="4">
        <v>13.059473426499499</v>
      </c>
      <c r="S2627" s="4">
        <v>12.631019431484701</v>
      </c>
      <c r="T2627" s="4">
        <f t="shared" si="166"/>
        <v>12.896268528583802</v>
      </c>
      <c r="W2627" s="4" t="str">
        <f>"srr-4"</f>
        <v>srr-4</v>
      </c>
      <c r="X2627" s="4">
        <v>13.2327668829316</v>
      </c>
      <c r="Y2627" s="4">
        <v>12.4177585403788</v>
      </c>
      <c r="Z2627" s="4">
        <v>13.093279625216899</v>
      </c>
      <c r="AA2627" s="4">
        <f t="shared" si="167"/>
        <v>12.914601682842433</v>
      </c>
    </row>
    <row r="2628" spans="2:27" x14ac:dyDescent="0.2">
      <c r="B2628" s="4" t="s">
        <v>1953</v>
      </c>
      <c r="C2628" s="4">
        <v>13.334</v>
      </c>
      <c r="D2628" s="4">
        <v>13.055300000000001</v>
      </c>
      <c r="E2628" s="4">
        <v>13.337400000000001</v>
      </c>
      <c r="F2628" s="4">
        <f t="shared" si="164"/>
        <v>13.242233333333333</v>
      </c>
      <c r="I2628" s="4" t="s">
        <v>4822</v>
      </c>
      <c r="J2628" s="4">
        <v>12.3026</v>
      </c>
      <c r="K2628" s="4">
        <v>13.52</v>
      </c>
      <c r="L2628" s="4">
        <v>13.877700000000001</v>
      </c>
      <c r="M2628" s="4">
        <f t="shared" si="165"/>
        <v>13.233433333333332</v>
      </c>
      <c r="P2628" s="4" t="str">
        <f>"C39D10.8"</f>
        <v>C39D10.8</v>
      </c>
      <c r="Q2628" s="4">
        <v>13.4928511176628</v>
      </c>
      <c r="R2628" s="4">
        <v>12.6091021439437</v>
      </c>
      <c r="S2628" s="4">
        <v>12.585645166454601</v>
      </c>
      <c r="T2628" s="4">
        <f t="shared" si="166"/>
        <v>12.895866142687034</v>
      </c>
      <c r="W2628" s="4" t="str">
        <f>"C45G9.6"</f>
        <v>C45G9.6</v>
      </c>
      <c r="X2628" s="4">
        <v>12.533252639173901</v>
      </c>
      <c r="Y2628" s="4">
        <v>13.125124036549799</v>
      </c>
      <c r="Z2628" s="4">
        <v>13.080752470251699</v>
      </c>
      <c r="AA2628" s="4">
        <f t="shared" si="167"/>
        <v>12.913043048658466</v>
      </c>
    </row>
    <row r="2629" spans="2:27" x14ac:dyDescent="0.2">
      <c r="B2629" s="4" t="s">
        <v>1459</v>
      </c>
      <c r="C2629" s="4">
        <v>13.0206</v>
      </c>
      <c r="D2629" s="4">
        <v>13.372299999999999</v>
      </c>
      <c r="E2629" s="4">
        <v>13.332100000000001</v>
      </c>
      <c r="F2629" s="4">
        <f t="shared" si="164"/>
        <v>13.241666666666665</v>
      </c>
      <c r="I2629" s="4" t="s">
        <v>3163</v>
      </c>
      <c r="J2629" s="4">
        <v>13.1654</v>
      </c>
      <c r="K2629" s="4">
        <v>13.6455</v>
      </c>
      <c r="L2629" s="4">
        <v>12.873900000000001</v>
      </c>
      <c r="M2629" s="4">
        <f t="shared" si="165"/>
        <v>13.228266666666668</v>
      </c>
      <c r="P2629" s="4" t="str">
        <f>"R05G6.4"</f>
        <v>R05G6.4</v>
      </c>
      <c r="Q2629" s="4">
        <v>12.863036291187701</v>
      </c>
      <c r="R2629" s="4">
        <v>12.853479935678401</v>
      </c>
      <c r="S2629" s="4">
        <v>12.9660460382187</v>
      </c>
      <c r="T2629" s="4">
        <f t="shared" si="166"/>
        <v>12.894187421694932</v>
      </c>
      <c r="W2629" s="4" t="str">
        <f>"tomm-20"</f>
        <v>tomm-20</v>
      </c>
      <c r="X2629" s="4">
        <v>13.0159976732059</v>
      </c>
      <c r="Y2629" s="4">
        <v>13.0675086781538</v>
      </c>
      <c r="Z2629" s="4">
        <v>12.6475512064199</v>
      </c>
      <c r="AA2629" s="4">
        <f t="shared" si="167"/>
        <v>12.910352519259867</v>
      </c>
    </row>
    <row r="2630" spans="2:27" x14ac:dyDescent="0.2">
      <c r="B2630" s="4" t="s">
        <v>4586</v>
      </c>
      <c r="C2630" s="4">
        <v>13.5268</v>
      </c>
      <c r="D2630" s="4">
        <v>12.9056</v>
      </c>
      <c r="E2630" s="4">
        <v>13.2912</v>
      </c>
      <c r="F2630" s="4">
        <f t="shared" si="164"/>
        <v>13.241200000000001</v>
      </c>
      <c r="I2630" s="4" t="s">
        <v>2987</v>
      </c>
      <c r="J2630" s="4">
        <v>13.306900000000001</v>
      </c>
      <c r="K2630" s="4">
        <v>13.0266</v>
      </c>
      <c r="L2630" s="4">
        <v>13.3474</v>
      </c>
      <c r="M2630" s="4">
        <f t="shared" si="165"/>
        <v>13.226966666666668</v>
      </c>
      <c r="P2630" s="4" t="str">
        <f>"klp-18"</f>
        <v>klp-18</v>
      </c>
      <c r="Q2630" s="4">
        <v>12.598064409259701</v>
      </c>
      <c r="R2630" s="4">
        <v>13.083596839288999</v>
      </c>
      <c r="S2630" s="4">
        <v>12.9994672033926</v>
      </c>
      <c r="T2630" s="4">
        <f t="shared" si="166"/>
        <v>12.893709483980432</v>
      </c>
      <c r="W2630" s="4" t="str">
        <f>"C50B6.3"</f>
        <v>C50B6.3</v>
      </c>
      <c r="X2630" s="4">
        <v>12.2272743034641</v>
      </c>
      <c r="Y2630" s="4">
        <v>13.0186222252105</v>
      </c>
      <c r="Z2630" s="4">
        <v>13.482534278905799</v>
      </c>
      <c r="AA2630" s="4">
        <f t="shared" si="167"/>
        <v>12.909476935860132</v>
      </c>
    </row>
    <row r="2631" spans="2:27" x14ac:dyDescent="0.2">
      <c r="B2631" s="4" t="s">
        <v>1310</v>
      </c>
      <c r="C2631" s="4">
        <v>13.2127</v>
      </c>
      <c r="D2631" s="4">
        <v>13.094200000000001</v>
      </c>
      <c r="E2631" s="4">
        <v>13.412599999999999</v>
      </c>
      <c r="F2631" s="4">
        <f t="shared" si="164"/>
        <v>13.239833333333332</v>
      </c>
      <c r="I2631" s="4" t="s">
        <v>1625</v>
      </c>
      <c r="J2631" s="4">
        <v>13.5017</v>
      </c>
      <c r="K2631" s="4">
        <v>12.8904</v>
      </c>
      <c r="L2631" s="4">
        <v>13.288600000000001</v>
      </c>
      <c r="M2631" s="4">
        <f t="shared" si="165"/>
        <v>13.226900000000001</v>
      </c>
      <c r="P2631" s="4" t="str">
        <f>"atg-3"</f>
        <v>atg-3</v>
      </c>
      <c r="Q2631" s="4">
        <v>12.545990024377399</v>
      </c>
      <c r="R2631" s="4">
        <v>13.070016584904</v>
      </c>
      <c r="S2631" s="4">
        <v>13.057409818703</v>
      </c>
      <c r="T2631" s="4">
        <f t="shared" si="166"/>
        <v>12.891138809328133</v>
      </c>
      <c r="W2631" s="4" t="str">
        <f>"cyp-34a2"</f>
        <v>cyp-34a2</v>
      </c>
      <c r="X2631" s="4">
        <v>13.025868865648899</v>
      </c>
      <c r="Y2631" s="4">
        <v>12.9364803063301</v>
      </c>
      <c r="Z2631" s="4">
        <v>12.764081104858599</v>
      </c>
      <c r="AA2631" s="4">
        <f t="shared" si="167"/>
        <v>12.908810092279198</v>
      </c>
    </row>
    <row r="2632" spans="2:27" x14ac:dyDescent="0.2">
      <c r="B2632" s="4" t="s">
        <v>367</v>
      </c>
      <c r="C2632" s="4">
        <v>13.1546</v>
      </c>
      <c r="D2632" s="4">
        <v>13.512499999999999</v>
      </c>
      <c r="E2632" s="4">
        <v>13.052099999999999</v>
      </c>
      <c r="F2632" s="4">
        <f t="shared" si="164"/>
        <v>13.239733333333334</v>
      </c>
      <c r="I2632" s="4" t="s">
        <v>2604</v>
      </c>
      <c r="J2632" s="4">
        <v>13.4094</v>
      </c>
      <c r="K2632" s="4">
        <v>13.2011</v>
      </c>
      <c r="L2632" s="4">
        <v>13.069699999999999</v>
      </c>
      <c r="M2632" s="4">
        <f t="shared" si="165"/>
        <v>13.226733333333334</v>
      </c>
      <c r="P2632" s="4" t="str">
        <f>"F59E12.1"</f>
        <v>F59E12.1</v>
      </c>
      <c r="Q2632" s="4">
        <v>12.8881411853337</v>
      </c>
      <c r="R2632" s="4">
        <v>12.935692672405199</v>
      </c>
      <c r="S2632" s="4">
        <v>12.847845122516899</v>
      </c>
      <c r="T2632" s="4">
        <f t="shared" si="166"/>
        <v>12.890559660085266</v>
      </c>
      <c r="W2632" s="4" t="str">
        <f>"unc-61"</f>
        <v>unc-61</v>
      </c>
      <c r="X2632" s="4">
        <v>12.588470386732</v>
      </c>
      <c r="Y2632" s="4">
        <v>12.9714831883723</v>
      </c>
      <c r="Z2632" s="4">
        <v>13.165366846897699</v>
      </c>
      <c r="AA2632" s="4">
        <f t="shared" si="167"/>
        <v>12.908440140667333</v>
      </c>
    </row>
    <row r="2633" spans="2:27" x14ac:dyDescent="0.2">
      <c r="B2633" s="4" t="s">
        <v>1404</v>
      </c>
      <c r="C2633" s="4">
        <v>13.4268</v>
      </c>
      <c r="D2633" s="4">
        <v>13.370200000000001</v>
      </c>
      <c r="E2633" s="4">
        <v>12.917299999999999</v>
      </c>
      <c r="F2633" s="4">
        <f t="shared" si="164"/>
        <v>13.238100000000001</v>
      </c>
      <c r="I2633" s="4" t="s">
        <v>578</v>
      </c>
      <c r="J2633" s="4">
        <v>13.1853</v>
      </c>
      <c r="K2633" s="4">
        <v>13.2963</v>
      </c>
      <c r="L2633" s="4">
        <v>13.192399999999999</v>
      </c>
      <c r="M2633" s="4">
        <f t="shared" si="165"/>
        <v>13.224666666666666</v>
      </c>
      <c r="P2633" s="4" t="str">
        <f>"cacn-1"</f>
        <v>cacn-1</v>
      </c>
      <c r="Q2633" s="4">
        <v>12.7969983970449</v>
      </c>
      <c r="R2633" s="4">
        <v>13.010509339945401</v>
      </c>
      <c r="S2633" s="4">
        <v>12.8618127581074</v>
      </c>
      <c r="T2633" s="4">
        <f t="shared" si="166"/>
        <v>12.8897734983659</v>
      </c>
      <c r="W2633" s="4" t="str">
        <f>"ptpn-22"</f>
        <v>ptpn-22</v>
      </c>
      <c r="X2633" s="4">
        <v>13.0612438240244</v>
      </c>
      <c r="Y2633" s="4">
        <v>12.9164439983539</v>
      </c>
      <c r="Z2633" s="4">
        <v>12.7441510412793</v>
      </c>
      <c r="AA2633" s="4">
        <f t="shared" si="167"/>
        <v>12.907279621219201</v>
      </c>
    </row>
    <row r="2634" spans="2:27" x14ac:dyDescent="0.2">
      <c r="B2634" s="4" t="s">
        <v>1842</v>
      </c>
      <c r="C2634" s="4">
        <v>13.2843</v>
      </c>
      <c r="D2634" s="4">
        <v>13.591200000000001</v>
      </c>
      <c r="E2634" s="4">
        <v>12.8385</v>
      </c>
      <c r="F2634" s="4">
        <f t="shared" si="164"/>
        <v>13.238</v>
      </c>
      <c r="I2634" s="4" t="s">
        <v>1855</v>
      </c>
      <c r="J2634" s="4">
        <v>13.180300000000001</v>
      </c>
      <c r="K2634" s="4">
        <v>13.513999999999999</v>
      </c>
      <c r="L2634" s="4">
        <v>12.974399999999999</v>
      </c>
      <c r="M2634" s="4">
        <f t="shared" si="165"/>
        <v>13.222900000000001</v>
      </c>
      <c r="P2634" s="4" t="str">
        <f>"mdt-6"</f>
        <v>mdt-6</v>
      </c>
      <c r="Q2634" s="4">
        <v>12.9461599697918</v>
      </c>
      <c r="R2634" s="4">
        <v>12.9392458906034</v>
      </c>
      <c r="S2634" s="4">
        <v>12.7834266050049</v>
      </c>
      <c r="T2634" s="4">
        <f t="shared" si="166"/>
        <v>12.889610821800034</v>
      </c>
      <c r="W2634" s="4" t="str">
        <f>"mog-2"</f>
        <v>mog-2</v>
      </c>
      <c r="X2634" s="4">
        <v>12.6964423105723</v>
      </c>
      <c r="Y2634" s="4">
        <v>13.1898694915674</v>
      </c>
      <c r="Z2634" s="4">
        <v>12.8349215673475</v>
      </c>
      <c r="AA2634" s="4">
        <f t="shared" si="167"/>
        <v>12.907077789829067</v>
      </c>
    </row>
    <row r="2635" spans="2:27" x14ac:dyDescent="0.2">
      <c r="B2635" s="4" t="s">
        <v>4261</v>
      </c>
      <c r="C2635" s="4">
        <v>13.465400000000001</v>
      </c>
      <c r="D2635" s="4">
        <v>13.242800000000001</v>
      </c>
      <c r="E2635" s="4">
        <v>13.003</v>
      </c>
      <c r="F2635" s="4">
        <f t="shared" si="164"/>
        <v>13.237066666666669</v>
      </c>
      <c r="I2635" s="4" t="s">
        <v>1215</v>
      </c>
      <c r="J2635" s="4">
        <v>13.082000000000001</v>
      </c>
      <c r="K2635" s="4">
        <v>13.0007</v>
      </c>
      <c r="L2635" s="4">
        <v>13.584099999999999</v>
      </c>
      <c r="M2635" s="4">
        <f t="shared" si="165"/>
        <v>13.222266666666668</v>
      </c>
      <c r="P2635" s="4" t="str">
        <f>"fbxa-64"</f>
        <v>fbxa-64</v>
      </c>
      <c r="Q2635" s="4">
        <v>12.6850287291161</v>
      </c>
      <c r="R2635" s="4">
        <v>13.128725418181199</v>
      </c>
      <c r="S2635" s="4">
        <v>12.8543627254721</v>
      </c>
      <c r="T2635" s="4">
        <f t="shared" si="166"/>
        <v>12.889372290923134</v>
      </c>
      <c r="W2635" s="4" t="str">
        <f>"fzy-1"</f>
        <v>fzy-1</v>
      </c>
      <c r="X2635" s="4">
        <v>13.044304336426199</v>
      </c>
      <c r="Y2635" s="4">
        <v>12.5769008365169</v>
      </c>
      <c r="Z2635" s="4">
        <v>13.0998898556307</v>
      </c>
      <c r="AA2635" s="4">
        <f t="shared" si="167"/>
        <v>12.907031676191266</v>
      </c>
    </row>
    <row r="2636" spans="2:27" x14ac:dyDescent="0.2">
      <c r="B2636" s="4" t="s">
        <v>1482</v>
      </c>
      <c r="C2636" s="4">
        <v>13.098599999999999</v>
      </c>
      <c r="D2636" s="4">
        <v>13.047599999999999</v>
      </c>
      <c r="E2636" s="4">
        <v>13.556699999999999</v>
      </c>
      <c r="F2636" s="4">
        <f t="shared" si="164"/>
        <v>13.234299999999999</v>
      </c>
      <c r="I2636" s="4" t="s">
        <v>2135</v>
      </c>
      <c r="J2636" s="4">
        <v>13.255599999999999</v>
      </c>
      <c r="K2636" s="4">
        <v>13.3719</v>
      </c>
      <c r="L2636" s="4">
        <v>13.03</v>
      </c>
      <c r="M2636" s="4">
        <f t="shared" si="165"/>
        <v>13.219166666666666</v>
      </c>
      <c r="P2636" s="4" t="str">
        <f>"pef-1"</f>
        <v>pef-1</v>
      </c>
      <c r="Q2636" s="4">
        <v>12.9965129018845</v>
      </c>
      <c r="R2636" s="4">
        <v>12.904189303674301</v>
      </c>
      <c r="S2636" s="4">
        <v>12.7605780874968</v>
      </c>
      <c r="T2636" s="4">
        <f t="shared" si="166"/>
        <v>12.887093431018533</v>
      </c>
      <c r="W2636" s="4" t="str">
        <f>"pes-7"</f>
        <v>pes-7</v>
      </c>
      <c r="X2636" s="4">
        <v>12.784011851925699</v>
      </c>
      <c r="Y2636" s="4">
        <v>13.0795902572131</v>
      </c>
      <c r="Z2636" s="4">
        <v>12.853500899400199</v>
      </c>
      <c r="AA2636" s="4">
        <f t="shared" si="167"/>
        <v>12.905701002846333</v>
      </c>
    </row>
    <row r="2637" spans="2:27" x14ac:dyDescent="0.2">
      <c r="B2637" s="4" t="s">
        <v>2201</v>
      </c>
      <c r="C2637" s="4">
        <v>13.459099999999999</v>
      </c>
      <c r="D2637" s="4">
        <v>13.4306</v>
      </c>
      <c r="E2637" s="4">
        <v>12.8125</v>
      </c>
      <c r="F2637" s="4">
        <f t="shared" si="164"/>
        <v>13.234066666666665</v>
      </c>
      <c r="I2637" s="4" t="s">
        <v>2544</v>
      </c>
      <c r="J2637" s="4">
        <v>12.7498</v>
      </c>
      <c r="K2637" s="4">
        <v>13.3584</v>
      </c>
      <c r="L2637" s="4">
        <v>13.5487</v>
      </c>
      <c r="M2637" s="4">
        <f t="shared" si="165"/>
        <v>13.218966666666667</v>
      </c>
      <c r="P2637" s="4" t="str">
        <f>"tiar-2"</f>
        <v>tiar-2</v>
      </c>
      <c r="Q2637" s="4">
        <v>12.701320641139301</v>
      </c>
      <c r="R2637" s="4">
        <v>13.0546367775723</v>
      </c>
      <c r="S2637" s="4">
        <v>12.9044825728144</v>
      </c>
      <c r="T2637" s="4">
        <f t="shared" si="166"/>
        <v>12.886813330508668</v>
      </c>
      <c r="W2637" s="4" t="str">
        <f>"kle-2"</f>
        <v>kle-2</v>
      </c>
      <c r="X2637" s="4">
        <v>13.264838050386899</v>
      </c>
      <c r="Y2637" s="4">
        <v>12.920556246229401</v>
      </c>
      <c r="Z2637" s="4">
        <v>12.531700417824799</v>
      </c>
      <c r="AA2637" s="4">
        <f t="shared" si="167"/>
        <v>12.905698238147034</v>
      </c>
    </row>
    <row r="2638" spans="2:27" x14ac:dyDescent="0.2">
      <c r="B2638" s="4" t="s">
        <v>4551</v>
      </c>
      <c r="C2638" s="4">
        <v>13.234299999999999</v>
      </c>
      <c r="D2638" s="4">
        <v>12.9345</v>
      </c>
      <c r="E2638" s="4">
        <v>13.525399999999999</v>
      </c>
      <c r="F2638" s="4">
        <f t="shared" si="164"/>
        <v>13.231399999999999</v>
      </c>
      <c r="I2638" s="4" t="s">
        <v>4785</v>
      </c>
      <c r="J2638" s="4">
        <v>12.7805</v>
      </c>
      <c r="K2638" s="4">
        <v>13.3954</v>
      </c>
      <c r="L2638" s="4">
        <v>13.4795</v>
      </c>
      <c r="M2638" s="4">
        <f t="shared" si="165"/>
        <v>13.218466666666666</v>
      </c>
      <c r="P2638" s="4" t="str">
        <f>"ttr-42"</f>
        <v>ttr-42</v>
      </c>
      <c r="Q2638" s="4">
        <v>12.2370614234844</v>
      </c>
      <c r="R2638" s="4">
        <v>13.143475633526901</v>
      </c>
      <c r="S2638" s="4">
        <v>13.2707747891158</v>
      </c>
      <c r="T2638" s="4">
        <f t="shared" si="166"/>
        <v>12.883770615375701</v>
      </c>
      <c r="W2638" s="4" t="str">
        <f>"melo-1"</f>
        <v>melo-1</v>
      </c>
      <c r="X2638" s="4">
        <v>12.602365500378999</v>
      </c>
      <c r="Y2638" s="4">
        <v>13.2013240807215</v>
      </c>
      <c r="Z2638" s="4">
        <v>12.9059407547437</v>
      </c>
      <c r="AA2638" s="4">
        <f t="shared" si="167"/>
        <v>12.903210111948065</v>
      </c>
    </row>
    <row r="2639" spans="2:27" x14ac:dyDescent="0.2">
      <c r="B2639" s="4" t="s">
        <v>2308</v>
      </c>
      <c r="C2639" s="4">
        <v>13.3018</v>
      </c>
      <c r="D2639" s="4">
        <v>12.726900000000001</v>
      </c>
      <c r="E2639" s="4">
        <v>13.6617</v>
      </c>
      <c r="F2639" s="4">
        <f t="shared" si="164"/>
        <v>13.230133333333333</v>
      </c>
      <c r="I2639" s="4" t="s">
        <v>575</v>
      </c>
      <c r="J2639" s="4">
        <v>12.907999999999999</v>
      </c>
      <c r="K2639" s="4">
        <v>13.2902</v>
      </c>
      <c r="L2639" s="4">
        <v>13.4467</v>
      </c>
      <c r="M2639" s="4">
        <f t="shared" si="165"/>
        <v>13.214966666666667</v>
      </c>
      <c r="P2639" s="4" t="str">
        <f>"F10A3.17"</f>
        <v>F10A3.17</v>
      </c>
      <c r="Q2639" s="4">
        <v>12.9546615139368</v>
      </c>
      <c r="R2639" s="4">
        <v>12.6240235171043</v>
      </c>
      <c r="S2639" s="4">
        <v>13.069327566340901</v>
      </c>
      <c r="T2639" s="4">
        <f t="shared" si="166"/>
        <v>12.882670865793999</v>
      </c>
      <c r="W2639" s="4" t="str">
        <f>"grd-14"</f>
        <v>grd-14</v>
      </c>
      <c r="X2639" s="4">
        <v>12.590576408239301</v>
      </c>
      <c r="Y2639" s="4">
        <v>12.5244828786692</v>
      </c>
      <c r="Z2639" s="4">
        <v>13.590405008223501</v>
      </c>
      <c r="AA2639" s="4">
        <f t="shared" si="167"/>
        <v>12.901821431710667</v>
      </c>
    </row>
    <row r="2640" spans="2:27" x14ac:dyDescent="0.2">
      <c r="B2640" s="4" t="s">
        <v>3101</v>
      </c>
      <c r="C2640" s="4">
        <v>13.51</v>
      </c>
      <c r="D2640" s="4">
        <v>13.4635</v>
      </c>
      <c r="E2640" s="4">
        <v>12.716799999999999</v>
      </c>
      <c r="F2640" s="4">
        <f t="shared" si="164"/>
        <v>13.2301</v>
      </c>
      <c r="I2640" s="4" t="s">
        <v>1595</v>
      </c>
      <c r="J2640" s="4">
        <v>13.4572</v>
      </c>
      <c r="K2640" s="4">
        <v>13.253299999999999</v>
      </c>
      <c r="L2640" s="4">
        <v>12.918200000000001</v>
      </c>
      <c r="M2640" s="4">
        <f t="shared" si="165"/>
        <v>13.209566666666667</v>
      </c>
      <c r="P2640" s="4" t="str">
        <f>"ddx-46"</f>
        <v>ddx-46</v>
      </c>
      <c r="Q2640" s="4">
        <v>12.576571292475199</v>
      </c>
      <c r="R2640" s="4">
        <v>13.0551833034558</v>
      </c>
      <c r="S2640" s="4">
        <v>13.0098865776819</v>
      </c>
      <c r="T2640" s="4">
        <f t="shared" si="166"/>
        <v>12.880547057870965</v>
      </c>
      <c r="W2640" s="4" t="str">
        <f>"ptr-23"</f>
        <v>ptr-23</v>
      </c>
      <c r="X2640" s="4">
        <v>12.9979756214976</v>
      </c>
      <c r="Y2640" s="4">
        <v>12.545014016446901</v>
      </c>
      <c r="Z2640" s="4">
        <v>13.156436369106601</v>
      </c>
      <c r="AA2640" s="4">
        <f t="shared" si="167"/>
        <v>12.899808669017034</v>
      </c>
    </row>
    <row r="2641" spans="2:27" x14ac:dyDescent="0.2">
      <c r="B2641" s="4" t="s">
        <v>175</v>
      </c>
      <c r="C2641" s="4">
        <v>13.337199999999999</v>
      </c>
      <c r="D2641" s="4">
        <v>13.122400000000001</v>
      </c>
      <c r="E2641" s="4">
        <v>13.2287</v>
      </c>
      <c r="F2641" s="4">
        <f t="shared" si="164"/>
        <v>13.229433333333333</v>
      </c>
      <c r="I2641" s="4" t="s">
        <v>2685</v>
      </c>
      <c r="J2641" s="4">
        <v>13.0562</v>
      </c>
      <c r="K2641" s="4">
        <v>13.583</v>
      </c>
      <c r="L2641" s="4">
        <v>12.9658</v>
      </c>
      <c r="M2641" s="4">
        <f t="shared" si="165"/>
        <v>13.201666666666668</v>
      </c>
      <c r="P2641" s="4" t="str">
        <f>"fli-1"</f>
        <v>fli-1</v>
      </c>
      <c r="Q2641" s="4">
        <v>13.221247115917899</v>
      </c>
      <c r="R2641" s="4">
        <v>12.6564560628329</v>
      </c>
      <c r="S2641" s="4">
        <v>12.760597753660001</v>
      </c>
      <c r="T2641" s="4">
        <f t="shared" si="166"/>
        <v>12.879433644136933</v>
      </c>
      <c r="W2641" s="4" t="str">
        <f>"grl-7"</f>
        <v>grl-7</v>
      </c>
      <c r="X2641" s="4">
        <v>12.933740927148399</v>
      </c>
      <c r="Y2641" s="4">
        <v>12.431467179309401</v>
      </c>
      <c r="Z2641" s="4">
        <v>13.332923633596</v>
      </c>
      <c r="AA2641" s="4">
        <f t="shared" si="167"/>
        <v>12.899377246684599</v>
      </c>
    </row>
    <row r="2642" spans="2:27" x14ac:dyDescent="0.2">
      <c r="B2642" s="4" t="s">
        <v>3431</v>
      </c>
      <c r="C2642" s="4">
        <v>13.3697</v>
      </c>
      <c r="D2642" s="4">
        <v>13.2362</v>
      </c>
      <c r="E2642" s="4">
        <v>13.076499999999999</v>
      </c>
      <c r="F2642" s="4">
        <f t="shared" si="164"/>
        <v>13.227466666666666</v>
      </c>
      <c r="I2642" s="4" t="s">
        <v>2475</v>
      </c>
      <c r="J2642" s="4">
        <v>13.1629</v>
      </c>
      <c r="K2642" s="4">
        <v>13.1233</v>
      </c>
      <c r="L2642" s="4">
        <v>13.314</v>
      </c>
      <c r="M2642" s="4">
        <f t="shared" si="165"/>
        <v>13.200066666666666</v>
      </c>
      <c r="P2642" s="4" t="str">
        <f>"ced-7"</f>
        <v>ced-7</v>
      </c>
      <c r="Q2642" s="4">
        <v>12.7823963684523</v>
      </c>
      <c r="R2642" s="4">
        <v>12.9736161283921</v>
      </c>
      <c r="S2642" s="4">
        <v>12.8656362992401</v>
      </c>
      <c r="T2642" s="4">
        <f t="shared" si="166"/>
        <v>12.873882932028167</v>
      </c>
      <c r="W2642" s="4" t="str">
        <f>"pcaf-1"</f>
        <v>pcaf-1</v>
      </c>
      <c r="X2642" s="4">
        <v>12.6937999986117</v>
      </c>
      <c r="Y2642" s="4">
        <v>13.161398700126099</v>
      </c>
      <c r="Z2642" s="4">
        <v>12.829165446444501</v>
      </c>
      <c r="AA2642" s="4">
        <f t="shared" si="167"/>
        <v>12.8947880483941</v>
      </c>
    </row>
    <row r="2643" spans="2:27" x14ac:dyDescent="0.2">
      <c r="B2643" s="4" t="s">
        <v>3738</v>
      </c>
      <c r="C2643" s="4">
        <v>13.1274</v>
      </c>
      <c r="D2643" s="4">
        <v>13.192399999999999</v>
      </c>
      <c r="E2643" s="4">
        <v>13.3582</v>
      </c>
      <c r="F2643" s="4">
        <f t="shared" si="164"/>
        <v>13.225999999999999</v>
      </c>
      <c r="I2643" s="4" t="s">
        <v>3573</v>
      </c>
      <c r="J2643" s="4">
        <v>12.9186</v>
      </c>
      <c r="K2643" s="4">
        <v>13.041600000000001</v>
      </c>
      <c r="L2643" s="4">
        <v>13.639799999999999</v>
      </c>
      <c r="M2643" s="4">
        <f t="shared" si="165"/>
        <v>13.200000000000001</v>
      </c>
      <c r="P2643" s="4" t="str">
        <f>"trpp-6"</f>
        <v>trpp-6</v>
      </c>
      <c r="Q2643" s="4">
        <v>12.679997542758899</v>
      </c>
      <c r="R2643" s="4">
        <v>13.03810244914</v>
      </c>
      <c r="S2643" s="4">
        <v>12.9031603278641</v>
      </c>
      <c r="T2643" s="4">
        <f t="shared" si="166"/>
        <v>12.873753439920998</v>
      </c>
      <c r="W2643" s="4" t="str">
        <f>"Y73C8B.3"</f>
        <v>Y73C8B.3</v>
      </c>
      <c r="X2643" s="4">
        <v>12.505958095641001</v>
      </c>
      <c r="Y2643" s="4">
        <v>12.737394958739101</v>
      </c>
      <c r="Z2643" s="4">
        <v>13.4278233027773</v>
      </c>
      <c r="AA2643" s="4">
        <f t="shared" si="167"/>
        <v>12.890392119052466</v>
      </c>
    </row>
    <row r="2644" spans="2:27" x14ac:dyDescent="0.2">
      <c r="B2644" s="4" t="s">
        <v>4823</v>
      </c>
      <c r="C2644" s="4">
        <v>13.2354</v>
      </c>
      <c r="D2644" s="4">
        <v>13.184900000000001</v>
      </c>
      <c r="E2644" s="4">
        <v>13.2417</v>
      </c>
      <c r="F2644" s="4">
        <f t="shared" si="164"/>
        <v>13.220666666666666</v>
      </c>
      <c r="I2644" s="4" t="s">
        <v>2962</v>
      </c>
      <c r="J2644" s="4">
        <v>13.266400000000001</v>
      </c>
      <c r="K2644" s="4">
        <v>12.721299999999999</v>
      </c>
      <c r="L2644" s="4">
        <v>13.605399999999999</v>
      </c>
      <c r="M2644" s="4">
        <f t="shared" si="165"/>
        <v>13.197699999999999</v>
      </c>
      <c r="P2644" s="4" t="str">
        <f>"mut-14"</f>
        <v>mut-14</v>
      </c>
      <c r="Q2644" s="4">
        <v>13.0733616411482</v>
      </c>
      <c r="R2644" s="4">
        <v>12.498295423122901</v>
      </c>
      <c r="S2644" s="4">
        <v>13.049501416222</v>
      </c>
      <c r="T2644" s="4">
        <f t="shared" si="166"/>
        <v>12.873719493497701</v>
      </c>
      <c r="W2644" s="4" t="str">
        <f>"acl-5"</f>
        <v>acl-5</v>
      </c>
      <c r="X2644" s="4">
        <v>12.7392365588108</v>
      </c>
      <c r="Y2644" s="4">
        <v>12.8269510992276</v>
      </c>
      <c r="Z2644" s="4">
        <v>13.1039243593161</v>
      </c>
      <c r="AA2644" s="4">
        <f t="shared" si="167"/>
        <v>12.890037339118166</v>
      </c>
    </row>
    <row r="2645" spans="2:27" x14ac:dyDescent="0.2">
      <c r="B2645" s="4" t="s">
        <v>1746</v>
      </c>
      <c r="C2645" s="4">
        <v>12.992000000000001</v>
      </c>
      <c r="D2645" s="4">
        <v>13.452199999999999</v>
      </c>
      <c r="E2645" s="4">
        <v>13.2155</v>
      </c>
      <c r="F2645" s="4">
        <f t="shared" si="164"/>
        <v>13.219900000000001</v>
      </c>
      <c r="I2645" s="4" t="s">
        <v>2813</v>
      </c>
      <c r="J2645" s="4">
        <v>12.5723</v>
      </c>
      <c r="K2645" s="4">
        <v>12.876300000000001</v>
      </c>
      <c r="L2645" s="4">
        <v>14.135400000000001</v>
      </c>
      <c r="M2645" s="4">
        <f t="shared" si="165"/>
        <v>13.194666666666668</v>
      </c>
      <c r="P2645" s="4" t="str">
        <f>"Y75B8A.25"</f>
        <v>Y75B8A.25</v>
      </c>
      <c r="Q2645" s="4">
        <v>12.6867298972643</v>
      </c>
      <c r="R2645" s="4">
        <v>12.913845395169799</v>
      </c>
      <c r="S2645" s="4">
        <v>13.0131028621164</v>
      </c>
      <c r="T2645" s="4">
        <f t="shared" si="166"/>
        <v>12.871226051516834</v>
      </c>
      <c r="W2645" s="4" t="str">
        <f>"mat-2"</f>
        <v>mat-2</v>
      </c>
      <c r="X2645" s="4">
        <v>12.9283586738872</v>
      </c>
      <c r="Y2645" s="4">
        <v>12.9282285880165</v>
      </c>
      <c r="Z2645" s="4">
        <v>12.8134044364585</v>
      </c>
      <c r="AA2645" s="4">
        <f t="shared" si="167"/>
        <v>12.889997232787399</v>
      </c>
    </row>
    <row r="2646" spans="2:27" x14ac:dyDescent="0.2">
      <c r="B2646" s="4" t="s">
        <v>2525</v>
      </c>
      <c r="C2646" s="4">
        <v>12.958</v>
      </c>
      <c r="D2646" s="4">
        <v>13.283200000000001</v>
      </c>
      <c r="E2646" s="4">
        <v>13.4153</v>
      </c>
      <c r="F2646" s="4">
        <f t="shared" si="164"/>
        <v>13.218833333333334</v>
      </c>
      <c r="I2646" s="4" t="s">
        <v>4765</v>
      </c>
      <c r="J2646" s="4">
        <v>13.292400000000001</v>
      </c>
      <c r="K2646" s="4">
        <v>13.0876</v>
      </c>
      <c r="L2646" s="4">
        <v>13.1991</v>
      </c>
      <c r="M2646" s="4">
        <f t="shared" si="165"/>
        <v>13.193033333333334</v>
      </c>
      <c r="P2646" s="4" t="str">
        <f>"gst-20"</f>
        <v>gst-20</v>
      </c>
      <c r="Q2646" s="4">
        <v>12.7061243487918</v>
      </c>
      <c r="R2646" s="4">
        <v>12.9077902694819</v>
      </c>
      <c r="S2646" s="4">
        <v>12.995486921165901</v>
      </c>
      <c r="T2646" s="4">
        <f t="shared" si="166"/>
        <v>12.869800513146535</v>
      </c>
      <c r="W2646" s="4" t="str">
        <f>"math-22"</f>
        <v>math-22</v>
      </c>
      <c r="X2646" s="4">
        <v>12.982328549854801</v>
      </c>
      <c r="Y2646" s="4">
        <v>12.5910342721339</v>
      </c>
      <c r="Z2646" s="4">
        <v>13.0928382515641</v>
      </c>
      <c r="AA2646" s="4">
        <f t="shared" si="167"/>
        <v>12.888733691184266</v>
      </c>
    </row>
    <row r="2647" spans="2:27" x14ac:dyDescent="0.2">
      <c r="B2647" s="4" t="s">
        <v>1773</v>
      </c>
      <c r="C2647" s="4">
        <v>13.429600000000001</v>
      </c>
      <c r="D2647" s="4">
        <v>12.8324</v>
      </c>
      <c r="E2647" s="4">
        <v>13.38</v>
      </c>
      <c r="F2647" s="4">
        <f t="shared" si="164"/>
        <v>13.214</v>
      </c>
      <c r="I2647" s="4" t="s">
        <v>3466</v>
      </c>
      <c r="J2647" s="4">
        <v>13.2468</v>
      </c>
      <c r="K2647" s="4">
        <v>12.990600000000001</v>
      </c>
      <c r="L2647" s="4">
        <v>13.333299999999999</v>
      </c>
      <c r="M2647" s="4">
        <f t="shared" si="165"/>
        <v>13.190233333333333</v>
      </c>
      <c r="P2647" s="4" t="str">
        <f>"Y37E11AM.3"</f>
        <v>Y37E11AM.3</v>
      </c>
      <c r="Q2647" s="4">
        <v>12.519497846499601</v>
      </c>
      <c r="R2647" s="4">
        <v>13.060508579580199</v>
      </c>
      <c r="S2647" s="4">
        <v>13.022737275618301</v>
      </c>
      <c r="T2647" s="4">
        <f t="shared" si="166"/>
        <v>12.867581233899367</v>
      </c>
      <c r="W2647" s="4" t="str">
        <f>"Y67D8A.2"</f>
        <v>Y67D8A.2</v>
      </c>
      <c r="X2647" s="4">
        <v>12.804461344898</v>
      </c>
      <c r="Y2647" s="4">
        <v>12.957669559486</v>
      </c>
      <c r="Z2647" s="4">
        <v>12.9021027576192</v>
      </c>
      <c r="AA2647" s="4">
        <f t="shared" si="167"/>
        <v>12.888077887334399</v>
      </c>
    </row>
    <row r="2648" spans="2:27" x14ac:dyDescent="0.2">
      <c r="B2648" s="4" t="s">
        <v>2084</v>
      </c>
      <c r="C2648" s="4">
        <v>13.000400000000001</v>
      </c>
      <c r="D2648" s="4">
        <v>13.3353</v>
      </c>
      <c r="E2648" s="4">
        <v>13.301500000000001</v>
      </c>
      <c r="F2648" s="4">
        <f t="shared" si="164"/>
        <v>13.212400000000002</v>
      </c>
      <c r="I2648" s="4" t="s">
        <v>4802</v>
      </c>
      <c r="J2648" s="4">
        <v>13.62</v>
      </c>
      <c r="K2648" s="4">
        <v>12.8018</v>
      </c>
      <c r="L2648" s="4">
        <v>13.148899999999999</v>
      </c>
      <c r="M2648" s="4">
        <f t="shared" si="165"/>
        <v>13.190233333333332</v>
      </c>
      <c r="P2648" s="4" t="str">
        <f>"che-10"</f>
        <v>che-10</v>
      </c>
      <c r="Q2648" s="4">
        <v>12.7350976220508</v>
      </c>
      <c r="R2648" s="4">
        <v>13.0344339130212</v>
      </c>
      <c r="S2648" s="4">
        <v>12.828748340740599</v>
      </c>
      <c r="T2648" s="4">
        <f t="shared" si="166"/>
        <v>12.866093291937531</v>
      </c>
      <c r="W2648" s="4" t="str">
        <f>"F41G3.6"</f>
        <v>F41G3.6</v>
      </c>
      <c r="X2648" s="4">
        <v>13.0007642895656</v>
      </c>
      <c r="Y2648" s="4">
        <v>12.9048020800033</v>
      </c>
      <c r="Z2648" s="4">
        <v>12.7532090038007</v>
      </c>
      <c r="AA2648" s="4">
        <f t="shared" si="167"/>
        <v>12.886258457789866</v>
      </c>
    </row>
    <row r="2649" spans="2:27" x14ac:dyDescent="0.2">
      <c r="B2649" s="4" t="s">
        <v>1122</v>
      </c>
      <c r="C2649" s="4">
        <v>13.2249</v>
      </c>
      <c r="D2649" s="4">
        <v>13.401</v>
      </c>
      <c r="E2649" s="4">
        <v>12.995900000000001</v>
      </c>
      <c r="F2649" s="4">
        <f t="shared" si="164"/>
        <v>13.207266666666667</v>
      </c>
      <c r="I2649" s="4" t="s">
        <v>2668</v>
      </c>
      <c r="J2649" s="4">
        <v>13.378500000000001</v>
      </c>
      <c r="K2649" s="4">
        <v>12.653700000000001</v>
      </c>
      <c r="L2649" s="4">
        <v>13.537800000000001</v>
      </c>
      <c r="M2649" s="4">
        <f t="shared" si="165"/>
        <v>13.190000000000003</v>
      </c>
      <c r="P2649" s="4" t="str">
        <f>"F33D4.4"</f>
        <v>F33D4.4</v>
      </c>
      <c r="Q2649" s="4">
        <v>12.593255498742501</v>
      </c>
      <c r="R2649" s="4">
        <v>12.939279248858499</v>
      </c>
      <c r="S2649" s="4">
        <v>13.061255468642001</v>
      </c>
      <c r="T2649" s="4">
        <f t="shared" si="166"/>
        <v>12.864596738747666</v>
      </c>
      <c r="W2649" s="4" t="str">
        <f>"Y37E11AL.3"</f>
        <v>Y37E11AL.3</v>
      </c>
      <c r="X2649" s="4">
        <v>13.178991745619101</v>
      </c>
      <c r="Y2649" s="4">
        <v>12.5976876809623</v>
      </c>
      <c r="Z2649" s="4">
        <v>12.880839274960501</v>
      </c>
      <c r="AA2649" s="4">
        <f t="shared" si="167"/>
        <v>12.885839567180634</v>
      </c>
    </row>
    <row r="2650" spans="2:27" x14ac:dyDescent="0.2">
      <c r="B2650" s="4" t="s">
        <v>1345</v>
      </c>
      <c r="C2650" s="4">
        <v>13.543699999999999</v>
      </c>
      <c r="D2650" s="4">
        <v>13.0105</v>
      </c>
      <c r="E2650" s="4">
        <v>13.065200000000001</v>
      </c>
      <c r="F2650" s="4">
        <f t="shared" si="164"/>
        <v>13.206466666666666</v>
      </c>
      <c r="I2650" s="4" t="s">
        <v>1747</v>
      </c>
      <c r="J2650" s="4">
        <v>13.200900000000001</v>
      </c>
      <c r="K2650" s="4">
        <v>13.234</v>
      </c>
      <c r="L2650" s="4">
        <v>13.131600000000001</v>
      </c>
      <c r="M2650" s="4">
        <f t="shared" si="165"/>
        <v>13.188833333333333</v>
      </c>
      <c r="P2650" s="4" t="str">
        <f>"emb-8"</f>
        <v>emb-8</v>
      </c>
      <c r="Q2650" s="4">
        <v>12.8606067482849</v>
      </c>
      <c r="R2650" s="4">
        <v>12.8161082965046</v>
      </c>
      <c r="S2650" s="4">
        <v>12.9148418812998</v>
      </c>
      <c r="T2650" s="4">
        <f t="shared" si="166"/>
        <v>12.863852308696432</v>
      </c>
      <c r="W2650" s="4" t="str">
        <f>"F54E12.2"</f>
        <v>F54E12.2</v>
      </c>
      <c r="X2650" s="4">
        <v>12.9682983961677</v>
      </c>
      <c r="Y2650" s="4">
        <v>12.7467052867694</v>
      </c>
      <c r="Z2650" s="4">
        <v>12.9405620906681</v>
      </c>
      <c r="AA2650" s="4">
        <f t="shared" si="167"/>
        <v>12.885188591201734</v>
      </c>
    </row>
    <row r="2651" spans="2:27" x14ac:dyDescent="0.2">
      <c r="B2651" s="4" t="s">
        <v>1520</v>
      </c>
      <c r="C2651" s="4">
        <v>13.0747</v>
      </c>
      <c r="D2651" s="4">
        <v>13.2165</v>
      </c>
      <c r="E2651" s="4">
        <v>13.317600000000001</v>
      </c>
      <c r="F2651" s="4">
        <f t="shared" si="164"/>
        <v>13.202933333333334</v>
      </c>
      <c r="I2651" s="4" t="s">
        <v>3406</v>
      </c>
      <c r="J2651" s="4">
        <v>12.9536</v>
      </c>
      <c r="K2651" s="4">
        <v>13.247299999999999</v>
      </c>
      <c r="L2651" s="4">
        <v>13.362500000000001</v>
      </c>
      <c r="M2651" s="4">
        <f t="shared" si="165"/>
        <v>13.187800000000001</v>
      </c>
      <c r="P2651" s="4" t="str">
        <f>"pars-2"</f>
        <v>pars-2</v>
      </c>
      <c r="Q2651" s="4">
        <v>12.754864939992601</v>
      </c>
      <c r="R2651" s="4">
        <v>12.978839628411</v>
      </c>
      <c r="S2651" s="4">
        <v>12.8566712905643</v>
      </c>
      <c r="T2651" s="4">
        <f t="shared" si="166"/>
        <v>12.863458619655967</v>
      </c>
      <c r="W2651" s="4" t="str">
        <f>"far-1"</f>
        <v>far-1</v>
      </c>
      <c r="X2651" s="4">
        <v>12.6954081849094</v>
      </c>
      <c r="Y2651" s="4">
        <v>12.882329914247901</v>
      </c>
      <c r="Z2651" s="4">
        <v>13.0679744503026</v>
      </c>
      <c r="AA2651" s="4">
        <f t="shared" si="167"/>
        <v>12.881904183153301</v>
      </c>
    </row>
    <row r="2652" spans="2:27" x14ac:dyDescent="0.2">
      <c r="B2652" s="4" t="s">
        <v>2491</v>
      </c>
      <c r="C2652" s="4">
        <v>13.0276</v>
      </c>
      <c r="D2652" s="4">
        <v>13.603199999999999</v>
      </c>
      <c r="E2652" s="4">
        <v>12.9756</v>
      </c>
      <c r="F2652" s="4">
        <f t="shared" si="164"/>
        <v>13.202133333333334</v>
      </c>
      <c r="I2652" s="4" t="s">
        <v>1805</v>
      </c>
      <c r="J2652" s="4">
        <v>13.3376</v>
      </c>
      <c r="K2652" s="4">
        <v>13.071</v>
      </c>
      <c r="L2652" s="4">
        <v>13.14</v>
      </c>
      <c r="M2652" s="4">
        <f t="shared" si="165"/>
        <v>13.182866666666667</v>
      </c>
      <c r="P2652" s="4" t="str">
        <f>"hmg-12"</f>
        <v>hmg-12</v>
      </c>
      <c r="Q2652" s="4">
        <v>12.737730967521401</v>
      </c>
      <c r="R2652" s="4">
        <v>12.9290374279117</v>
      </c>
      <c r="S2652" s="4">
        <v>12.9224898240647</v>
      </c>
      <c r="T2652" s="4">
        <f t="shared" si="166"/>
        <v>12.863086073165933</v>
      </c>
      <c r="W2652" s="4" t="str">
        <f>"acbp-5"</f>
        <v>acbp-5</v>
      </c>
      <c r="X2652" s="4">
        <v>13.185438098499599</v>
      </c>
      <c r="Y2652" s="4">
        <v>12.8619027279506</v>
      </c>
      <c r="Z2652" s="4">
        <v>12.5958240104287</v>
      </c>
      <c r="AA2652" s="4">
        <f t="shared" si="167"/>
        <v>12.881054945626298</v>
      </c>
    </row>
    <row r="2653" spans="2:27" x14ac:dyDescent="0.2">
      <c r="B2653" s="4" t="s">
        <v>1805</v>
      </c>
      <c r="C2653" s="4">
        <v>13.104200000000001</v>
      </c>
      <c r="D2653" s="4">
        <v>13.2218</v>
      </c>
      <c r="E2653" s="4">
        <v>13.2789</v>
      </c>
      <c r="F2653" s="4">
        <f t="shared" si="164"/>
        <v>13.201633333333334</v>
      </c>
      <c r="I2653" s="4" t="s">
        <v>2241</v>
      </c>
      <c r="J2653" s="4">
        <v>13.288</v>
      </c>
      <c r="K2653" s="4">
        <v>13.6326</v>
      </c>
      <c r="L2653" s="4">
        <v>12.6266</v>
      </c>
      <c r="M2653" s="4">
        <f t="shared" si="165"/>
        <v>13.182400000000001</v>
      </c>
      <c r="P2653" s="4" t="str">
        <f>"W04D2.4"</f>
        <v>W04D2.4</v>
      </c>
      <c r="Q2653" s="4">
        <v>12.8878129605234</v>
      </c>
      <c r="R2653" s="4">
        <v>12.8696621047458</v>
      </c>
      <c r="S2653" s="4">
        <v>12.826501320424001</v>
      </c>
      <c r="T2653" s="4">
        <f t="shared" si="166"/>
        <v>12.861325461897733</v>
      </c>
      <c r="W2653" s="4" t="str">
        <f>"htz-1"</f>
        <v>htz-1</v>
      </c>
      <c r="X2653" s="4">
        <v>12.5969127245518</v>
      </c>
      <c r="Y2653" s="4">
        <v>13.0392150182818</v>
      </c>
      <c r="Z2653" s="4">
        <v>13.004824088736299</v>
      </c>
      <c r="AA2653" s="4">
        <f t="shared" si="167"/>
        <v>12.880317277189967</v>
      </c>
    </row>
    <row r="2654" spans="2:27" x14ac:dyDescent="0.2">
      <c r="B2654" s="4" t="s">
        <v>4824</v>
      </c>
      <c r="C2654" s="4">
        <v>13.2156</v>
      </c>
      <c r="D2654" s="4">
        <v>13.1328</v>
      </c>
      <c r="E2654" s="4">
        <v>13.249499999999999</v>
      </c>
      <c r="F2654" s="4">
        <f t="shared" si="164"/>
        <v>13.199299999999999</v>
      </c>
      <c r="I2654" s="4" t="s">
        <v>4373</v>
      </c>
      <c r="J2654" s="4">
        <v>13.098800000000001</v>
      </c>
      <c r="K2654" s="4">
        <v>13.2012</v>
      </c>
      <c r="L2654" s="4">
        <v>13.2378</v>
      </c>
      <c r="M2654" s="4">
        <f t="shared" si="165"/>
        <v>13.179266666666669</v>
      </c>
      <c r="P2654" s="4" t="str">
        <f>"did-2"</f>
        <v>did-2</v>
      </c>
      <c r="Q2654" s="4">
        <v>14.3734121415189</v>
      </c>
      <c r="R2654" s="4">
        <v>13.097043004151701</v>
      </c>
      <c r="S2654" s="4">
        <v>11.113453621118399</v>
      </c>
      <c r="T2654" s="4">
        <f t="shared" si="166"/>
        <v>12.861302922262999</v>
      </c>
      <c r="W2654" s="4" t="str">
        <f>"pah-1"</f>
        <v>pah-1</v>
      </c>
      <c r="X2654" s="4">
        <v>13.0454047360152</v>
      </c>
      <c r="Y2654" s="4">
        <v>12.7557487722485</v>
      </c>
      <c r="Z2654" s="4">
        <v>12.838428727394</v>
      </c>
      <c r="AA2654" s="4">
        <f t="shared" si="167"/>
        <v>12.879860745219233</v>
      </c>
    </row>
    <row r="2655" spans="2:27" x14ac:dyDescent="0.2">
      <c r="B2655" s="4" t="s">
        <v>117</v>
      </c>
      <c r="C2655" s="4">
        <v>13.305899999999999</v>
      </c>
      <c r="D2655" s="4">
        <v>13.2674</v>
      </c>
      <c r="E2655" s="4">
        <v>13.0197</v>
      </c>
      <c r="F2655" s="4">
        <f t="shared" si="164"/>
        <v>13.197666666666668</v>
      </c>
      <c r="I2655" s="4" t="s">
        <v>1952</v>
      </c>
      <c r="J2655" s="4">
        <v>13.6181</v>
      </c>
      <c r="K2655" s="4">
        <v>13.5077</v>
      </c>
      <c r="L2655" s="4">
        <v>12.411199999999999</v>
      </c>
      <c r="M2655" s="4">
        <f t="shared" si="165"/>
        <v>13.179</v>
      </c>
      <c r="P2655" s="4" t="str">
        <f>"pxf-1"</f>
        <v>pxf-1</v>
      </c>
      <c r="Q2655" s="4">
        <v>12.9849459523319</v>
      </c>
      <c r="R2655" s="4">
        <v>12.8886915581413</v>
      </c>
      <c r="S2655" s="4">
        <v>12.709818720249199</v>
      </c>
      <c r="T2655" s="4">
        <f t="shared" si="166"/>
        <v>12.861152076907468</v>
      </c>
      <c r="W2655" s="4" t="str">
        <f>"cel-1"</f>
        <v>cel-1</v>
      </c>
      <c r="X2655" s="4">
        <v>12.987340260363901</v>
      </c>
      <c r="Y2655" s="4">
        <v>12.806771050143499</v>
      </c>
      <c r="Z2655" s="4">
        <v>12.8452372917384</v>
      </c>
      <c r="AA2655" s="4">
        <f t="shared" si="167"/>
        <v>12.879782867415267</v>
      </c>
    </row>
    <row r="2656" spans="2:27" x14ac:dyDescent="0.2">
      <c r="B2656" s="4" t="s">
        <v>3196</v>
      </c>
      <c r="C2656" s="4">
        <v>12.7797</v>
      </c>
      <c r="D2656" s="4">
        <v>13.4595</v>
      </c>
      <c r="E2656" s="4">
        <v>13.3512</v>
      </c>
      <c r="F2656" s="4">
        <f t="shared" si="164"/>
        <v>13.196800000000001</v>
      </c>
      <c r="I2656" s="4" t="s">
        <v>2581</v>
      </c>
      <c r="J2656" s="4">
        <v>12.575699999999999</v>
      </c>
      <c r="K2656" s="4">
        <v>13.4963</v>
      </c>
      <c r="L2656" s="4">
        <v>13.463699999999999</v>
      </c>
      <c r="M2656" s="4">
        <f t="shared" si="165"/>
        <v>13.178566666666667</v>
      </c>
      <c r="P2656" s="4" t="str">
        <f>"tax-4"</f>
        <v>tax-4</v>
      </c>
      <c r="Q2656" s="4">
        <v>12.6377317868118</v>
      </c>
      <c r="R2656" s="4">
        <v>12.429052728325701</v>
      </c>
      <c r="S2656" s="4">
        <v>13.5161561942476</v>
      </c>
      <c r="T2656" s="4">
        <f t="shared" si="166"/>
        <v>12.8609802364617</v>
      </c>
      <c r="W2656" s="4" t="str">
        <f>"Y53F4B.21"</f>
        <v>Y53F4B.21</v>
      </c>
      <c r="X2656" s="4">
        <v>12.9142853222922</v>
      </c>
      <c r="Y2656" s="4">
        <v>13.0280904893228</v>
      </c>
      <c r="Z2656" s="4">
        <v>12.6930890438567</v>
      </c>
      <c r="AA2656" s="4">
        <f t="shared" si="167"/>
        <v>12.878488285157234</v>
      </c>
    </row>
    <row r="2657" spans="2:27" x14ac:dyDescent="0.2">
      <c r="B2657" s="4" t="s">
        <v>3261</v>
      </c>
      <c r="C2657" s="4">
        <v>13.267799999999999</v>
      </c>
      <c r="D2657" s="4">
        <v>13.3637</v>
      </c>
      <c r="E2657" s="4">
        <v>12.958399999999999</v>
      </c>
      <c r="F2657" s="4">
        <f t="shared" si="164"/>
        <v>13.196633333333333</v>
      </c>
      <c r="I2657" s="4" t="s">
        <v>4501</v>
      </c>
      <c r="J2657" s="4">
        <v>13.334300000000001</v>
      </c>
      <c r="K2657" s="4">
        <v>13.3657</v>
      </c>
      <c r="L2657" s="4">
        <v>12.8346</v>
      </c>
      <c r="M2657" s="4">
        <f t="shared" si="165"/>
        <v>13.178200000000002</v>
      </c>
      <c r="P2657" s="4" t="str">
        <f>"mboa-2"</f>
        <v>mboa-2</v>
      </c>
      <c r="Q2657" s="4">
        <v>12.3473758925557</v>
      </c>
      <c r="R2657" s="4">
        <v>13.0880412886152</v>
      </c>
      <c r="S2657" s="4">
        <v>13.1463907385199</v>
      </c>
      <c r="T2657" s="4">
        <f t="shared" si="166"/>
        <v>12.860602639896932</v>
      </c>
      <c r="W2657" s="4" t="str">
        <f>"F08G12.1"</f>
        <v>F08G12.1</v>
      </c>
      <c r="X2657" s="4">
        <v>12.2086962228574</v>
      </c>
      <c r="Y2657" s="4">
        <v>13.280285394404499</v>
      </c>
      <c r="Z2657" s="4">
        <v>13.1448591519995</v>
      </c>
      <c r="AA2657" s="4">
        <f t="shared" si="167"/>
        <v>12.877946923087132</v>
      </c>
    </row>
    <row r="2658" spans="2:27" x14ac:dyDescent="0.2">
      <c r="B2658" s="4" t="s">
        <v>4825</v>
      </c>
      <c r="C2658" s="4">
        <v>13.2615</v>
      </c>
      <c r="D2658" s="4">
        <v>13.1572</v>
      </c>
      <c r="E2658" s="4">
        <v>13.1699</v>
      </c>
      <c r="F2658" s="4">
        <f t="shared" si="164"/>
        <v>13.196199999999999</v>
      </c>
      <c r="I2658" s="4" t="s">
        <v>118</v>
      </c>
      <c r="J2658" s="4">
        <v>13.2494</v>
      </c>
      <c r="K2658" s="4">
        <v>13.162599999999999</v>
      </c>
      <c r="L2658" s="4">
        <v>13.119199999999999</v>
      </c>
      <c r="M2658" s="4">
        <f t="shared" si="165"/>
        <v>13.177066666666667</v>
      </c>
      <c r="P2658" s="4" t="str">
        <f>"nhx-4"</f>
        <v>nhx-4</v>
      </c>
      <c r="Q2658" s="4">
        <v>12.3951191252313</v>
      </c>
      <c r="R2658" s="4">
        <v>13.0376111635616</v>
      </c>
      <c r="S2658" s="4">
        <v>13.1466637120425</v>
      </c>
      <c r="T2658" s="4">
        <f t="shared" si="166"/>
        <v>12.859798000278467</v>
      </c>
      <c r="W2658" s="4" t="str">
        <f>"acbp-3"</f>
        <v>acbp-3</v>
      </c>
      <c r="X2658" s="4">
        <v>13.0630111784651</v>
      </c>
      <c r="Y2658" s="4">
        <v>12.7846567107115</v>
      </c>
      <c r="Z2658" s="4">
        <v>12.785280441425201</v>
      </c>
      <c r="AA2658" s="4">
        <f t="shared" si="167"/>
        <v>12.877649443533933</v>
      </c>
    </row>
    <row r="2659" spans="2:27" x14ac:dyDescent="0.2">
      <c r="B2659" s="4" t="s">
        <v>4826</v>
      </c>
      <c r="C2659" s="4">
        <v>13.0486</v>
      </c>
      <c r="D2659" s="4">
        <v>13.4842</v>
      </c>
      <c r="E2659" s="4">
        <v>13.0525</v>
      </c>
      <c r="F2659" s="4">
        <f t="shared" si="164"/>
        <v>13.195100000000002</v>
      </c>
      <c r="I2659" s="4" t="s">
        <v>2563</v>
      </c>
      <c r="J2659" s="4">
        <v>13.843400000000001</v>
      </c>
      <c r="K2659" s="4">
        <v>13.1144</v>
      </c>
      <c r="L2659" s="4">
        <v>12.5731</v>
      </c>
      <c r="M2659" s="4">
        <f t="shared" si="165"/>
        <v>13.176966666666667</v>
      </c>
      <c r="P2659" s="4" t="str">
        <f>"unk-1"</f>
        <v>unk-1</v>
      </c>
      <c r="Q2659" s="4">
        <v>12.9876558960067</v>
      </c>
      <c r="R2659" s="4">
        <v>12.657793097790201</v>
      </c>
      <c r="S2659" s="4">
        <v>12.9297366019688</v>
      </c>
      <c r="T2659" s="4">
        <f t="shared" si="166"/>
        <v>12.858395198588568</v>
      </c>
      <c r="W2659" s="4" t="str">
        <f>"acsd-1"</f>
        <v>acsd-1</v>
      </c>
      <c r="X2659" s="4">
        <v>12.946165261095601</v>
      </c>
      <c r="Y2659" s="4">
        <v>12.662155712208801</v>
      </c>
      <c r="Z2659" s="4">
        <v>13.021319513042</v>
      </c>
      <c r="AA2659" s="4">
        <f t="shared" si="167"/>
        <v>12.876546828782134</v>
      </c>
    </row>
    <row r="2660" spans="2:27" x14ac:dyDescent="0.2">
      <c r="B2660" s="4" t="s">
        <v>2168</v>
      </c>
      <c r="C2660" s="4">
        <v>13.0474</v>
      </c>
      <c r="D2660" s="4">
        <v>13.1745</v>
      </c>
      <c r="E2660" s="4">
        <v>13.3531</v>
      </c>
      <c r="F2660" s="4">
        <f t="shared" si="164"/>
        <v>13.191666666666665</v>
      </c>
      <c r="I2660" s="4" t="s">
        <v>3218</v>
      </c>
      <c r="J2660" s="4">
        <v>13.576000000000001</v>
      </c>
      <c r="K2660" s="4">
        <v>12.9131</v>
      </c>
      <c r="L2660" s="4">
        <v>13.0396</v>
      </c>
      <c r="M2660" s="4">
        <f t="shared" si="165"/>
        <v>13.176233333333334</v>
      </c>
      <c r="P2660" s="4" t="str">
        <f>"D2021.4"</f>
        <v>D2021.4</v>
      </c>
      <c r="Q2660" s="4">
        <v>12.5045105742995</v>
      </c>
      <c r="R2660" s="4">
        <v>12.9860627969853</v>
      </c>
      <c r="S2660" s="4">
        <v>13.0762424063466</v>
      </c>
      <c r="T2660" s="4">
        <f t="shared" si="166"/>
        <v>12.855605259210465</v>
      </c>
      <c r="W2660" s="4" t="str">
        <f>"pals-37"</f>
        <v>pals-37</v>
      </c>
      <c r="X2660" s="4">
        <v>12.687981560921701</v>
      </c>
      <c r="Y2660" s="4">
        <v>12.903204807248899</v>
      </c>
      <c r="Z2660" s="4">
        <v>13.038157853219801</v>
      </c>
      <c r="AA2660" s="4">
        <f t="shared" si="167"/>
        <v>12.8764480737968</v>
      </c>
    </row>
    <row r="2661" spans="2:27" x14ac:dyDescent="0.2">
      <c r="B2661" s="4" t="s">
        <v>4792</v>
      </c>
      <c r="C2661" s="4">
        <v>13.229699999999999</v>
      </c>
      <c r="D2661" s="4">
        <v>13.059799999999999</v>
      </c>
      <c r="E2661" s="4">
        <v>13.277799999999999</v>
      </c>
      <c r="F2661" s="4">
        <f t="shared" si="164"/>
        <v>13.189099999999998</v>
      </c>
      <c r="I2661" s="4" t="s">
        <v>3780</v>
      </c>
      <c r="J2661" s="4">
        <v>12.6282</v>
      </c>
      <c r="K2661" s="4">
        <v>13.6815</v>
      </c>
      <c r="L2661" s="4">
        <v>13.2136</v>
      </c>
      <c r="M2661" s="4">
        <f t="shared" si="165"/>
        <v>13.174433333333333</v>
      </c>
      <c r="P2661" s="4" t="str">
        <f>"bus-5"</f>
        <v>bus-5</v>
      </c>
      <c r="Q2661" s="4">
        <v>12.7869554783569</v>
      </c>
      <c r="R2661" s="4">
        <v>13.0798676428756</v>
      </c>
      <c r="S2661" s="4">
        <v>12.699806790831</v>
      </c>
      <c r="T2661" s="4">
        <f t="shared" si="166"/>
        <v>12.855543304021166</v>
      </c>
      <c r="W2661" s="4" t="str">
        <f>"dhfr-1"</f>
        <v>dhfr-1</v>
      </c>
      <c r="X2661" s="4">
        <v>12.9669803430849</v>
      </c>
      <c r="Y2661" s="4">
        <v>12.637151816277701</v>
      </c>
      <c r="Z2661" s="4">
        <v>13.021047024690301</v>
      </c>
      <c r="AA2661" s="4">
        <f t="shared" si="167"/>
        <v>12.875059728017632</v>
      </c>
    </row>
    <row r="2662" spans="2:27" x14ac:dyDescent="0.2">
      <c r="B2662" s="4" t="s">
        <v>3311</v>
      </c>
      <c r="C2662" s="4">
        <v>13.253500000000001</v>
      </c>
      <c r="D2662" s="4">
        <v>13.2323</v>
      </c>
      <c r="E2662" s="4">
        <v>13.080399999999999</v>
      </c>
      <c r="F2662" s="4">
        <f t="shared" si="164"/>
        <v>13.188733333333333</v>
      </c>
      <c r="I2662" s="4" t="s">
        <v>4788</v>
      </c>
      <c r="J2662" s="4">
        <v>12.9755</v>
      </c>
      <c r="K2662" s="4">
        <v>13.5267</v>
      </c>
      <c r="L2662" s="4">
        <v>13.007099999999999</v>
      </c>
      <c r="M2662" s="4">
        <f t="shared" si="165"/>
        <v>13.169766666666668</v>
      </c>
      <c r="P2662" s="4" t="str">
        <f>"anmt-3"</f>
        <v>anmt-3</v>
      </c>
      <c r="Q2662" s="4">
        <v>13.089043947291399</v>
      </c>
      <c r="R2662" s="4">
        <v>12.786917300822299</v>
      </c>
      <c r="S2662" s="4">
        <v>12.6862512245193</v>
      </c>
      <c r="T2662" s="4">
        <f t="shared" si="166"/>
        <v>12.854070824210998</v>
      </c>
      <c r="W2662" s="4" t="str">
        <f>"cyn-5"</f>
        <v>cyn-5</v>
      </c>
      <c r="X2662" s="4">
        <v>13.2099176400675</v>
      </c>
      <c r="Y2662" s="4">
        <v>12.7509788547785</v>
      </c>
      <c r="Z2662" s="4">
        <v>12.660374717821499</v>
      </c>
      <c r="AA2662" s="4">
        <f t="shared" si="167"/>
        <v>12.873757070889168</v>
      </c>
    </row>
    <row r="2663" spans="2:27" x14ac:dyDescent="0.2">
      <c r="B2663" s="4" t="s">
        <v>2261</v>
      </c>
      <c r="C2663" s="4">
        <v>13.3308</v>
      </c>
      <c r="D2663" s="4">
        <v>13.002800000000001</v>
      </c>
      <c r="E2663" s="4">
        <v>13.2315</v>
      </c>
      <c r="F2663" s="4">
        <f t="shared" si="164"/>
        <v>13.188366666666667</v>
      </c>
      <c r="I2663" s="4" t="s">
        <v>114</v>
      </c>
      <c r="J2663" s="4">
        <v>12.9308</v>
      </c>
      <c r="K2663" s="4">
        <v>13.4278</v>
      </c>
      <c r="L2663" s="4">
        <v>13.144399999999999</v>
      </c>
      <c r="M2663" s="4">
        <f t="shared" si="165"/>
        <v>13.167666666666667</v>
      </c>
      <c r="P2663" s="4" t="str">
        <f>"nxt-1"</f>
        <v>nxt-1</v>
      </c>
      <c r="Q2663" s="4">
        <v>12.303524708641</v>
      </c>
      <c r="R2663" s="4">
        <v>13.0975742497635</v>
      </c>
      <c r="S2663" s="4">
        <v>13.159325115749001</v>
      </c>
      <c r="T2663" s="4">
        <f t="shared" si="166"/>
        <v>12.8534746913845</v>
      </c>
      <c r="W2663" s="4" t="str">
        <f>"mpz-1"</f>
        <v>mpz-1</v>
      </c>
      <c r="X2663" s="4">
        <v>12.8672526474219</v>
      </c>
      <c r="Y2663" s="4">
        <v>13.1123319196815</v>
      </c>
      <c r="Z2663" s="4">
        <v>12.6392397520956</v>
      </c>
      <c r="AA2663" s="4">
        <f t="shared" si="167"/>
        <v>12.872941439732999</v>
      </c>
    </row>
    <row r="2664" spans="2:27" x14ac:dyDescent="0.2">
      <c r="B2664" s="4" t="s">
        <v>2135</v>
      </c>
      <c r="C2664" s="4">
        <v>13.158099999999999</v>
      </c>
      <c r="D2664" s="4">
        <v>13.2021</v>
      </c>
      <c r="E2664" s="4">
        <v>13.1999</v>
      </c>
      <c r="F2664" s="4">
        <f t="shared" si="164"/>
        <v>13.1867</v>
      </c>
      <c r="I2664" s="4" t="s">
        <v>4077</v>
      </c>
      <c r="J2664" s="4">
        <v>13.603400000000001</v>
      </c>
      <c r="K2664" s="4">
        <v>12.8164</v>
      </c>
      <c r="L2664" s="4">
        <v>13.0776</v>
      </c>
      <c r="M2664" s="4">
        <f t="shared" si="165"/>
        <v>13.165799999999999</v>
      </c>
      <c r="P2664" s="4" t="str">
        <f>"Y51A2D.18"</f>
        <v>Y51A2D.18</v>
      </c>
      <c r="Q2664" s="4">
        <v>12.100917078059201</v>
      </c>
      <c r="R2664" s="4">
        <v>13.2298766051315</v>
      </c>
      <c r="S2664" s="4">
        <v>13.229398582672699</v>
      </c>
      <c r="T2664" s="4">
        <f t="shared" si="166"/>
        <v>12.853397421954467</v>
      </c>
      <c r="W2664" s="4" t="str">
        <f>"hmp-2"</f>
        <v>hmp-2</v>
      </c>
      <c r="X2664" s="4">
        <v>13.115188345923499</v>
      </c>
      <c r="Y2664" s="4">
        <v>12.905669157574501</v>
      </c>
      <c r="Z2664" s="4">
        <v>12.5747200459152</v>
      </c>
      <c r="AA2664" s="4">
        <f t="shared" si="167"/>
        <v>12.865192516471067</v>
      </c>
    </row>
    <row r="2665" spans="2:27" x14ac:dyDescent="0.2">
      <c r="B2665" s="4" t="s">
        <v>1329</v>
      </c>
      <c r="C2665" s="4">
        <v>13.407400000000001</v>
      </c>
      <c r="D2665" s="4">
        <v>13.2698</v>
      </c>
      <c r="E2665" s="4">
        <v>12.882300000000001</v>
      </c>
      <c r="F2665" s="4">
        <f t="shared" si="164"/>
        <v>13.186500000000001</v>
      </c>
      <c r="I2665" s="4" t="s">
        <v>3364</v>
      </c>
      <c r="J2665" s="4">
        <v>13.435700000000001</v>
      </c>
      <c r="K2665" s="4">
        <v>12.917999999999999</v>
      </c>
      <c r="L2665" s="4">
        <v>13.142799999999999</v>
      </c>
      <c r="M2665" s="4">
        <f t="shared" si="165"/>
        <v>13.1655</v>
      </c>
      <c r="P2665" s="4" t="str">
        <f>"gid-7"</f>
        <v>gid-7</v>
      </c>
      <c r="Q2665" s="4">
        <v>13.1636707894847</v>
      </c>
      <c r="R2665" s="4">
        <v>12.7979860582307</v>
      </c>
      <c r="S2665" s="4">
        <v>12.5984606794205</v>
      </c>
      <c r="T2665" s="4">
        <f t="shared" si="166"/>
        <v>12.8533725090453</v>
      </c>
      <c r="W2665" s="4" t="str">
        <f>"ZC506.1"</f>
        <v>ZC506.1</v>
      </c>
      <c r="X2665" s="4">
        <v>13.003531640492699</v>
      </c>
      <c r="Y2665" s="4">
        <v>12.675882881026199</v>
      </c>
      <c r="Z2665" s="4">
        <v>12.9159575899786</v>
      </c>
      <c r="AA2665" s="4">
        <f t="shared" si="167"/>
        <v>12.865124037165833</v>
      </c>
    </row>
    <row r="2666" spans="2:27" x14ac:dyDescent="0.2">
      <c r="B2666" s="4" t="s">
        <v>524</v>
      </c>
      <c r="C2666" s="4">
        <v>13.1843</v>
      </c>
      <c r="D2666" s="4">
        <v>12.7623</v>
      </c>
      <c r="E2666" s="4">
        <v>13.611700000000001</v>
      </c>
      <c r="F2666" s="4">
        <f t="shared" si="164"/>
        <v>13.186100000000001</v>
      </c>
      <c r="I2666" s="4" t="s">
        <v>4462</v>
      </c>
      <c r="J2666" s="4">
        <v>13.082700000000001</v>
      </c>
      <c r="K2666" s="4">
        <v>13.2385</v>
      </c>
      <c r="L2666" s="4">
        <v>13.172800000000001</v>
      </c>
      <c r="M2666" s="4">
        <f t="shared" si="165"/>
        <v>13.164666666666667</v>
      </c>
      <c r="P2666" s="4" t="str">
        <f>"ile-1"</f>
        <v>ile-1</v>
      </c>
      <c r="Q2666" s="4">
        <v>12.8623846341125</v>
      </c>
      <c r="R2666" s="4">
        <v>12.925185664895601</v>
      </c>
      <c r="S2666" s="4">
        <v>12.770865496567</v>
      </c>
      <c r="T2666" s="4">
        <f t="shared" si="166"/>
        <v>12.852811931858367</v>
      </c>
      <c r="W2666" s="4" t="str">
        <f>"puf-11"</f>
        <v>puf-11</v>
      </c>
      <c r="X2666" s="4">
        <v>13.073065034144101</v>
      </c>
      <c r="Y2666" s="4">
        <v>12.797549965570701</v>
      </c>
      <c r="Z2666" s="4">
        <v>12.724279030735399</v>
      </c>
      <c r="AA2666" s="4">
        <f t="shared" si="167"/>
        <v>12.864964676816735</v>
      </c>
    </row>
    <row r="2667" spans="2:27" x14ac:dyDescent="0.2">
      <c r="B2667" s="4" t="s">
        <v>312</v>
      </c>
      <c r="C2667" s="4">
        <v>12.9352</v>
      </c>
      <c r="D2667" s="4">
        <v>13.5444</v>
      </c>
      <c r="E2667" s="4">
        <v>13.0749</v>
      </c>
      <c r="F2667" s="4">
        <f t="shared" si="164"/>
        <v>13.184833333333332</v>
      </c>
      <c r="I2667" s="4" t="s">
        <v>2399</v>
      </c>
      <c r="J2667" s="4">
        <v>13.0199</v>
      </c>
      <c r="K2667" s="4">
        <v>13.095700000000001</v>
      </c>
      <c r="L2667" s="4">
        <v>13.3764</v>
      </c>
      <c r="M2667" s="4">
        <f t="shared" si="165"/>
        <v>13.164000000000001</v>
      </c>
      <c r="P2667" s="4" t="str">
        <f>"sel-9"</f>
        <v>sel-9</v>
      </c>
      <c r="Q2667" s="4">
        <v>12.5066610319264</v>
      </c>
      <c r="R2667" s="4">
        <v>12.9935673923157</v>
      </c>
      <c r="S2667" s="4">
        <v>13.0566895959024</v>
      </c>
      <c r="T2667" s="4">
        <f t="shared" si="166"/>
        <v>12.852306006714834</v>
      </c>
      <c r="W2667" s="4" t="str">
        <f>"cyp-13A2"</f>
        <v>cyp-13A2</v>
      </c>
      <c r="X2667" s="4">
        <v>12.9643887998377</v>
      </c>
      <c r="Y2667" s="4">
        <v>12.8541227626999</v>
      </c>
      <c r="Z2667" s="4">
        <v>12.775702823257401</v>
      </c>
      <c r="AA2667" s="4">
        <f t="shared" si="167"/>
        <v>12.864738128598333</v>
      </c>
    </row>
    <row r="2668" spans="2:27" x14ac:dyDescent="0.2">
      <c r="B2668" s="4" t="s">
        <v>1303</v>
      </c>
      <c r="C2668" s="4">
        <v>12.6677</v>
      </c>
      <c r="D2668" s="4">
        <v>13.7278</v>
      </c>
      <c r="E2668" s="4">
        <v>13.1531</v>
      </c>
      <c r="F2668" s="4">
        <f t="shared" si="164"/>
        <v>13.182866666666667</v>
      </c>
      <c r="I2668" s="4" t="s">
        <v>4769</v>
      </c>
      <c r="J2668" s="4">
        <v>13.0779</v>
      </c>
      <c r="K2668" s="4">
        <v>13.3261</v>
      </c>
      <c r="L2668" s="4">
        <v>13.081899999999999</v>
      </c>
      <c r="M2668" s="4">
        <f t="shared" si="165"/>
        <v>13.161966666666666</v>
      </c>
      <c r="P2668" s="4" t="str">
        <f>"ttr-6"</f>
        <v>ttr-6</v>
      </c>
      <c r="Q2668" s="4">
        <v>12.6558310565624</v>
      </c>
      <c r="R2668" s="4">
        <v>12.9370031318701</v>
      </c>
      <c r="S2668" s="4">
        <v>12.9553362976306</v>
      </c>
      <c r="T2668" s="4">
        <f t="shared" si="166"/>
        <v>12.849390162021033</v>
      </c>
      <c r="W2668" s="4" t="str">
        <f>"fat-6"</f>
        <v>fat-6</v>
      </c>
      <c r="X2668" s="4">
        <v>12.703547778607</v>
      </c>
      <c r="Y2668" s="4">
        <v>12.8349988374547</v>
      </c>
      <c r="Z2668" s="4">
        <v>13.050397661336399</v>
      </c>
      <c r="AA2668" s="4">
        <f t="shared" si="167"/>
        <v>12.862981425799367</v>
      </c>
    </row>
    <row r="2669" spans="2:27" x14ac:dyDescent="0.2">
      <c r="B2669" s="4" t="s">
        <v>1295</v>
      </c>
      <c r="C2669" s="4">
        <v>13.0237</v>
      </c>
      <c r="D2669" s="4">
        <v>13.913399999999999</v>
      </c>
      <c r="E2669" s="4">
        <v>12.6067</v>
      </c>
      <c r="F2669" s="4">
        <f t="shared" si="164"/>
        <v>13.181266666666668</v>
      </c>
      <c r="I2669" s="4" t="s">
        <v>4266</v>
      </c>
      <c r="J2669" s="4">
        <v>13.0909</v>
      </c>
      <c r="K2669" s="4">
        <v>13.093</v>
      </c>
      <c r="L2669" s="4">
        <v>13.275</v>
      </c>
      <c r="M2669" s="4">
        <f t="shared" si="165"/>
        <v>13.152966666666666</v>
      </c>
      <c r="P2669" s="4" t="str">
        <f>"cdh-12"</f>
        <v>cdh-12</v>
      </c>
      <c r="Q2669" s="4">
        <v>13.1084456371001</v>
      </c>
      <c r="R2669" s="4">
        <v>12.599512059218601</v>
      </c>
      <c r="S2669" s="4">
        <v>12.834565885497</v>
      </c>
      <c r="T2669" s="4">
        <f t="shared" si="166"/>
        <v>12.847507860605234</v>
      </c>
      <c r="W2669" s="4" t="str">
        <f>"Y17G9B.5"</f>
        <v>Y17G9B.5</v>
      </c>
      <c r="X2669" s="4">
        <v>12.4314542095945</v>
      </c>
      <c r="Y2669" s="4">
        <v>13.0090405993845</v>
      </c>
      <c r="Z2669" s="4">
        <v>13.141774751937399</v>
      </c>
      <c r="AA2669" s="4">
        <f t="shared" si="167"/>
        <v>12.860756520305467</v>
      </c>
    </row>
    <row r="2670" spans="2:27" x14ac:dyDescent="0.2">
      <c r="B2670" s="4" t="s">
        <v>1262</v>
      </c>
      <c r="C2670" s="4">
        <v>12.818300000000001</v>
      </c>
      <c r="D2670" s="4">
        <v>13.076499999999999</v>
      </c>
      <c r="E2670" s="4">
        <v>13.6286</v>
      </c>
      <c r="F2670" s="4">
        <f t="shared" si="164"/>
        <v>13.174466666666667</v>
      </c>
      <c r="I2670" s="4" t="s">
        <v>4786</v>
      </c>
      <c r="J2670" s="4">
        <v>13.350899999999999</v>
      </c>
      <c r="K2670" s="4">
        <v>13.248200000000001</v>
      </c>
      <c r="L2670" s="4">
        <v>12.8468</v>
      </c>
      <c r="M2670" s="4">
        <f t="shared" si="165"/>
        <v>13.148633333333335</v>
      </c>
      <c r="P2670" s="4" t="str">
        <f>"rfp-1"</f>
        <v>rfp-1</v>
      </c>
      <c r="Q2670" s="4">
        <v>13.029151246864901</v>
      </c>
      <c r="R2670" s="4">
        <v>12.7120566373549</v>
      </c>
      <c r="S2670" s="4">
        <v>12.7995483628873</v>
      </c>
      <c r="T2670" s="4">
        <f t="shared" si="166"/>
        <v>12.8469187490357</v>
      </c>
      <c r="W2670" s="4" t="str">
        <f>"ekl-1"</f>
        <v>ekl-1</v>
      </c>
      <c r="X2670" s="4">
        <v>12.6914260993741</v>
      </c>
      <c r="Y2670" s="4">
        <v>13.069892536662399</v>
      </c>
      <c r="Z2670" s="4">
        <v>12.8170356035204</v>
      </c>
      <c r="AA2670" s="4">
        <f t="shared" si="167"/>
        <v>12.859451413185633</v>
      </c>
    </row>
    <row r="2671" spans="2:27" x14ac:dyDescent="0.2">
      <c r="B2671" s="4" t="s">
        <v>3890</v>
      </c>
      <c r="C2671" s="4">
        <v>13.0715</v>
      </c>
      <c r="D2671" s="4">
        <v>13.1328</v>
      </c>
      <c r="E2671" s="4">
        <v>13.313700000000001</v>
      </c>
      <c r="F2671" s="4">
        <f t="shared" si="164"/>
        <v>13.172666666666666</v>
      </c>
      <c r="I2671" s="4" t="s">
        <v>496</v>
      </c>
      <c r="J2671" s="4">
        <v>13.2254</v>
      </c>
      <c r="K2671" s="4">
        <v>13.1122</v>
      </c>
      <c r="L2671" s="4">
        <v>13.107100000000001</v>
      </c>
      <c r="M2671" s="4">
        <f t="shared" si="165"/>
        <v>13.148233333333335</v>
      </c>
      <c r="P2671" s="4" t="str">
        <f>"alx-1"</f>
        <v>alx-1</v>
      </c>
      <c r="Q2671" s="4">
        <v>12.7804535504049</v>
      </c>
      <c r="R2671" s="4">
        <v>13.0488378153001</v>
      </c>
      <c r="S2671" s="4">
        <v>12.7093753591307</v>
      </c>
      <c r="T2671" s="4">
        <f t="shared" si="166"/>
        <v>12.846222241611899</v>
      </c>
      <c r="W2671" s="4" t="str">
        <f>"gldi-1"</f>
        <v>gldi-1</v>
      </c>
      <c r="X2671" s="4">
        <v>12.9889809444962</v>
      </c>
      <c r="Y2671" s="4">
        <v>13.122625181282199</v>
      </c>
      <c r="Z2671" s="4">
        <v>12.466479169847</v>
      </c>
      <c r="AA2671" s="4">
        <f t="shared" si="167"/>
        <v>12.859361765208467</v>
      </c>
    </row>
    <row r="2672" spans="2:27" x14ac:dyDescent="0.2">
      <c r="B2672" s="4" t="s">
        <v>3539</v>
      </c>
      <c r="C2672" s="4">
        <v>13.032999999999999</v>
      </c>
      <c r="D2672" s="4">
        <v>13.0406</v>
      </c>
      <c r="E2672" s="4">
        <v>13.440899999999999</v>
      </c>
      <c r="F2672" s="4">
        <f t="shared" si="164"/>
        <v>13.1715</v>
      </c>
      <c r="I2672" s="4" t="s">
        <v>139</v>
      </c>
      <c r="J2672" s="4">
        <v>13.289899999999999</v>
      </c>
      <c r="K2672" s="4">
        <v>13.4298</v>
      </c>
      <c r="L2672" s="4">
        <v>12.7218</v>
      </c>
      <c r="M2672" s="4">
        <f t="shared" si="165"/>
        <v>13.147166666666665</v>
      </c>
      <c r="P2672" s="4" t="str">
        <f>"pri-1"</f>
        <v>pri-1</v>
      </c>
      <c r="Q2672" s="4">
        <v>12.7529962155856</v>
      </c>
      <c r="R2672" s="4">
        <v>12.882688117756601</v>
      </c>
      <c r="S2672" s="4">
        <v>12.902120763070201</v>
      </c>
      <c r="T2672" s="4">
        <f t="shared" si="166"/>
        <v>12.845935032137467</v>
      </c>
      <c r="W2672" s="4" t="str">
        <f>"rbm-5"</f>
        <v>rbm-5</v>
      </c>
      <c r="X2672" s="4">
        <v>13.379736982945399</v>
      </c>
      <c r="Y2672" s="4">
        <v>12.7484277715988</v>
      </c>
      <c r="Z2672" s="4">
        <v>12.448965375999901</v>
      </c>
      <c r="AA2672" s="4">
        <f t="shared" si="167"/>
        <v>12.859043376848035</v>
      </c>
    </row>
    <row r="2673" spans="2:27" x14ac:dyDescent="0.2">
      <c r="B2673" s="4" t="s">
        <v>4167</v>
      </c>
      <c r="C2673" s="4">
        <v>13.0938</v>
      </c>
      <c r="D2673" s="4">
        <v>13.3874</v>
      </c>
      <c r="E2673" s="4">
        <v>13.032999999999999</v>
      </c>
      <c r="F2673" s="4">
        <f t="shared" si="164"/>
        <v>13.1714</v>
      </c>
      <c r="I2673" s="4" t="s">
        <v>1310</v>
      </c>
      <c r="J2673" s="4">
        <v>13.2239</v>
      </c>
      <c r="K2673" s="4">
        <v>13.2135</v>
      </c>
      <c r="L2673" s="4">
        <v>13.003299999999999</v>
      </c>
      <c r="M2673" s="4">
        <f t="shared" si="165"/>
        <v>13.1469</v>
      </c>
      <c r="P2673" s="4" t="str">
        <f>"mrpl-2"</f>
        <v>mrpl-2</v>
      </c>
      <c r="Q2673" s="4">
        <v>13.0674993481973</v>
      </c>
      <c r="R2673" s="4">
        <v>12.7792317459865</v>
      </c>
      <c r="S2673" s="4">
        <v>12.690788111022099</v>
      </c>
      <c r="T2673" s="4">
        <f t="shared" si="166"/>
        <v>12.845839735068635</v>
      </c>
      <c r="W2673" s="4" t="str">
        <f>"T10G3.3"</f>
        <v>T10G3.3</v>
      </c>
      <c r="X2673" s="4">
        <v>12.433633443502</v>
      </c>
      <c r="Y2673" s="4">
        <v>12.9052283000385</v>
      </c>
      <c r="Z2673" s="4">
        <v>13.237118236326801</v>
      </c>
      <c r="AA2673" s="4">
        <f t="shared" si="167"/>
        <v>12.8586599932891</v>
      </c>
    </row>
    <row r="2674" spans="2:27" x14ac:dyDescent="0.2">
      <c r="B2674" s="4" t="s">
        <v>313</v>
      </c>
      <c r="C2674" s="4">
        <v>12.9872</v>
      </c>
      <c r="D2674" s="4">
        <v>13.418200000000001</v>
      </c>
      <c r="E2674" s="4">
        <v>13.1044</v>
      </c>
      <c r="F2674" s="4">
        <f t="shared" si="164"/>
        <v>13.169933333333333</v>
      </c>
      <c r="I2674" s="4" t="s">
        <v>3675</v>
      </c>
      <c r="J2674" s="4">
        <v>13.1653</v>
      </c>
      <c r="K2674" s="4">
        <v>12.851699999999999</v>
      </c>
      <c r="L2674" s="4">
        <v>13.4209</v>
      </c>
      <c r="M2674" s="4">
        <f t="shared" si="165"/>
        <v>13.145966666666666</v>
      </c>
      <c r="P2674" s="4" t="str">
        <f>"oxi-1"</f>
        <v>oxi-1</v>
      </c>
      <c r="Q2674" s="4">
        <v>12.753227034766899</v>
      </c>
      <c r="R2674" s="4">
        <v>12.883555610837</v>
      </c>
      <c r="S2674" s="4">
        <v>12.8982341606412</v>
      </c>
      <c r="T2674" s="4">
        <f t="shared" si="166"/>
        <v>12.845005602081701</v>
      </c>
      <c r="W2674" s="4" t="str">
        <f>"tpa-1"</f>
        <v>tpa-1</v>
      </c>
      <c r="X2674" s="4">
        <v>12.567630071103499</v>
      </c>
      <c r="Y2674" s="4">
        <v>13.1039666861461</v>
      </c>
      <c r="Z2674" s="4">
        <v>12.9031086398212</v>
      </c>
      <c r="AA2674" s="4">
        <f t="shared" si="167"/>
        <v>12.858235132356933</v>
      </c>
    </row>
    <row r="2675" spans="2:27" x14ac:dyDescent="0.2">
      <c r="B2675" s="4" t="s">
        <v>3248</v>
      </c>
      <c r="C2675" s="4">
        <v>13.609400000000001</v>
      </c>
      <c r="D2675" s="4">
        <v>12.691800000000001</v>
      </c>
      <c r="E2675" s="4">
        <v>13.2066</v>
      </c>
      <c r="F2675" s="4">
        <f t="shared" si="164"/>
        <v>13.169266666666667</v>
      </c>
      <c r="I2675" s="4" t="s">
        <v>1540</v>
      </c>
      <c r="J2675" s="4">
        <v>12.7249</v>
      </c>
      <c r="K2675" s="4">
        <v>12.557399999999999</v>
      </c>
      <c r="L2675" s="4">
        <v>14.154400000000001</v>
      </c>
      <c r="M2675" s="4">
        <f t="shared" si="165"/>
        <v>13.145566666666667</v>
      </c>
      <c r="P2675" s="4" t="str">
        <f>"C07D8.6"</f>
        <v>C07D8.6</v>
      </c>
      <c r="Q2675" s="4">
        <v>11.951259846997999</v>
      </c>
      <c r="R2675" s="4">
        <v>13.080216539325701</v>
      </c>
      <c r="S2675" s="4">
        <v>13.493500137045601</v>
      </c>
      <c r="T2675" s="4">
        <f t="shared" si="166"/>
        <v>12.841658841123101</v>
      </c>
      <c r="W2675" s="4" t="str">
        <f>"F17A9.5"</f>
        <v>F17A9.5</v>
      </c>
      <c r="X2675" s="4">
        <v>12.7629657838337</v>
      </c>
      <c r="Y2675" s="4">
        <v>12.5932698134362</v>
      </c>
      <c r="Z2675" s="4">
        <v>13.2171663664076</v>
      </c>
      <c r="AA2675" s="4">
        <f t="shared" si="167"/>
        <v>12.857800654559165</v>
      </c>
    </row>
    <row r="2676" spans="2:27" x14ac:dyDescent="0.2">
      <c r="B2676" s="4" t="s">
        <v>1175</v>
      </c>
      <c r="C2676" s="4">
        <v>13.3476</v>
      </c>
      <c r="D2676" s="4">
        <v>12.601800000000001</v>
      </c>
      <c r="E2676" s="4">
        <v>13.533899999999999</v>
      </c>
      <c r="F2676" s="4">
        <f t="shared" si="164"/>
        <v>13.161099999999999</v>
      </c>
      <c r="I2676" s="4" t="s">
        <v>4539</v>
      </c>
      <c r="J2676" s="4">
        <v>12.460699999999999</v>
      </c>
      <c r="K2676" s="4">
        <v>13.258599999999999</v>
      </c>
      <c r="L2676" s="4">
        <v>13.7143</v>
      </c>
      <c r="M2676" s="4">
        <f t="shared" si="165"/>
        <v>13.144533333333333</v>
      </c>
      <c r="P2676" s="4" t="str">
        <f>"spe-15"</f>
        <v>spe-15</v>
      </c>
      <c r="Q2676" s="4">
        <v>12.628601072809101</v>
      </c>
      <c r="R2676" s="4">
        <v>12.947846649241599</v>
      </c>
      <c r="S2676" s="4">
        <v>12.9419333451906</v>
      </c>
      <c r="T2676" s="4">
        <f t="shared" si="166"/>
        <v>12.8394603557471</v>
      </c>
      <c r="W2676" s="4" t="str">
        <f>"jmjd-1.2"</f>
        <v>jmjd-1.2</v>
      </c>
      <c r="X2676" s="4">
        <v>12.949015804527599</v>
      </c>
      <c r="Y2676" s="4">
        <v>12.918939821834</v>
      </c>
      <c r="Z2676" s="4">
        <v>12.6961083826739</v>
      </c>
      <c r="AA2676" s="4">
        <f t="shared" si="167"/>
        <v>12.854688003011832</v>
      </c>
    </row>
    <row r="2677" spans="2:27" x14ac:dyDescent="0.2">
      <c r="B2677" s="4" t="s">
        <v>3364</v>
      </c>
      <c r="C2677" s="4">
        <v>13.3857</v>
      </c>
      <c r="D2677" s="4">
        <v>13.257199999999999</v>
      </c>
      <c r="E2677" s="4">
        <v>12.839700000000001</v>
      </c>
      <c r="F2677" s="4">
        <f t="shared" si="164"/>
        <v>13.160866666666665</v>
      </c>
      <c r="I2677" s="4" t="s">
        <v>4800</v>
      </c>
      <c r="J2677" s="4">
        <v>12.856</v>
      </c>
      <c r="K2677" s="4">
        <v>13.6319</v>
      </c>
      <c r="L2677" s="4">
        <v>12.940200000000001</v>
      </c>
      <c r="M2677" s="4">
        <f t="shared" si="165"/>
        <v>13.1427</v>
      </c>
      <c r="P2677" s="4" t="str">
        <f>"nish-1"</f>
        <v>nish-1</v>
      </c>
      <c r="Q2677" s="4">
        <v>12.5574219988849</v>
      </c>
      <c r="R2677" s="4">
        <v>12.8818452155827</v>
      </c>
      <c r="S2677" s="4">
        <v>13.0725489757359</v>
      </c>
      <c r="T2677" s="4">
        <f t="shared" si="166"/>
        <v>12.837272063401166</v>
      </c>
      <c r="W2677" s="4" t="str">
        <f>"Y48B6A.1"</f>
        <v>Y48B6A.1</v>
      </c>
      <c r="X2677" s="4">
        <v>13.079060688396</v>
      </c>
      <c r="Y2677" s="4">
        <v>12.8195588550205</v>
      </c>
      <c r="Z2677" s="4">
        <v>12.656641956245201</v>
      </c>
      <c r="AA2677" s="4">
        <f t="shared" si="167"/>
        <v>12.851753833220569</v>
      </c>
    </row>
    <row r="2678" spans="2:27" x14ac:dyDescent="0.2">
      <c r="B2678" s="4" t="s">
        <v>1396</v>
      </c>
      <c r="C2678" s="4">
        <v>13.1411</v>
      </c>
      <c r="D2678" s="4">
        <v>13.1325</v>
      </c>
      <c r="E2678" s="4">
        <v>13.2058</v>
      </c>
      <c r="F2678" s="4">
        <f t="shared" si="164"/>
        <v>13.159799999999999</v>
      </c>
      <c r="I2678" s="4" t="s">
        <v>4272</v>
      </c>
      <c r="J2678" s="4">
        <v>12.9343</v>
      </c>
      <c r="K2678" s="4">
        <v>13.3851</v>
      </c>
      <c r="L2678" s="4">
        <v>13.106199999999999</v>
      </c>
      <c r="M2678" s="4">
        <f t="shared" si="165"/>
        <v>13.141866666666667</v>
      </c>
      <c r="P2678" s="4" t="str">
        <f>"inx-17"</f>
        <v>inx-17</v>
      </c>
      <c r="Q2678" s="4">
        <v>12.4177064597925</v>
      </c>
      <c r="R2678" s="4">
        <v>13.033255434939999</v>
      </c>
      <c r="S2678" s="4">
        <v>13.0576074222898</v>
      </c>
      <c r="T2678" s="4">
        <f t="shared" si="166"/>
        <v>12.836189772340767</v>
      </c>
      <c r="W2678" s="4" t="str">
        <f>"F33H1.4"</f>
        <v>F33H1.4</v>
      </c>
      <c r="X2678" s="4">
        <v>12.785833097711899</v>
      </c>
      <c r="Y2678" s="4">
        <v>12.914609302939301</v>
      </c>
      <c r="Z2678" s="4">
        <v>12.8526752787559</v>
      </c>
      <c r="AA2678" s="4">
        <f t="shared" si="167"/>
        <v>12.851039226469032</v>
      </c>
    </row>
    <row r="2679" spans="2:27" x14ac:dyDescent="0.2">
      <c r="B2679" s="4" t="s">
        <v>1447</v>
      </c>
      <c r="C2679" s="4">
        <v>13.2658</v>
      </c>
      <c r="D2679" s="4">
        <v>13.2567</v>
      </c>
      <c r="E2679" s="4">
        <v>12.946999999999999</v>
      </c>
      <c r="F2679" s="4">
        <f t="shared" si="164"/>
        <v>13.156499999999999</v>
      </c>
      <c r="I2679" s="4" t="s">
        <v>1912</v>
      </c>
      <c r="J2679" s="4">
        <v>13.0762</v>
      </c>
      <c r="K2679" s="4">
        <v>12.972099999999999</v>
      </c>
      <c r="L2679" s="4">
        <v>13.354799999999999</v>
      </c>
      <c r="M2679" s="4">
        <f t="shared" si="165"/>
        <v>13.134366666666665</v>
      </c>
      <c r="P2679" s="4" t="str">
        <f>"rle-1"</f>
        <v>rle-1</v>
      </c>
      <c r="Q2679" s="4">
        <v>13.0777058863439</v>
      </c>
      <c r="R2679" s="4">
        <v>12.8072083035199</v>
      </c>
      <c r="S2679" s="4">
        <v>12.6185522672536</v>
      </c>
      <c r="T2679" s="4">
        <f t="shared" si="166"/>
        <v>12.834488819039132</v>
      </c>
      <c r="W2679" s="4" t="str">
        <f>"cdr-2"</f>
        <v>cdr-2</v>
      </c>
      <c r="X2679" s="4">
        <v>13.200106092495901</v>
      </c>
      <c r="Y2679" s="4">
        <v>12.6942733861324</v>
      </c>
      <c r="Z2679" s="4">
        <v>12.6585052798217</v>
      </c>
      <c r="AA2679" s="4">
        <f t="shared" si="167"/>
        <v>12.850961586150001</v>
      </c>
    </row>
    <row r="2680" spans="2:27" x14ac:dyDescent="0.2">
      <c r="B2680" s="4" t="s">
        <v>4315</v>
      </c>
      <c r="C2680" s="4">
        <v>12.8651</v>
      </c>
      <c r="D2680" s="4">
        <v>13.5596</v>
      </c>
      <c r="E2680" s="4">
        <v>13.042299999999999</v>
      </c>
      <c r="F2680" s="4">
        <f t="shared" si="164"/>
        <v>13.155666666666667</v>
      </c>
      <c r="I2680" s="4" t="s">
        <v>3539</v>
      </c>
      <c r="J2680" s="4">
        <v>13.172499999999999</v>
      </c>
      <c r="K2680" s="4">
        <v>13.263</v>
      </c>
      <c r="L2680" s="4">
        <v>12.9658</v>
      </c>
      <c r="M2680" s="4">
        <f t="shared" si="165"/>
        <v>13.133766666666666</v>
      </c>
      <c r="P2680" s="4" t="str">
        <f>"B0303.11"</f>
        <v>B0303.11</v>
      </c>
      <c r="Q2680" s="4">
        <v>12.5203763065948</v>
      </c>
      <c r="R2680" s="4">
        <v>12.9584724263759</v>
      </c>
      <c r="S2680" s="4">
        <v>13.022899070358701</v>
      </c>
      <c r="T2680" s="4">
        <f t="shared" si="166"/>
        <v>12.833915934443134</v>
      </c>
      <c r="W2680" s="4" t="str">
        <f>"thoc-1"</f>
        <v>thoc-1</v>
      </c>
      <c r="X2680" s="4">
        <v>12.971878896819801</v>
      </c>
      <c r="Y2680" s="4">
        <v>13.203934256392801</v>
      </c>
      <c r="Z2680" s="4">
        <v>12.3763544067818</v>
      </c>
      <c r="AA2680" s="4">
        <f t="shared" si="167"/>
        <v>12.850722519998135</v>
      </c>
    </row>
    <row r="2681" spans="2:27" x14ac:dyDescent="0.2">
      <c r="B2681" s="4" t="s">
        <v>595</v>
      </c>
      <c r="C2681" s="4">
        <v>12.7136</v>
      </c>
      <c r="D2681" s="4">
        <v>13.633900000000001</v>
      </c>
      <c r="E2681" s="4">
        <v>13.117699999999999</v>
      </c>
      <c r="F2681" s="4">
        <f t="shared" si="164"/>
        <v>13.155066666666665</v>
      </c>
      <c r="I2681" s="4" t="s">
        <v>2553</v>
      </c>
      <c r="J2681" s="4">
        <v>13.2995</v>
      </c>
      <c r="K2681" s="4">
        <v>12.900399999999999</v>
      </c>
      <c r="L2681" s="4">
        <v>13.1988</v>
      </c>
      <c r="M2681" s="4">
        <f t="shared" si="165"/>
        <v>13.132899999999999</v>
      </c>
      <c r="P2681" s="4" t="str">
        <f>"sly-1"</f>
        <v>sly-1</v>
      </c>
      <c r="Q2681" s="4">
        <v>12.494536902256</v>
      </c>
      <c r="R2681" s="4">
        <v>13.079345692330801</v>
      </c>
      <c r="S2681" s="4">
        <v>12.927139421921501</v>
      </c>
      <c r="T2681" s="4">
        <f t="shared" si="166"/>
        <v>12.833674005502766</v>
      </c>
      <c r="W2681" s="4" t="str">
        <f>"wts-1"</f>
        <v>wts-1</v>
      </c>
      <c r="X2681" s="4">
        <v>12.780262545402801</v>
      </c>
      <c r="Y2681" s="4">
        <v>13.1375759836914</v>
      </c>
      <c r="Z2681" s="4">
        <v>12.627218092243901</v>
      </c>
      <c r="AA2681" s="4">
        <f t="shared" si="167"/>
        <v>12.848352207112702</v>
      </c>
    </row>
    <row r="2682" spans="2:27" x14ac:dyDescent="0.2">
      <c r="B2682" s="4" t="s">
        <v>80</v>
      </c>
      <c r="C2682" s="4">
        <v>12.876200000000001</v>
      </c>
      <c r="D2682" s="4">
        <v>13.581200000000001</v>
      </c>
      <c r="E2682" s="4">
        <v>12.9901</v>
      </c>
      <c r="F2682" s="4">
        <f t="shared" si="164"/>
        <v>13.149166666666666</v>
      </c>
      <c r="I2682" s="4" t="s">
        <v>1748</v>
      </c>
      <c r="J2682" s="4">
        <v>13.1448</v>
      </c>
      <c r="K2682" s="4">
        <v>13.8453</v>
      </c>
      <c r="L2682" s="4">
        <v>12.3979</v>
      </c>
      <c r="M2682" s="4">
        <f t="shared" si="165"/>
        <v>13.129333333333333</v>
      </c>
      <c r="P2682" s="4" t="str">
        <f>"F42F12.3"</f>
        <v>F42F12.3</v>
      </c>
      <c r="Q2682" s="4">
        <v>12.4218189641122</v>
      </c>
      <c r="R2682" s="4">
        <v>13.1118857373009</v>
      </c>
      <c r="S2682" s="4">
        <v>12.964850780737301</v>
      </c>
      <c r="T2682" s="4">
        <f t="shared" si="166"/>
        <v>12.832851827383466</v>
      </c>
      <c r="W2682" s="4" t="str">
        <f>"phdh-1"</f>
        <v>phdh-1</v>
      </c>
      <c r="X2682" s="4">
        <v>12.82473451852</v>
      </c>
      <c r="Y2682" s="4">
        <v>12.460686778414599</v>
      </c>
      <c r="Z2682" s="4">
        <v>13.258693096377799</v>
      </c>
      <c r="AA2682" s="4">
        <f t="shared" si="167"/>
        <v>12.848038131104133</v>
      </c>
    </row>
    <row r="2683" spans="2:27" x14ac:dyDescent="0.2">
      <c r="B2683" s="4" t="s">
        <v>926</v>
      </c>
      <c r="C2683" s="4">
        <v>13.2662</v>
      </c>
      <c r="D2683" s="4">
        <v>13.9697</v>
      </c>
      <c r="E2683" s="4">
        <v>12.2098</v>
      </c>
      <c r="F2683" s="4">
        <f t="shared" si="164"/>
        <v>13.148566666666667</v>
      </c>
      <c r="I2683" s="4" t="s">
        <v>365</v>
      </c>
      <c r="J2683" s="4">
        <v>13.3413</v>
      </c>
      <c r="K2683" s="4">
        <v>12.9459</v>
      </c>
      <c r="L2683" s="4">
        <v>13.093400000000001</v>
      </c>
      <c r="M2683" s="4">
        <f t="shared" si="165"/>
        <v>13.126866666666666</v>
      </c>
      <c r="P2683" s="4" t="str">
        <f>"dpl-1"</f>
        <v>dpl-1</v>
      </c>
      <c r="Q2683" s="4">
        <v>12.7617595248571</v>
      </c>
      <c r="R2683" s="4">
        <v>12.829234596370499</v>
      </c>
      <c r="S2683" s="4">
        <v>12.9035795062241</v>
      </c>
      <c r="T2683" s="4">
        <f t="shared" si="166"/>
        <v>12.8315245424839</v>
      </c>
      <c r="W2683" s="4" t="str">
        <f>"nra-4"</f>
        <v>nra-4</v>
      </c>
      <c r="X2683" s="4">
        <v>13.0630140957287</v>
      </c>
      <c r="Y2683" s="4">
        <v>12.7663375549925</v>
      </c>
      <c r="Z2683" s="4">
        <v>12.7142554703932</v>
      </c>
      <c r="AA2683" s="4">
        <f t="shared" si="167"/>
        <v>12.847869040371465</v>
      </c>
    </row>
    <row r="2684" spans="2:27" x14ac:dyDescent="0.2">
      <c r="B2684" s="4" t="s">
        <v>2432</v>
      </c>
      <c r="C2684" s="4">
        <v>13.325100000000001</v>
      </c>
      <c r="D2684" s="4">
        <v>13.1098</v>
      </c>
      <c r="E2684" s="4">
        <v>12.997400000000001</v>
      </c>
      <c r="F2684" s="4">
        <f t="shared" si="164"/>
        <v>13.1441</v>
      </c>
      <c r="I2684" s="4" t="s">
        <v>4585</v>
      </c>
      <c r="J2684" s="4">
        <v>12.959099999999999</v>
      </c>
      <c r="K2684" s="4">
        <v>13.3742</v>
      </c>
      <c r="L2684" s="4">
        <v>13.0441</v>
      </c>
      <c r="M2684" s="4">
        <f t="shared" si="165"/>
        <v>13.1258</v>
      </c>
      <c r="P2684" s="4" t="str">
        <f>"mat-2"</f>
        <v>mat-2</v>
      </c>
      <c r="Q2684" s="4">
        <v>12.747705464754</v>
      </c>
      <c r="R2684" s="4">
        <v>12.883500808486</v>
      </c>
      <c r="S2684" s="4">
        <v>12.8633235643058</v>
      </c>
      <c r="T2684" s="4">
        <f t="shared" si="166"/>
        <v>12.8315099458486</v>
      </c>
      <c r="W2684" s="4" t="str">
        <f>"F36D4.5"</f>
        <v>F36D4.5</v>
      </c>
      <c r="X2684" s="4">
        <v>12.870312490664</v>
      </c>
      <c r="Y2684" s="4">
        <v>12.8879020458303</v>
      </c>
      <c r="Z2684" s="4">
        <v>12.779776479743999</v>
      </c>
      <c r="AA2684" s="4">
        <f t="shared" si="167"/>
        <v>12.845997005412768</v>
      </c>
    </row>
    <row r="2685" spans="2:27" x14ac:dyDescent="0.2">
      <c r="B2685" s="4" t="s">
        <v>2241</v>
      </c>
      <c r="C2685" s="4">
        <v>13.085900000000001</v>
      </c>
      <c r="D2685" s="4">
        <v>13.182499999999999</v>
      </c>
      <c r="E2685" s="4">
        <v>13.1531</v>
      </c>
      <c r="F2685" s="4">
        <f t="shared" si="164"/>
        <v>13.140500000000001</v>
      </c>
      <c r="I2685" s="4" t="s">
        <v>3038</v>
      </c>
      <c r="J2685" s="4">
        <v>13.006399999999999</v>
      </c>
      <c r="K2685" s="4">
        <v>12.937799999999999</v>
      </c>
      <c r="L2685" s="4">
        <v>13.431800000000001</v>
      </c>
      <c r="M2685" s="4">
        <f t="shared" si="165"/>
        <v>13.125333333333332</v>
      </c>
      <c r="P2685" s="4" t="str">
        <f>"C45G9.5"</f>
        <v>C45G9.5</v>
      </c>
      <c r="Q2685" s="4">
        <v>12.1233914485172</v>
      </c>
      <c r="R2685" s="4">
        <v>13.3603146925813</v>
      </c>
      <c r="S2685" s="4">
        <v>13.010640631386501</v>
      </c>
      <c r="T2685" s="4">
        <f t="shared" si="166"/>
        <v>12.831448924161668</v>
      </c>
      <c r="W2685" s="4" t="str">
        <f>"cas-2"</f>
        <v>cas-2</v>
      </c>
      <c r="X2685" s="4">
        <v>13.017510587258</v>
      </c>
      <c r="Y2685" s="4">
        <v>13.017732192005701</v>
      </c>
      <c r="Z2685" s="4">
        <v>12.500957843411401</v>
      </c>
      <c r="AA2685" s="4">
        <f t="shared" si="167"/>
        <v>12.845400207558368</v>
      </c>
    </row>
    <row r="2686" spans="2:27" x14ac:dyDescent="0.2">
      <c r="B2686" s="4" t="s">
        <v>3525</v>
      </c>
      <c r="C2686" s="4">
        <v>13.3607</v>
      </c>
      <c r="D2686" s="4">
        <v>12.678699999999999</v>
      </c>
      <c r="E2686" s="4">
        <v>13.379200000000001</v>
      </c>
      <c r="F2686" s="4">
        <f t="shared" si="164"/>
        <v>13.139533333333333</v>
      </c>
      <c r="I2686" s="4" t="s">
        <v>3313</v>
      </c>
      <c r="J2686" s="4">
        <v>12.9758</v>
      </c>
      <c r="K2686" s="4">
        <v>12.9405</v>
      </c>
      <c r="L2686" s="4">
        <v>13.4595</v>
      </c>
      <c r="M2686" s="4">
        <f t="shared" si="165"/>
        <v>13.125266666666667</v>
      </c>
      <c r="P2686" s="4" t="str">
        <f>"hum-2"</f>
        <v>hum-2</v>
      </c>
      <c r="Q2686" s="4">
        <v>12.8146207427086</v>
      </c>
      <c r="R2686" s="4">
        <v>12.9349748006452</v>
      </c>
      <c r="S2686" s="4">
        <v>12.7371518335856</v>
      </c>
      <c r="T2686" s="4">
        <f t="shared" si="166"/>
        <v>12.828915792313133</v>
      </c>
      <c r="W2686" s="4" t="str">
        <f>"oxi-1"</f>
        <v>oxi-1</v>
      </c>
      <c r="X2686" s="4">
        <v>12.870802728425801</v>
      </c>
      <c r="Y2686" s="4">
        <v>12.5809781690112</v>
      </c>
      <c r="Z2686" s="4">
        <v>13.0839815404976</v>
      </c>
      <c r="AA2686" s="4">
        <f t="shared" si="167"/>
        <v>12.845254145978201</v>
      </c>
    </row>
    <row r="2687" spans="2:27" x14ac:dyDescent="0.2">
      <c r="B2687" s="4" t="s">
        <v>1899</v>
      </c>
      <c r="C2687" s="4">
        <v>13.2149</v>
      </c>
      <c r="D2687" s="4">
        <v>13.1952</v>
      </c>
      <c r="E2687" s="4">
        <v>13.0022</v>
      </c>
      <c r="F2687" s="4">
        <f t="shared" si="164"/>
        <v>13.137433333333334</v>
      </c>
      <c r="I2687" s="4" t="s">
        <v>947</v>
      </c>
      <c r="J2687" s="4">
        <v>13.6975</v>
      </c>
      <c r="K2687" s="4">
        <v>13.0154</v>
      </c>
      <c r="L2687" s="4">
        <v>12.6394</v>
      </c>
      <c r="M2687" s="4">
        <f t="shared" si="165"/>
        <v>13.117433333333333</v>
      </c>
      <c r="P2687" s="4" t="str">
        <f>"F45E1.4"</f>
        <v>F45E1.4</v>
      </c>
      <c r="Q2687" s="4">
        <v>13.454784763455301</v>
      </c>
      <c r="R2687" s="4">
        <v>12.5831559681104</v>
      </c>
      <c r="S2687" s="4">
        <v>12.4484852558051</v>
      </c>
      <c r="T2687" s="4">
        <f t="shared" si="166"/>
        <v>12.828808662456934</v>
      </c>
      <c r="W2687" s="4" t="str">
        <f>"mrps-18b"</f>
        <v>mrps-18b</v>
      </c>
      <c r="X2687" s="4">
        <v>13.0602284297285</v>
      </c>
      <c r="Y2687" s="4">
        <v>12.8164503493709</v>
      </c>
      <c r="Z2687" s="4">
        <v>12.637884666035401</v>
      </c>
      <c r="AA2687" s="4">
        <f t="shared" si="167"/>
        <v>12.838187815044932</v>
      </c>
    </row>
    <row r="2688" spans="2:27" x14ac:dyDescent="0.2">
      <c r="B2688" s="4" t="s">
        <v>3940</v>
      </c>
      <c r="C2688" s="4">
        <v>13.071999999999999</v>
      </c>
      <c r="D2688" s="4">
        <v>13.6327</v>
      </c>
      <c r="E2688" s="4">
        <v>12.703799999999999</v>
      </c>
      <c r="F2688" s="4">
        <f t="shared" si="164"/>
        <v>13.136166666666666</v>
      </c>
      <c r="I2688" s="4" t="s">
        <v>3108</v>
      </c>
      <c r="J2688" s="4">
        <v>13.3644</v>
      </c>
      <c r="K2688" s="4">
        <v>12.8294</v>
      </c>
      <c r="L2688" s="4">
        <v>13.1577</v>
      </c>
      <c r="M2688" s="4">
        <f t="shared" si="165"/>
        <v>13.117166666666668</v>
      </c>
      <c r="P2688" s="4" t="str">
        <f>"gcy-28"</f>
        <v>gcy-28</v>
      </c>
      <c r="Q2688" s="4">
        <v>12.5426405913986</v>
      </c>
      <c r="R2688" s="4">
        <v>12.856388774387</v>
      </c>
      <c r="S2688" s="4">
        <v>13.079885772931799</v>
      </c>
      <c r="T2688" s="4">
        <f t="shared" si="166"/>
        <v>12.826305046239133</v>
      </c>
      <c r="W2688" s="4" t="str">
        <f>"vha-5"</f>
        <v>vha-5</v>
      </c>
      <c r="X2688" s="4">
        <v>12.366390401146599</v>
      </c>
      <c r="Y2688" s="4">
        <v>12.6988370489715</v>
      </c>
      <c r="Z2688" s="4">
        <v>13.4397493532555</v>
      </c>
      <c r="AA2688" s="4">
        <f t="shared" si="167"/>
        <v>12.834992267791201</v>
      </c>
    </row>
    <row r="2689" spans="2:27" x14ac:dyDescent="0.2">
      <c r="B2689" s="4" t="s">
        <v>609</v>
      </c>
      <c r="C2689" s="4">
        <v>13.0083</v>
      </c>
      <c r="D2689" s="4">
        <v>13.0868</v>
      </c>
      <c r="E2689" s="4">
        <v>13.310600000000001</v>
      </c>
      <c r="F2689" s="4">
        <f t="shared" si="164"/>
        <v>13.135233333333334</v>
      </c>
      <c r="I2689" s="4" t="s">
        <v>4823</v>
      </c>
      <c r="J2689" s="4">
        <v>13.0783</v>
      </c>
      <c r="K2689" s="4">
        <v>13.067399999999999</v>
      </c>
      <c r="L2689" s="4">
        <v>13.204700000000001</v>
      </c>
      <c r="M2689" s="4">
        <f t="shared" si="165"/>
        <v>13.1168</v>
      </c>
      <c r="P2689" s="4" t="str">
        <f>"cdc-37"</f>
        <v>cdc-37</v>
      </c>
      <c r="Q2689" s="4">
        <v>13.756474755067799</v>
      </c>
      <c r="R2689" s="4">
        <v>12.2958103973712</v>
      </c>
      <c r="S2689" s="4">
        <v>12.4251775221743</v>
      </c>
      <c r="T2689" s="4">
        <f t="shared" si="166"/>
        <v>12.825820891537766</v>
      </c>
      <c r="W2689" s="4" t="str">
        <f>"arrd-17"</f>
        <v>arrd-17</v>
      </c>
      <c r="X2689" s="4">
        <v>12.842115894503401</v>
      </c>
      <c r="Y2689" s="4">
        <v>13.0049756435518</v>
      </c>
      <c r="Z2689" s="4">
        <v>12.6537711302333</v>
      </c>
      <c r="AA2689" s="4">
        <f t="shared" si="167"/>
        <v>12.833620889429502</v>
      </c>
    </row>
    <row r="2690" spans="2:27" x14ac:dyDescent="0.2">
      <c r="B2690" s="4" t="s">
        <v>3035</v>
      </c>
      <c r="C2690" s="4">
        <v>13.227</v>
      </c>
      <c r="D2690" s="4">
        <v>12.789300000000001</v>
      </c>
      <c r="E2690" s="4">
        <v>13.382300000000001</v>
      </c>
      <c r="F2690" s="4">
        <f t="shared" ref="F2690:F2753" si="168">(C2690+D2690+E2690)/3</f>
        <v>13.132866666666667</v>
      </c>
      <c r="I2690" s="4" t="s">
        <v>2705</v>
      </c>
      <c r="J2690" s="4">
        <v>13.201599999999999</v>
      </c>
      <c r="K2690" s="4">
        <v>12.700100000000001</v>
      </c>
      <c r="L2690" s="4">
        <v>13.440899999999999</v>
      </c>
      <c r="M2690" s="4">
        <f t="shared" ref="M2690:M2753" si="169">(J2690+K2690+L2690)/3</f>
        <v>13.114199999999999</v>
      </c>
      <c r="P2690" s="4" t="str">
        <f>"nas-11"</f>
        <v>nas-11</v>
      </c>
      <c r="Q2690" s="4">
        <v>12.878624956228901</v>
      </c>
      <c r="R2690" s="4">
        <v>13.044773623114899</v>
      </c>
      <c r="S2690" s="4">
        <v>12.5528215721745</v>
      </c>
      <c r="T2690" s="4">
        <f t="shared" ref="T2690:T2753" si="170">(Q2690+R2690+S2690)/3</f>
        <v>12.825406717172767</v>
      </c>
      <c r="W2690" s="4" t="str">
        <f>"R08D7.1"</f>
        <v>R08D7.1</v>
      </c>
      <c r="X2690" s="4">
        <v>12.9605968032034</v>
      </c>
      <c r="Y2690" s="4">
        <v>12.8738274756811</v>
      </c>
      <c r="Z2690" s="4">
        <v>12.6582091250544</v>
      </c>
      <c r="AA2690" s="4">
        <f t="shared" ref="AA2690:AA2753" si="171">(X2690+Y2690+Z2690)/3</f>
        <v>12.830877801312965</v>
      </c>
    </row>
    <row r="2691" spans="2:27" x14ac:dyDescent="0.2">
      <c r="B2691" s="4" t="s">
        <v>1460</v>
      </c>
      <c r="C2691" s="4">
        <v>13.169600000000001</v>
      </c>
      <c r="D2691" s="4">
        <v>13.196</v>
      </c>
      <c r="E2691" s="4">
        <v>13.0207</v>
      </c>
      <c r="F2691" s="4">
        <f t="shared" si="168"/>
        <v>13.128766666666666</v>
      </c>
      <c r="I2691" s="4" t="s">
        <v>2969</v>
      </c>
      <c r="J2691" s="4">
        <v>13.052199999999999</v>
      </c>
      <c r="K2691" s="4">
        <v>13.151199999999999</v>
      </c>
      <c r="L2691" s="4">
        <v>13.1303</v>
      </c>
      <c r="M2691" s="4">
        <f t="shared" si="169"/>
        <v>13.111233333333333</v>
      </c>
      <c r="P2691" s="4" t="str">
        <f>"asps-1"</f>
        <v>asps-1</v>
      </c>
      <c r="Q2691" s="4">
        <v>12.760031315675</v>
      </c>
      <c r="R2691" s="4">
        <v>12.836973851878099</v>
      </c>
      <c r="S2691" s="4">
        <v>12.8772793975448</v>
      </c>
      <c r="T2691" s="4">
        <f t="shared" si="170"/>
        <v>12.824761521699301</v>
      </c>
      <c r="W2691" s="4" t="str">
        <f>"tfg-1"</f>
        <v>tfg-1</v>
      </c>
      <c r="X2691" s="4">
        <v>13.108954868484499</v>
      </c>
      <c r="Y2691" s="4">
        <v>12.2852318054211</v>
      </c>
      <c r="Z2691" s="4">
        <v>13.097312747742</v>
      </c>
      <c r="AA2691" s="4">
        <f t="shared" si="171"/>
        <v>12.830499807215867</v>
      </c>
    </row>
    <row r="2692" spans="2:27" x14ac:dyDescent="0.2">
      <c r="B2692" s="4" t="s">
        <v>1164</v>
      </c>
      <c r="C2692" s="4">
        <v>13.355600000000001</v>
      </c>
      <c r="D2692" s="4">
        <v>12.607799999999999</v>
      </c>
      <c r="E2692" s="4">
        <v>13.422499999999999</v>
      </c>
      <c r="F2692" s="4">
        <f t="shared" si="168"/>
        <v>13.128633333333333</v>
      </c>
      <c r="I2692" s="4" t="s">
        <v>1781</v>
      </c>
      <c r="J2692" s="4">
        <v>12.829599999999999</v>
      </c>
      <c r="K2692" s="4">
        <v>13.262700000000001</v>
      </c>
      <c r="L2692" s="4">
        <v>13.229100000000001</v>
      </c>
      <c r="M2692" s="4">
        <f t="shared" si="169"/>
        <v>13.107133333333335</v>
      </c>
      <c r="P2692" s="4" t="str">
        <f>"lin-5"</f>
        <v>lin-5</v>
      </c>
      <c r="Q2692" s="4">
        <v>12.7708067772218</v>
      </c>
      <c r="R2692" s="4">
        <v>12.886770697802101</v>
      </c>
      <c r="S2692" s="4">
        <v>12.815771126923099</v>
      </c>
      <c r="T2692" s="4">
        <f t="shared" si="170"/>
        <v>12.824449533982332</v>
      </c>
      <c r="W2692" s="4" t="str">
        <f>"C29F3.7"</f>
        <v>C29F3.7</v>
      </c>
      <c r="X2692" s="4">
        <v>13.2573947206049</v>
      </c>
      <c r="Y2692" s="4">
        <v>12.5919407776738</v>
      </c>
      <c r="Z2692" s="4">
        <v>12.6421309848339</v>
      </c>
      <c r="AA2692" s="4">
        <f t="shared" si="171"/>
        <v>12.830488827704199</v>
      </c>
    </row>
    <row r="2693" spans="2:27" x14ac:dyDescent="0.2">
      <c r="B2693" s="4" t="s">
        <v>3155</v>
      </c>
      <c r="C2693" s="4">
        <v>13.4026</v>
      </c>
      <c r="D2693" s="4">
        <v>13.067</v>
      </c>
      <c r="E2693" s="4">
        <v>12.915699999999999</v>
      </c>
      <c r="F2693" s="4">
        <f t="shared" si="168"/>
        <v>13.128433333333334</v>
      </c>
      <c r="I2693" s="4" t="s">
        <v>2988</v>
      </c>
      <c r="J2693" s="4">
        <v>13.2593</v>
      </c>
      <c r="K2693" s="4">
        <v>13.0511</v>
      </c>
      <c r="L2693" s="4">
        <v>12.993399999999999</v>
      </c>
      <c r="M2693" s="4">
        <f t="shared" si="169"/>
        <v>13.101266666666668</v>
      </c>
      <c r="P2693" s="4" t="str">
        <f>"pbs-3"</f>
        <v>pbs-3</v>
      </c>
      <c r="Q2693" s="4">
        <v>12.859348188382</v>
      </c>
      <c r="R2693" s="4">
        <v>12.816237112493001</v>
      </c>
      <c r="S2693" s="4">
        <v>12.7964662554164</v>
      </c>
      <c r="T2693" s="4">
        <f t="shared" si="170"/>
        <v>12.824017185430465</v>
      </c>
      <c r="W2693" s="4" t="str">
        <f>"eat-17"</f>
        <v>eat-17</v>
      </c>
      <c r="X2693" s="4">
        <v>13.346755541128701</v>
      </c>
      <c r="Y2693" s="4">
        <v>12.493915910338201</v>
      </c>
      <c r="Z2693" s="4">
        <v>12.6491739451266</v>
      </c>
      <c r="AA2693" s="4">
        <f t="shared" si="171"/>
        <v>12.829948465531167</v>
      </c>
    </row>
    <row r="2694" spans="2:27" x14ac:dyDescent="0.2">
      <c r="B2694" s="4" t="s">
        <v>4821</v>
      </c>
      <c r="C2694" s="4">
        <v>13.041399999999999</v>
      </c>
      <c r="D2694" s="4">
        <v>13.2187</v>
      </c>
      <c r="E2694" s="4">
        <v>13.111000000000001</v>
      </c>
      <c r="F2694" s="4">
        <f t="shared" si="168"/>
        <v>13.123699999999999</v>
      </c>
      <c r="I2694" s="4" t="s">
        <v>4809</v>
      </c>
      <c r="J2694" s="4">
        <v>12.891299999999999</v>
      </c>
      <c r="K2694" s="4">
        <v>13.4702</v>
      </c>
      <c r="L2694" s="4">
        <v>12.940899999999999</v>
      </c>
      <c r="M2694" s="4">
        <f t="shared" si="169"/>
        <v>13.1008</v>
      </c>
      <c r="P2694" s="4" t="str">
        <f>"snx-13"</f>
        <v>snx-13</v>
      </c>
      <c r="Q2694" s="4">
        <v>12.841173065375999</v>
      </c>
      <c r="R2694" s="4">
        <v>12.851292568120099</v>
      </c>
      <c r="S2694" s="4">
        <v>12.778623783677499</v>
      </c>
      <c r="T2694" s="4">
        <f t="shared" si="170"/>
        <v>12.8236964723912</v>
      </c>
      <c r="W2694" s="4" t="str">
        <f>"snx-6"</f>
        <v>snx-6</v>
      </c>
      <c r="X2694" s="4">
        <v>12.708614317252</v>
      </c>
      <c r="Y2694" s="4">
        <v>12.820736620009299</v>
      </c>
      <c r="Z2694" s="4">
        <v>12.9560495188878</v>
      </c>
      <c r="AA2694" s="4">
        <f t="shared" si="171"/>
        <v>12.828466818716366</v>
      </c>
    </row>
    <row r="2695" spans="2:27" x14ac:dyDescent="0.2">
      <c r="B2695" s="4" t="s">
        <v>3698</v>
      </c>
      <c r="C2695" s="4">
        <v>12.958299999999999</v>
      </c>
      <c r="D2695" s="4">
        <v>13.276</v>
      </c>
      <c r="E2695" s="4">
        <v>13.110799999999999</v>
      </c>
      <c r="F2695" s="4">
        <f t="shared" si="168"/>
        <v>13.115033333333331</v>
      </c>
      <c r="I2695" s="4" t="s">
        <v>4773</v>
      </c>
      <c r="J2695" s="4">
        <v>13.0641</v>
      </c>
      <c r="K2695" s="4">
        <v>13.2599</v>
      </c>
      <c r="L2695" s="4">
        <v>12.9763</v>
      </c>
      <c r="M2695" s="4">
        <f t="shared" si="169"/>
        <v>13.100099999999999</v>
      </c>
      <c r="P2695" s="4" t="str">
        <f>"F09E5.11"</f>
        <v>F09E5.11</v>
      </c>
      <c r="Q2695" s="4">
        <v>12.271807709200599</v>
      </c>
      <c r="R2695" s="4">
        <v>13.3185287717495</v>
      </c>
      <c r="S2695" s="4">
        <v>12.880606646532</v>
      </c>
      <c r="T2695" s="4">
        <f t="shared" si="170"/>
        <v>12.823647709160701</v>
      </c>
      <c r="W2695" s="4" t="str">
        <f>"fbxa-182"</f>
        <v>fbxa-182</v>
      </c>
      <c r="X2695" s="4">
        <v>12.762484308284099</v>
      </c>
      <c r="Y2695" s="4">
        <v>12.648038774049001</v>
      </c>
      <c r="Z2695" s="4">
        <v>13.073246946503099</v>
      </c>
      <c r="AA2695" s="4">
        <f t="shared" si="171"/>
        <v>12.827923342945398</v>
      </c>
    </row>
    <row r="2696" spans="2:27" x14ac:dyDescent="0.2">
      <c r="B2696" s="4" t="s">
        <v>4280</v>
      </c>
      <c r="C2696" s="4">
        <v>12.7209</v>
      </c>
      <c r="D2696" s="4">
        <v>13.3347</v>
      </c>
      <c r="E2696" s="4">
        <v>13.288600000000001</v>
      </c>
      <c r="F2696" s="4">
        <f t="shared" si="168"/>
        <v>13.114733333333334</v>
      </c>
      <c r="I2696" s="4" t="s">
        <v>4798</v>
      </c>
      <c r="J2696" s="4">
        <v>13.230700000000001</v>
      </c>
      <c r="K2696" s="4">
        <v>13.2234</v>
      </c>
      <c r="L2696" s="4">
        <v>12.8422</v>
      </c>
      <c r="M2696" s="4">
        <f t="shared" si="169"/>
        <v>13.098766666666668</v>
      </c>
      <c r="P2696" s="4" t="str">
        <f>"pfkb-1.2"</f>
        <v>pfkb-1.2</v>
      </c>
      <c r="Q2696" s="4">
        <v>12.652975484188699</v>
      </c>
      <c r="R2696" s="4">
        <v>12.993006903369301</v>
      </c>
      <c r="S2696" s="4">
        <v>12.821364733858401</v>
      </c>
      <c r="T2696" s="4">
        <f t="shared" si="170"/>
        <v>12.822449040472135</v>
      </c>
      <c r="W2696" s="4" t="str">
        <f>"hrpf-2"</f>
        <v>hrpf-2</v>
      </c>
      <c r="X2696" s="4">
        <v>12.7101494100362</v>
      </c>
      <c r="Y2696" s="4">
        <v>12.969290870043199</v>
      </c>
      <c r="Z2696" s="4">
        <v>12.803439765897</v>
      </c>
      <c r="AA2696" s="4">
        <f t="shared" si="171"/>
        <v>12.827626681992134</v>
      </c>
    </row>
    <row r="2697" spans="2:27" x14ac:dyDescent="0.2">
      <c r="B2697" s="4" t="s">
        <v>2433</v>
      </c>
      <c r="C2697" s="4">
        <v>13.310600000000001</v>
      </c>
      <c r="D2697" s="4">
        <v>13.129799999999999</v>
      </c>
      <c r="E2697" s="4">
        <v>12.900399999999999</v>
      </c>
      <c r="F2697" s="4">
        <f t="shared" si="168"/>
        <v>13.1136</v>
      </c>
      <c r="I2697" s="4" t="s">
        <v>1906</v>
      </c>
      <c r="J2697" s="4">
        <v>12.9344</v>
      </c>
      <c r="K2697" s="4">
        <v>13.257</v>
      </c>
      <c r="L2697" s="4">
        <v>13.1022</v>
      </c>
      <c r="M2697" s="4">
        <f t="shared" si="169"/>
        <v>13.097866666666667</v>
      </c>
      <c r="P2697" s="4" t="str">
        <f>"hmp-2"</f>
        <v>hmp-2</v>
      </c>
      <c r="Q2697" s="4">
        <v>12.8333849752236</v>
      </c>
      <c r="R2697" s="4">
        <v>12.9438742099266</v>
      </c>
      <c r="S2697" s="4">
        <v>12.687728670581601</v>
      </c>
      <c r="T2697" s="4">
        <f t="shared" si="170"/>
        <v>12.821662618577266</v>
      </c>
      <c r="W2697" s="4" t="str">
        <f>"phy-2"</f>
        <v>phy-2</v>
      </c>
      <c r="X2697" s="4">
        <v>12.691805536380899</v>
      </c>
      <c r="Y2697" s="4">
        <v>12.7654175339723</v>
      </c>
      <c r="Z2697" s="4">
        <v>13.004740092644001</v>
      </c>
      <c r="AA2697" s="4">
        <f t="shared" si="171"/>
        <v>12.820654387665734</v>
      </c>
    </row>
    <row r="2698" spans="2:27" x14ac:dyDescent="0.2">
      <c r="B2698" s="4" t="s">
        <v>518</v>
      </c>
      <c r="C2698" s="4">
        <v>13.069699999999999</v>
      </c>
      <c r="D2698" s="4">
        <v>13.151400000000001</v>
      </c>
      <c r="E2698" s="4">
        <v>13.106400000000001</v>
      </c>
      <c r="F2698" s="4">
        <f t="shared" si="168"/>
        <v>13.109166666666667</v>
      </c>
      <c r="I2698" s="4" t="s">
        <v>3546</v>
      </c>
      <c r="J2698" s="4">
        <v>12.8217</v>
      </c>
      <c r="K2698" s="4">
        <v>13.3043</v>
      </c>
      <c r="L2698" s="4">
        <v>13.165900000000001</v>
      </c>
      <c r="M2698" s="4">
        <f t="shared" si="169"/>
        <v>13.097299999999999</v>
      </c>
      <c r="P2698" s="4" t="str">
        <f>"ubh-3"</f>
        <v>ubh-3</v>
      </c>
      <c r="Q2698" s="4">
        <v>12.6347888150892</v>
      </c>
      <c r="R2698" s="4">
        <v>12.935169037419399</v>
      </c>
      <c r="S2698" s="4">
        <v>12.8940350176725</v>
      </c>
      <c r="T2698" s="4">
        <f t="shared" si="170"/>
        <v>12.821330956727033</v>
      </c>
      <c r="W2698" s="4" t="str">
        <f>"pid-3"</f>
        <v>pid-3</v>
      </c>
      <c r="X2698" s="4">
        <v>13.0729886564711</v>
      </c>
      <c r="Y2698" s="4">
        <v>12.7252537272058</v>
      </c>
      <c r="Z2698" s="4">
        <v>12.6636128171602</v>
      </c>
      <c r="AA2698" s="4">
        <f t="shared" si="171"/>
        <v>12.820618400279033</v>
      </c>
    </row>
    <row r="2699" spans="2:27" x14ac:dyDescent="0.2">
      <c r="B2699" s="4" t="s">
        <v>34</v>
      </c>
      <c r="C2699" s="4">
        <v>12.816800000000001</v>
      </c>
      <c r="D2699" s="4">
        <v>12.9833</v>
      </c>
      <c r="E2699" s="4">
        <v>13.519399999999999</v>
      </c>
      <c r="F2699" s="4">
        <f t="shared" si="168"/>
        <v>13.106499999999999</v>
      </c>
      <c r="I2699" s="4" t="s">
        <v>1823</v>
      </c>
      <c r="J2699" s="4">
        <v>13.469799999999999</v>
      </c>
      <c r="K2699" s="4">
        <v>12.9216</v>
      </c>
      <c r="L2699" s="4">
        <v>12.892099999999999</v>
      </c>
      <c r="M2699" s="4">
        <f t="shared" si="169"/>
        <v>13.094499999999998</v>
      </c>
      <c r="P2699" s="4" t="str">
        <f>"cbp-1"</f>
        <v>cbp-1</v>
      </c>
      <c r="Q2699" s="4">
        <v>12.976055259245401</v>
      </c>
      <c r="R2699" s="4">
        <v>12.800423872908899</v>
      </c>
      <c r="S2699" s="4">
        <v>12.685981355788501</v>
      </c>
      <c r="T2699" s="4">
        <f t="shared" si="170"/>
        <v>12.8208201626476</v>
      </c>
      <c r="W2699" s="4" t="str">
        <f>"pri-2"</f>
        <v>pri-2</v>
      </c>
      <c r="X2699" s="4">
        <v>13.2557432226596</v>
      </c>
      <c r="Y2699" s="4">
        <v>12.1679511827683</v>
      </c>
      <c r="Z2699" s="4">
        <v>13.0379568467417</v>
      </c>
      <c r="AA2699" s="4">
        <f t="shared" si="171"/>
        <v>12.820550417389867</v>
      </c>
    </row>
    <row r="2700" spans="2:27" x14ac:dyDescent="0.2">
      <c r="B2700" s="4" t="s">
        <v>3868</v>
      </c>
      <c r="C2700" s="4">
        <v>13.014799999999999</v>
      </c>
      <c r="D2700" s="4">
        <v>12.9109</v>
      </c>
      <c r="E2700" s="4">
        <v>13.386799999999999</v>
      </c>
      <c r="F2700" s="4">
        <f t="shared" si="168"/>
        <v>13.104166666666666</v>
      </c>
      <c r="I2700" s="4" t="s">
        <v>2797</v>
      </c>
      <c r="J2700" s="4">
        <v>13.040900000000001</v>
      </c>
      <c r="K2700" s="4">
        <v>13.2417</v>
      </c>
      <c r="L2700" s="4">
        <v>12.992100000000001</v>
      </c>
      <c r="M2700" s="4">
        <f t="shared" si="169"/>
        <v>13.091566666666667</v>
      </c>
      <c r="P2700" s="4" t="str">
        <f>"inx-9"</f>
        <v>inx-9</v>
      </c>
      <c r="Q2700" s="4">
        <v>12.635720195904099</v>
      </c>
      <c r="R2700" s="4">
        <v>12.788692410122</v>
      </c>
      <c r="S2700" s="4">
        <v>13.0354380558244</v>
      </c>
      <c r="T2700" s="4">
        <f t="shared" si="170"/>
        <v>12.819950220616832</v>
      </c>
      <c r="W2700" s="4" t="str">
        <f>"Y57A10A.27"</f>
        <v>Y57A10A.27</v>
      </c>
      <c r="X2700" s="4">
        <v>12.358902729420301</v>
      </c>
      <c r="Y2700" s="4">
        <v>13.0578311731288</v>
      </c>
      <c r="Z2700" s="4">
        <v>13.038230486637</v>
      </c>
      <c r="AA2700" s="4">
        <f t="shared" si="171"/>
        <v>12.818321463062034</v>
      </c>
    </row>
    <row r="2701" spans="2:27" x14ac:dyDescent="0.2">
      <c r="B2701" s="4" t="s">
        <v>3600</v>
      </c>
      <c r="C2701" s="4">
        <v>13.172599999999999</v>
      </c>
      <c r="D2701" s="4">
        <v>12.7356</v>
      </c>
      <c r="E2701" s="4">
        <v>13.3985</v>
      </c>
      <c r="F2701" s="4">
        <f t="shared" si="168"/>
        <v>13.102233333333333</v>
      </c>
      <c r="I2701" s="4" t="s">
        <v>2283</v>
      </c>
      <c r="J2701" s="4">
        <v>13.3271</v>
      </c>
      <c r="K2701" s="4">
        <v>13.2624</v>
      </c>
      <c r="L2701" s="4">
        <v>12.6731</v>
      </c>
      <c r="M2701" s="4">
        <f t="shared" si="169"/>
        <v>13.087533333333333</v>
      </c>
      <c r="P2701" s="4" t="str">
        <f>"lin-15B"</f>
        <v>lin-15B</v>
      </c>
      <c r="Q2701" s="4">
        <v>12.7756395354613</v>
      </c>
      <c r="R2701" s="4">
        <v>12.8445877859972</v>
      </c>
      <c r="S2701" s="4">
        <v>12.8390276794338</v>
      </c>
      <c r="T2701" s="4">
        <f t="shared" si="170"/>
        <v>12.8197516669641</v>
      </c>
      <c r="W2701" s="4" t="str">
        <f>"cyp-35b2"</f>
        <v>cyp-35b2</v>
      </c>
      <c r="X2701" s="4">
        <v>12.711823272323199</v>
      </c>
      <c r="Y2701" s="4">
        <v>13.332235887393001</v>
      </c>
      <c r="Z2701" s="4">
        <v>12.4088283285742</v>
      </c>
      <c r="AA2701" s="4">
        <f t="shared" si="171"/>
        <v>12.817629162763467</v>
      </c>
    </row>
    <row r="2702" spans="2:27" x14ac:dyDescent="0.2">
      <c r="B2702" s="4" t="s">
        <v>1051</v>
      </c>
      <c r="C2702" s="4">
        <v>12.729799999999999</v>
      </c>
      <c r="D2702" s="4">
        <v>13.260899999999999</v>
      </c>
      <c r="E2702" s="4">
        <v>13.303900000000001</v>
      </c>
      <c r="F2702" s="4">
        <f t="shared" si="168"/>
        <v>13.098199999999999</v>
      </c>
      <c r="I2702" s="4" t="s">
        <v>3142</v>
      </c>
      <c r="J2702" s="4">
        <v>12.774800000000001</v>
      </c>
      <c r="K2702" s="4">
        <v>13.0091</v>
      </c>
      <c r="L2702" s="4">
        <v>13.475899999999999</v>
      </c>
      <c r="M2702" s="4">
        <f t="shared" si="169"/>
        <v>13.086599999999999</v>
      </c>
      <c r="P2702" s="4" t="str">
        <f>"exos-4.2"</f>
        <v>exos-4.2</v>
      </c>
      <c r="Q2702" s="4">
        <v>12.822906572598001</v>
      </c>
      <c r="R2702" s="4">
        <v>12.948150040723</v>
      </c>
      <c r="S2702" s="4">
        <v>12.677007865277799</v>
      </c>
      <c r="T2702" s="4">
        <f t="shared" si="170"/>
        <v>12.816021492866268</v>
      </c>
      <c r="W2702" s="4" t="str">
        <f>"dpy-27"</f>
        <v>dpy-27</v>
      </c>
      <c r="X2702" s="4">
        <v>12.7378023419289</v>
      </c>
      <c r="Y2702" s="4">
        <v>12.836621466450399</v>
      </c>
      <c r="Z2702" s="4">
        <v>12.874949380460301</v>
      </c>
      <c r="AA2702" s="4">
        <f t="shared" si="171"/>
        <v>12.8164577296132</v>
      </c>
    </row>
    <row r="2703" spans="2:27" x14ac:dyDescent="0.2">
      <c r="B2703" s="4" t="s">
        <v>2738</v>
      </c>
      <c r="C2703" s="4">
        <v>13.1099</v>
      </c>
      <c r="D2703" s="4">
        <v>13.115399999999999</v>
      </c>
      <c r="E2703" s="4">
        <v>13.069100000000001</v>
      </c>
      <c r="F2703" s="4">
        <f t="shared" si="168"/>
        <v>13.098133333333331</v>
      </c>
      <c r="I2703" s="4" t="s">
        <v>1758</v>
      </c>
      <c r="J2703" s="4">
        <v>12.958600000000001</v>
      </c>
      <c r="K2703" s="4">
        <v>13.128500000000001</v>
      </c>
      <c r="L2703" s="4">
        <v>13.165900000000001</v>
      </c>
      <c r="M2703" s="4">
        <f t="shared" si="169"/>
        <v>13.084333333333333</v>
      </c>
      <c r="P2703" s="4" t="str">
        <f>"ccar-1"</f>
        <v>ccar-1</v>
      </c>
      <c r="Q2703" s="4">
        <v>13.008507922630001</v>
      </c>
      <c r="R2703" s="4">
        <v>12.856202856238401</v>
      </c>
      <c r="S2703" s="4">
        <v>12.582764344152601</v>
      </c>
      <c r="T2703" s="4">
        <f t="shared" si="170"/>
        <v>12.815825041007001</v>
      </c>
      <c r="W2703" s="4" t="str">
        <f>"Y71H2AM.3"</f>
        <v>Y71H2AM.3</v>
      </c>
      <c r="X2703" s="4">
        <v>12.988810640740599</v>
      </c>
      <c r="Y2703" s="4">
        <v>12.772300507419599</v>
      </c>
      <c r="Z2703" s="4">
        <v>12.678844980246</v>
      </c>
      <c r="AA2703" s="4">
        <f t="shared" si="171"/>
        <v>12.813318709468732</v>
      </c>
    </row>
    <row r="2704" spans="2:27" x14ac:dyDescent="0.2">
      <c r="B2704" s="4" t="s">
        <v>997</v>
      </c>
      <c r="C2704" s="4">
        <v>12.9459</v>
      </c>
      <c r="D2704" s="4">
        <v>12.875</v>
      </c>
      <c r="E2704" s="4">
        <v>13.465400000000001</v>
      </c>
      <c r="F2704" s="4">
        <f t="shared" si="168"/>
        <v>13.095433333333334</v>
      </c>
      <c r="I2704" s="4" t="s">
        <v>4793</v>
      </c>
      <c r="J2704" s="4">
        <v>12.8353</v>
      </c>
      <c r="K2704" s="4">
        <v>13.3537</v>
      </c>
      <c r="L2704" s="4">
        <v>13.059100000000001</v>
      </c>
      <c r="M2704" s="4">
        <f t="shared" si="169"/>
        <v>13.082700000000001</v>
      </c>
      <c r="P2704" s="4" t="str">
        <f>"rbr-2"</f>
        <v>rbr-2</v>
      </c>
      <c r="Q2704" s="4">
        <v>12.987836057179599</v>
      </c>
      <c r="R2704" s="4">
        <v>12.8153403518484</v>
      </c>
      <c r="S2704" s="4">
        <v>12.631950455643</v>
      </c>
      <c r="T2704" s="4">
        <f t="shared" si="170"/>
        <v>12.811708954890333</v>
      </c>
      <c r="W2704" s="4" t="str">
        <f>"rle-1"</f>
        <v>rle-1</v>
      </c>
      <c r="X2704" s="4">
        <v>13.066358436151599</v>
      </c>
      <c r="Y2704" s="4">
        <v>12.715866300779901</v>
      </c>
      <c r="Z2704" s="4">
        <v>12.6509761169723</v>
      </c>
      <c r="AA2704" s="4">
        <f t="shared" si="171"/>
        <v>12.811066951301266</v>
      </c>
    </row>
    <row r="2705" spans="2:27" x14ac:dyDescent="0.2">
      <c r="B2705" s="4" t="s">
        <v>3950</v>
      </c>
      <c r="C2705" s="4">
        <v>12.887499999999999</v>
      </c>
      <c r="D2705" s="4">
        <v>13.327</v>
      </c>
      <c r="E2705" s="4">
        <v>13.071400000000001</v>
      </c>
      <c r="F2705" s="4">
        <f t="shared" si="168"/>
        <v>13.0953</v>
      </c>
      <c r="I2705" s="4" t="s">
        <v>1619</v>
      </c>
      <c r="J2705" s="4">
        <v>13.1204</v>
      </c>
      <c r="K2705" s="4">
        <v>12.8085</v>
      </c>
      <c r="L2705" s="4">
        <v>13.3162</v>
      </c>
      <c r="M2705" s="4">
        <f t="shared" si="169"/>
        <v>13.0817</v>
      </c>
      <c r="P2705" s="4" t="str">
        <f>"vms-1"</f>
        <v>vms-1</v>
      </c>
      <c r="Q2705" s="4">
        <v>12.9732379846968</v>
      </c>
      <c r="R2705" s="4">
        <v>12.777296560636801</v>
      </c>
      <c r="S2705" s="4">
        <v>12.6822794143455</v>
      </c>
      <c r="T2705" s="4">
        <f t="shared" si="170"/>
        <v>12.810937986559701</v>
      </c>
      <c r="W2705" s="4" t="str">
        <f>"Y73C8B.1"</f>
        <v>Y73C8B.1</v>
      </c>
      <c r="X2705" s="4">
        <v>12.202771138333</v>
      </c>
      <c r="Y2705" s="4">
        <v>12.9189298648375</v>
      </c>
      <c r="Z2705" s="4">
        <v>13.307237146462301</v>
      </c>
      <c r="AA2705" s="4">
        <f t="shared" si="171"/>
        <v>12.8096460498776</v>
      </c>
    </row>
    <row r="2706" spans="2:27" x14ac:dyDescent="0.2">
      <c r="B2706" s="4" t="s">
        <v>2302</v>
      </c>
      <c r="C2706" s="4">
        <v>12.993</v>
      </c>
      <c r="D2706" s="4">
        <v>12.855399999999999</v>
      </c>
      <c r="E2706" s="4">
        <v>13.4339</v>
      </c>
      <c r="F2706" s="4">
        <f t="shared" si="168"/>
        <v>13.094099999999999</v>
      </c>
      <c r="I2706" s="4" t="s">
        <v>2912</v>
      </c>
      <c r="J2706" s="4">
        <v>12.7303</v>
      </c>
      <c r="K2706" s="4">
        <v>12.5848</v>
      </c>
      <c r="L2706" s="4">
        <v>13.925700000000001</v>
      </c>
      <c r="M2706" s="4">
        <f t="shared" si="169"/>
        <v>13.080266666666667</v>
      </c>
      <c r="P2706" s="4" t="str">
        <f>"glf-1"</f>
        <v>glf-1</v>
      </c>
      <c r="Q2706" s="4">
        <v>12.6855689171802</v>
      </c>
      <c r="R2706" s="4">
        <v>13.1030277116938</v>
      </c>
      <c r="S2706" s="4">
        <v>12.639065047210501</v>
      </c>
      <c r="T2706" s="4">
        <f t="shared" si="170"/>
        <v>12.809220558694832</v>
      </c>
      <c r="W2706" s="4" t="str">
        <f>"dbn-1"</f>
        <v>dbn-1</v>
      </c>
      <c r="X2706" s="4">
        <v>12.492509058411599</v>
      </c>
      <c r="Y2706" s="4">
        <v>12.315914841528601</v>
      </c>
      <c r="Z2706" s="4">
        <v>13.615024641880501</v>
      </c>
      <c r="AA2706" s="4">
        <f t="shared" si="171"/>
        <v>12.807816180606901</v>
      </c>
    </row>
    <row r="2707" spans="2:27" x14ac:dyDescent="0.2">
      <c r="B2707" s="4" t="s">
        <v>4027</v>
      </c>
      <c r="C2707" s="4">
        <v>12.795199999999999</v>
      </c>
      <c r="D2707" s="4">
        <v>13.256399999999999</v>
      </c>
      <c r="E2707" s="4">
        <v>13.2133</v>
      </c>
      <c r="F2707" s="4">
        <f t="shared" si="168"/>
        <v>13.088299999999998</v>
      </c>
      <c r="I2707" s="4" t="s">
        <v>1005</v>
      </c>
      <c r="J2707" s="4">
        <v>13.0466</v>
      </c>
      <c r="K2707" s="4">
        <v>13.372299999999999</v>
      </c>
      <c r="L2707" s="4">
        <v>12.8195</v>
      </c>
      <c r="M2707" s="4">
        <f t="shared" si="169"/>
        <v>13.079466666666667</v>
      </c>
      <c r="P2707" s="4" t="str">
        <f>"T19B10.2"</f>
        <v>T19B10.2</v>
      </c>
      <c r="Q2707" s="4">
        <v>12.5309972556755</v>
      </c>
      <c r="R2707" s="4">
        <v>13.233494868010199</v>
      </c>
      <c r="S2707" s="4">
        <v>12.660896670475299</v>
      </c>
      <c r="T2707" s="4">
        <f t="shared" si="170"/>
        <v>12.808462931386998</v>
      </c>
      <c r="W2707" s="4" t="str">
        <f>"unc-57"</f>
        <v>unc-57</v>
      </c>
      <c r="X2707" s="4">
        <v>12.880085231896301</v>
      </c>
      <c r="Y2707" s="4">
        <v>12.4359595401174</v>
      </c>
      <c r="Z2707" s="4">
        <v>13.102330446678099</v>
      </c>
      <c r="AA2707" s="4">
        <f t="shared" si="171"/>
        <v>12.806125072897267</v>
      </c>
    </row>
    <row r="2708" spans="2:27" x14ac:dyDescent="0.2">
      <c r="B2708" s="4" t="s">
        <v>3134</v>
      </c>
      <c r="C2708" s="4">
        <v>12.9336</v>
      </c>
      <c r="D2708" s="4">
        <v>12.9544</v>
      </c>
      <c r="E2708" s="4">
        <v>13.3725</v>
      </c>
      <c r="F2708" s="4">
        <f t="shared" si="168"/>
        <v>13.086833333333333</v>
      </c>
      <c r="I2708" s="4" t="s">
        <v>1860</v>
      </c>
      <c r="J2708" s="4">
        <v>13.2448</v>
      </c>
      <c r="K2708" s="4">
        <v>12.9884</v>
      </c>
      <c r="L2708" s="4">
        <v>12.995200000000001</v>
      </c>
      <c r="M2708" s="4">
        <f t="shared" si="169"/>
        <v>13.076133333333333</v>
      </c>
      <c r="P2708" s="4" t="str">
        <f>"elb-1"</f>
        <v>elb-1</v>
      </c>
      <c r="Q2708" s="4">
        <v>12.4613640297163</v>
      </c>
      <c r="R2708" s="4">
        <v>12.9307249539966</v>
      </c>
      <c r="S2708" s="4">
        <v>13.019536541521401</v>
      </c>
      <c r="T2708" s="4">
        <f t="shared" si="170"/>
        <v>12.803875175078099</v>
      </c>
      <c r="W2708" s="4" t="str">
        <f>"C49C3.10"</f>
        <v>C49C3.10</v>
      </c>
      <c r="X2708" s="4">
        <v>12.9665222937008</v>
      </c>
      <c r="Y2708" s="4">
        <v>12.9684526577869</v>
      </c>
      <c r="Z2708" s="4">
        <v>12.466103716867099</v>
      </c>
      <c r="AA2708" s="4">
        <f t="shared" si="171"/>
        <v>12.800359556118266</v>
      </c>
    </row>
    <row r="2709" spans="2:27" x14ac:dyDescent="0.2">
      <c r="B2709" s="4" t="s">
        <v>2843</v>
      </c>
      <c r="C2709" s="4">
        <v>12.972099999999999</v>
      </c>
      <c r="D2709" s="4">
        <v>13.257899999999999</v>
      </c>
      <c r="E2709" s="4">
        <v>13.0245</v>
      </c>
      <c r="F2709" s="4">
        <f t="shared" si="168"/>
        <v>13.08483333333333</v>
      </c>
      <c r="I2709" s="4" t="s">
        <v>1584</v>
      </c>
      <c r="J2709" s="4">
        <v>12.9598</v>
      </c>
      <c r="K2709" s="4">
        <v>13.1556</v>
      </c>
      <c r="L2709" s="4">
        <v>13.108599999999999</v>
      </c>
      <c r="M2709" s="4">
        <f t="shared" si="169"/>
        <v>13.074666666666667</v>
      </c>
      <c r="P2709" s="4" t="str">
        <f>"C27A7.6"</f>
        <v>C27A7.6</v>
      </c>
      <c r="Q2709" s="4">
        <v>12.464876708814399</v>
      </c>
      <c r="R2709" s="4">
        <v>12.828519524944101</v>
      </c>
      <c r="S2709" s="4">
        <v>13.1176678192364</v>
      </c>
      <c r="T2709" s="4">
        <f t="shared" si="170"/>
        <v>12.803688017664967</v>
      </c>
      <c r="W2709" s="4" t="str">
        <f>"parn-2"</f>
        <v>parn-2</v>
      </c>
      <c r="X2709" s="4">
        <v>12.950749173949699</v>
      </c>
      <c r="Y2709" s="4">
        <v>12.540494249375699</v>
      </c>
      <c r="Z2709" s="4">
        <v>12.9049828592984</v>
      </c>
      <c r="AA2709" s="4">
        <f t="shared" si="171"/>
        <v>12.798742094207933</v>
      </c>
    </row>
    <row r="2710" spans="2:27" x14ac:dyDescent="0.2">
      <c r="B2710" s="4" t="s">
        <v>2399</v>
      </c>
      <c r="C2710" s="4">
        <v>12.9679</v>
      </c>
      <c r="D2710" s="4">
        <v>13.1264</v>
      </c>
      <c r="E2710" s="4">
        <v>13.1534</v>
      </c>
      <c r="F2710" s="4">
        <f t="shared" si="168"/>
        <v>13.082566666666667</v>
      </c>
      <c r="I2710" s="4" t="s">
        <v>3562</v>
      </c>
      <c r="J2710" s="4">
        <v>12.5068</v>
      </c>
      <c r="K2710" s="4">
        <v>13.319900000000001</v>
      </c>
      <c r="L2710" s="4">
        <v>13.3903</v>
      </c>
      <c r="M2710" s="4">
        <f t="shared" si="169"/>
        <v>13.072333333333333</v>
      </c>
      <c r="P2710" s="4" t="str">
        <f>"cids-2"</f>
        <v>cids-2</v>
      </c>
      <c r="Q2710" s="4">
        <v>12.8944224180968</v>
      </c>
      <c r="R2710" s="4">
        <v>12.8785763651716</v>
      </c>
      <c r="S2710" s="4">
        <v>12.6370826358303</v>
      </c>
      <c r="T2710" s="4">
        <f t="shared" si="170"/>
        <v>12.803360473032901</v>
      </c>
      <c r="W2710" s="4" t="str">
        <f>"lin-12"</f>
        <v>lin-12</v>
      </c>
      <c r="X2710" s="4">
        <v>13.076668358249499</v>
      </c>
      <c r="Y2710" s="4">
        <v>12.565330421434799</v>
      </c>
      <c r="Z2710" s="4">
        <v>12.750856421356</v>
      </c>
      <c r="AA2710" s="4">
        <f t="shared" si="171"/>
        <v>12.797618400346765</v>
      </c>
    </row>
    <row r="2711" spans="2:27" x14ac:dyDescent="0.2">
      <c r="B2711" s="4" t="s">
        <v>23</v>
      </c>
      <c r="C2711" s="4">
        <v>13.500999999999999</v>
      </c>
      <c r="D2711" s="4">
        <v>13.226100000000001</v>
      </c>
      <c r="E2711" s="4">
        <v>12.520200000000001</v>
      </c>
      <c r="F2711" s="4">
        <f t="shared" si="168"/>
        <v>13.082433333333334</v>
      </c>
      <c r="I2711" s="4" t="s">
        <v>4827</v>
      </c>
      <c r="J2711" s="4">
        <v>12.8591</v>
      </c>
      <c r="K2711" s="4">
        <v>13.0259</v>
      </c>
      <c r="L2711" s="4">
        <v>13.330299999999999</v>
      </c>
      <c r="M2711" s="4">
        <f t="shared" si="169"/>
        <v>13.071766666666667</v>
      </c>
      <c r="P2711" s="4" t="str">
        <f>"bli-3"</f>
        <v>bli-3</v>
      </c>
      <c r="Q2711" s="4">
        <v>12.729310106652299</v>
      </c>
      <c r="R2711" s="4">
        <v>12.9025976551235</v>
      </c>
      <c r="S2711" s="4">
        <v>12.7715608507659</v>
      </c>
      <c r="T2711" s="4">
        <f t="shared" si="170"/>
        <v>12.801156204180566</v>
      </c>
      <c r="W2711" s="4" t="str">
        <f>"dcar-1"</f>
        <v>dcar-1</v>
      </c>
      <c r="X2711" s="4">
        <v>12.9468760777442</v>
      </c>
      <c r="Y2711" s="4">
        <v>12.6336244466035</v>
      </c>
      <c r="Z2711" s="4">
        <v>12.8087210937076</v>
      </c>
      <c r="AA2711" s="4">
        <f t="shared" si="171"/>
        <v>12.796407206018435</v>
      </c>
    </row>
    <row r="2712" spans="2:27" x14ac:dyDescent="0.2">
      <c r="B2712" s="4" t="s">
        <v>4828</v>
      </c>
      <c r="C2712" s="4">
        <v>13.4735</v>
      </c>
      <c r="D2712" s="4">
        <v>12.521699999999999</v>
      </c>
      <c r="E2712" s="4">
        <v>13.251099999999999</v>
      </c>
      <c r="F2712" s="4">
        <f t="shared" si="168"/>
        <v>13.082099999999999</v>
      </c>
      <c r="I2712" s="4" t="s">
        <v>2103</v>
      </c>
      <c r="J2712" s="4">
        <v>12.9217</v>
      </c>
      <c r="K2712" s="4">
        <v>13.0183</v>
      </c>
      <c r="L2712" s="4">
        <v>13.2737</v>
      </c>
      <c r="M2712" s="4">
        <f t="shared" si="169"/>
        <v>13.071233333333332</v>
      </c>
      <c r="P2712" s="4" t="str">
        <f>"osgl-1"</f>
        <v>osgl-1</v>
      </c>
      <c r="Q2712" s="4">
        <v>12.882219146715499</v>
      </c>
      <c r="R2712" s="4">
        <v>12.7810341937142</v>
      </c>
      <c r="S2712" s="4">
        <v>12.740019220420301</v>
      </c>
      <c r="T2712" s="4">
        <f t="shared" si="170"/>
        <v>12.801090853616666</v>
      </c>
      <c r="W2712" s="4" t="str">
        <f>"tag-307"</f>
        <v>tag-307</v>
      </c>
      <c r="X2712" s="4">
        <v>12.4056352206632</v>
      </c>
      <c r="Y2712" s="4">
        <v>12.7574970701586</v>
      </c>
      <c r="Z2712" s="4">
        <v>13.224824867374799</v>
      </c>
      <c r="AA2712" s="4">
        <f t="shared" si="171"/>
        <v>12.795985719398866</v>
      </c>
    </row>
    <row r="2713" spans="2:27" x14ac:dyDescent="0.2">
      <c r="B2713" s="4" t="s">
        <v>3546</v>
      </c>
      <c r="C2713" s="4">
        <v>12.996600000000001</v>
      </c>
      <c r="D2713" s="4">
        <v>13.250500000000001</v>
      </c>
      <c r="E2713" s="4">
        <v>12.999000000000001</v>
      </c>
      <c r="F2713" s="4">
        <f t="shared" si="168"/>
        <v>13.082033333333335</v>
      </c>
      <c r="I2713" s="4" t="s">
        <v>612</v>
      </c>
      <c r="J2713" s="4">
        <v>13.222099999999999</v>
      </c>
      <c r="K2713" s="4">
        <v>12.835000000000001</v>
      </c>
      <c r="L2713" s="4">
        <v>13.1386</v>
      </c>
      <c r="M2713" s="4">
        <f t="shared" si="169"/>
        <v>13.065233333333333</v>
      </c>
      <c r="P2713" s="4" t="str">
        <f>"gpcp-1"</f>
        <v>gpcp-1</v>
      </c>
      <c r="Q2713" s="4">
        <v>12.9027960973556</v>
      </c>
      <c r="R2713" s="4">
        <v>12.675128099575501</v>
      </c>
      <c r="S2713" s="4">
        <v>12.8222669781651</v>
      </c>
      <c r="T2713" s="4">
        <f t="shared" si="170"/>
        <v>12.800063725032066</v>
      </c>
      <c r="W2713" s="4" t="str">
        <f>"lid-1"</f>
        <v>lid-1</v>
      </c>
      <c r="X2713" s="4">
        <v>13.0904246496646</v>
      </c>
      <c r="Y2713" s="4">
        <v>12.7703855865518</v>
      </c>
      <c r="Z2713" s="4">
        <v>12.5237459516354</v>
      </c>
      <c r="AA2713" s="4">
        <f t="shared" si="171"/>
        <v>12.794852062617267</v>
      </c>
    </row>
    <row r="2714" spans="2:27" x14ac:dyDescent="0.2">
      <c r="B2714" s="4" t="s">
        <v>2519</v>
      </c>
      <c r="C2714" s="4">
        <v>13.7117</v>
      </c>
      <c r="D2714" s="4">
        <v>13.324199999999999</v>
      </c>
      <c r="E2714" s="4">
        <v>12.2057</v>
      </c>
      <c r="F2714" s="4">
        <f t="shared" si="168"/>
        <v>13.080533333333333</v>
      </c>
      <c r="I2714" s="4" t="s">
        <v>1226</v>
      </c>
      <c r="J2714" s="4">
        <v>13.2973</v>
      </c>
      <c r="K2714" s="4">
        <v>12.9549</v>
      </c>
      <c r="L2714" s="4">
        <v>12.940799999999999</v>
      </c>
      <c r="M2714" s="4">
        <f t="shared" si="169"/>
        <v>13.064333333333332</v>
      </c>
      <c r="P2714" s="4" t="str">
        <f>"gldi-1"</f>
        <v>gldi-1</v>
      </c>
      <c r="Q2714" s="4">
        <v>13.068275093920899</v>
      </c>
      <c r="R2714" s="4">
        <v>12.550857450522701</v>
      </c>
      <c r="S2714" s="4">
        <v>12.779321108526201</v>
      </c>
      <c r="T2714" s="4">
        <f t="shared" si="170"/>
        <v>12.799484550989936</v>
      </c>
      <c r="W2714" s="4" t="str">
        <f>"rsf-1"</f>
        <v>rsf-1</v>
      </c>
      <c r="X2714" s="4">
        <v>12.9891772807075</v>
      </c>
      <c r="Y2714" s="4">
        <v>12.8090003825666</v>
      </c>
      <c r="Z2714" s="4">
        <v>12.584111037475401</v>
      </c>
      <c r="AA2714" s="4">
        <f t="shared" si="171"/>
        <v>12.794096233583167</v>
      </c>
    </row>
    <row r="2715" spans="2:27" x14ac:dyDescent="0.2">
      <c r="B2715" s="4" t="s">
        <v>4829</v>
      </c>
      <c r="C2715" s="4">
        <v>13.5158</v>
      </c>
      <c r="D2715" s="4">
        <v>12.8005</v>
      </c>
      <c r="E2715" s="4">
        <v>12.9253</v>
      </c>
      <c r="F2715" s="4">
        <f t="shared" si="168"/>
        <v>13.080533333333333</v>
      </c>
      <c r="I2715" s="4" t="s">
        <v>1134</v>
      </c>
      <c r="J2715" s="4">
        <v>13.018800000000001</v>
      </c>
      <c r="K2715" s="4">
        <v>13.3703</v>
      </c>
      <c r="L2715" s="4">
        <v>12.8001</v>
      </c>
      <c r="M2715" s="4">
        <f t="shared" si="169"/>
        <v>13.063066666666666</v>
      </c>
      <c r="P2715" s="4" t="str">
        <f>"math-24"</f>
        <v>math-24</v>
      </c>
      <c r="Q2715" s="4">
        <v>12.6584611932432</v>
      </c>
      <c r="R2715" s="4">
        <v>12.843591104147199</v>
      </c>
      <c r="S2715" s="4">
        <v>12.8924117246334</v>
      </c>
      <c r="T2715" s="4">
        <f t="shared" si="170"/>
        <v>12.798154674007932</v>
      </c>
      <c r="W2715" s="4" t="str">
        <f>"herc-1"</f>
        <v>herc-1</v>
      </c>
      <c r="X2715" s="4">
        <v>12.5877210369563</v>
      </c>
      <c r="Y2715" s="4">
        <v>13.0672915263017</v>
      </c>
      <c r="Z2715" s="4">
        <v>12.7151628918157</v>
      </c>
      <c r="AA2715" s="4">
        <f t="shared" si="171"/>
        <v>12.790058485024566</v>
      </c>
    </row>
    <row r="2716" spans="2:27" x14ac:dyDescent="0.2">
      <c r="B2716" s="4" t="s">
        <v>4069</v>
      </c>
      <c r="C2716" s="4">
        <v>13.1686</v>
      </c>
      <c r="D2716" s="4">
        <v>13.0977</v>
      </c>
      <c r="E2716" s="4">
        <v>12.973699999999999</v>
      </c>
      <c r="F2716" s="4">
        <f t="shared" si="168"/>
        <v>13.08</v>
      </c>
      <c r="I2716" s="4" t="s">
        <v>508</v>
      </c>
      <c r="J2716" s="4">
        <v>13.188800000000001</v>
      </c>
      <c r="K2716" s="4">
        <v>13.0098</v>
      </c>
      <c r="L2716" s="4">
        <v>12.9825</v>
      </c>
      <c r="M2716" s="4">
        <f t="shared" si="169"/>
        <v>13.060366666666667</v>
      </c>
      <c r="P2716" s="4" t="str">
        <f>"alp-1"</f>
        <v>alp-1</v>
      </c>
      <c r="Q2716" s="4">
        <v>12.816381837889001</v>
      </c>
      <c r="R2716" s="4">
        <v>12.762001071858601</v>
      </c>
      <c r="S2716" s="4">
        <v>12.8143263084916</v>
      </c>
      <c r="T2716" s="4">
        <f t="shared" si="170"/>
        <v>12.797569739413069</v>
      </c>
      <c r="W2716" s="4" t="str">
        <f>"smg-3"</f>
        <v>smg-3</v>
      </c>
      <c r="X2716" s="4">
        <v>12.8939152494334</v>
      </c>
      <c r="Y2716" s="4">
        <v>12.8372034804386</v>
      </c>
      <c r="Z2716" s="4">
        <v>12.6362231007317</v>
      </c>
      <c r="AA2716" s="4">
        <f t="shared" si="171"/>
        <v>12.789113943534566</v>
      </c>
    </row>
    <row r="2717" spans="2:27" x14ac:dyDescent="0.2">
      <c r="B2717" s="4" t="s">
        <v>4040</v>
      </c>
      <c r="C2717" s="4">
        <v>12.9788</v>
      </c>
      <c r="D2717" s="4">
        <v>12.7484</v>
      </c>
      <c r="E2717" s="4">
        <v>13.4992</v>
      </c>
      <c r="F2717" s="4">
        <f t="shared" si="168"/>
        <v>13.075466666666665</v>
      </c>
      <c r="I2717" s="4" t="s">
        <v>4830</v>
      </c>
      <c r="J2717" s="4">
        <v>12.912699999999999</v>
      </c>
      <c r="K2717" s="4">
        <v>12.7546</v>
      </c>
      <c r="L2717" s="4">
        <v>13.509499999999999</v>
      </c>
      <c r="M2717" s="4">
        <f t="shared" si="169"/>
        <v>13.058933333333334</v>
      </c>
      <c r="P2717" s="4" t="str">
        <f>"slc-30a5"</f>
        <v>slc-30a5</v>
      </c>
      <c r="Q2717" s="4">
        <v>12.858480639203799</v>
      </c>
      <c r="R2717" s="4">
        <v>12.4927151741239</v>
      </c>
      <c r="S2717" s="4">
        <v>13.036662685232599</v>
      </c>
      <c r="T2717" s="4">
        <f t="shared" si="170"/>
        <v>12.795952832853432</v>
      </c>
      <c r="W2717" s="4" t="str">
        <f>"dkf-2"</f>
        <v>dkf-2</v>
      </c>
      <c r="X2717" s="4">
        <v>12.892508221787001</v>
      </c>
      <c r="Y2717" s="4">
        <v>12.742513348808799</v>
      </c>
      <c r="Z2717" s="4">
        <v>12.726114768659601</v>
      </c>
      <c r="AA2717" s="4">
        <f t="shared" si="171"/>
        <v>12.787045446418468</v>
      </c>
    </row>
    <row r="2718" spans="2:27" x14ac:dyDescent="0.2">
      <c r="B2718" s="4" t="s">
        <v>3218</v>
      </c>
      <c r="C2718" s="4">
        <v>13.3965</v>
      </c>
      <c r="D2718" s="4">
        <v>12.8467</v>
      </c>
      <c r="E2718" s="4">
        <v>12.981999999999999</v>
      </c>
      <c r="F2718" s="4">
        <f t="shared" si="168"/>
        <v>13.075066666666666</v>
      </c>
      <c r="I2718" s="4" t="s">
        <v>4801</v>
      </c>
      <c r="J2718" s="4">
        <v>12.825100000000001</v>
      </c>
      <c r="K2718" s="4">
        <v>12.5449</v>
      </c>
      <c r="L2718" s="4">
        <v>13.7989</v>
      </c>
      <c r="M2718" s="4">
        <f t="shared" si="169"/>
        <v>13.0563</v>
      </c>
      <c r="P2718" s="4" t="str">
        <f>"rnp-3"</f>
        <v>rnp-3</v>
      </c>
      <c r="Q2718" s="4">
        <v>12.4824904544716</v>
      </c>
      <c r="R2718" s="4">
        <v>12.695691438608399</v>
      </c>
      <c r="S2718" s="4">
        <v>13.1999371340405</v>
      </c>
      <c r="T2718" s="4">
        <f t="shared" si="170"/>
        <v>12.792706342373501</v>
      </c>
      <c r="W2718" s="4" t="str">
        <f>"F56B3.11"</f>
        <v>F56B3.11</v>
      </c>
      <c r="X2718" s="4">
        <v>13.0409929763756</v>
      </c>
      <c r="Y2718" s="4">
        <v>12.6200653210285</v>
      </c>
      <c r="Z2718" s="4">
        <v>12.699968542925999</v>
      </c>
      <c r="AA2718" s="4">
        <f t="shared" si="171"/>
        <v>12.7870089467767</v>
      </c>
    </row>
    <row r="2719" spans="2:27" x14ac:dyDescent="0.2">
      <c r="B2719" s="4" t="s">
        <v>4084</v>
      </c>
      <c r="C2719" s="4">
        <v>13.2227</v>
      </c>
      <c r="D2719" s="4">
        <v>12.990500000000001</v>
      </c>
      <c r="E2719" s="4">
        <v>13.009600000000001</v>
      </c>
      <c r="F2719" s="4">
        <f t="shared" si="168"/>
        <v>13.074266666666666</v>
      </c>
      <c r="I2719" s="4" t="s">
        <v>215</v>
      </c>
      <c r="J2719" s="4">
        <v>12.041499999999999</v>
      </c>
      <c r="K2719" s="4">
        <v>12.8643</v>
      </c>
      <c r="L2719" s="4">
        <v>14.2506</v>
      </c>
      <c r="M2719" s="4">
        <f t="shared" si="169"/>
        <v>13.052133333333332</v>
      </c>
      <c r="P2719" s="4" t="str">
        <f>"daf-2"</f>
        <v>daf-2</v>
      </c>
      <c r="Q2719" s="4">
        <v>13.0159056509476</v>
      </c>
      <c r="R2719" s="4">
        <v>12.935945600638901</v>
      </c>
      <c r="S2719" s="4">
        <v>12.421763677509</v>
      </c>
      <c r="T2719" s="4">
        <f t="shared" si="170"/>
        <v>12.791204976365167</v>
      </c>
      <c r="W2719" s="4" t="str">
        <f>"T05E7.3"</f>
        <v>T05E7.3</v>
      </c>
      <c r="X2719" s="4">
        <v>12.6994712112085</v>
      </c>
      <c r="Y2719" s="4">
        <v>12.8329840621812</v>
      </c>
      <c r="Z2719" s="4">
        <v>12.828529865102899</v>
      </c>
      <c r="AA2719" s="4">
        <f t="shared" si="171"/>
        <v>12.786995046164201</v>
      </c>
    </row>
    <row r="2720" spans="2:27" x14ac:dyDescent="0.2">
      <c r="B2720" s="4" t="s">
        <v>108</v>
      </c>
      <c r="C2720" s="4">
        <v>13.284800000000001</v>
      </c>
      <c r="D2720" s="4">
        <v>12.904500000000001</v>
      </c>
      <c r="E2720" s="4">
        <v>13.0312</v>
      </c>
      <c r="F2720" s="4">
        <f t="shared" si="168"/>
        <v>13.073500000000001</v>
      </c>
      <c r="I2720" s="4" t="s">
        <v>4509</v>
      </c>
      <c r="J2720" s="4">
        <v>12.8287</v>
      </c>
      <c r="K2720" s="4">
        <v>13.133599999999999</v>
      </c>
      <c r="L2720" s="4">
        <v>13.189299999999999</v>
      </c>
      <c r="M2720" s="4">
        <f t="shared" si="169"/>
        <v>13.050533333333334</v>
      </c>
      <c r="P2720" s="4" t="str">
        <f>"gldi-2"</f>
        <v>gldi-2</v>
      </c>
      <c r="Q2720" s="4">
        <v>12.6982027553699</v>
      </c>
      <c r="R2720" s="4">
        <v>12.8286335169078</v>
      </c>
      <c r="S2720" s="4">
        <v>12.841534383607099</v>
      </c>
      <c r="T2720" s="4">
        <f t="shared" si="170"/>
        <v>12.789456885294932</v>
      </c>
      <c r="W2720" s="4" t="str">
        <f>"txdc-9"</f>
        <v>txdc-9</v>
      </c>
      <c r="X2720" s="4">
        <v>12.761609773800799</v>
      </c>
      <c r="Y2720" s="4">
        <v>12.7400620438712</v>
      </c>
      <c r="Z2720" s="4">
        <v>12.8546618415171</v>
      </c>
      <c r="AA2720" s="4">
        <f t="shared" si="171"/>
        <v>12.785444553063032</v>
      </c>
    </row>
    <row r="2721" spans="2:27" x14ac:dyDescent="0.2">
      <c r="B2721" s="4" t="s">
        <v>2797</v>
      </c>
      <c r="C2721" s="4">
        <v>12.9537</v>
      </c>
      <c r="D2721" s="4">
        <v>12.927899999999999</v>
      </c>
      <c r="E2721" s="4">
        <v>13.328200000000001</v>
      </c>
      <c r="F2721" s="4">
        <f t="shared" si="168"/>
        <v>13.069933333333333</v>
      </c>
      <c r="I2721" s="4" t="s">
        <v>1404</v>
      </c>
      <c r="J2721" s="4">
        <v>13.0512</v>
      </c>
      <c r="K2721" s="4">
        <v>12.5989</v>
      </c>
      <c r="L2721" s="4">
        <v>13.499000000000001</v>
      </c>
      <c r="M2721" s="4">
        <f t="shared" si="169"/>
        <v>13.049700000000001</v>
      </c>
      <c r="P2721" s="4" t="str">
        <f>"C49C3.10"</f>
        <v>C49C3.10</v>
      </c>
      <c r="Q2721" s="4">
        <v>13.015784263499899</v>
      </c>
      <c r="R2721" s="4">
        <v>13.075215208456999</v>
      </c>
      <c r="S2721" s="4">
        <v>12.276351666310401</v>
      </c>
      <c r="T2721" s="4">
        <f t="shared" si="170"/>
        <v>12.789117046089098</v>
      </c>
      <c r="W2721" s="4" t="str">
        <f>"nrde-3"</f>
        <v>nrde-3</v>
      </c>
      <c r="X2721" s="4">
        <v>12.718694775017401</v>
      </c>
      <c r="Y2721" s="4">
        <v>12.951795493200899</v>
      </c>
      <c r="Z2721" s="4">
        <v>12.683629710767899</v>
      </c>
      <c r="AA2721" s="4">
        <f t="shared" si="171"/>
        <v>12.784706659662069</v>
      </c>
    </row>
    <row r="2722" spans="2:27" x14ac:dyDescent="0.2">
      <c r="B2722" s="4" t="s">
        <v>2988</v>
      </c>
      <c r="C2722" s="4">
        <v>12.9086</v>
      </c>
      <c r="D2722" s="4">
        <v>13.2028</v>
      </c>
      <c r="E2722" s="4">
        <v>13.087400000000001</v>
      </c>
      <c r="F2722" s="4">
        <f t="shared" si="168"/>
        <v>13.066266666666666</v>
      </c>
      <c r="I2722" s="4" t="s">
        <v>538</v>
      </c>
      <c r="J2722" s="4">
        <v>13.150600000000001</v>
      </c>
      <c r="K2722" s="4">
        <v>13.0648</v>
      </c>
      <c r="L2722" s="4">
        <v>12.9323</v>
      </c>
      <c r="M2722" s="4">
        <f t="shared" si="169"/>
        <v>13.049233333333333</v>
      </c>
      <c r="P2722" s="4" t="str">
        <f>"rad-51"</f>
        <v>rad-51</v>
      </c>
      <c r="Q2722" s="4">
        <v>12.5834389090111</v>
      </c>
      <c r="R2722" s="4">
        <v>13.039931800492299</v>
      </c>
      <c r="S2722" s="4">
        <v>12.7401284757975</v>
      </c>
      <c r="T2722" s="4">
        <f t="shared" si="170"/>
        <v>12.787833061766966</v>
      </c>
      <c r="W2722" s="4" t="str">
        <f>"acox-1.1"</f>
        <v>acox-1.1</v>
      </c>
      <c r="X2722" s="4">
        <v>12.698755974647</v>
      </c>
      <c r="Y2722" s="4">
        <v>13.052018398277999</v>
      </c>
      <c r="Z2722" s="4">
        <v>12.5990498714414</v>
      </c>
      <c r="AA2722" s="4">
        <f t="shared" si="171"/>
        <v>12.783274748122134</v>
      </c>
    </row>
    <row r="2723" spans="2:27" x14ac:dyDescent="0.2">
      <c r="B2723" s="4" t="s">
        <v>190</v>
      </c>
      <c r="C2723" s="4">
        <v>13.175599999999999</v>
      </c>
      <c r="D2723" s="4">
        <v>13.6213</v>
      </c>
      <c r="E2723" s="4">
        <v>12.4018</v>
      </c>
      <c r="F2723" s="4">
        <f t="shared" si="168"/>
        <v>13.066233333333335</v>
      </c>
      <c r="I2723" s="4" t="s">
        <v>4831</v>
      </c>
      <c r="J2723" s="4">
        <v>13.3308</v>
      </c>
      <c r="K2723" s="4">
        <v>12.8674</v>
      </c>
      <c r="L2723" s="4">
        <v>12.9468</v>
      </c>
      <c r="M2723" s="4">
        <f t="shared" si="169"/>
        <v>13.048333333333332</v>
      </c>
      <c r="P2723" s="4" t="str">
        <f>"smc-5"</f>
        <v>smc-5</v>
      </c>
      <c r="Q2723" s="4">
        <v>12.422806606469999</v>
      </c>
      <c r="R2723" s="4">
        <v>13.1482392443425</v>
      </c>
      <c r="S2723" s="4">
        <v>12.7838097928958</v>
      </c>
      <c r="T2723" s="4">
        <f t="shared" si="170"/>
        <v>12.784951881236099</v>
      </c>
      <c r="W2723" s="4" t="str">
        <f>"atg-18"</f>
        <v>atg-18</v>
      </c>
      <c r="X2723" s="4">
        <v>12.831532386513601</v>
      </c>
      <c r="Y2723" s="4">
        <v>12.7832589734516</v>
      </c>
      <c r="Z2723" s="4">
        <v>12.7339482926328</v>
      </c>
      <c r="AA2723" s="4">
        <f t="shared" si="171"/>
        <v>12.782913217532666</v>
      </c>
    </row>
    <row r="2724" spans="2:27" x14ac:dyDescent="0.2">
      <c r="B2724" s="4" t="s">
        <v>3151</v>
      </c>
      <c r="C2724" s="4">
        <v>13.292199999999999</v>
      </c>
      <c r="D2724" s="4">
        <v>12.2209</v>
      </c>
      <c r="E2724" s="4">
        <v>13.6852</v>
      </c>
      <c r="F2724" s="4">
        <f t="shared" si="168"/>
        <v>13.0661</v>
      </c>
      <c r="I2724" s="4" t="s">
        <v>2408</v>
      </c>
      <c r="J2724" s="4">
        <v>13.540800000000001</v>
      </c>
      <c r="K2724" s="4">
        <v>12.9564</v>
      </c>
      <c r="L2724" s="4">
        <v>12.636900000000001</v>
      </c>
      <c r="M2724" s="4">
        <f t="shared" si="169"/>
        <v>13.044700000000001</v>
      </c>
      <c r="P2724" s="4" t="str">
        <f>"morc-1"</f>
        <v>morc-1</v>
      </c>
      <c r="Q2724" s="4">
        <v>12.6064678534326</v>
      </c>
      <c r="R2724" s="4">
        <v>12.877949601832601</v>
      </c>
      <c r="S2724" s="4">
        <v>12.8649949206446</v>
      </c>
      <c r="T2724" s="4">
        <f t="shared" si="170"/>
        <v>12.783137458636601</v>
      </c>
      <c r="W2724" s="4" t="str">
        <f>"atg-2"</f>
        <v>atg-2</v>
      </c>
      <c r="X2724" s="4">
        <v>13.058806580359599</v>
      </c>
      <c r="Y2724" s="4">
        <v>12.5237709471097</v>
      </c>
      <c r="Z2724" s="4">
        <v>12.763889574018901</v>
      </c>
      <c r="AA2724" s="4">
        <f t="shared" si="171"/>
        <v>12.782155700496068</v>
      </c>
    </row>
    <row r="2725" spans="2:27" x14ac:dyDescent="0.2">
      <c r="B2725" s="4" t="s">
        <v>521</v>
      </c>
      <c r="C2725" s="4">
        <v>13.0639</v>
      </c>
      <c r="D2725" s="4">
        <v>13.0784</v>
      </c>
      <c r="E2725" s="4">
        <v>13.0349</v>
      </c>
      <c r="F2725" s="4">
        <f t="shared" si="168"/>
        <v>13.059066666666666</v>
      </c>
      <c r="I2725" s="4" t="s">
        <v>4832</v>
      </c>
      <c r="J2725" s="4">
        <v>12.792299999999999</v>
      </c>
      <c r="K2725" s="4">
        <v>13.055</v>
      </c>
      <c r="L2725" s="4">
        <v>13.2837</v>
      </c>
      <c r="M2725" s="4">
        <f t="shared" si="169"/>
        <v>13.043666666666667</v>
      </c>
      <c r="P2725" s="4" t="str">
        <f>"ceh-99"</f>
        <v>ceh-99</v>
      </c>
      <c r="Q2725" s="4">
        <v>12.549441118229399</v>
      </c>
      <c r="R2725" s="4">
        <v>12.891807156619899</v>
      </c>
      <c r="S2725" s="4">
        <v>12.903310445302299</v>
      </c>
      <c r="T2725" s="4">
        <f t="shared" si="170"/>
        <v>12.781519573383866</v>
      </c>
      <c r="W2725" s="4" t="str">
        <f>"H20J04.4"</f>
        <v>H20J04.4</v>
      </c>
      <c r="X2725" s="4">
        <v>12.510875689122299</v>
      </c>
      <c r="Y2725" s="4">
        <v>13.041362523865301</v>
      </c>
      <c r="Z2725" s="4">
        <v>12.7935254062405</v>
      </c>
      <c r="AA2725" s="4">
        <f t="shared" si="171"/>
        <v>12.781921206409367</v>
      </c>
    </row>
    <row r="2726" spans="2:27" x14ac:dyDescent="0.2">
      <c r="B2726" s="4" t="s">
        <v>118</v>
      </c>
      <c r="C2726" s="4">
        <v>13.221500000000001</v>
      </c>
      <c r="D2726" s="4">
        <v>13.232200000000001</v>
      </c>
      <c r="E2726" s="4">
        <v>12.718999999999999</v>
      </c>
      <c r="F2726" s="4">
        <f t="shared" si="168"/>
        <v>13.057566666666666</v>
      </c>
      <c r="I2726" s="4" t="s">
        <v>1688</v>
      </c>
      <c r="J2726" s="4">
        <v>13.187799999999999</v>
      </c>
      <c r="K2726" s="4">
        <v>12.628500000000001</v>
      </c>
      <c r="L2726" s="4">
        <v>13.308999999999999</v>
      </c>
      <c r="M2726" s="4">
        <f t="shared" si="169"/>
        <v>13.041766666666666</v>
      </c>
      <c r="P2726" s="4" t="str">
        <f>"oxy-4"</f>
        <v>oxy-4</v>
      </c>
      <c r="Q2726" s="4">
        <v>12.7095162414395</v>
      </c>
      <c r="R2726" s="4">
        <v>12.707373005829499</v>
      </c>
      <c r="S2726" s="4">
        <v>12.9190712703726</v>
      </c>
      <c r="T2726" s="4">
        <f t="shared" si="170"/>
        <v>12.778653505880532</v>
      </c>
      <c r="W2726" s="4" t="str">
        <f>"rpn-12"</f>
        <v>rpn-12</v>
      </c>
      <c r="X2726" s="4">
        <v>13.165192920340999</v>
      </c>
      <c r="Y2726" s="4">
        <v>12.7106491969034</v>
      </c>
      <c r="Z2726" s="4">
        <v>12.469710571158901</v>
      </c>
      <c r="AA2726" s="4">
        <f t="shared" si="171"/>
        <v>12.781850896134435</v>
      </c>
    </row>
    <row r="2727" spans="2:27" x14ac:dyDescent="0.2">
      <c r="B2727" s="4" t="s">
        <v>4833</v>
      </c>
      <c r="C2727" s="4">
        <v>12.901400000000001</v>
      </c>
      <c r="D2727" s="4">
        <v>13.2796</v>
      </c>
      <c r="E2727" s="4">
        <v>12.965999999999999</v>
      </c>
      <c r="F2727" s="4">
        <f t="shared" si="168"/>
        <v>13.048999999999999</v>
      </c>
      <c r="I2727" s="4" t="s">
        <v>4399</v>
      </c>
      <c r="J2727" s="4">
        <v>12.985099999999999</v>
      </c>
      <c r="K2727" s="4">
        <v>13.238200000000001</v>
      </c>
      <c r="L2727" s="4">
        <v>12.899900000000001</v>
      </c>
      <c r="M2727" s="4">
        <f t="shared" si="169"/>
        <v>13.041066666666667</v>
      </c>
      <c r="P2727" s="4" t="str">
        <f>"ZK669.5"</f>
        <v>ZK669.5</v>
      </c>
      <c r="Q2727" s="4">
        <v>12.119360818736601</v>
      </c>
      <c r="R2727" s="4">
        <v>13.137868729790499</v>
      </c>
      <c r="S2727" s="4">
        <v>13.0754284722597</v>
      </c>
      <c r="T2727" s="4">
        <f t="shared" si="170"/>
        <v>12.777552673595601</v>
      </c>
      <c r="W2727" s="4" t="str">
        <f>"F02C12.1"</f>
        <v>F02C12.1</v>
      </c>
      <c r="X2727" s="4">
        <v>12.8680435913867</v>
      </c>
      <c r="Y2727" s="4">
        <v>12.7232888021011</v>
      </c>
      <c r="Z2727" s="4">
        <v>12.752661068784599</v>
      </c>
      <c r="AA2727" s="4">
        <f t="shared" si="171"/>
        <v>12.7813311540908</v>
      </c>
    </row>
    <row r="2728" spans="2:27" x14ac:dyDescent="0.2">
      <c r="B2728" s="4" t="s">
        <v>2283</v>
      </c>
      <c r="C2728" s="4">
        <v>13.5631</v>
      </c>
      <c r="D2728" s="4">
        <v>12.5741</v>
      </c>
      <c r="E2728" s="4">
        <v>13.0085</v>
      </c>
      <c r="F2728" s="4">
        <f t="shared" si="168"/>
        <v>13.048566666666666</v>
      </c>
      <c r="I2728" s="4" t="s">
        <v>3316</v>
      </c>
      <c r="J2728" s="4">
        <v>12.881500000000001</v>
      </c>
      <c r="K2728" s="4">
        <v>13.0435</v>
      </c>
      <c r="L2728" s="4">
        <v>13.182</v>
      </c>
      <c r="M2728" s="4">
        <f t="shared" si="169"/>
        <v>13.035666666666666</v>
      </c>
      <c r="P2728" s="4" t="str">
        <f>"T05E7.3"</f>
        <v>T05E7.3</v>
      </c>
      <c r="Q2728" s="4">
        <v>12.5683337726649</v>
      </c>
      <c r="R2728" s="4">
        <v>12.959228596309099</v>
      </c>
      <c r="S2728" s="4">
        <v>12.795501585337099</v>
      </c>
      <c r="T2728" s="4">
        <f t="shared" si="170"/>
        <v>12.774354651437031</v>
      </c>
      <c r="W2728" s="4" t="str">
        <f>"M01H9.3"</f>
        <v>M01H9.3</v>
      </c>
      <c r="X2728" s="4">
        <v>12.3775266544778</v>
      </c>
      <c r="Y2728" s="4">
        <v>12.982519656101299</v>
      </c>
      <c r="Z2728" s="4">
        <v>12.9833001504308</v>
      </c>
      <c r="AA2728" s="4">
        <f t="shared" si="171"/>
        <v>12.7811154870033</v>
      </c>
    </row>
    <row r="2729" spans="2:27" x14ac:dyDescent="0.2">
      <c r="B2729" s="4" t="s">
        <v>4528</v>
      </c>
      <c r="C2729" s="4">
        <v>13.132199999999999</v>
      </c>
      <c r="D2729" s="4">
        <v>12.679600000000001</v>
      </c>
      <c r="E2729" s="4">
        <v>13.331300000000001</v>
      </c>
      <c r="F2729" s="4">
        <f t="shared" si="168"/>
        <v>13.047699999999999</v>
      </c>
      <c r="I2729" s="4" t="s">
        <v>4027</v>
      </c>
      <c r="J2729" s="4">
        <v>13.3545</v>
      </c>
      <c r="K2729" s="4">
        <v>12.7681</v>
      </c>
      <c r="L2729" s="4">
        <v>12.981999999999999</v>
      </c>
      <c r="M2729" s="4">
        <f t="shared" si="169"/>
        <v>13.034866666666666</v>
      </c>
      <c r="P2729" s="4" t="str">
        <f>"C31H5.6"</f>
        <v>C31H5.6</v>
      </c>
      <c r="Q2729" s="4">
        <v>12.983541435247201</v>
      </c>
      <c r="R2729" s="4">
        <v>12.935447418284999</v>
      </c>
      <c r="S2729" s="4">
        <v>12.4009487860896</v>
      </c>
      <c r="T2729" s="4">
        <f t="shared" si="170"/>
        <v>12.7733125465406</v>
      </c>
      <c r="W2729" s="4" t="str">
        <f>"ero-1"</f>
        <v>ero-1</v>
      </c>
      <c r="X2729" s="4">
        <v>12.915508157751001</v>
      </c>
      <c r="Y2729" s="4">
        <v>12.8994149598907</v>
      </c>
      <c r="Z2729" s="4">
        <v>12.522835015907599</v>
      </c>
      <c r="AA2729" s="4">
        <f t="shared" si="171"/>
        <v>12.7792527111831</v>
      </c>
    </row>
    <row r="2730" spans="2:27" x14ac:dyDescent="0.2">
      <c r="B2730" s="4" t="s">
        <v>4834</v>
      </c>
      <c r="C2730" s="4">
        <v>13.6076</v>
      </c>
      <c r="D2730" s="4">
        <v>12.542199999999999</v>
      </c>
      <c r="E2730" s="4">
        <v>12.989699999999999</v>
      </c>
      <c r="F2730" s="4">
        <f t="shared" si="168"/>
        <v>13.0465</v>
      </c>
      <c r="I2730" s="4" t="s">
        <v>4167</v>
      </c>
      <c r="J2730" s="4">
        <v>13.044</v>
      </c>
      <c r="K2730" s="4">
        <v>13.1188</v>
      </c>
      <c r="L2730" s="4">
        <v>12.9407</v>
      </c>
      <c r="M2730" s="4">
        <f t="shared" si="169"/>
        <v>13.0345</v>
      </c>
      <c r="P2730" s="4" t="str">
        <f>"M04F3.4"</f>
        <v>M04F3.4</v>
      </c>
      <c r="Q2730" s="4">
        <v>12.527181909645799</v>
      </c>
      <c r="R2730" s="4">
        <v>12.7367152883399</v>
      </c>
      <c r="S2730" s="4">
        <v>13.0320995021691</v>
      </c>
      <c r="T2730" s="4">
        <f t="shared" si="170"/>
        <v>12.765332233384934</v>
      </c>
      <c r="W2730" s="4" t="str">
        <f>"cst-1"</f>
        <v>cst-1</v>
      </c>
      <c r="X2730" s="4">
        <v>12.8221334757375</v>
      </c>
      <c r="Y2730" s="4">
        <v>12.7654755053705</v>
      </c>
      <c r="Z2730" s="4">
        <v>12.743591212110699</v>
      </c>
      <c r="AA2730" s="4">
        <f t="shared" si="171"/>
        <v>12.7770667310729</v>
      </c>
    </row>
    <row r="2731" spans="2:27" x14ac:dyDescent="0.2">
      <c r="B2731" s="4" t="s">
        <v>3948</v>
      </c>
      <c r="C2731" s="4">
        <v>12.757999999999999</v>
      </c>
      <c r="D2731" s="4">
        <v>12.828099999999999</v>
      </c>
      <c r="E2731" s="4">
        <v>13.5479</v>
      </c>
      <c r="F2731" s="4">
        <f t="shared" si="168"/>
        <v>13.044666666666666</v>
      </c>
      <c r="I2731" s="4" t="s">
        <v>2133</v>
      </c>
      <c r="J2731" s="4">
        <v>13.095599999999999</v>
      </c>
      <c r="K2731" s="4">
        <v>13.021699999999999</v>
      </c>
      <c r="L2731" s="4">
        <v>12.981400000000001</v>
      </c>
      <c r="M2731" s="4">
        <f t="shared" si="169"/>
        <v>13.0329</v>
      </c>
      <c r="P2731" s="4" t="str">
        <f>"C44C1.1"</f>
        <v>C44C1.1</v>
      </c>
      <c r="Q2731" s="4">
        <v>12.1632189069984</v>
      </c>
      <c r="R2731" s="4">
        <v>12.9934905468849</v>
      </c>
      <c r="S2731" s="4">
        <v>13.139163938939999</v>
      </c>
      <c r="T2731" s="4">
        <f t="shared" si="170"/>
        <v>12.765291130941101</v>
      </c>
      <c r="W2731" s="4" t="str">
        <f>"fubl-4"</f>
        <v>fubl-4</v>
      </c>
      <c r="X2731" s="4">
        <v>12.5555560040934</v>
      </c>
      <c r="Y2731" s="4">
        <v>12.871192333320099</v>
      </c>
      <c r="Z2731" s="4">
        <v>12.8997021695476</v>
      </c>
      <c r="AA2731" s="4">
        <f t="shared" si="171"/>
        <v>12.775483502320368</v>
      </c>
    </row>
    <row r="2732" spans="2:27" x14ac:dyDescent="0.2">
      <c r="B2732" s="4" t="s">
        <v>706</v>
      </c>
      <c r="C2732" s="4">
        <v>12.8589</v>
      </c>
      <c r="D2732" s="4">
        <v>13.2852</v>
      </c>
      <c r="E2732" s="4">
        <v>12.9877</v>
      </c>
      <c r="F2732" s="4">
        <f t="shared" si="168"/>
        <v>13.043933333333333</v>
      </c>
      <c r="I2732" s="4" t="s">
        <v>3890</v>
      </c>
      <c r="J2732" s="4">
        <v>13.0427</v>
      </c>
      <c r="K2732" s="4">
        <v>13.318</v>
      </c>
      <c r="L2732" s="4">
        <v>12.736499999999999</v>
      </c>
      <c r="M2732" s="4">
        <f t="shared" si="169"/>
        <v>13.032400000000001</v>
      </c>
      <c r="P2732" s="4" t="str">
        <f>"ints-11"</f>
        <v>ints-11</v>
      </c>
      <c r="Q2732" s="4">
        <v>12.8821994884812</v>
      </c>
      <c r="R2732" s="4">
        <v>12.506073188624899</v>
      </c>
      <c r="S2732" s="4">
        <v>12.905664843896799</v>
      </c>
      <c r="T2732" s="4">
        <f t="shared" si="170"/>
        <v>12.764645840334301</v>
      </c>
      <c r="W2732" s="4" t="str">
        <f>"dnj-10"</f>
        <v>dnj-10</v>
      </c>
      <c r="X2732" s="4">
        <v>13.0904894415711</v>
      </c>
      <c r="Y2732" s="4">
        <v>12.6744905285793</v>
      </c>
      <c r="Z2732" s="4">
        <v>12.557207951357899</v>
      </c>
      <c r="AA2732" s="4">
        <f t="shared" si="171"/>
        <v>12.774062640502768</v>
      </c>
    </row>
    <row r="2733" spans="2:27" x14ac:dyDescent="0.2">
      <c r="B2733" s="4" t="s">
        <v>4594</v>
      </c>
      <c r="C2733" s="4">
        <v>13.174099999999999</v>
      </c>
      <c r="D2733" s="4">
        <v>12.7844</v>
      </c>
      <c r="E2733" s="4">
        <v>13.1714</v>
      </c>
      <c r="F2733" s="4">
        <f t="shared" si="168"/>
        <v>13.0433</v>
      </c>
      <c r="I2733" s="4" t="s">
        <v>4825</v>
      </c>
      <c r="J2733" s="4">
        <v>12.9176</v>
      </c>
      <c r="K2733" s="4">
        <v>13.155099999999999</v>
      </c>
      <c r="L2733" s="4">
        <v>13.013400000000001</v>
      </c>
      <c r="M2733" s="4">
        <f t="shared" si="169"/>
        <v>13.028700000000001</v>
      </c>
      <c r="P2733" s="4" t="str">
        <f>"cit-1.2"</f>
        <v>cit-1.2</v>
      </c>
      <c r="Q2733" s="4">
        <v>12.9685633838704</v>
      </c>
      <c r="R2733" s="4">
        <v>12.8451107815046</v>
      </c>
      <c r="S2733" s="4">
        <v>12.4801877873824</v>
      </c>
      <c r="T2733" s="4">
        <f t="shared" si="170"/>
        <v>12.764620650919133</v>
      </c>
      <c r="W2733" s="4" t="str">
        <f>"hpk-1"</f>
        <v>hpk-1</v>
      </c>
      <c r="X2733" s="4">
        <v>12.7795843338927</v>
      </c>
      <c r="Y2733" s="4">
        <v>12.794253442336201</v>
      </c>
      <c r="Z2733" s="4">
        <v>12.735987687683499</v>
      </c>
      <c r="AA2733" s="4">
        <f t="shared" si="171"/>
        <v>12.769941821304132</v>
      </c>
    </row>
    <row r="2734" spans="2:27" x14ac:dyDescent="0.2">
      <c r="B2734" s="4" t="s">
        <v>3324</v>
      </c>
      <c r="C2734" s="4">
        <v>12.9078</v>
      </c>
      <c r="D2734" s="4">
        <v>13.436999999999999</v>
      </c>
      <c r="E2734" s="4">
        <v>12.7767</v>
      </c>
      <c r="F2734" s="4">
        <f t="shared" si="168"/>
        <v>13.0405</v>
      </c>
      <c r="I2734" s="4" t="s">
        <v>2097</v>
      </c>
      <c r="J2734" s="4">
        <v>12.501200000000001</v>
      </c>
      <c r="K2734" s="4">
        <v>12.630800000000001</v>
      </c>
      <c r="L2734" s="4">
        <v>13.9519</v>
      </c>
      <c r="M2734" s="4">
        <f t="shared" si="169"/>
        <v>13.027966666666666</v>
      </c>
      <c r="P2734" s="4" t="str">
        <f>"daf-25"</f>
        <v>daf-25</v>
      </c>
      <c r="Q2734" s="4">
        <v>14.181984778983299</v>
      </c>
      <c r="R2734" s="4">
        <v>11.9901621414582</v>
      </c>
      <c r="S2734" s="4">
        <v>12.119631670582599</v>
      </c>
      <c r="T2734" s="4">
        <f t="shared" si="170"/>
        <v>12.763926197008033</v>
      </c>
      <c r="W2734" s="4" t="str">
        <f>"ztf-4"</f>
        <v>ztf-4</v>
      </c>
      <c r="X2734" s="4">
        <v>13.1466627797298</v>
      </c>
      <c r="Y2734" s="4">
        <v>12.7185060732801</v>
      </c>
      <c r="Z2734" s="4">
        <v>12.432852575670299</v>
      </c>
      <c r="AA2734" s="4">
        <f t="shared" si="171"/>
        <v>12.7660071428934</v>
      </c>
    </row>
    <row r="2735" spans="2:27" x14ac:dyDescent="0.2">
      <c r="B2735" s="4" t="s">
        <v>2348</v>
      </c>
      <c r="C2735" s="4">
        <v>13.220499999999999</v>
      </c>
      <c r="D2735" s="4">
        <v>12.746700000000001</v>
      </c>
      <c r="E2735" s="4">
        <v>13.1531</v>
      </c>
      <c r="F2735" s="4">
        <f t="shared" si="168"/>
        <v>13.040100000000001</v>
      </c>
      <c r="I2735" s="4" t="s">
        <v>1023</v>
      </c>
      <c r="J2735" s="4">
        <v>12.913600000000001</v>
      </c>
      <c r="K2735" s="4">
        <v>13.026</v>
      </c>
      <c r="L2735" s="4">
        <v>13.1371</v>
      </c>
      <c r="M2735" s="4">
        <f t="shared" si="169"/>
        <v>13.025566666666668</v>
      </c>
      <c r="P2735" s="4" t="str">
        <f>"prp-17"</f>
        <v>prp-17</v>
      </c>
      <c r="Q2735" s="4">
        <v>12.9036804162543</v>
      </c>
      <c r="R2735" s="4">
        <v>12.6833555779239</v>
      </c>
      <c r="S2735" s="4">
        <v>12.700918924786301</v>
      </c>
      <c r="T2735" s="4">
        <f t="shared" si="170"/>
        <v>12.762651639654834</v>
      </c>
      <c r="W2735" s="4" t="str">
        <f>"ile-1"</f>
        <v>ile-1</v>
      </c>
      <c r="X2735" s="4">
        <v>13.043317542369101</v>
      </c>
      <c r="Y2735" s="4">
        <v>12.4751662265731</v>
      </c>
      <c r="Z2735" s="4">
        <v>12.7720159658636</v>
      </c>
      <c r="AA2735" s="4">
        <f t="shared" si="171"/>
        <v>12.763499911601933</v>
      </c>
    </row>
    <row r="2736" spans="2:27" x14ac:dyDescent="0.2">
      <c r="B2736" s="4" t="s">
        <v>4224</v>
      </c>
      <c r="C2736" s="4">
        <v>12.7378</v>
      </c>
      <c r="D2736" s="4">
        <v>13.260899999999999</v>
      </c>
      <c r="E2736" s="4">
        <v>13.1082</v>
      </c>
      <c r="F2736" s="4">
        <f t="shared" si="168"/>
        <v>13.035633333333331</v>
      </c>
      <c r="I2736" s="4" t="s">
        <v>4284</v>
      </c>
      <c r="J2736" s="4">
        <v>12.874700000000001</v>
      </c>
      <c r="K2736" s="4">
        <v>13.1456</v>
      </c>
      <c r="L2736" s="4">
        <v>13.0533</v>
      </c>
      <c r="M2736" s="4">
        <f t="shared" si="169"/>
        <v>13.024533333333332</v>
      </c>
      <c r="P2736" s="4" t="str">
        <f>"mrps-18b"</f>
        <v>mrps-18b</v>
      </c>
      <c r="Q2736" s="4">
        <v>12.930383965826</v>
      </c>
      <c r="R2736" s="4">
        <v>12.4500890953927</v>
      </c>
      <c r="S2736" s="4">
        <v>12.9062844024385</v>
      </c>
      <c r="T2736" s="4">
        <f t="shared" si="170"/>
        <v>12.762252487885734</v>
      </c>
      <c r="W2736" s="4" t="str">
        <f>"trpp-6"</f>
        <v>trpp-6</v>
      </c>
      <c r="X2736" s="4">
        <v>12.847843620941299</v>
      </c>
      <c r="Y2736" s="4">
        <v>12.882286414357701</v>
      </c>
      <c r="Z2736" s="4">
        <v>12.5523299063524</v>
      </c>
      <c r="AA2736" s="4">
        <f t="shared" si="171"/>
        <v>12.760819980550465</v>
      </c>
    </row>
    <row r="2737" spans="2:27" x14ac:dyDescent="0.2">
      <c r="B2737" s="4" t="s">
        <v>947</v>
      </c>
      <c r="C2737" s="4">
        <v>13.221</v>
      </c>
      <c r="D2737" s="4">
        <v>13.1371</v>
      </c>
      <c r="E2737" s="4">
        <v>12.7399</v>
      </c>
      <c r="F2737" s="4">
        <f t="shared" si="168"/>
        <v>13.032666666666666</v>
      </c>
      <c r="I2737" s="4" t="s">
        <v>4386</v>
      </c>
      <c r="J2737" s="4">
        <v>12.7879</v>
      </c>
      <c r="K2737" s="4">
        <v>13.3239</v>
      </c>
      <c r="L2737" s="4">
        <v>12.9612</v>
      </c>
      <c r="M2737" s="4">
        <f t="shared" si="169"/>
        <v>13.024333333333333</v>
      </c>
      <c r="P2737" s="4" t="str">
        <f>"nep-2"</f>
        <v>nep-2</v>
      </c>
      <c r="Q2737" s="4">
        <v>12.7027586939854</v>
      </c>
      <c r="R2737" s="4">
        <v>12.8164097584469</v>
      </c>
      <c r="S2737" s="4">
        <v>12.760847707082799</v>
      </c>
      <c r="T2737" s="4">
        <f t="shared" si="170"/>
        <v>12.760005386505034</v>
      </c>
      <c r="W2737" s="4" t="str">
        <f>"pro-1"</f>
        <v>pro-1</v>
      </c>
      <c r="X2737" s="4">
        <v>12.4604622610563</v>
      </c>
      <c r="Y2737" s="4">
        <v>12.7327805222351</v>
      </c>
      <c r="Z2737" s="4">
        <v>13.0761600874688</v>
      </c>
      <c r="AA2737" s="4">
        <f t="shared" si="171"/>
        <v>12.756467623586735</v>
      </c>
    </row>
    <row r="2738" spans="2:27" x14ac:dyDescent="0.2">
      <c r="B2738" s="4" t="s">
        <v>2764</v>
      </c>
      <c r="C2738" s="4">
        <v>13.5968</v>
      </c>
      <c r="D2738" s="4">
        <v>12.571099999999999</v>
      </c>
      <c r="E2738" s="4">
        <v>12.9291</v>
      </c>
      <c r="F2738" s="4">
        <f t="shared" si="168"/>
        <v>13.032333333333334</v>
      </c>
      <c r="I2738" s="4" t="s">
        <v>1175</v>
      </c>
      <c r="J2738" s="4">
        <v>13.1988</v>
      </c>
      <c r="K2738" s="4">
        <v>13.333600000000001</v>
      </c>
      <c r="L2738" s="4">
        <v>12.535299999999999</v>
      </c>
      <c r="M2738" s="4">
        <f t="shared" si="169"/>
        <v>13.022566666666668</v>
      </c>
      <c r="P2738" s="4" t="str">
        <f>"F09B12.3"</f>
        <v>F09B12.3</v>
      </c>
      <c r="Q2738" s="4">
        <v>12.2946902364869</v>
      </c>
      <c r="R2738" s="4">
        <v>13.3409483834062</v>
      </c>
      <c r="S2738" s="4">
        <v>12.6430846462196</v>
      </c>
      <c r="T2738" s="4">
        <f t="shared" si="170"/>
        <v>12.759574422037566</v>
      </c>
      <c r="W2738" s="4" t="str">
        <f>"C48B6.2"</f>
        <v>C48B6.2</v>
      </c>
      <c r="X2738" s="4">
        <v>12.3457512047723</v>
      </c>
      <c r="Y2738" s="4">
        <v>12.908890163369099</v>
      </c>
      <c r="Z2738" s="4">
        <v>13.0077693110798</v>
      </c>
      <c r="AA2738" s="4">
        <f t="shared" si="171"/>
        <v>12.754136893073733</v>
      </c>
    </row>
    <row r="2739" spans="2:27" x14ac:dyDescent="0.2">
      <c r="B2739" s="4" t="s">
        <v>1590</v>
      </c>
      <c r="C2739" s="4">
        <v>13.1487</v>
      </c>
      <c r="D2739" s="4">
        <v>12.8323</v>
      </c>
      <c r="E2739" s="4">
        <v>13.110099999999999</v>
      </c>
      <c r="F2739" s="4">
        <f t="shared" si="168"/>
        <v>13.030366666666666</v>
      </c>
      <c r="I2739" s="4" t="s">
        <v>4586</v>
      </c>
      <c r="J2739" s="4">
        <v>12.911300000000001</v>
      </c>
      <c r="K2739" s="4">
        <v>13.1317</v>
      </c>
      <c r="L2739" s="4">
        <v>13.0242</v>
      </c>
      <c r="M2739" s="4">
        <f t="shared" si="169"/>
        <v>13.022399999999999</v>
      </c>
      <c r="P2739" s="4" t="str">
        <f>"ule-1"</f>
        <v>ule-1</v>
      </c>
      <c r="Q2739" s="4">
        <v>12.572570217238701</v>
      </c>
      <c r="R2739" s="4">
        <v>12.530486939892199</v>
      </c>
      <c r="S2739" s="4">
        <v>13.170914554269199</v>
      </c>
      <c r="T2739" s="4">
        <f t="shared" si="170"/>
        <v>12.757990570466697</v>
      </c>
      <c r="W2739" s="4" t="str">
        <f>"R05D3.9/R05D3.10"</f>
        <v>R05D3.9/R05D3.10</v>
      </c>
      <c r="X2739" s="4">
        <v>13.000896364412901</v>
      </c>
      <c r="Y2739" s="4">
        <v>12.4957980253954</v>
      </c>
      <c r="Z2739" s="4">
        <v>12.749048792782499</v>
      </c>
      <c r="AA2739" s="4">
        <f t="shared" si="171"/>
        <v>12.7485810608636</v>
      </c>
    </row>
    <row r="2740" spans="2:27" x14ac:dyDescent="0.2">
      <c r="B2740" s="4" t="s">
        <v>1216</v>
      </c>
      <c r="C2740" s="4">
        <v>12.7372</v>
      </c>
      <c r="D2740" s="4">
        <v>13.5746</v>
      </c>
      <c r="E2740" s="4">
        <v>12.772500000000001</v>
      </c>
      <c r="F2740" s="4">
        <f t="shared" si="168"/>
        <v>13.0281</v>
      </c>
      <c r="I2740" s="4" t="s">
        <v>3698</v>
      </c>
      <c r="J2740" s="4">
        <v>13.0372</v>
      </c>
      <c r="K2740" s="4">
        <v>12.906000000000001</v>
      </c>
      <c r="L2740" s="4">
        <v>13.1212</v>
      </c>
      <c r="M2740" s="4">
        <f t="shared" si="169"/>
        <v>13.021466666666667</v>
      </c>
      <c r="P2740" s="4" t="str">
        <f>"ccnk-1"</f>
        <v>ccnk-1</v>
      </c>
      <c r="Q2740" s="4">
        <v>12.587494396449801</v>
      </c>
      <c r="R2740" s="4">
        <v>12.935371089440199</v>
      </c>
      <c r="S2740" s="4">
        <v>12.7505821980817</v>
      </c>
      <c r="T2740" s="4">
        <f t="shared" si="170"/>
        <v>12.757815894657234</v>
      </c>
      <c r="W2740" s="4" t="str">
        <f>"F22G12.5"</f>
        <v>F22G12.5</v>
      </c>
      <c r="X2740" s="4">
        <v>12.748215207749</v>
      </c>
      <c r="Y2740" s="4">
        <v>12.6885940733394</v>
      </c>
      <c r="Z2740" s="4">
        <v>12.806619256136401</v>
      </c>
      <c r="AA2740" s="4">
        <f t="shared" si="171"/>
        <v>12.747809512408267</v>
      </c>
    </row>
    <row r="2741" spans="2:27" x14ac:dyDescent="0.2">
      <c r="B2741" s="4" t="s">
        <v>1269</v>
      </c>
      <c r="C2741" s="4">
        <v>13.241</v>
      </c>
      <c r="D2741" s="4">
        <v>12.726100000000001</v>
      </c>
      <c r="E2741" s="4">
        <v>13.116199999999999</v>
      </c>
      <c r="F2741" s="4">
        <f t="shared" si="168"/>
        <v>13.027766666666666</v>
      </c>
      <c r="I2741" s="4" t="s">
        <v>3035</v>
      </c>
      <c r="J2741" s="4">
        <v>13.2964</v>
      </c>
      <c r="K2741" s="4">
        <v>13.0124</v>
      </c>
      <c r="L2741" s="4">
        <v>12.750500000000001</v>
      </c>
      <c r="M2741" s="4">
        <f t="shared" si="169"/>
        <v>13.019766666666667</v>
      </c>
      <c r="P2741" s="4" t="str">
        <f>"prp-19"</f>
        <v>prp-19</v>
      </c>
      <c r="Q2741" s="4">
        <v>12.3259356508308</v>
      </c>
      <c r="R2741" s="4">
        <v>12.8983564286206</v>
      </c>
      <c r="S2741" s="4">
        <v>13.042266110628001</v>
      </c>
      <c r="T2741" s="4">
        <f t="shared" si="170"/>
        <v>12.755519396693133</v>
      </c>
      <c r="W2741" s="4" t="str">
        <f>"col-167"</f>
        <v>col-167</v>
      </c>
      <c r="X2741" s="4">
        <v>13.719383385611</v>
      </c>
      <c r="Y2741" s="4">
        <v>12.451444420130199</v>
      </c>
      <c r="Z2741" s="4">
        <v>12.0689838110943</v>
      </c>
      <c r="AA2741" s="4">
        <f t="shared" si="171"/>
        <v>12.746603872278499</v>
      </c>
    </row>
    <row r="2742" spans="2:27" x14ac:dyDescent="0.2">
      <c r="B2742" s="4" t="s">
        <v>1005</v>
      </c>
      <c r="C2742" s="4">
        <v>13.0137</v>
      </c>
      <c r="D2742" s="4">
        <v>13.286300000000001</v>
      </c>
      <c r="E2742" s="4">
        <v>12.7829</v>
      </c>
      <c r="F2742" s="4">
        <f t="shared" si="168"/>
        <v>13.027633333333334</v>
      </c>
      <c r="I2742" s="4" t="s">
        <v>1200</v>
      </c>
      <c r="J2742" s="4">
        <v>12.7011</v>
      </c>
      <c r="K2742" s="4">
        <v>13.1861</v>
      </c>
      <c r="L2742" s="4">
        <v>13.159800000000001</v>
      </c>
      <c r="M2742" s="4">
        <f t="shared" si="169"/>
        <v>13.015666666666666</v>
      </c>
      <c r="P2742" s="4" t="str">
        <f>"elpc-3"</f>
        <v>elpc-3</v>
      </c>
      <c r="Q2742" s="4">
        <v>12.794075163236799</v>
      </c>
      <c r="R2742" s="4">
        <v>12.7227642367519</v>
      </c>
      <c r="S2742" s="4">
        <v>12.7469981249352</v>
      </c>
      <c r="T2742" s="4">
        <f t="shared" si="170"/>
        <v>12.754612508307966</v>
      </c>
      <c r="W2742" s="4" t="str">
        <f>"ani-2"</f>
        <v>ani-2</v>
      </c>
      <c r="X2742" s="4">
        <v>12.983190987772099</v>
      </c>
      <c r="Y2742" s="4">
        <v>12.828276399291701</v>
      </c>
      <c r="Z2742" s="4">
        <v>12.4264152713945</v>
      </c>
      <c r="AA2742" s="4">
        <f t="shared" si="171"/>
        <v>12.745960886152767</v>
      </c>
    </row>
    <row r="2743" spans="2:27" x14ac:dyDescent="0.2">
      <c r="B2743" s="4" t="s">
        <v>538</v>
      </c>
      <c r="C2743" s="4">
        <v>12.82</v>
      </c>
      <c r="D2743" s="4">
        <v>13.316700000000001</v>
      </c>
      <c r="E2743" s="4">
        <v>12.9451</v>
      </c>
      <c r="F2743" s="4">
        <f t="shared" si="168"/>
        <v>13.027266666666668</v>
      </c>
      <c r="I2743" s="4" t="s">
        <v>3713</v>
      </c>
      <c r="J2743" s="4">
        <v>13.033300000000001</v>
      </c>
      <c r="K2743" s="4">
        <v>12.8879</v>
      </c>
      <c r="L2743" s="4">
        <v>13.106400000000001</v>
      </c>
      <c r="M2743" s="4">
        <f t="shared" si="169"/>
        <v>13.0092</v>
      </c>
      <c r="P2743" s="4" t="str">
        <f>"mag-1"</f>
        <v>mag-1</v>
      </c>
      <c r="Q2743" s="4">
        <v>12.9355673435107</v>
      </c>
      <c r="R2743" s="4">
        <v>12.5803884591512</v>
      </c>
      <c r="S2743" s="4">
        <v>12.7466662439274</v>
      </c>
      <c r="T2743" s="4">
        <f t="shared" si="170"/>
        <v>12.754207348863099</v>
      </c>
      <c r="W2743" s="4" t="str">
        <f>"mtrr-1"</f>
        <v>mtrr-1</v>
      </c>
      <c r="X2743" s="4">
        <v>12.3588861671365</v>
      </c>
      <c r="Y2743" s="4">
        <v>12.907279320156499</v>
      </c>
      <c r="Z2743" s="4">
        <v>12.968973355707099</v>
      </c>
      <c r="AA2743" s="4">
        <f t="shared" si="171"/>
        <v>12.745046281000034</v>
      </c>
    </row>
    <row r="2744" spans="2:27" x14ac:dyDescent="0.2">
      <c r="B2744" s="4" t="s">
        <v>2966</v>
      </c>
      <c r="C2744" s="4">
        <v>13.198399999999999</v>
      </c>
      <c r="D2744" s="4">
        <v>13.168200000000001</v>
      </c>
      <c r="E2744" s="4">
        <v>12.7148</v>
      </c>
      <c r="F2744" s="4">
        <f t="shared" si="168"/>
        <v>13.027133333333333</v>
      </c>
      <c r="I2744" s="4" t="s">
        <v>4824</v>
      </c>
      <c r="J2744" s="4">
        <v>13.0618</v>
      </c>
      <c r="K2744" s="4">
        <v>13.0937</v>
      </c>
      <c r="L2744" s="4">
        <v>12.866</v>
      </c>
      <c r="M2744" s="4">
        <f t="shared" si="169"/>
        <v>13.007166666666668</v>
      </c>
      <c r="P2744" s="4" t="str">
        <f>"lys-1"</f>
        <v>lys-1</v>
      </c>
      <c r="Q2744" s="4">
        <v>12.5645887602393</v>
      </c>
      <c r="R2744" s="4">
        <v>13.0264900593031</v>
      </c>
      <c r="S2744" s="4">
        <v>12.6540384811994</v>
      </c>
      <c r="T2744" s="4">
        <f t="shared" si="170"/>
        <v>12.748372433580599</v>
      </c>
      <c r="W2744" s="4" t="str">
        <f>"lipl-2"</f>
        <v>lipl-2</v>
      </c>
      <c r="X2744" s="4">
        <v>12.0218310286615</v>
      </c>
      <c r="Y2744" s="4">
        <v>13.1417098511753</v>
      </c>
      <c r="Z2744" s="4">
        <v>13.065428804505</v>
      </c>
      <c r="AA2744" s="4">
        <f t="shared" si="171"/>
        <v>12.742989894780601</v>
      </c>
    </row>
    <row r="2745" spans="2:27" x14ac:dyDescent="0.2">
      <c r="B2745" s="4" t="s">
        <v>2939</v>
      </c>
      <c r="C2745" s="4">
        <v>12.667199999999999</v>
      </c>
      <c r="D2745" s="4">
        <v>13.375</v>
      </c>
      <c r="E2745" s="4">
        <v>13.038500000000001</v>
      </c>
      <c r="F2745" s="4">
        <f t="shared" si="168"/>
        <v>13.026899999999999</v>
      </c>
      <c r="I2745" s="4" t="s">
        <v>3238</v>
      </c>
      <c r="J2745" s="4">
        <v>13.173999999999999</v>
      </c>
      <c r="K2745" s="4">
        <v>12.885899999999999</v>
      </c>
      <c r="L2745" s="4">
        <v>12.955</v>
      </c>
      <c r="M2745" s="4">
        <f t="shared" si="169"/>
        <v>13.004966666666666</v>
      </c>
      <c r="P2745" s="4" t="str">
        <f>"mig-2"</f>
        <v>mig-2</v>
      </c>
      <c r="Q2745" s="4">
        <v>13.3725931625836</v>
      </c>
      <c r="R2745" s="4">
        <v>12.278485778152699</v>
      </c>
      <c r="S2745" s="4">
        <v>12.5910422482138</v>
      </c>
      <c r="T2745" s="4">
        <f t="shared" si="170"/>
        <v>12.747373729650031</v>
      </c>
      <c r="W2745" s="4" t="str">
        <f>"ceh-92"</f>
        <v>ceh-92</v>
      </c>
      <c r="X2745" s="4">
        <v>12.832615726694801</v>
      </c>
      <c r="Y2745" s="4">
        <v>12.9612809655058</v>
      </c>
      <c r="Z2745" s="4">
        <v>12.433935328878199</v>
      </c>
      <c r="AA2745" s="4">
        <f t="shared" si="171"/>
        <v>12.742610673692932</v>
      </c>
    </row>
    <row r="2746" spans="2:27" x14ac:dyDescent="0.2">
      <c r="B2746" s="4" t="s">
        <v>3368</v>
      </c>
      <c r="C2746" s="4">
        <v>12.8103</v>
      </c>
      <c r="D2746" s="4">
        <v>13.347799999999999</v>
      </c>
      <c r="E2746" s="4">
        <v>12.922599999999999</v>
      </c>
      <c r="F2746" s="4">
        <f t="shared" si="168"/>
        <v>13.026899999999998</v>
      </c>
      <c r="I2746" s="4" t="s">
        <v>1641</v>
      </c>
      <c r="J2746" s="4">
        <v>12.664</v>
      </c>
      <c r="K2746" s="4">
        <v>13.196999999999999</v>
      </c>
      <c r="L2746" s="4">
        <v>13.1488</v>
      </c>
      <c r="M2746" s="4">
        <f t="shared" si="169"/>
        <v>13.003266666666667</v>
      </c>
      <c r="P2746" s="4" t="str">
        <f>"tag-250"</f>
        <v>tag-250</v>
      </c>
      <c r="Q2746" s="4">
        <v>12.7493126793921</v>
      </c>
      <c r="R2746" s="4">
        <v>12.913065426887799</v>
      </c>
      <c r="S2746" s="4">
        <v>12.5793486205209</v>
      </c>
      <c r="T2746" s="4">
        <f t="shared" si="170"/>
        <v>12.747242242266934</v>
      </c>
      <c r="W2746" s="4" t="str">
        <f>"W02D9.2"</f>
        <v>W02D9.2</v>
      </c>
      <c r="X2746" s="4">
        <v>12.8214854341409</v>
      </c>
      <c r="Y2746" s="4">
        <v>12.532912506767801</v>
      </c>
      <c r="Z2746" s="4">
        <v>12.8723276863451</v>
      </c>
      <c r="AA2746" s="4">
        <f t="shared" si="171"/>
        <v>12.742241875751267</v>
      </c>
    </row>
    <row r="2747" spans="2:27" x14ac:dyDescent="0.2">
      <c r="B2747" s="4" t="s">
        <v>2544</v>
      </c>
      <c r="C2747" s="4">
        <v>13.007</v>
      </c>
      <c r="D2747" s="4">
        <v>12.8184</v>
      </c>
      <c r="E2747" s="4">
        <v>13.2545</v>
      </c>
      <c r="F2747" s="4">
        <f t="shared" si="168"/>
        <v>13.026633333333335</v>
      </c>
      <c r="I2747" s="4" t="s">
        <v>4814</v>
      </c>
      <c r="J2747" s="4">
        <v>13.344900000000001</v>
      </c>
      <c r="K2747" s="4">
        <v>13.0207</v>
      </c>
      <c r="L2747" s="4">
        <v>12.6418</v>
      </c>
      <c r="M2747" s="4">
        <f t="shared" si="169"/>
        <v>13.002466666666669</v>
      </c>
      <c r="P2747" s="4" t="str">
        <f>"T26C5.3"</f>
        <v>T26C5.3</v>
      </c>
      <c r="Q2747" s="4">
        <v>12.3427909339047</v>
      </c>
      <c r="R2747" s="4">
        <v>13.385275949615</v>
      </c>
      <c r="S2747" s="4">
        <v>12.5125935339719</v>
      </c>
      <c r="T2747" s="4">
        <f t="shared" si="170"/>
        <v>12.746886805830535</v>
      </c>
      <c r="W2747" s="4" t="str">
        <f>"ugt-25"</f>
        <v>ugt-25</v>
      </c>
      <c r="X2747" s="4">
        <v>12.6959854256084</v>
      </c>
      <c r="Y2747" s="4">
        <v>12.678370804439201</v>
      </c>
      <c r="Z2747" s="4">
        <v>12.851380373191301</v>
      </c>
      <c r="AA2747" s="4">
        <f t="shared" si="171"/>
        <v>12.741912201079634</v>
      </c>
    </row>
    <row r="2748" spans="2:27" x14ac:dyDescent="0.2">
      <c r="B2748" s="4" t="s">
        <v>212</v>
      </c>
      <c r="C2748" s="4">
        <v>12.7949</v>
      </c>
      <c r="D2748" s="4">
        <v>13.456899999999999</v>
      </c>
      <c r="E2748" s="4">
        <v>12.817399999999999</v>
      </c>
      <c r="F2748" s="4">
        <f t="shared" si="168"/>
        <v>13.023066666666665</v>
      </c>
      <c r="I2748" s="4" t="s">
        <v>893</v>
      </c>
      <c r="J2748" s="4">
        <v>12.7544</v>
      </c>
      <c r="K2748" s="4">
        <v>12.823</v>
      </c>
      <c r="L2748" s="4">
        <v>13.4245</v>
      </c>
      <c r="M2748" s="4">
        <f t="shared" si="169"/>
        <v>13.000633333333333</v>
      </c>
      <c r="P2748" s="4" t="str">
        <f>"tomm-20"</f>
        <v>tomm-20</v>
      </c>
      <c r="Q2748" s="4">
        <v>12.6404110937419</v>
      </c>
      <c r="R2748" s="4">
        <v>12.5791837853996</v>
      </c>
      <c r="S2748" s="4">
        <v>13.0179062236985</v>
      </c>
      <c r="T2748" s="4">
        <f t="shared" si="170"/>
        <v>12.745833700946667</v>
      </c>
      <c r="W2748" s="4" t="str">
        <f>"inx-17"</f>
        <v>inx-17</v>
      </c>
      <c r="X2748" s="4">
        <v>12.761401462767999</v>
      </c>
      <c r="Y2748" s="4">
        <v>12.713893924258601</v>
      </c>
      <c r="Z2748" s="4">
        <v>12.741340620642699</v>
      </c>
      <c r="AA2748" s="4">
        <f t="shared" si="171"/>
        <v>12.738878669223098</v>
      </c>
    </row>
    <row r="2749" spans="2:27" x14ac:dyDescent="0.2">
      <c r="B2749" s="4" t="s">
        <v>3784</v>
      </c>
      <c r="C2749" s="4">
        <v>12.7394</v>
      </c>
      <c r="D2749" s="4">
        <v>12.8964</v>
      </c>
      <c r="E2749" s="4">
        <v>13.4322</v>
      </c>
      <c r="F2749" s="4">
        <f t="shared" si="168"/>
        <v>13.022666666666666</v>
      </c>
      <c r="I2749" s="4" t="s">
        <v>4252</v>
      </c>
      <c r="J2749" s="4">
        <v>13.367900000000001</v>
      </c>
      <c r="K2749" s="4">
        <v>12.924300000000001</v>
      </c>
      <c r="L2749" s="4">
        <v>12.681699999999999</v>
      </c>
      <c r="M2749" s="4">
        <f t="shared" si="169"/>
        <v>12.991300000000001</v>
      </c>
      <c r="P2749" s="4" t="str">
        <f>"fbxb-37"</f>
        <v>fbxb-37</v>
      </c>
      <c r="Q2749" s="4">
        <v>13.5868547719072</v>
      </c>
      <c r="R2749" s="4">
        <v>12.9072307952964</v>
      </c>
      <c r="S2749" s="4">
        <v>11.742647584143199</v>
      </c>
      <c r="T2749" s="4">
        <f t="shared" si="170"/>
        <v>12.7455777171156</v>
      </c>
      <c r="W2749" s="4" t="str">
        <f>"pdi-1"</f>
        <v>pdi-1</v>
      </c>
      <c r="X2749" s="4">
        <v>12.955089370241399</v>
      </c>
      <c r="Y2749" s="4">
        <v>12.528059196713301</v>
      </c>
      <c r="Z2749" s="4">
        <v>12.724845262391099</v>
      </c>
      <c r="AA2749" s="4">
        <f t="shared" si="171"/>
        <v>12.735997943115265</v>
      </c>
    </row>
    <row r="2750" spans="2:27" x14ac:dyDescent="0.2">
      <c r="B2750" s="4" t="s">
        <v>4367</v>
      </c>
      <c r="C2750" s="4">
        <v>13.1511</v>
      </c>
      <c r="D2750" s="4">
        <v>13.1031</v>
      </c>
      <c r="E2750" s="4">
        <v>12.809900000000001</v>
      </c>
      <c r="F2750" s="4">
        <f t="shared" si="168"/>
        <v>13.021366666666665</v>
      </c>
      <c r="I2750" s="4" t="s">
        <v>2343</v>
      </c>
      <c r="J2750" s="4">
        <v>12.6953</v>
      </c>
      <c r="K2750" s="4">
        <v>12.6828</v>
      </c>
      <c r="L2750" s="4">
        <v>13.593500000000001</v>
      </c>
      <c r="M2750" s="4">
        <f t="shared" si="169"/>
        <v>12.990533333333333</v>
      </c>
      <c r="P2750" s="4" t="str">
        <f>"lys-7"</f>
        <v>lys-7</v>
      </c>
      <c r="Q2750" s="4">
        <v>12.7577325679308</v>
      </c>
      <c r="R2750" s="4">
        <v>12.1926939943043</v>
      </c>
      <c r="S2750" s="4">
        <v>13.2860754832439</v>
      </c>
      <c r="T2750" s="4">
        <f t="shared" si="170"/>
        <v>12.745500681826334</v>
      </c>
      <c r="W2750" s="4" t="str">
        <f>"C26C6.9"</f>
        <v>C26C6.9</v>
      </c>
      <c r="X2750" s="4">
        <v>13.1532248232075</v>
      </c>
      <c r="Y2750" s="4">
        <v>12.9644591553017</v>
      </c>
      <c r="Z2750" s="4">
        <v>12.089021440602901</v>
      </c>
      <c r="AA2750" s="4">
        <f t="shared" si="171"/>
        <v>12.735568473037366</v>
      </c>
    </row>
    <row r="2751" spans="2:27" x14ac:dyDescent="0.2">
      <c r="B2751" s="4" t="s">
        <v>875</v>
      </c>
      <c r="C2751" s="4">
        <v>12.962300000000001</v>
      </c>
      <c r="D2751" s="4">
        <v>13.014200000000001</v>
      </c>
      <c r="E2751" s="4">
        <v>13.08</v>
      </c>
      <c r="F2751" s="4">
        <f t="shared" si="168"/>
        <v>13.018833333333333</v>
      </c>
      <c r="I2751" s="4" t="s">
        <v>636</v>
      </c>
      <c r="J2751" s="4">
        <v>12.936400000000001</v>
      </c>
      <c r="K2751" s="4">
        <v>13.133900000000001</v>
      </c>
      <c r="L2751" s="4">
        <v>12.8987</v>
      </c>
      <c r="M2751" s="4">
        <f t="shared" si="169"/>
        <v>12.989666666666666</v>
      </c>
      <c r="P2751" s="4" t="str">
        <f>"emb-30"</f>
        <v>emb-30</v>
      </c>
      <c r="Q2751" s="4">
        <v>12.875482804755601</v>
      </c>
      <c r="R2751" s="4">
        <v>12.6747826286408</v>
      </c>
      <c r="S2751" s="4">
        <v>12.685929390050299</v>
      </c>
      <c r="T2751" s="4">
        <f t="shared" si="170"/>
        <v>12.745398274482234</v>
      </c>
      <c r="W2751" s="4" t="str">
        <f>"hprt-1"</f>
        <v>hprt-1</v>
      </c>
      <c r="X2751" s="4">
        <v>12.382694149287399</v>
      </c>
      <c r="Y2751" s="4">
        <v>12.975403892954301</v>
      </c>
      <c r="Z2751" s="4">
        <v>12.8399881755376</v>
      </c>
      <c r="AA2751" s="4">
        <f t="shared" si="171"/>
        <v>12.732695405926433</v>
      </c>
    </row>
    <row r="2752" spans="2:27" x14ac:dyDescent="0.2">
      <c r="B2752" s="4" t="s">
        <v>3864</v>
      </c>
      <c r="C2752" s="4">
        <v>13.053900000000001</v>
      </c>
      <c r="D2752" s="4">
        <v>13.1577</v>
      </c>
      <c r="E2752" s="4">
        <v>12.8437</v>
      </c>
      <c r="F2752" s="4">
        <f t="shared" si="168"/>
        <v>13.018433333333334</v>
      </c>
      <c r="I2752" s="4" t="s">
        <v>11</v>
      </c>
      <c r="J2752" s="4">
        <v>12.644</v>
      </c>
      <c r="K2752" s="4">
        <v>12.6721</v>
      </c>
      <c r="L2752" s="4">
        <v>13.644</v>
      </c>
      <c r="M2752" s="4">
        <f t="shared" si="169"/>
        <v>12.986699999999999</v>
      </c>
      <c r="P2752" s="4" t="str">
        <f>"smg-3"</f>
        <v>smg-3</v>
      </c>
      <c r="Q2752" s="4">
        <v>12.627683617252</v>
      </c>
      <c r="R2752" s="4">
        <v>12.866928712914801</v>
      </c>
      <c r="S2752" s="4">
        <v>12.7375280769322</v>
      </c>
      <c r="T2752" s="4">
        <f t="shared" si="170"/>
        <v>12.744046802366334</v>
      </c>
      <c r="W2752" s="4" t="str">
        <f>"pld-1"</f>
        <v>pld-1</v>
      </c>
      <c r="X2752" s="4">
        <v>12.9526378369815</v>
      </c>
      <c r="Y2752" s="4">
        <v>13.0779726555779</v>
      </c>
      <c r="Z2752" s="4">
        <v>12.1665436335833</v>
      </c>
      <c r="AA2752" s="4">
        <f t="shared" si="171"/>
        <v>12.732384708714234</v>
      </c>
    </row>
    <row r="2753" spans="2:27" x14ac:dyDescent="0.2">
      <c r="B2753" s="4" t="s">
        <v>3451</v>
      </c>
      <c r="C2753" s="4">
        <v>13.285500000000001</v>
      </c>
      <c r="D2753" s="4">
        <v>12.6127</v>
      </c>
      <c r="E2753" s="4">
        <v>13.1541</v>
      </c>
      <c r="F2753" s="4">
        <f t="shared" si="168"/>
        <v>13.017433333333335</v>
      </c>
      <c r="I2753" s="4" t="s">
        <v>2525</v>
      </c>
      <c r="J2753" s="4">
        <v>13.0968</v>
      </c>
      <c r="K2753" s="4">
        <v>12.921200000000001</v>
      </c>
      <c r="L2753" s="4">
        <v>12.9285</v>
      </c>
      <c r="M2753" s="4">
        <f t="shared" si="169"/>
        <v>12.982166666666666</v>
      </c>
      <c r="P2753" s="4" t="str">
        <f>"dpyd-1"</f>
        <v>dpyd-1</v>
      </c>
      <c r="Q2753" s="4">
        <v>13.466110516551501</v>
      </c>
      <c r="R2753" s="4">
        <v>12.5144530419311</v>
      </c>
      <c r="S2753" s="4">
        <v>12.2466476898373</v>
      </c>
      <c r="T2753" s="4">
        <f t="shared" si="170"/>
        <v>12.742403749439967</v>
      </c>
      <c r="W2753" s="4" t="str">
        <f>"pmt-2"</f>
        <v>pmt-2</v>
      </c>
      <c r="X2753" s="4">
        <v>12.640691967938</v>
      </c>
      <c r="Y2753" s="4">
        <v>12.419949698494699</v>
      </c>
      <c r="Z2753" s="4">
        <v>13.1355963922857</v>
      </c>
      <c r="AA2753" s="4">
        <f t="shared" si="171"/>
        <v>12.732079352906133</v>
      </c>
    </row>
    <row r="2754" spans="2:27" x14ac:dyDescent="0.2">
      <c r="B2754" s="4" t="s">
        <v>886</v>
      </c>
      <c r="C2754" s="4">
        <v>12.6668</v>
      </c>
      <c r="D2754" s="4">
        <v>13.1274</v>
      </c>
      <c r="E2754" s="4">
        <v>13.2346</v>
      </c>
      <c r="F2754" s="4">
        <f t="shared" ref="F2754:F2817" si="172">(C2754+D2754+E2754)/3</f>
        <v>13.009600000000001</v>
      </c>
      <c r="I2754" s="4" t="s">
        <v>1345</v>
      </c>
      <c r="J2754" s="4">
        <v>13.0205</v>
      </c>
      <c r="K2754" s="4">
        <v>12.9413</v>
      </c>
      <c r="L2754" s="4">
        <v>12.9793</v>
      </c>
      <c r="M2754" s="4">
        <f t="shared" ref="M2754:M2817" si="173">(J2754+K2754+L2754)/3</f>
        <v>12.980366666666667</v>
      </c>
      <c r="P2754" s="4" t="str">
        <f>"him-17"</f>
        <v>him-17</v>
      </c>
      <c r="Q2754" s="4">
        <v>12.7100587718247</v>
      </c>
      <c r="R2754" s="4">
        <v>12.847096020336</v>
      </c>
      <c r="S2754" s="4">
        <v>12.668933663327</v>
      </c>
      <c r="T2754" s="4">
        <f t="shared" ref="T2754:T2817" si="174">(Q2754+R2754+S2754)/3</f>
        <v>12.742029485162567</v>
      </c>
      <c r="W2754" s="4" t="str">
        <f>"R07E5.15"</f>
        <v>R07E5.15</v>
      </c>
      <c r="X2754" s="4">
        <v>12.8070588412834</v>
      </c>
      <c r="Y2754" s="4">
        <v>12.793289636137301</v>
      </c>
      <c r="Z2754" s="4">
        <v>12.591289755177</v>
      </c>
      <c r="AA2754" s="4">
        <f t="shared" ref="AA2754:AA2817" si="175">(X2754+Y2754+Z2754)/3</f>
        <v>12.730546077532567</v>
      </c>
    </row>
    <row r="2755" spans="2:27" x14ac:dyDescent="0.2">
      <c r="B2755" s="4" t="s">
        <v>3725</v>
      </c>
      <c r="C2755" s="4">
        <v>12.850300000000001</v>
      </c>
      <c r="D2755" s="4">
        <v>13.2196</v>
      </c>
      <c r="E2755" s="4">
        <v>12.946199999999999</v>
      </c>
      <c r="F2755" s="4">
        <f t="shared" si="172"/>
        <v>13.005366666666667</v>
      </c>
      <c r="I2755" s="4" t="s">
        <v>1414</v>
      </c>
      <c r="J2755" s="4">
        <v>13.393700000000001</v>
      </c>
      <c r="K2755" s="4">
        <v>12.570399999999999</v>
      </c>
      <c r="L2755" s="4">
        <v>12.9709</v>
      </c>
      <c r="M2755" s="4">
        <f t="shared" si="173"/>
        <v>12.978333333333333</v>
      </c>
      <c r="P2755" s="4" t="str">
        <f>"ints-6"</f>
        <v>ints-6</v>
      </c>
      <c r="Q2755" s="4">
        <v>12.3867819923986</v>
      </c>
      <c r="R2755" s="4">
        <v>12.7063601272325</v>
      </c>
      <c r="S2755" s="4">
        <v>13.119009492515699</v>
      </c>
      <c r="T2755" s="4">
        <f t="shared" si="174"/>
        <v>12.737383870715599</v>
      </c>
      <c r="W2755" s="4" t="str">
        <f>"hmp-1"</f>
        <v>hmp-1</v>
      </c>
      <c r="X2755" s="4">
        <v>12.9841286356379</v>
      </c>
      <c r="Y2755" s="4">
        <v>12.638499588630699</v>
      </c>
      <c r="Z2755" s="4">
        <v>12.5685046250277</v>
      </c>
      <c r="AA2755" s="4">
        <f t="shared" si="175"/>
        <v>12.730377616432099</v>
      </c>
    </row>
    <row r="2756" spans="2:27" x14ac:dyDescent="0.2">
      <c r="B2756" s="4" t="s">
        <v>3954</v>
      </c>
      <c r="C2756" s="4">
        <v>12.864599999999999</v>
      </c>
      <c r="D2756" s="4">
        <v>13.1647</v>
      </c>
      <c r="E2756" s="4">
        <v>12.984</v>
      </c>
      <c r="F2756" s="4">
        <f t="shared" si="172"/>
        <v>13.004433333333333</v>
      </c>
      <c r="I2756" s="4" t="s">
        <v>4797</v>
      </c>
      <c r="J2756" s="4">
        <v>13.404199999999999</v>
      </c>
      <c r="K2756" s="4">
        <v>12.0715</v>
      </c>
      <c r="L2756" s="4">
        <v>13.459199999999999</v>
      </c>
      <c r="M2756" s="4">
        <f t="shared" si="173"/>
        <v>12.978299999999999</v>
      </c>
      <c r="P2756" s="4" t="str">
        <f>"dph-2"</f>
        <v>dph-2</v>
      </c>
      <c r="Q2756" s="4">
        <v>12.5908874427358</v>
      </c>
      <c r="R2756" s="4">
        <v>12.871896783181599</v>
      </c>
      <c r="S2756" s="4">
        <v>12.7394407794069</v>
      </c>
      <c r="T2756" s="4">
        <f t="shared" si="174"/>
        <v>12.734075001774768</v>
      </c>
      <c r="W2756" s="4" t="str">
        <f>"ints-1"</f>
        <v>ints-1</v>
      </c>
      <c r="X2756" s="4">
        <v>12.844890775289199</v>
      </c>
      <c r="Y2756" s="4">
        <v>12.7173738190556</v>
      </c>
      <c r="Z2756" s="4">
        <v>12.623875418558001</v>
      </c>
      <c r="AA2756" s="4">
        <f t="shared" si="175"/>
        <v>12.728713337634266</v>
      </c>
    </row>
    <row r="2757" spans="2:27" x14ac:dyDescent="0.2">
      <c r="B2757" s="4" t="s">
        <v>3168</v>
      </c>
      <c r="C2757" s="4">
        <v>13.430899999999999</v>
      </c>
      <c r="D2757" s="4">
        <v>13.0899</v>
      </c>
      <c r="E2757" s="4">
        <v>12.492100000000001</v>
      </c>
      <c r="F2757" s="4">
        <f t="shared" si="172"/>
        <v>13.004300000000001</v>
      </c>
      <c r="I2757" s="4" t="s">
        <v>804</v>
      </c>
      <c r="J2757" s="4">
        <v>13.0525</v>
      </c>
      <c r="K2757" s="4">
        <v>12.789199999999999</v>
      </c>
      <c r="L2757" s="4">
        <v>13.0931</v>
      </c>
      <c r="M2757" s="4">
        <f t="shared" si="173"/>
        <v>12.978266666666665</v>
      </c>
      <c r="P2757" s="4" t="str">
        <f>"T02G5.7"</f>
        <v>T02G5.7</v>
      </c>
      <c r="Q2757" s="4">
        <v>12.626228912074801</v>
      </c>
      <c r="R2757" s="4">
        <v>12.8080181942614</v>
      </c>
      <c r="S2757" s="4">
        <v>12.7643034648484</v>
      </c>
      <c r="T2757" s="4">
        <f t="shared" si="174"/>
        <v>12.732850190394865</v>
      </c>
      <c r="W2757" s="4" t="str">
        <f>"C08E8.4"</f>
        <v>C08E8.4</v>
      </c>
      <c r="X2757" s="4">
        <v>12.2018203036847</v>
      </c>
      <c r="Y2757" s="4">
        <v>12.5889737375692</v>
      </c>
      <c r="Z2757" s="4">
        <v>13.3948038077611</v>
      </c>
      <c r="AA2757" s="4">
        <f t="shared" si="175"/>
        <v>12.728532616338333</v>
      </c>
    </row>
    <row r="2758" spans="2:27" x14ac:dyDescent="0.2">
      <c r="B2758" s="4" t="s">
        <v>4835</v>
      </c>
      <c r="C2758" s="4">
        <v>12.939399999999999</v>
      </c>
      <c r="D2758" s="4">
        <v>13.088900000000001</v>
      </c>
      <c r="E2758" s="4">
        <v>12.976599999999999</v>
      </c>
      <c r="F2758" s="4">
        <f t="shared" si="172"/>
        <v>13.001633333333332</v>
      </c>
      <c r="I2758" s="4" t="s">
        <v>4267</v>
      </c>
      <c r="J2758" s="4">
        <v>13.309100000000001</v>
      </c>
      <c r="K2758" s="4">
        <v>12.7776</v>
      </c>
      <c r="L2758" s="4">
        <v>12.827500000000001</v>
      </c>
      <c r="M2758" s="4">
        <f t="shared" si="173"/>
        <v>12.971400000000001</v>
      </c>
      <c r="P2758" s="4" t="str">
        <f>"pas-1"</f>
        <v>pas-1</v>
      </c>
      <c r="Q2758" s="4">
        <v>12.551395153493401</v>
      </c>
      <c r="R2758" s="4">
        <v>12.6954930171873</v>
      </c>
      <c r="S2758" s="4">
        <v>12.950576773837</v>
      </c>
      <c r="T2758" s="4">
        <f t="shared" si="174"/>
        <v>12.732488314839232</v>
      </c>
      <c r="W2758" s="4" t="str">
        <f>"mrps-10"</f>
        <v>mrps-10</v>
      </c>
      <c r="X2758" s="4">
        <v>12.925039914491901</v>
      </c>
      <c r="Y2758" s="4">
        <v>12.524698085976301</v>
      </c>
      <c r="Z2758" s="4">
        <v>12.7351579767709</v>
      </c>
      <c r="AA2758" s="4">
        <f t="shared" si="175"/>
        <v>12.7282986590797</v>
      </c>
    </row>
    <row r="2759" spans="2:27" x14ac:dyDescent="0.2">
      <c r="B2759" s="4" t="s">
        <v>1607</v>
      </c>
      <c r="C2759" s="4">
        <v>13.008599999999999</v>
      </c>
      <c r="D2759" s="4">
        <v>13.2</v>
      </c>
      <c r="E2759" s="4">
        <v>12.793799999999999</v>
      </c>
      <c r="F2759" s="4">
        <f t="shared" si="172"/>
        <v>13.000799999999998</v>
      </c>
      <c r="I2759" s="4" t="s">
        <v>3841</v>
      </c>
      <c r="J2759" s="4">
        <v>13.0265</v>
      </c>
      <c r="K2759" s="4">
        <v>13.0229</v>
      </c>
      <c r="L2759" s="4">
        <v>12.862399999999999</v>
      </c>
      <c r="M2759" s="4">
        <f t="shared" si="173"/>
        <v>12.970599999999999</v>
      </c>
      <c r="P2759" s="4" t="str">
        <f>"Y56A3A.31"</f>
        <v>Y56A3A.31</v>
      </c>
      <c r="Q2759" s="4">
        <v>12.656590781521</v>
      </c>
      <c r="R2759" s="4">
        <v>12.7807038350777</v>
      </c>
      <c r="S2759" s="4">
        <v>12.7593068863476</v>
      </c>
      <c r="T2759" s="4">
        <f t="shared" si="174"/>
        <v>12.732200500982101</v>
      </c>
      <c r="W2759" s="4" t="str">
        <f>"cox-11"</f>
        <v>cox-11</v>
      </c>
      <c r="X2759" s="4">
        <v>12.9648680607757</v>
      </c>
      <c r="Y2759" s="4">
        <v>12.7562450425135</v>
      </c>
      <c r="Z2759" s="4">
        <v>12.461147809569001</v>
      </c>
      <c r="AA2759" s="4">
        <f t="shared" si="175"/>
        <v>12.727420304286065</v>
      </c>
    </row>
    <row r="2760" spans="2:27" x14ac:dyDescent="0.2">
      <c r="B2760" s="4" t="s">
        <v>1238</v>
      </c>
      <c r="C2760" s="4">
        <v>12.8162</v>
      </c>
      <c r="D2760" s="4">
        <v>13.122199999999999</v>
      </c>
      <c r="E2760" s="4">
        <v>13.056699999999999</v>
      </c>
      <c r="F2760" s="4">
        <f t="shared" si="172"/>
        <v>12.998366666666668</v>
      </c>
      <c r="I2760" s="4" t="s">
        <v>4813</v>
      </c>
      <c r="J2760" s="4">
        <v>12.813499999999999</v>
      </c>
      <c r="K2760" s="4">
        <v>13.243499999999999</v>
      </c>
      <c r="L2760" s="4">
        <v>12.8515</v>
      </c>
      <c r="M2760" s="4">
        <f t="shared" si="173"/>
        <v>12.969499999999998</v>
      </c>
      <c r="P2760" s="4" t="str">
        <f>"tbc-20"</f>
        <v>tbc-20</v>
      </c>
      <c r="Q2760" s="4">
        <v>12.476871617807699</v>
      </c>
      <c r="R2760" s="4">
        <v>12.854139971593501</v>
      </c>
      <c r="S2760" s="4">
        <v>12.8601662514741</v>
      </c>
      <c r="T2760" s="4">
        <f t="shared" si="174"/>
        <v>12.730392613625099</v>
      </c>
      <c r="W2760" s="4" t="str">
        <f>"T12G3.4"</f>
        <v>T12G3.4</v>
      </c>
      <c r="X2760" s="4">
        <v>12.3430063597166</v>
      </c>
      <c r="Y2760" s="4">
        <v>12.852266629696199</v>
      </c>
      <c r="Z2760" s="4">
        <v>12.985607439042701</v>
      </c>
      <c r="AA2760" s="4">
        <f t="shared" si="175"/>
        <v>12.7269601428185</v>
      </c>
    </row>
    <row r="2761" spans="2:27" x14ac:dyDescent="0.2">
      <c r="B2761" s="4" t="s">
        <v>3376</v>
      </c>
      <c r="C2761" s="4">
        <v>13.0505</v>
      </c>
      <c r="D2761" s="4">
        <v>12.8005</v>
      </c>
      <c r="E2761" s="4">
        <v>13.1439</v>
      </c>
      <c r="F2761" s="4">
        <f t="shared" si="172"/>
        <v>12.9983</v>
      </c>
      <c r="I2761" s="4" t="s">
        <v>4036</v>
      </c>
      <c r="J2761" s="4">
        <v>13.182</v>
      </c>
      <c r="K2761" s="4">
        <v>12.9671</v>
      </c>
      <c r="L2761" s="4">
        <v>12.757</v>
      </c>
      <c r="M2761" s="4">
        <f t="shared" si="173"/>
        <v>12.9687</v>
      </c>
      <c r="P2761" s="4" t="str">
        <f>"phm-2"</f>
        <v>phm-2</v>
      </c>
      <c r="Q2761" s="4">
        <v>12.641845333355</v>
      </c>
      <c r="R2761" s="4">
        <v>12.7839080181532</v>
      </c>
      <c r="S2761" s="4">
        <v>12.7569771909591</v>
      </c>
      <c r="T2761" s="4">
        <f t="shared" si="174"/>
        <v>12.727576847489098</v>
      </c>
      <c r="W2761" s="4" t="str">
        <f>"sago-2"</f>
        <v>sago-2</v>
      </c>
      <c r="X2761" s="4">
        <v>12.651951094202101</v>
      </c>
      <c r="Y2761" s="4">
        <v>12.6899063261877</v>
      </c>
      <c r="Z2761" s="4">
        <v>12.8298124119255</v>
      </c>
      <c r="AA2761" s="4">
        <f t="shared" si="175"/>
        <v>12.723889944105101</v>
      </c>
    </row>
    <row r="2762" spans="2:27" x14ac:dyDescent="0.2">
      <c r="B2762" s="4" t="s">
        <v>47</v>
      </c>
      <c r="C2762" s="4">
        <v>13.141999999999999</v>
      </c>
      <c r="D2762" s="4">
        <v>12.9048</v>
      </c>
      <c r="E2762" s="4">
        <v>12.946899999999999</v>
      </c>
      <c r="F2762" s="4">
        <f t="shared" si="172"/>
        <v>12.9979</v>
      </c>
      <c r="I2762" s="4" t="s">
        <v>1652</v>
      </c>
      <c r="J2762" s="4">
        <v>13.1282</v>
      </c>
      <c r="K2762" s="4">
        <v>12.499499999999999</v>
      </c>
      <c r="L2762" s="4">
        <v>13.2646</v>
      </c>
      <c r="M2762" s="4">
        <f t="shared" si="173"/>
        <v>12.9641</v>
      </c>
      <c r="P2762" s="4" t="str">
        <f>"oxa-1"</f>
        <v>oxa-1</v>
      </c>
      <c r="Q2762" s="4">
        <v>12.1194379319154</v>
      </c>
      <c r="R2762" s="4">
        <v>13.076546689556199</v>
      </c>
      <c r="S2762" s="4">
        <v>12.972618394616701</v>
      </c>
      <c r="T2762" s="4">
        <f t="shared" si="174"/>
        <v>12.722867672029432</v>
      </c>
      <c r="W2762" s="4" t="str">
        <f>"Y54G11A.3"</f>
        <v>Y54G11A.3</v>
      </c>
      <c r="X2762" s="4">
        <v>13.034404627994</v>
      </c>
      <c r="Y2762" s="4">
        <v>12.5524497120667</v>
      </c>
      <c r="Z2762" s="4">
        <v>12.5806623571834</v>
      </c>
      <c r="AA2762" s="4">
        <f t="shared" si="175"/>
        <v>12.722505565748031</v>
      </c>
    </row>
    <row r="2763" spans="2:27" x14ac:dyDescent="0.2">
      <c r="B2763" s="4" t="s">
        <v>2619</v>
      </c>
      <c r="C2763" s="4">
        <v>13.2217</v>
      </c>
      <c r="D2763" s="4">
        <v>12.5527</v>
      </c>
      <c r="E2763" s="4">
        <v>13.219200000000001</v>
      </c>
      <c r="F2763" s="4">
        <f t="shared" si="172"/>
        <v>12.997866666666667</v>
      </c>
      <c r="I2763" s="4" t="s">
        <v>3665</v>
      </c>
      <c r="J2763" s="4">
        <v>12.646000000000001</v>
      </c>
      <c r="K2763" s="4">
        <v>12.4636</v>
      </c>
      <c r="L2763" s="4">
        <v>13.765700000000001</v>
      </c>
      <c r="M2763" s="4">
        <f t="shared" si="173"/>
        <v>12.958433333333334</v>
      </c>
      <c r="P2763" s="4" t="str">
        <f>"F17E9.4"</f>
        <v>F17E9.4</v>
      </c>
      <c r="Q2763" s="4">
        <v>13.666555600215</v>
      </c>
      <c r="R2763" s="4">
        <v>12.2716523254494</v>
      </c>
      <c r="S2763" s="4">
        <v>12.227606262413</v>
      </c>
      <c r="T2763" s="4">
        <f t="shared" si="174"/>
        <v>12.721938062692466</v>
      </c>
      <c r="W2763" s="4" t="str">
        <f>"cest-5.1"</f>
        <v>cest-5.1</v>
      </c>
      <c r="X2763" s="4">
        <v>12.794800348533901</v>
      </c>
      <c r="Y2763" s="4">
        <v>12.24790887512</v>
      </c>
      <c r="Z2763" s="4">
        <v>13.1243240213824</v>
      </c>
      <c r="AA2763" s="4">
        <f t="shared" si="175"/>
        <v>12.722344415012101</v>
      </c>
    </row>
    <row r="2764" spans="2:27" x14ac:dyDescent="0.2">
      <c r="B2764" s="4" t="s">
        <v>2191</v>
      </c>
      <c r="C2764" s="4">
        <v>13.1288</v>
      </c>
      <c r="D2764" s="4">
        <v>12.6515</v>
      </c>
      <c r="E2764" s="4">
        <v>13.212899999999999</v>
      </c>
      <c r="F2764" s="4">
        <f t="shared" si="172"/>
        <v>12.997733333333334</v>
      </c>
      <c r="I2764" s="4" t="s">
        <v>14</v>
      </c>
      <c r="J2764" s="4">
        <v>12.8802</v>
      </c>
      <c r="K2764" s="4">
        <v>13.2218</v>
      </c>
      <c r="L2764" s="4">
        <v>12.766299999999999</v>
      </c>
      <c r="M2764" s="4">
        <f t="shared" si="173"/>
        <v>12.956099999999999</v>
      </c>
      <c r="P2764" s="4" t="str">
        <f>"Y15E3A.4"</f>
        <v>Y15E3A.4</v>
      </c>
      <c r="Q2764" s="4">
        <v>12.492335739768301</v>
      </c>
      <c r="R2764" s="4">
        <v>12.797780463351</v>
      </c>
      <c r="S2764" s="4">
        <v>12.872895051391399</v>
      </c>
      <c r="T2764" s="4">
        <f t="shared" si="174"/>
        <v>12.721003751503567</v>
      </c>
      <c r="W2764" s="4" t="str">
        <f>"Y71F9AL.9"</f>
        <v>Y71F9AL.9</v>
      </c>
      <c r="X2764" s="4">
        <v>12.5182806293196</v>
      </c>
      <c r="Y2764" s="4">
        <v>12.7993622850175</v>
      </c>
      <c r="Z2764" s="4">
        <v>12.847013197849</v>
      </c>
      <c r="AA2764" s="4">
        <f t="shared" si="175"/>
        <v>12.721552037395368</v>
      </c>
    </row>
    <row r="2765" spans="2:27" x14ac:dyDescent="0.2">
      <c r="B2765" s="4" t="s">
        <v>2225</v>
      </c>
      <c r="C2765" s="4">
        <v>13.1595</v>
      </c>
      <c r="D2765" s="4">
        <v>12.783300000000001</v>
      </c>
      <c r="E2765" s="4">
        <v>13.0412</v>
      </c>
      <c r="F2765" s="4">
        <f t="shared" si="172"/>
        <v>12.994666666666665</v>
      </c>
      <c r="I2765" s="4" t="s">
        <v>248</v>
      </c>
      <c r="J2765" s="4">
        <v>12.811</v>
      </c>
      <c r="K2765" s="4">
        <v>13.093299999999999</v>
      </c>
      <c r="L2765" s="4">
        <v>12.961399999999999</v>
      </c>
      <c r="M2765" s="4">
        <f t="shared" si="173"/>
        <v>12.955233333333332</v>
      </c>
      <c r="P2765" s="4" t="str">
        <f>"let-19"</f>
        <v>let-19</v>
      </c>
      <c r="Q2765" s="4">
        <v>12.9413034287654</v>
      </c>
      <c r="R2765" s="4">
        <v>12.5475676963295</v>
      </c>
      <c r="S2765" s="4">
        <v>12.671489771219701</v>
      </c>
      <c r="T2765" s="4">
        <f t="shared" si="174"/>
        <v>12.720120298771533</v>
      </c>
      <c r="W2765" s="4" t="str">
        <f>"F13D11.4"</f>
        <v>F13D11.4</v>
      </c>
      <c r="X2765" s="4">
        <v>12.389215599666899</v>
      </c>
      <c r="Y2765" s="4">
        <v>13.0162090491479</v>
      </c>
      <c r="Z2765" s="4">
        <v>12.751512918002</v>
      </c>
      <c r="AA2765" s="4">
        <f t="shared" si="175"/>
        <v>12.718979188938933</v>
      </c>
    </row>
    <row r="2766" spans="2:27" x14ac:dyDescent="0.2">
      <c r="B2766" s="4" t="s">
        <v>1045</v>
      </c>
      <c r="C2766" s="4">
        <v>12.670199999999999</v>
      </c>
      <c r="D2766" s="4">
        <v>13.502599999999999</v>
      </c>
      <c r="E2766" s="4">
        <v>12.8028</v>
      </c>
      <c r="F2766" s="4">
        <f t="shared" si="172"/>
        <v>12.991866666666667</v>
      </c>
      <c r="I2766" s="4" t="s">
        <v>4763</v>
      </c>
      <c r="J2766" s="4">
        <v>12.691700000000001</v>
      </c>
      <c r="K2766" s="4">
        <v>13.2044</v>
      </c>
      <c r="L2766" s="4">
        <v>12.9688</v>
      </c>
      <c r="M2766" s="4">
        <f t="shared" si="173"/>
        <v>12.954966666666666</v>
      </c>
      <c r="P2766" s="4" t="str">
        <f>"mrps-7"</f>
        <v>mrps-7</v>
      </c>
      <c r="Q2766" s="4">
        <v>12.5013391449765</v>
      </c>
      <c r="R2766" s="4">
        <v>12.8810064008117</v>
      </c>
      <c r="S2766" s="4">
        <v>12.7769045507623</v>
      </c>
      <c r="T2766" s="4">
        <f t="shared" si="174"/>
        <v>12.719750032183498</v>
      </c>
      <c r="W2766" s="4" t="str">
        <f>"maa-1"</f>
        <v>maa-1</v>
      </c>
      <c r="X2766" s="4">
        <v>13.157886482471</v>
      </c>
      <c r="Y2766" s="4">
        <v>12.600254716572101</v>
      </c>
      <c r="Z2766" s="4">
        <v>12.388968697601801</v>
      </c>
      <c r="AA2766" s="4">
        <f t="shared" si="175"/>
        <v>12.715703298881635</v>
      </c>
    </row>
    <row r="2767" spans="2:27" x14ac:dyDescent="0.2">
      <c r="B2767" s="4" t="s">
        <v>3381</v>
      </c>
      <c r="C2767" s="4">
        <v>12.9876</v>
      </c>
      <c r="D2767" s="4">
        <v>12.979799999999999</v>
      </c>
      <c r="E2767" s="4">
        <v>13.007300000000001</v>
      </c>
      <c r="F2767" s="4">
        <f t="shared" si="172"/>
        <v>12.991566666666666</v>
      </c>
      <c r="I2767" s="4" t="s">
        <v>3868</v>
      </c>
      <c r="J2767" s="4">
        <v>12.9156</v>
      </c>
      <c r="K2767" s="4">
        <v>12.8596</v>
      </c>
      <c r="L2767" s="4">
        <v>13.087199999999999</v>
      </c>
      <c r="M2767" s="4">
        <f t="shared" si="173"/>
        <v>12.954133333333331</v>
      </c>
      <c r="P2767" s="4" t="str">
        <f>"lid-1"</f>
        <v>lid-1</v>
      </c>
      <c r="Q2767" s="4">
        <v>12.820736261613501</v>
      </c>
      <c r="R2767" s="4">
        <v>12.835908887781301</v>
      </c>
      <c r="S2767" s="4">
        <v>12.495249789375601</v>
      </c>
      <c r="T2767" s="4">
        <f t="shared" si="174"/>
        <v>12.717298312923468</v>
      </c>
      <c r="W2767" s="4" t="str">
        <f>"tlk-1"</f>
        <v>tlk-1</v>
      </c>
      <c r="X2767" s="4">
        <v>12.732326692431</v>
      </c>
      <c r="Y2767" s="4">
        <v>12.440742530017699</v>
      </c>
      <c r="Z2767" s="4">
        <v>12.9726043971379</v>
      </c>
      <c r="AA2767" s="4">
        <f t="shared" si="175"/>
        <v>12.7152245398622</v>
      </c>
    </row>
    <row r="2768" spans="2:27" x14ac:dyDescent="0.2">
      <c r="B2768" s="4" t="s">
        <v>4836</v>
      </c>
      <c r="C2768" s="4">
        <v>12.962</v>
      </c>
      <c r="D2768" s="4">
        <v>12.9415</v>
      </c>
      <c r="E2768" s="4">
        <v>13.0665</v>
      </c>
      <c r="F2768" s="4">
        <f t="shared" si="172"/>
        <v>12.99</v>
      </c>
      <c r="I2768" s="4" t="s">
        <v>3393</v>
      </c>
      <c r="J2768" s="4">
        <v>12.802899999999999</v>
      </c>
      <c r="K2768" s="4">
        <v>12.9857</v>
      </c>
      <c r="L2768" s="4">
        <v>13.0617</v>
      </c>
      <c r="M2768" s="4">
        <f t="shared" si="173"/>
        <v>12.950099999999999</v>
      </c>
      <c r="P2768" s="4" t="str">
        <f>"rab-33"</f>
        <v>rab-33</v>
      </c>
      <c r="Q2768" s="4">
        <v>12.5807217829202</v>
      </c>
      <c r="R2768" s="4">
        <v>13.1361129270077</v>
      </c>
      <c r="S2768" s="4">
        <v>12.434959168081299</v>
      </c>
      <c r="T2768" s="4">
        <f t="shared" si="174"/>
        <v>12.717264626003066</v>
      </c>
      <c r="W2768" s="4" t="str">
        <f>"lipt-1"</f>
        <v>lipt-1</v>
      </c>
      <c r="X2768" s="4">
        <v>12.111742469864099</v>
      </c>
      <c r="Y2768" s="4">
        <v>12.9585305630163</v>
      </c>
      <c r="Z2768" s="4">
        <v>13.0724663063188</v>
      </c>
      <c r="AA2768" s="4">
        <f t="shared" si="175"/>
        <v>12.714246446399734</v>
      </c>
    </row>
    <row r="2769" spans="2:27" x14ac:dyDescent="0.2">
      <c r="B2769" s="4" t="s">
        <v>3359</v>
      </c>
      <c r="C2769" s="4">
        <v>12.7211</v>
      </c>
      <c r="D2769" s="4">
        <v>12.923500000000001</v>
      </c>
      <c r="E2769" s="4">
        <v>13.320399999999999</v>
      </c>
      <c r="F2769" s="4">
        <f t="shared" si="172"/>
        <v>12.988333333333335</v>
      </c>
      <c r="I2769" s="4" t="s">
        <v>3160</v>
      </c>
      <c r="J2769" s="4">
        <v>12.867000000000001</v>
      </c>
      <c r="K2769" s="4">
        <v>12.4428</v>
      </c>
      <c r="L2769" s="4">
        <v>13.5313</v>
      </c>
      <c r="M2769" s="4">
        <f t="shared" si="173"/>
        <v>12.947033333333335</v>
      </c>
      <c r="P2769" s="4" t="str">
        <f>"bath-47"</f>
        <v>bath-47</v>
      </c>
      <c r="Q2769" s="4">
        <v>13.036752866723299</v>
      </c>
      <c r="R2769" s="4">
        <v>12.608050892376699</v>
      </c>
      <c r="S2769" s="4">
        <v>12.50623059336</v>
      </c>
      <c r="T2769" s="4">
        <f t="shared" si="174"/>
        <v>12.717011450820001</v>
      </c>
      <c r="W2769" s="4" t="str">
        <f>"jac-1"</f>
        <v>jac-1</v>
      </c>
      <c r="X2769" s="4">
        <v>12.6871015023538</v>
      </c>
      <c r="Y2769" s="4">
        <v>12.7437547213909</v>
      </c>
      <c r="Z2769" s="4">
        <v>12.711470665345001</v>
      </c>
      <c r="AA2769" s="4">
        <f t="shared" si="175"/>
        <v>12.714108963029901</v>
      </c>
    </row>
    <row r="2770" spans="2:27" x14ac:dyDescent="0.2">
      <c r="B2770" s="4" t="s">
        <v>4837</v>
      </c>
      <c r="C2770" s="4">
        <v>13.1637</v>
      </c>
      <c r="D2770" s="4">
        <v>12.8146</v>
      </c>
      <c r="E2770" s="4">
        <v>12.983000000000001</v>
      </c>
      <c r="F2770" s="4">
        <f t="shared" si="172"/>
        <v>12.9871</v>
      </c>
      <c r="I2770" s="4" t="s">
        <v>3600</v>
      </c>
      <c r="J2770" s="4">
        <v>12.9734</v>
      </c>
      <c r="K2770" s="4">
        <v>13.092000000000001</v>
      </c>
      <c r="L2770" s="4">
        <v>12.768000000000001</v>
      </c>
      <c r="M2770" s="4">
        <f t="shared" si="173"/>
        <v>12.944466666666665</v>
      </c>
      <c r="P2770" s="4" t="str">
        <f>"set-16"</f>
        <v>set-16</v>
      </c>
      <c r="Q2770" s="4">
        <v>12.6780152121098</v>
      </c>
      <c r="R2770" s="4">
        <v>12.605508111933</v>
      </c>
      <c r="S2770" s="4">
        <v>12.864574535057599</v>
      </c>
      <c r="T2770" s="4">
        <f t="shared" si="174"/>
        <v>12.716032619700135</v>
      </c>
      <c r="W2770" s="4" t="str">
        <f>"F12F6.1"</f>
        <v>F12F6.1</v>
      </c>
      <c r="X2770" s="4">
        <v>12.928585171370701</v>
      </c>
      <c r="Y2770" s="4">
        <v>12.6286621248068</v>
      </c>
      <c r="Z2770" s="4">
        <v>12.582078629008199</v>
      </c>
      <c r="AA2770" s="4">
        <f t="shared" si="175"/>
        <v>12.713108641728567</v>
      </c>
    </row>
    <row r="2771" spans="2:27" x14ac:dyDescent="0.2">
      <c r="B2771" s="4" t="s">
        <v>4530</v>
      </c>
      <c r="C2771" s="4">
        <v>13.3629</v>
      </c>
      <c r="D2771" s="4">
        <v>12.531700000000001</v>
      </c>
      <c r="E2771" s="4">
        <v>13.063000000000001</v>
      </c>
      <c r="F2771" s="4">
        <f t="shared" si="172"/>
        <v>12.985866666666666</v>
      </c>
      <c r="I2771" s="4" t="s">
        <v>4095</v>
      </c>
      <c r="J2771" s="4">
        <v>13.0677</v>
      </c>
      <c r="K2771" s="4">
        <v>12.4803</v>
      </c>
      <c r="L2771" s="4">
        <v>13.2447</v>
      </c>
      <c r="M2771" s="4">
        <f t="shared" si="173"/>
        <v>12.930900000000001</v>
      </c>
      <c r="P2771" s="4" t="str">
        <f>"pept-1"</f>
        <v>pept-1</v>
      </c>
      <c r="Q2771" s="4">
        <v>13.1784723752814</v>
      </c>
      <c r="R2771" s="4">
        <v>12.5677282569056</v>
      </c>
      <c r="S2771" s="4">
        <v>12.395311122277599</v>
      </c>
      <c r="T2771" s="4">
        <f t="shared" si="174"/>
        <v>12.713837251488199</v>
      </c>
      <c r="W2771" s="4" t="str">
        <f>"egal-1"</f>
        <v>egal-1</v>
      </c>
      <c r="X2771" s="4">
        <v>12.8964452202343</v>
      </c>
      <c r="Y2771" s="4">
        <v>12.591379234007499</v>
      </c>
      <c r="Z2771" s="4">
        <v>12.643109045989201</v>
      </c>
      <c r="AA2771" s="4">
        <f t="shared" si="175"/>
        <v>12.710311166743667</v>
      </c>
    </row>
    <row r="2772" spans="2:27" x14ac:dyDescent="0.2">
      <c r="B2772" s="4" t="s">
        <v>4838</v>
      </c>
      <c r="C2772" s="4">
        <v>13.3781</v>
      </c>
      <c r="D2772" s="4">
        <v>12.3695</v>
      </c>
      <c r="E2772" s="4">
        <v>13.2058</v>
      </c>
      <c r="F2772" s="4">
        <f t="shared" si="172"/>
        <v>12.984466666666668</v>
      </c>
      <c r="I2772" s="4" t="s">
        <v>2191</v>
      </c>
      <c r="J2772" s="4">
        <v>13.146800000000001</v>
      </c>
      <c r="K2772" s="4">
        <v>12.9971</v>
      </c>
      <c r="L2772" s="4">
        <v>12.6302</v>
      </c>
      <c r="M2772" s="4">
        <f t="shared" si="173"/>
        <v>12.924700000000001</v>
      </c>
      <c r="P2772" s="4" t="str">
        <f>"crt-1"</f>
        <v>crt-1</v>
      </c>
      <c r="Q2772" s="4">
        <v>12.5593854874747</v>
      </c>
      <c r="R2772" s="4">
        <v>12.6885993477624</v>
      </c>
      <c r="S2772" s="4">
        <v>12.8933236991898</v>
      </c>
      <c r="T2772" s="4">
        <f t="shared" si="174"/>
        <v>12.713769511475633</v>
      </c>
      <c r="W2772" s="4" t="str">
        <f>"ints-6"</f>
        <v>ints-6</v>
      </c>
      <c r="X2772" s="4">
        <v>12.623246246035301</v>
      </c>
      <c r="Y2772" s="4">
        <v>12.588615372071001</v>
      </c>
      <c r="Z2772" s="4">
        <v>12.9188865263924</v>
      </c>
      <c r="AA2772" s="4">
        <f t="shared" si="175"/>
        <v>12.710249381499567</v>
      </c>
    </row>
    <row r="2773" spans="2:27" x14ac:dyDescent="0.2">
      <c r="B2773" s="4" t="s">
        <v>4839</v>
      </c>
      <c r="C2773" s="4">
        <v>12.7864</v>
      </c>
      <c r="D2773" s="4">
        <v>13.2841</v>
      </c>
      <c r="E2773" s="4">
        <v>12.8775</v>
      </c>
      <c r="F2773" s="4">
        <f t="shared" si="172"/>
        <v>12.982666666666667</v>
      </c>
      <c r="I2773" s="4" t="s">
        <v>3137</v>
      </c>
      <c r="J2773" s="4">
        <v>12.721</v>
      </c>
      <c r="K2773" s="4">
        <v>13.1737</v>
      </c>
      <c r="L2773" s="4">
        <v>12.8512</v>
      </c>
      <c r="M2773" s="4">
        <f t="shared" si="173"/>
        <v>12.9153</v>
      </c>
      <c r="P2773" s="4" t="str">
        <f>"rrc-1"</f>
        <v>rrc-1</v>
      </c>
      <c r="Q2773" s="4">
        <v>13.120331132480599</v>
      </c>
      <c r="R2773" s="4">
        <v>12.739027508941</v>
      </c>
      <c r="S2773" s="4">
        <v>12.278072280918501</v>
      </c>
      <c r="T2773" s="4">
        <f t="shared" si="174"/>
        <v>12.712476974113367</v>
      </c>
      <c r="W2773" s="4" t="str">
        <f>"aagr-3"</f>
        <v>aagr-3</v>
      </c>
      <c r="X2773" s="4">
        <v>12.3524244880957</v>
      </c>
      <c r="Y2773" s="4">
        <v>12.9527469478596</v>
      </c>
      <c r="Z2773" s="4">
        <v>12.8239797077023</v>
      </c>
      <c r="AA2773" s="4">
        <f t="shared" si="175"/>
        <v>12.709717047885867</v>
      </c>
    </row>
    <row r="2774" spans="2:27" x14ac:dyDescent="0.2">
      <c r="B2774" s="4" t="s">
        <v>615</v>
      </c>
      <c r="C2774" s="4">
        <v>12.9605</v>
      </c>
      <c r="D2774" s="4">
        <v>13.029299999999999</v>
      </c>
      <c r="E2774" s="4">
        <v>12.9496</v>
      </c>
      <c r="F2774" s="4">
        <f t="shared" si="172"/>
        <v>12.979799999999999</v>
      </c>
      <c r="I2774" s="4" t="s">
        <v>991</v>
      </c>
      <c r="J2774" s="4">
        <v>13.1264</v>
      </c>
      <c r="K2774" s="4">
        <v>12.742599999999999</v>
      </c>
      <c r="L2774" s="4">
        <v>12.8766</v>
      </c>
      <c r="M2774" s="4">
        <f t="shared" si="173"/>
        <v>12.915199999999999</v>
      </c>
      <c r="P2774" s="4" t="str">
        <f>"acdh-2"</f>
        <v>acdh-2</v>
      </c>
      <c r="Q2774" s="4">
        <v>13.0944999848828</v>
      </c>
      <c r="R2774" s="4">
        <v>12.739201083239999</v>
      </c>
      <c r="S2774" s="4">
        <v>12.2957470654852</v>
      </c>
      <c r="T2774" s="4">
        <f t="shared" si="174"/>
        <v>12.709816044536</v>
      </c>
      <c r="W2774" s="4" t="str">
        <f>"C08B11.3"</f>
        <v>C08B11.3</v>
      </c>
      <c r="X2774" s="4">
        <v>12.654733634132601</v>
      </c>
      <c r="Y2774" s="4">
        <v>12.8124369316002</v>
      </c>
      <c r="Z2774" s="4">
        <v>12.6619528994952</v>
      </c>
      <c r="AA2774" s="4">
        <f t="shared" si="175"/>
        <v>12.709707821742667</v>
      </c>
    </row>
    <row r="2775" spans="2:27" x14ac:dyDescent="0.2">
      <c r="B2775" s="4" t="s">
        <v>249</v>
      </c>
      <c r="C2775" s="4">
        <v>12.6813</v>
      </c>
      <c r="D2775" s="4">
        <v>13.2523</v>
      </c>
      <c r="E2775" s="4">
        <v>12.9999</v>
      </c>
      <c r="F2775" s="4">
        <f t="shared" si="172"/>
        <v>12.977833333333331</v>
      </c>
      <c r="I2775" s="4" t="s">
        <v>3710</v>
      </c>
      <c r="J2775" s="4">
        <v>13.092700000000001</v>
      </c>
      <c r="K2775" s="4">
        <v>12.3698</v>
      </c>
      <c r="L2775" s="4">
        <v>13.2806</v>
      </c>
      <c r="M2775" s="4">
        <f t="shared" si="173"/>
        <v>12.914366666666666</v>
      </c>
      <c r="P2775" s="4" t="str">
        <f>"tbc-1"</f>
        <v>tbc-1</v>
      </c>
      <c r="Q2775" s="4">
        <v>12.556711108465199</v>
      </c>
      <c r="R2775" s="4">
        <v>12.753320348794899</v>
      </c>
      <c r="S2775" s="4">
        <v>12.814340388378801</v>
      </c>
      <c r="T2775" s="4">
        <f t="shared" si="174"/>
        <v>12.7081239485463</v>
      </c>
      <c r="W2775" s="4" t="str">
        <f>"T10C6.6"</f>
        <v>T10C6.6</v>
      </c>
      <c r="X2775" s="4">
        <v>12.705680336312501</v>
      </c>
      <c r="Y2775" s="4">
        <v>12.9521736997948</v>
      </c>
      <c r="Z2775" s="4">
        <v>12.4612856902102</v>
      </c>
      <c r="AA2775" s="4">
        <f t="shared" si="175"/>
        <v>12.706379908772499</v>
      </c>
    </row>
    <row r="2776" spans="2:27" x14ac:dyDescent="0.2">
      <c r="B2776" s="4" t="s">
        <v>3129</v>
      </c>
      <c r="C2776" s="4">
        <v>13.323399999999999</v>
      </c>
      <c r="D2776" s="4">
        <v>12.9938</v>
      </c>
      <c r="E2776" s="4">
        <v>12.6012</v>
      </c>
      <c r="F2776" s="4">
        <f t="shared" si="172"/>
        <v>12.972799999999999</v>
      </c>
      <c r="I2776" s="4" t="s">
        <v>1216</v>
      </c>
      <c r="J2776" s="4">
        <v>12.808299999999999</v>
      </c>
      <c r="K2776" s="4">
        <v>12.8751</v>
      </c>
      <c r="L2776" s="4">
        <v>13.0425</v>
      </c>
      <c r="M2776" s="4">
        <f t="shared" si="173"/>
        <v>12.908633333333333</v>
      </c>
      <c r="P2776" s="4" t="str">
        <f>"F22G12.5"</f>
        <v>F22G12.5</v>
      </c>
      <c r="Q2776" s="4">
        <v>12.7374969544906</v>
      </c>
      <c r="R2776" s="4">
        <v>12.7688818230584</v>
      </c>
      <c r="S2776" s="4">
        <v>12.61774771811</v>
      </c>
      <c r="T2776" s="4">
        <f t="shared" si="174"/>
        <v>12.708042165219666</v>
      </c>
      <c r="W2776" s="4" t="str">
        <f>"elpc-1"</f>
        <v>elpc-1</v>
      </c>
      <c r="X2776" s="4">
        <v>12.7788797535271</v>
      </c>
      <c r="Y2776" s="4">
        <v>12.5808437642212</v>
      </c>
      <c r="Z2776" s="4">
        <v>12.756565483034001</v>
      </c>
      <c r="AA2776" s="4">
        <f t="shared" si="175"/>
        <v>12.705429666927435</v>
      </c>
    </row>
    <row r="2777" spans="2:27" x14ac:dyDescent="0.2">
      <c r="B2777" s="4" t="s">
        <v>1458</v>
      </c>
      <c r="C2777" s="4">
        <v>13.1211</v>
      </c>
      <c r="D2777" s="4">
        <v>12.8148</v>
      </c>
      <c r="E2777" s="4">
        <v>12.981199999999999</v>
      </c>
      <c r="F2777" s="4">
        <f t="shared" si="172"/>
        <v>12.972366666666666</v>
      </c>
      <c r="I2777" s="4" t="s">
        <v>4594</v>
      </c>
      <c r="J2777" s="4">
        <v>12.936999999999999</v>
      </c>
      <c r="K2777" s="4">
        <v>13.064299999999999</v>
      </c>
      <c r="L2777" s="4">
        <v>12.705299999999999</v>
      </c>
      <c r="M2777" s="4">
        <f t="shared" si="173"/>
        <v>12.902200000000001</v>
      </c>
      <c r="P2777" s="4" t="str">
        <f>"nonu-1"</f>
        <v>nonu-1</v>
      </c>
      <c r="Q2777" s="4">
        <v>12.6658199630527</v>
      </c>
      <c r="R2777" s="4">
        <v>12.7261377427056</v>
      </c>
      <c r="S2777" s="4">
        <v>12.7285136594212</v>
      </c>
      <c r="T2777" s="4">
        <f t="shared" si="174"/>
        <v>12.706823788393166</v>
      </c>
      <c r="W2777" s="4" t="str">
        <f>"ctb-1"</f>
        <v>ctb-1</v>
      </c>
      <c r="X2777" s="4">
        <v>13.106983835036701</v>
      </c>
      <c r="Y2777" s="4">
        <v>12.4556599668326</v>
      </c>
      <c r="Z2777" s="4">
        <v>12.549229146701199</v>
      </c>
      <c r="AA2777" s="4">
        <f t="shared" si="175"/>
        <v>12.703957649523501</v>
      </c>
    </row>
    <row r="2778" spans="2:27" x14ac:dyDescent="0.2">
      <c r="B2778" s="4" t="s">
        <v>636</v>
      </c>
      <c r="C2778" s="4">
        <v>12.7904</v>
      </c>
      <c r="D2778" s="4">
        <v>13.141</v>
      </c>
      <c r="E2778" s="4">
        <v>12.983000000000001</v>
      </c>
      <c r="F2778" s="4">
        <f t="shared" si="172"/>
        <v>12.971466666666666</v>
      </c>
      <c r="I2778" s="4" t="s">
        <v>3940</v>
      </c>
      <c r="J2778" s="4">
        <v>12.9244</v>
      </c>
      <c r="K2778" s="4">
        <v>12.773300000000001</v>
      </c>
      <c r="L2778" s="4">
        <v>12.991899999999999</v>
      </c>
      <c r="M2778" s="4">
        <f t="shared" si="173"/>
        <v>12.896533333333332</v>
      </c>
      <c r="P2778" s="4" t="str">
        <f>"nex-2"</f>
        <v>nex-2</v>
      </c>
      <c r="Q2778" s="4">
        <v>12.6641117704394</v>
      </c>
      <c r="R2778" s="4">
        <v>12.701233233300499</v>
      </c>
      <c r="S2778" s="4">
        <v>12.754180949057501</v>
      </c>
      <c r="T2778" s="4">
        <f t="shared" si="174"/>
        <v>12.706508650932465</v>
      </c>
      <c r="W2778" s="4" t="str">
        <f>"pas-1"</f>
        <v>pas-1</v>
      </c>
      <c r="X2778" s="4">
        <v>12.932449649966401</v>
      </c>
      <c r="Y2778" s="4">
        <v>12.5009806581501</v>
      </c>
      <c r="Z2778" s="4">
        <v>12.6761396232409</v>
      </c>
      <c r="AA2778" s="4">
        <f t="shared" si="175"/>
        <v>12.703189977119132</v>
      </c>
    </row>
    <row r="2779" spans="2:27" x14ac:dyDescent="0.2">
      <c r="B2779" s="4" t="s">
        <v>2685</v>
      </c>
      <c r="C2779" s="4">
        <v>13.0169</v>
      </c>
      <c r="D2779" s="4">
        <v>12.896000000000001</v>
      </c>
      <c r="E2779" s="4">
        <v>12.998799999999999</v>
      </c>
      <c r="F2779" s="4">
        <f t="shared" si="172"/>
        <v>12.970566666666665</v>
      </c>
      <c r="I2779" s="4" t="s">
        <v>1167</v>
      </c>
      <c r="J2779" s="4">
        <v>13.1531</v>
      </c>
      <c r="K2779" s="4">
        <v>13.0334</v>
      </c>
      <c r="L2779" s="4">
        <v>12.498900000000001</v>
      </c>
      <c r="M2779" s="4">
        <f t="shared" si="173"/>
        <v>12.895133333333334</v>
      </c>
      <c r="P2779" s="4" t="str">
        <f>"fat-6"</f>
        <v>fat-6</v>
      </c>
      <c r="Q2779" s="4">
        <v>12.473227530612901</v>
      </c>
      <c r="R2779" s="4">
        <v>12.890419077525101</v>
      </c>
      <c r="S2779" s="4">
        <v>12.753314879295001</v>
      </c>
      <c r="T2779" s="4">
        <f t="shared" si="174"/>
        <v>12.705653829144333</v>
      </c>
      <c r="W2779" s="4" t="str">
        <f>"mrpl-2"</f>
        <v>mrpl-2</v>
      </c>
      <c r="X2779" s="4">
        <v>12.6789728454648</v>
      </c>
      <c r="Y2779" s="4">
        <v>12.6643553648422</v>
      </c>
      <c r="Z2779" s="4">
        <v>12.762204497525399</v>
      </c>
      <c r="AA2779" s="4">
        <f t="shared" si="175"/>
        <v>12.701844235944131</v>
      </c>
    </row>
    <row r="2780" spans="2:27" x14ac:dyDescent="0.2">
      <c r="B2780" s="4" t="s">
        <v>4796</v>
      </c>
      <c r="C2780" s="4">
        <v>13.446999999999999</v>
      </c>
      <c r="D2780" s="4">
        <v>12.605700000000001</v>
      </c>
      <c r="E2780" s="4">
        <v>12.8573</v>
      </c>
      <c r="F2780" s="4">
        <f t="shared" si="172"/>
        <v>12.97</v>
      </c>
      <c r="I2780" s="4" t="s">
        <v>4840</v>
      </c>
      <c r="J2780" s="4">
        <v>12.834</v>
      </c>
      <c r="K2780" s="4">
        <v>13.203200000000001</v>
      </c>
      <c r="L2780" s="4">
        <v>12.645899999999999</v>
      </c>
      <c r="M2780" s="4">
        <f t="shared" si="173"/>
        <v>12.894366666666665</v>
      </c>
      <c r="P2780" s="4" t="str">
        <f>"F13E9.11"</f>
        <v>F13E9.11</v>
      </c>
      <c r="Q2780" s="4">
        <v>12.4146096932957</v>
      </c>
      <c r="R2780" s="4">
        <v>12.795001959753201</v>
      </c>
      <c r="S2780" s="4">
        <v>12.906812399504799</v>
      </c>
      <c r="T2780" s="4">
        <f t="shared" si="174"/>
        <v>12.705474684184567</v>
      </c>
      <c r="W2780" s="4" t="str">
        <f>"R166.2"</f>
        <v>R166.2</v>
      </c>
      <c r="X2780" s="4">
        <v>12.8858387965854</v>
      </c>
      <c r="Y2780" s="4">
        <v>12.7185478817059</v>
      </c>
      <c r="Z2780" s="4">
        <v>12.500458130173</v>
      </c>
      <c r="AA2780" s="4">
        <f t="shared" si="175"/>
        <v>12.701614936154767</v>
      </c>
    </row>
    <row r="2781" spans="2:27" x14ac:dyDescent="0.2">
      <c r="B2781" s="4" t="s">
        <v>4840</v>
      </c>
      <c r="C2781" s="4">
        <v>12.8466</v>
      </c>
      <c r="D2781" s="4">
        <v>13.432</v>
      </c>
      <c r="E2781" s="4">
        <v>12.628</v>
      </c>
      <c r="F2781" s="4">
        <f t="shared" si="172"/>
        <v>12.968866666666665</v>
      </c>
      <c r="I2781" s="4" t="s">
        <v>2428</v>
      </c>
      <c r="J2781" s="4">
        <v>12.711399999999999</v>
      </c>
      <c r="K2781" s="4">
        <v>13.0609</v>
      </c>
      <c r="L2781" s="4">
        <v>12.9038</v>
      </c>
      <c r="M2781" s="4">
        <f t="shared" si="173"/>
        <v>12.892033333333336</v>
      </c>
      <c r="P2781" s="4" t="str">
        <f>"cox-5b"</f>
        <v>cox-5b</v>
      </c>
      <c r="Q2781" s="4">
        <v>12.692590977713399</v>
      </c>
      <c r="R2781" s="4">
        <v>12.609255518680399</v>
      </c>
      <c r="S2781" s="4">
        <v>12.8139334937783</v>
      </c>
      <c r="T2781" s="4">
        <f t="shared" si="174"/>
        <v>12.705259996724033</v>
      </c>
      <c r="W2781" s="4" t="str">
        <f>"npp-21"</f>
        <v>npp-21</v>
      </c>
      <c r="X2781" s="4">
        <v>13.008471092682599</v>
      </c>
      <c r="Y2781" s="4">
        <v>12.6784585214956</v>
      </c>
      <c r="Z2781" s="4">
        <v>12.412129504754899</v>
      </c>
      <c r="AA2781" s="4">
        <f t="shared" si="175"/>
        <v>12.6996863729777</v>
      </c>
    </row>
    <row r="2782" spans="2:27" x14ac:dyDescent="0.2">
      <c r="B2782" s="4" t="s">
        <v>3665</v>
      </c>
      <c r="C2782" s="4">
        <v>12.749599999999999</v>
      </c>
      <c r="D2782" s="4">
        <v>13.189</v>
      </c>
      <c r="E2782" s="4">
        <v>12.960900000000001</v>
      </c>
      <c r="F2782" s="4">
        <f t="shared" si="172"/>
        <v>12.966500000000002</v>
      </c>
      <c r="I2782" s="4" t="s">
        <v>3590</v>
      </c>
      <c r="J2782" s="4">
        <v>12.6149</v>
      </c>
      <c r="K2782" s="4">
        <v>13.0242</v>
      </c>
      <c r="L2782" s="4">
        <v>13.0261</v>
      </c>
      <c r="M2782" s="4">
        <f t="shared" si="173"/>
        <v>12.888399999999999</v>
      </c>
      <c r="P2782" s="4" t="str">
        <f>"rab-21"</f>
        <v>rab-21</v>
      </c>
      <c r="Q2782" s="4">
        <v>12.4796675660172</v>
      </c>
      <c r="R2782" s="4">
        <v>12.888061705089401</v>
      </c>
      <c r="S2782" s="4">
        <v>12.7440911179614</v>
      </c>
      <c r="T2782" s="4">
        <f t="shared" si="174"/>
        <v>12.703940129689334</v>
      </c>
      <c r="W2782" s="4" t="str">
        <f>"hrp-1"</f>
        <v>hrp-1</v>
      </c>
      <c r="X2782" s="4">
        <v>13.4451816083937</v>
      </c>
      <c r="Y2782" s="4">
        <v>12.8225500267936</v>
      </c>
      <c r="Z2782" s="4">
        <v>11.8255274305368</v>
      </c>
      <c r="AA2782" s="4">
        <f t="shared" si="175"/>
        <v>12.697753021908033</v>
      </c>
    </row>
    <row r="2783" spans="2:27" x14ac:dyDescent="0.2">
      <c r="B2783" s="4" t="s">
        <v>156</v>
      </c>
      <c r="C2783" s="4">
        <v>13.172800000000001</v>
      </c>
      <c r="D2783" s="4">
        <v>13.2895</v>
      </c>
      <c r="E2783" s="4">
        <v>12.436</v>
      </c>
      <c r="F2783" s="4">
        <f t="shared" si="172"/>
        <v>12.966099999999999</v>
      </c>
      <c r="I2783" s="4" t="s">
        <v>3381</v>
      </c>
      <c r="J2783" s="4">
        <v>12.7608</v>
      </c>
      <c r="K2783" s="4">
        <v>12.7797</v>
      </c>
      <c r="L2783" s="4">
        <v>13.1203</v>
      </c>
      <c r="M2783" s="4">
        <f t="shared" si="173"/>
        <v>12.886933333333333</v>
      </c>
      <c r="P2783" s="4" t="str">
        <f>"ekl-1"</f>
        <v>ekl-1</v>
      </c>
      <c r="Q2783" s="4">
        <v>12.4405938295887</v>
      </c>
      <c r="R2783" s="4">
        <v>12.808770048530199</v>
      </c>
      <c r="S2783" s="4">
        <v>12.8586300510831</v>
      </c>
      <c r="T2783" s="4">
        <f t="shared" si="174"/>
        <v>12.702664643067331</v>
      </c>
      <c r="W2783" s="4" t="str">
        <f>"snr-3"</f>
        <v>snr-3</v>
      </c>
      <c r="X2783" s="4">
        <v>13.3853122358171</v>
      </c>
      <c r="Y2783" s="4">
        <v>11.958588269422</v>
      </c>
      <c r="Z2783" s="4">
        <v>12.741265886725699</v>
      </c>
      <c r="AA2783" s="4">
        <f t="shared" si="175"/>
        <v>12.695055463988266</v>
      </c>
    </row>
    <row r="2784" spans="2:27" x14ac:dyDescent="0.2">
      <c r="B2784" s="4" t="s">
        <v>4818</v>
      </c>
      <c r="C2784" s="4">
        <v>12.7621</v>
      </c>
      <c r="D2784" s="4">
        <v>12.9139</v>
      </c>
      <c r="E2784" s="4">
        <v>13.2218</v>
      </c>
      <c r="F2784" s="4">
        <f t="shared" si="172"/>
        <v>12.965933333333334</v>
      </c>
      <c r="I2784" s="4" t="s">
        <v>4841</v>
      </c>
      <c r="J2784" s="4">
        <v>13.392099999999999</v>
      </c>
      <c r="K2784" s="4">
        <v>12.6633</v>
      </c>
      <c r="L2784" s="4">
        <v>12.600199999999999</v>
      </c>
      <c r="M2784" s="4">
        <f t="shared" si="173"/>
        <v>12.885199999999999</v>
      </c>
      <c r="P2784" s="4" t="str">
        <f>"C49A9.2"</f>
        <v>C49A9.2</v>
      </c>
      <c r="Q2784" s="4">
        <v>12.501264139552701</v>
      </c>
      <c r="R2784" s="4">
        <v>12.823871505354701</v>
      </c>
      <c r="S2784" s="4">
        <v>12.779537745906801</v>
      </c>
      <c r="T2784" s="4">
        <f t="shared" si="174"/>
        <v>12.701557796938067</v>
      </c>
      <c r="W2784" s="4" t="str">
        <f>"gst-1"</f>
        <v>gst-1</v>
      </c>
      <c r="X2784" s="4">
        <v>12.475951298178099</v>
      </c>
      <c r="Y2784" s="4">
        <v>12.653230751996899</v>
      </c>
      <c r="Z2784" s="4">
        <v>12.9551280828105</v>
      </c>
      <c r="AA2784" s="4">
        <f t="shared" si="175"/>
        <v>12.694770044328498</v>
      </c>
    </row>
    <row r="2785" spans="2:27" x14ac:dyDescent="0.2">
      <c r="B2785" s="4" t="s">
        <v>1453</v>
      </c>
      <c r="C2785" s="4">
        <v>12.5345</v>
      </c>
      <c r="D2785" s="4">
        <v>12.9208</v>
      </c>
      <c r="E2785" s="4">
        <v>13.4391</v>
      </c>
      <c r="F2785" s="4">
        <f t="shared" si="172"/>
        <v>12.964800000000002</v>
      </c>
      <c r="I2785" s="4" t="s">
        <v>4367</v>
      </c>
      <c r="J2785" s="4">
        <v>13.181100000000001</v>
      </c>
      <c r="K2785" s="4">
        <v>12.736000000000001</v>
      </c>
      <c r="L2785" s="4">
        <v>12.724399999999999</v>
      </c>
      <c r="M2785" s="4">
        <f t="shared" si="173"/>
        <v>12.8805</v>
      </c>
      <c r="P2785" s="4" t="str">
        <f>"dbn-1"</f>
        <v>dbn-1</v>
      </c>
      <c r="Q2785" s="4">
        <v>12.1399066213044</v>
      </c>
      <c r="R2785" s="4">
        <v>13.015118409624</v>
      </c>
      <c r="S2785" s="4">
        <v>12.947907703291699</v>
      </c>
      <c r="T2785" s="4">
        <f t="shared" si="174"/>
        <v>12.700977578073365</v>
      </c>
      <c r="W2785" s="4" t="str">
        <f>"lys-3"</f>
        <v>lys-3</v>
      </c>
      <c r="X2785" s="4">
        <v>13.546727701788599</v>
      </c>
      <c r="Y2785" s="4">
        <v>12.400397952709699</v>
      </c>
      <c r="Z2785" s="4">
        <v>12.133696255221601</v>
      </c>
      <c r="AA2785" s="4">
        <f t="shared" si="175"/>
        <v>12.693607303239967</v>
      </c>
    </row>
    <row r="2786" spans="2:27" x14ac:dyDescent="0.2">
      <c r="B2786" s="4" t="s">
        <v>458</v>
      </c>
      <c r="C2786" s="4">
        <v>12.78</v>
      </c>
      <c r="D2786" s="4">
        <v>13.0176</v>
      </c>
      <c r="E2786" s="4">
        <v>13.094900000000001</v>
      </c>
      <c r="F2786" s="4">
        <f t="shared" si="172"/>
        <v>12.964166666666666</v>
      </c>
      <c r="I2786" s="4" t="s">
        <v>4829</v>
      </c>
      <c r="J2786" s="4">
        <v>12.7837</v>
      </c>
      <c r="K2786" s="4">
        <v>13.1272</v>
      </c>
      <c r="L2786" s="4">
        <v>12.7088</v>
      </c>
      <c r="M2786" s="4">
        <f t="shared" si="173"/>
        <v>12.873233333333332</v>
      </c>
      <c r="P2786" s="4" t="str">
        <f>"prmt-7"</f>
        <v>prmt-7</v>
      </c>
      <c r="Q2786" s="4">
        <v>12.648337383602399</v>
      </c>
      <c r="R2786" s="4">
        <v>12.8182406626235</v>
      </c>
      <c r="S2786" s="4">
        <v>12.634799184920301</v>
      </c>
      <c r="T2786" s="4">
        <f t="shared" si="174"/>
        <v>12.700459077048734</v>
      </c>
      <c r="W2786" s="4" t="str">
        <f>"adss-1"</f>
        <v>adss-1</v>
      </c>
      <c r="X2786" s="4">
        <v>12.492205374535301</v>
      </c>
      <c r="Y2786" s="4">
        <v>12.550335030250199</v>
      </c>
      <c r="Z2786" s="4">
        <v>13.0261098911605</v>
      </c>
      <c r="AA2786" s="4">
        <f t="shared" si="175"/>
        <v>12.689550098648667</v>
      </c>
    </row>
    <row r="2787" spans="2:27" x14ac:dyDescent="0.2">
      <c r="B2787" s="4" t="s">
        <v>1652</v>
      </c>
      <c r="C2787" s="4">
        <v>12.7113</v>
      </c>
      <c r="D2787" s="4">
        <v>13.091900000000001</v>
      </c>
      <c r="E2787" s="4">
        <v>13.0863</v>
      </c>
      <c r="F2787" s="4">
        <f t="shared" si="172"/>
        <v>12.963166666666666</v>
      </c>
      <c r="I2787" s="4" t="s">
        <v>2260</v>
      </c>
      <c r="J2787" s="4">
        <v>12.624000000000001</v>
      </c>
      <c r="K2787" s="4">
        <v>12.724600000000001</v>
      </c>
      <c r="L2787" s="4">
        <v>13.2668</v>
      </c>
      <c r="M2787" s="4">
        <f t="shared" si="173"/>
        <v>12.8718</v>
      </c>
      <c r="P2787" s="4" t="str">
        <f>"glrx-10"</f>
        <v>glrx-10</v>
      </c>
      <c r="Q2787" s="4">
        <v>12.3044015121359</v>
      </c>
      <c r="R2787" s="4">
        <v>12.9909359617207</v>
      </c>
      <c r="S2787" s="4">
        <v>12.805865480791899</v>
      </c>
      <c r="T2787" s="4">
        <f t="shared" si="174"/>
        <v>12.700400984882833</v>
      </c>
      <c r="W2787" s="4" t="str">
        <f>"suco-1"</f>
        <v>suco-1</v>
      </c>
      <c r="X2787" s="4">
        <v>12.7728397557397</v>
      </c>
      <c r="Y2787" s="4">
        <v>13.1002124236591</v>
      </c>
      <c r="Z2787" s="4">
        <v>12.1929317107396</v>
      </c>
      <c r="AA2787" s="4">
        <f t="shared" si="175"/>
        <v>12.6886612967128</v>
      </c>
    </row>
    <row r="2788" spans="2:27" x14ac:dyDescent="0.2">
      <c r="B2788" s="4" t="s">
        <v>4842</v>
      </c>
      <c r="C2788" s="4">
        <v>12.7448</v>
      </c>
      <c r="D2788" s="4">
        <v>12.8161</v>
      </c>
      <c r="E2788" s="4">
        <v>13.317500000000001</v>
      </c>
      <c r="F2788" s="4">
        <f t="shared" si="172"/>
        <v>12.959466666666666</v>
      </c>
      <c r="I2788" s="4" t="s">
        <v>3311</v>
      </c>
      <c r="J2788" s="4">
        <v>12.9373</v>
      </c>
      <c r="K2788" s="4">
        <v>12.6501</v>
      </c>
      <c r="L2788" s="4">
        <v>13.018000000000001</v>
      </c>
      <c r="M2788" s="4">
        <f t="shared" si="173"/>
        <v>12.868466666666668</v>
      </c>
      <c r="P2788" s="4" t="str">
        <f>"ctnb-1"</f>
        <v>ctnb-1</v>
      </c>
      <c r="Q2788" s="4">
        <v>12.712611819596599</v>
      </c>
      <c r="R2788" s="4">
        <v>12.763850621527901</v>
      </c>
      <c r="S2788" s="4">
        <v>12.621340617985</v>
      </c>
      <c r="T2788" s="4">
        <f t="shared" si="174"/>
        <v>12.699267686369835</v>
      </c>
      <c r="W2788" s="4" t="str">
        <f>"elo-2"</f>
        <v>elo-2</v>
      </c>
      <c r="X2788" s="4">
        <v>13.5135303145967</v>
      </c>
      <c r="Y2788" s="4">
        <v>12.400020275006099</v>
      </c>
      <c r="Z2788" s="4">
        <v>12.1517080100465</v>
      </c>
      <c r="AA2788" s="4">
        <f t="shared" si="175"/>
        <v>12.688419533216432</v>
      </c>
    </row>
    <row r="2789" spans="2:27" x14ac:dyDescent="0.2">
      <c r="B2789" s="4" t="s">
        <v>139</v>
      </c>
      <c r="C2789" s="4">
        <v>13.032400000000001</v>
      </c>
      <c r="D2789" s="4">
        <v>13.163399999999999</v>
      </c>
      <c r="E2789" s="4">
        <v>12.6805</v>
      </c>
      <c r="F2789" s="4">
        <f t="shared" si="172"/>
        <v>12.958766666666667</v>
      </c>
      <c r="I2789" s="4" t="s">
        <v>1893</v>
      </c>
      <c r="J2789" s="4">
        <v>12.427300000000001</v>
      </c>
      <c r="K2789" s="4">
        <v>12.7814</v>
      </c>
      <c r="L2789" s="4">
        <v>13.394600000000001</v>
      </c>
      <c r="M2789" s="4">
        <f t="shared" si="173"/>
        <v>12.867766666666668</v>
      </c>
      <c r="P2789" s="4" t="str">
        <f>"ddx-35"</f>
        <v>ddx-35</v>
      </c>
      <c r="Q2789" s="4">
        <v>12.142999987385901</v>
      </c>
      <c r="R2789" s="4">
        <v>13.145829703011101</v>
      </c>
      <c r="S2789" s="4">
        <v>12.8082596243362</v>
      </c>
      <c r="T2789" s="4">
        <f t="shared" si="174"/>
        <v>12.699029771577734</v>
      </c>
      <c r="W2789" s="4" t="str">
        <f>"sna-2"</f>
        <v>sna-2</v>
      </c>
      <c r="X2789" s="4">
        <v>12.862474491395099</v>
      </c>
      <c r="Y2789" s="4">
        <v>12.569314922913501</v>
      </c>
      <c r="Z2789" s="4">
        <v>12.620441705866901</v>
      </c>
      <c r="AA2789" s="4">
        <f t="shared" si="175"/>
        <v>12.684077040058499</v>
      </c>
    </row>
    <row r="2790" spans="2:27" x14ac:dyDescent="0.2">
      <c r="B2790" s="4" t="s">
        <v>1584</v>
      </c>
      <c r="C2790" s="4">
        <v>13.240399999999999</v>
      </c>
      <c r="D2790" s="4">
        <v>12.6805</v>
      </c>
      <c r="E2790" s="4">
        <v>12.9489</v>
      </c>
      <c r="F2790" s="4">
        <f t="shared" si="172"/>
        <v>12.9566</v>
      </c>
      <c r="I2790" s="4" t="s">
        <v>1930</v>
      </c>
      <c r="J2790" s="4">
        <v>12.738</v>
      </c>
      <c r="K2790" s="4">
        <v>12.857900000000001</v>
      </c>
      <c r="L2790" s="4">
        <v>13.0046</v>
      </c>
      <c r="M2790" s="4">
        <f t="shared" si="173"/>
        <v>12.866833333333332</v>
      </c>
      <c r="P2790" s="4" t="str">
        <f>"ymel-1"</f>
        <v>ymel-1</v>
      </c>
      <c r="Q2790" s="4">
        <v>12.734341610531899</v>
      </c>
      <c r="R2790" s="4">
        <v>12.8132999658673</v>
      </c>
      <c r="S2790" s="4">
        <v>12.547548917169999</v>
      </c>
      <c r="T2790" s="4">
        <f t="shared" si="174"/>
        <v>12.698396831189733</v>
      </c>
      <c r="W2790" s="4" t="str">
        <f>"tat-1"</f>
        <v>tat-1</v>
      </c>
      <c r="X2790" s="4">
        <v>12.330303233775201</v>
      </c>
      <c r="Y2790" s="4">
        <v>12.624274760849699</v>
      </c>
      <c r="Z2790" s="4">
        <v>13.088390354883099</v>
      </c>
      <c r="AA2790" s="4">
        <f t="shared" si="175"/>
        <v>12.680989449836</v>
      </c>
    </row>
    <row r="2791" spans="2:27" x14ac:dyDescent="0.2">
      <c r="B2791" s="4" t="s">
        <v>3652</v>
      </c>
      <c r="C2791" s="4">
        <v>12.9415</v>
      </c>
      <c r="D2791" s="4">
        <v>13.492000000000001</v>
      </c>
      <c r="E2791" s="4">
        <v>12.4344</v>
      </c>
      <c r="F2791" s="4">
        <f t="shared" si="172"/>
        <v>12.955966666666669</v>
      </c>
      <c r="I2791" s="4" t="s">
        <v>3794</v>
      </c>
      <c r="J2791" s="4">
        <v>12.7135</v>
      </c>
      <c r="K2791" s="4">
        <v>13.028</v>
      </c>
      <c r="L2791" s="4">
        <v>12.8428</v>
      </c>
      <c r="M2791" s="4">
        <f t="shared" si="173"/>
        <v>12.861433333333332</v>
      </c>
      <c r="P2791" s="4" t="str">
        <f>"cdf-1"</f>
        <v>cdf-1</v>
      </c>
      <c r="Q2791" s="4">
        <v>12.9102401315088</v>
      </c>
      <c r="R2791" s="4">
        <v>12.5783542968571</v>
      </c>
      <c r="S2791" s="4">
        <v>12.6019208273387</v>
      </c>
      <c r="T2791" s="4">
        <f t="shared" si="174"/>
        <v>12.6968384185682</v>
      </c>
      <c r="W2791" s="4" t="str">
        <f>"Y57G11C.33"</f>
        <v>Y57G11C.33</v>
      </c>
      <c r="X2791" s="4">
        <v>13.025359816143499</v>
      </c>
      <c r="Y2791" s="4">
        <v>12.5421028152868</v>
      </c>
      <c r="Z2791" s="4">
        <v>12.4718534150777</v>
      </c>
      <c r="AA2791" s="4">
        <f t="shared" si="175"/>
        <v>12.679772015502666</v>
      </c>
    </row>
    <row r="2792" spans="2:27" x14ac:dyDescent="0.2">
      <c r="B2792" s="4" t="s">
        <v>4843</v>
      </c>
      <c r="C2792" s="4">
        <v>13.246700000000001</v>
      </c>
      <c r="D2792" s="4">
        <v>12.752800000000001</v>
      </c>
      <c r="E2792" s="4">
        <v>12.863799999999999</v>
      </c>
      <c r="F2792" s="4">
        <f t="shared" si="172"/>
        <v>12.954433333333334</v>
      </c>
      <c r="I2792" s="4" t="s">
        <v>4844</v>
      </c>
      <c r="J2792" s="4">
        <v>12.725300000000001</v>
      </c>
      <c r="K2792" s="4">
        <v>13.151300000000001</v>
      </c>
      <c r="L2792" s="4">
        <v>12.7012</v>
      </c>
      <c r="M2792" s="4">
        <f t="shared" si="173"/>
        <v>12.859266666666668</v>
      </c>
      <c r="P2792" s="4" t="str">
        <f>"hpk-1"</f>
        <v>hpk-1</v>
      </c>
      <c r="Q2792" s="4">
        <v>12.6150169969186</v>
      </c>
      <c r="R2792" s="4">
        <v>12.937904567600301</v>
      </c>
      <c r="S2792" s="4">
        <v>12.5349578151625</v>
      </c>
      <c r="T2792" s="4">
        <f t="shared" si="174"/>
        <v>12.695959793227132</v>
      </c>
      <c r="W2792" s="4" t="str">
        <f>"aspm-1"</f>
        <v>aspm-1</v>
      </c>
      <c r="X2792" s="4">
        <v>12.6287341312424</v>
      </c>
      <c r="Y2792" s="4">
        <v>12.6202903202797</v>
      </c>
      <c r="Z2792" s="4">
        <v>12.784699465489799</v>
      </c>
      <c r="AA2792" s="4">
        <f t="shared" si="175"/>
        <v>12.6779079723373</v>
      </c>
    </row>
    <row r="2793" spans="2:27" x14ac:dyDescent="0.2">
      <c r="B2793" s="4" t="s">
        <v>1549</v>
      </c>
      <c r="C2793" s="4">
        <v>13.1084</v>
      </c>
      <c r="D2793" s="4">
        <v>12.7727</v>
      </c>
      <c r="E2793" s="4">
        <v>12.968400000000001</v>
      </c>
      <c r="F2793" s="4">
        <f t="shared" si="172"/>
        <v>12.949833333333332</v>
      </c>
      <c r="I2793" s="4" t="s">
        <v>3451</v>
      </c>
      <c r="J2793" s="4">
        <v>13.1572</v>
      </c>
      <c r="K2793" s="4">
        <v>12.8376</v>
      </c>
      <c r="L2793" s="4">
        <v>12.5692</v>
      </c>
      <c r="M2793" s="4">
        <f t="shared" si="173"/>
        <v>12.854666666666667</v>
      </c>
      <c r="P2793" s="4" t="str">
        <f>"Y48C3A.20"</f>
        <v>Y48C3A.20</v>
      </c>
      <c r="Q2793" s="4">
        <v>12.630125010105999</v>
      </c>
      <c r="R2793" s="4">
        <v>12.977263780551199</v>
      </c>
      <c r="S2793" s="4">
        <v>12.4711301594019</v>
      </c>
      <c r="T2793" s="4">
        <f t="shared" si="174"/>
        <v>12.6928396500197</v>
      </c>
      <c r="W2793" s="4" t="str">
        <f>"F25E5.5"</f>
        <v>F25E5.5</v>
      </c>
      <c r="X2793" s="4">
        <v>12.897735706326801</v>
      </c>
      <c r="Y2793" s="4">
        <v>12.845051166133301</v>
      </c>
      <c r="Z2793" s="4">
        <v>12.286793767410099</v>
      </c>
      <c r="AA2793" s="4">
        <f t="shared" si="175"/>
        <v>12.676526879956734</v>
      </c>
    </row>
    <row r="2794" spans="2:27" x14ac:dyDescent="0.2">
      <c r="B2794" s="4" t="s">
        <v>4845</v>
      </c>
      <c r="C2794" s="4">
        <v>13.0244</v>
      </c>
      <c r="D2794" s="4">
        <v>13.052300000000001</v>
      </c>
      <c r="E2794" s="4">
        <v>12.7662</v>
      </c>
      <c r="F2794" s="4">
        <f t="shared" si="172"/>
        <v>12.947633333333334</v>
      </c>
      <c r="I2794" s="4" t="s">
        <v>178</v>
      </c>
      <c r="J2794" s="4">
        <v>12.9132</v>
      </c>
      <c r="K2794" s="4">
        <v>13.152200000000001</v>
      </c>
      <c r="L2794" s="4">
        <v>12.4984</v>
      </c>
      <c r="M2794" s="4">
        <f t="shared" si="173"/>
        <v>12.8546</v>
      </c>
      <c r="P2794" s="4" t="str">
        <f>"F36A2.2"</f>
        <v>F36A2.2</v>
      </c>
      <c r="Q2794" s="4">
        <v>12.5453737270057</v>
      </c>
      <c r="R2794" s="4">
        <v>12.966145046223501</v>
      </c>
      <c r="S2794" s="4">
        <v>12.5634310511367</v>
      </c>
      <c r="T2794" s="4">
        <f t="shared" si="174"/>
        <v>12.691649941455301</v>
      </c>
      <c r="W2794" s="4" t="str">
        <f>"cey-2"</f>
        <v>cey-2</v>
      </c>
      <c r="X2794" s="4">
        <v>13.263679904680201</v>
      </c>
      <c r="Y2794" s="4">
        <v>12.231779930129701</v>
      </c>
      <c r="Z2794" s="4">
        <v>12.526620266565001</v>
      </c>
      <c r="AA2794" s="4">
        <f t="shared" si="175"/>
        <v>12.674026700458299</v>
      </c>
    </row>
    <row r="2795" spans="2:27" x14ac:dyDescent="0.2">
      <c r="B2795" s="4" t="s">
        <v>2824</v>
      </c>
      <c r="C2795" s="4">
        <v>12.7202</v>
      </c>
      <c r="D2795" s="4">
        <v>13.2188</v>
      </c>
      <c r="E2795" s="4">
        <v>12.887</v>
      </c>
      <c r="F2795" s="4">
        <f t="shared" si="172"/>
        <v>12.942</v>
      </c>
      <c r="I2795" s="4" t="s">
        <v>2240</v>
      </c>
      <c r="J2795" s="4">
        <v>12.5304</v>
      </c>
      <c r="K2795" s="4">
        <v>12.8695</v>
      </c>
      <c r="L2795" s="4">
        <v>13.1553</v>
      </c>
      <c r="M2795" s="4">
        <f t="shared" si="173"/>
        <v>12.851733333333334</v>
      </c>
      <c r="P2795" s="4" t="str">
        <f>"ltah-1.2"</f>
        <v>ltah-1.2</v>
      </c>
      <c r="Q2795" s="4">
        <v>12.6201597868571</v>
      </c>
      <c r="R2795" s="4">
        <v>12.816863662179401</v>
      </c>
      <c r="S2795" s="4">
        <v>12.6282027747045</v>
      </c>
      <c r="T2795" s="4">
        <f t="shared" si="174"/>
        <v>12.688408741247001</v>
      </c>
      <c r="W2795" s="4" t="str">
        <f>"D1005.2"</f>
        <v>D1005.2</v>
      </c>
      <c r="X2795" s="4">
        <v>12.6182088012752</v>
      </c>
      <c r="Y2795" s="4">
        <v>12.5753635382664</v>
      </c>
      <c r="Z2795" s="4">
        <v>12.8134468757899</v>
      </c>
      <c r="AA2795" s="4">
        <f t="shared" si="175"/>
        <v>12.669006405110499</v>
      </c>
    </row>
    <row r="2796" spans="2:27" x14ac:dyDescent="0.2">
      <c r="B2796" s="4" t="s">
        <v>2260</v>
      </c>
      <c r="C2796" s="4">
        <v>13.173</v>
      </c>
      <c r="D2796" s="4">
        <v>13.1235</v>
      </c>
      <c r="E2796" s="4">
        <v>12.525399999999999</v>
      </c>
      <c r="F2796" s="4">
        <f t="shared" si="172"/>
        <v>12.940633333333333</v>
      </c>
      <c r="I2796" s="4" t="s">
        <v>4315</v>
      </c>
      <c r="J2796" s="4">
        <v>12.9899</v>
      </c>
      <c r="K2796" s="4">
        <v>12.598599999999999</v>
      </c>
      <c r="L2796" s="4">
        <v>12.9567</v>
      </c>
      <c r="M2796" s="4">
        <f t="shared" si="173"/>
        <v>12.8484</v>
      </c>
      <c r="P2796" s="4" t="str">
        <f>"F41E6.5"</f>
        <v>F41E6.5</v>
      </c>
      <c r="Q2796" s="4">
        <v>12.6231021129884</v>
      </c>
      <c r="R2796" s="4">
        <v>12.9884038901341</v>
      </c>
      <c r="S2796" s="4">
        <v>12.441299545985199</v>
      </c>
      <c r="T2796" s="4">
        <f t="shared" si="174"/>
        <v>12.684268516369235</v>
      </c>
      <c r="W2796" s="4" t="str">
        <f>"F39B2.3"</f>
        <v>F39B2.3</v>
      </c>
      <c r="X2796" s="4">
        <v>13.1637776563621</v>
      </c>
      <c r="Y2796" s="4">
        <v>12.189547824970999</v>
      </c>
      <c r="Z2796" s="4">
        <v>12.6325911954593</v>
      </c>
      <c r="AA2796" s="4">
        <f t="shared" si="175"/>
        <v>12.661972225597466</v>
      </c>
    </row>
    <row r="2797" spans="2:27" x14ac:dyDescent="0.2">
      <c r="B2797" s="4" t="s">
        <v>2719</v>
      </c>
      <c r="C2797" s="4">
        <v>12.9857</v>
      </c>
      <c r="D2797" s="4">
        <v>12.919600000000001</v>
      </c>
      <c r="E2797" s="4">
        <v>12.9078</v>
      </c>
      <c r="F2797" s="4">
        <f t="shared" si="172"/>
        <v>12.9377</v>
      </c>
      <c r="I2797" s="4" t="s">
        <v>3196</v>
      </c>
      <c r="J2797" s="4">
        <v>12.700100000000001</v>
      </c>
      <c r="K2797" s="4">
        <v>12.7072</v>
      </c>
      <c r="L2797" s="4">
        <v>13.1303</v>
      </c>
      <c r="M2797" s="4">
        <f t="shared" si="173"/>
        <v>12.845866666666666</v>
      </c>
      <c r="P2797" s="4" t="str">
        <f>"mct-2"</f>
        <v>mct-2</v>
      </c>
      <c r="Q2797" s="4">
        <v>12.060289978722899</v>
      </c>
      <c r="R2797" s="4">
        <v>12.9218824506698</v>
      </c>
      <c r="S2797" s="4">
        <v>13.0671254809792</v>
      </c>
      <c r="T2797" s="4">
        <f t="shared" si="174"/>
        <v>12.683099303457299</v>
      </c>
      <c r="W2797" s="4" t="str">
        <f>"fkb-2"</f>
        <v>fkb-2</v>
      </c>
      <c r="X2797" s="4">
        <v>12.6749905364362</v>
      </c>
      <c r="Y2797" s="4">
        <v>12.3526639550402</v>
      </c>
      <c r="Z2797" s="4">
        <v>12.9548376605931</v>
      </c>
      <c r="AA2797" s="4">
        <f t="shared" si="175"/>
        <v>12.660830717356498</v>
      </c>
    </row>
    <row r="2798" spans="2:27" x14ac:dyDescent="0.2">
      <c r="B2798" s="4" t="s">
        <v>2967</v>
      </c>
      <c r="C2798" s="4">
        <v>12.9069</v>
      </c>
      <c r="D2798" s="4">
        <v>12.934200000000001</v>
      </c>
      <c r="E2798" s="4">
        <v>12.955</v>
      </c>
      <c r="F2798" s="4">
        <f t="shared" si="172"/>
        <v>12.932033333333335</v>
      </c>
      <c r="I2798" s="4" t="s">
        <v>2175</v>
      </c>
      <c r="J2798" s="4">
        <v>12.688000000000001</v>
      </c>
      <c r="K2798" s="4">
        <v>12.889200000000001</v>
      </c>
      <c r="L2798" s="4">
        <v>12.9496</v>
      </c>
      <c r="M2798" s="4">
        <f t="shared" si="173"/>
        <v>12.842266666666667</v>
      </c>
      <c r="P2798" s="4" t="str">
        <f>"cdl-1"</f>
        <v>cdl-1</v>
      </c>
      <c r="Q2798" s="4">
        <v>12.4639392108359</v>
      </c>
      <c r="R2798" s="4">
        <v>12.8919181503248</v>
      </c>
      <c r="S2798" s="4">
        <v>12.687345665299899</v>
      </c>
      <c r="T2798" s="4">
        <f t="shared" si="174"/>
        <v>12.681067675486867</v>
      </c>
      <c r="W2798" s="4" t="str">
        <f>"mdt-17"</f>
        <v>mdt-17</v>
      </c>
      <c r="X2798" s="4">
        <v>12.834064130803799</v>
      </c>
      <c r="Y2798" s="4">
        <v>12.6386764994787</v>
      </c>
      <c r="Z2798" s="4">
        <v>12.508838600981599</v>
      </c>
      <c r="AA2798" s="4">
        <f t="shared" si="175"/>
        <v>12.660526410421367</v>
      </c>
    </row>
    <row r="2799" spans="2:27" x14ac:dyDescent="0.2">
      <c r="B2799" s="4" t="s">
        <v>598</v>
      </c>
      <c r="C2799" s="4">
        <v>12.8736</v>
      </c>
      <c r="D2799" s="4">
        <v>13.1479</v>
      </c>
      <c r="E2799" s="4">
        <v>12.767300000000001</v>
      </c>
      <c r="F2799" s="4">
        <f t="shared" si="172"/>
        <v>12.929600000000001</v>
      </c>
      <c r="I2799" s="4" t="s">
        <v>4084</v>
      </c>
      <c r="J2799" s="4">
        <v>13.0716</v>
      </c>
      <c r="K2799" s="4">
        <v>12.793799999999999</v>
      </c>
      <c r="L2799" s="4">
        <v>12.6312</v>
      </c>
      <c r="M2799" s="4">
        <f t="shared" si="173"/>
        <v>12.8322</v>
      </c>
      <c r="P2799" s="4" t="str">
        <f>"mtch-1"</f>
        <v>mtch-1</v>
      </c>
      <c r="Q2799" s="4">
        <v>12.471583201419101</v>
      </c>
      <c r="R2799" s="4">
        <v>13.000923570508499</v>
      </c>
      <c r="S2799" s="4">
        <v>12.5702156949963</v>
      </c>
      <c r="T2799" s="4">
        <f t="shared" si="174"/>
        <v>12.680907488974633</v>
      </c>
      <c r="W2799" s="4" t="str">
        <f>"Y71H2AM.11"</f>
        <v>Y71H2AM.11</v>
      </c>
      <c r="X2799" s="4">
        <v>12.923364763795</v>
      </c>
      <c r="Y2799" s="4">
        <v>12.5110700057102</v>
      </c>
      <c r="Z2799" s="4">
        <v>12.5438491551888</v>
      </c>
      <c r="AA2799" s="4">
        <f t="shared" si="175"/>
        <v>12.659427974898001</v>
      </c>
    </row>
    <row r="2800" spans="2:27" x14ac:dyDescent="0.2">
      <c r="B2800" s="4" t="s">
        <v>612</v>
      </c>
      <c r="C2800" s="4">
        <v>12.8424</v>
      </c>
      <c r="D2800" s="4">
        <v>13.3239</v>
      </c>
      <c r="E2800" s="4">
        <v>12.620699999999999</v>
      </c>
      <c r="F2800" s="4">
        <f t="shared" si="172"/>
        <v>12.929</v>
      </c>
      <c r="I2800" s="4" t="s">
        <v>953</v>
      </c>
      <c r="J2800" s="4">
        <v>12.957800000000001</v>
      </c>
      <c r="K2800" s="4">
        <v>12.5906</v>
      </c>
      <c r="L2800" s="4">
        <v>12.9406</v>
      </c>
      <c r="M2800" s="4">
        <f t="shared" si="173"/>
        <v>12.829666666666668</v>
      </c>
      <c r="P2800" s="4" t="str">
        <f>"R03G8.6"</f>
        <v>R03G8.6</v>
      </c>
      <c r="Q2800" s="4">
        <v>12.372868994856301</v>
      </c>
      <c r="R2800" s="4">
        <v>12.7173479423231</v>
      </c>
      <c r="S2800" s="4">
        <v>12.944934175793399</v>
      </c>
      <c r="T2800" s="4">
        <f t="shared" si="174"/>
        <v>12.678383704324267</v>
      </c>
      <c r="W2800" s="4" t="str">
        <f>"F08C6.2"</f>
        <v>F08C6.2</v>
      </c>
      <c r="X2800" s="4">
        <v>12.478561695120099</v>
      </c>
      <c r="Y2800" s="4">
        <v>12.9060337279866</v>
      </c>
      <c r="Z2800" s="4">
        <v>12.591230510305101</v>
      </c>
      <c r="AA2800" s="4">
        <f t="shared" si="175"/>
        <v>12.658608644470599</v>
      </c>
    </row>
    <row r="2801" spans="2:27" x14ac:dyDescent="0.2">
      <c r="B2801" s="4" t="s">
        <v>2980</v>
      </c>
      <c r="C2801" s="4">
        <v>13.374499999999999</v>
      </c>
      <c r="D2801" s="4">
        <v>12.633599999999999</v>
      </c>
      <c r="E2801" s="4">
        <v>12.7698</v>
      </c>
      <c r="F2801" s="4">
        <f t="shared" si="172"/>
        <v>12.925966666666667</v>
      </c>
      <c r="I2801" s="4" t="s">
        <v>479</v>
      </c>
      <c r="J2801" s="4">
        <v>12.940799999999999</v>
      </c>
      <c r="K2801" s="4">
        <v>12.6797</v>
      </c>
      <c r="L2801" s="4">
        <v>12.861599999999999</v>
      </c>
      <c r="M2801" s="4">
        <f t="shared" si="173"/>
        <v>12.827366666666668</v>
      </c>
      <c r="P2801" s="4" t="str">
        <f>"gpcp-2"</f>
        <v>gpcp-2</v>
      </c>
      <c r="Q2801" s="4">
        <v>12.825353332385999</v>
      </c>
      <c r="R2801" s="4">
        <v>12.808698619485501</v>
      </c>
      <c r="S2801" s="4">
        <v>12.400102281209501</v>
      </c>
      <c r="T2801" s="4">
        <f t="shared" si="174"/>
        <v>12.678051411026999</v>
      </c>
      <c r="W2801" s="4" t="str">
        <f>"Y110A7A.11"</f>
        <v>Y110A7A.11</v>
      </c>
      <c r="X2801" s="4">
        <v>12.771997328374299</v>
      </c>
      <c r="Y2801" s="4">
        <v>12.8258823772141</v>
      </c>
      <c r="Z2801" s="4">
        <v>12.376081098974099</v>
      </c>
      <c r="AA2801" s="4">
        <f t="shared" si="175"/>
        <v>12.657986934854165</v>
      </c>
    </row>
    <row r="2802" spans="2:27" x14ac:dyDescent="0.2">
      <c r="B2802" s="4" t="s">
        <v>3686</v>
      </c>
      <c r="C2802" s="4">
        <v>12.9519</v>
      </c>
      <c r="D2802" s="4">
        <v>13.048</v>
      </c>
      <c r="E2802" s="4">
        <v>12.7751</v>
      </c>
      <c r="F2802" s="4">
        <f t="shared" si="172"/>
        <v>12.924999999999999</v>
      </c>
      <c r="I2802" s="4" t="s">
        <v>2518</v>
      </c>
      <c r="J2802" s="4">
        <v>12.866300000000001</v>
      </c>
      <c r="K2802" s="4">
        <v>12.734</v>
      </c>
      <c r="L2802" s="4">
        <v>12.8743</v>
      </c>
      <c r="M2802" s="4">
        <f t="shared" si="173"/>
        <v>12.824866666666667</v>
      </c>
      <c r="P2802" s="4" t="str">
        <f>"herc-1"</f>
        <v>herc-1</v>
      </c>
      <c r="Q2802" s="4">
        <v>12.637996824466599</v>
      </c>
      <c r="R2802" s="4">
        <v>12.750309109038801</v>
      </c>
      <c r="S2802" s="4">
        <v>12.641643132068699</v>
      </c>
      <c r="T2802" s="4">
        <f t="shared" si="174"/>
        <v>12.6766496885247</v>
      </c>
      <c r="W2802" s="4" t="str">
        <f>"slc-25a46"</f>
        <v>slc-25a46</v>
      </c>
      <c r="X2802" s="4">
        <v>12.644178937018101</v>
      </c>
      <c r="Y2802" s="4">
        <v>12.592605833913399</v>
      </c>
      <c r="Z2802" s="4">
        <v>12.7351060534423</v>
      </c>
      <c r="AA2802" s="4">
        <f t="shared" si="175"/>
        <v>12.657296941457934</v>
      </c>
    </row>
    <row r="2803" spans="2:27" x14ac:dyDescent="0.2">
      <c r="B2803" s="4" t="s">
        <v>3547</v>
      </c>
      <c r="C2803" s="4">
        <v>12.8172</v>
      </c>
      <c r="D2803" s="4">
        <v>12.745900000000001</v>
      </c>
      <c r="E2803" s="4">
        <v>13.181100000000001</v>
      </c>
      <c r="F2803" s="4">
        <f t="shared" si="172"/>
        <v>12.914733333333333</v>
      </c>
      <c r="I2803" s="4" t="s">
        <v>4437</v>
      </c>
      <c r="J2803" s="4">
        <v>12.3544</v>
      </c>
      <c r="K2803" s="4">
        <v>12.9787</v>
      </c>
      <c r="L2803" s="4">
        <v>13.133900000000001</v>
      </c>
      <c r="M2803" s="4">
        <f t="shared" si="173"/>
        <v>12.822333333333333</v>
      </c>
      <c r="P2803" s="4" t="str">
        <f>"tfg-1"</f>
        <v>tfg-1</v>
      </c>
      <c r="Q2803" s="4">
        <v>12.7803917389594</v>
      </c>
      <c r="R2803" s="4">
        <v>12.676513774564199</v>
      </c>
      <c r="S2803" s="4">
        <v>12.570283117058199</v>
      </c>
      <c r="T2803" s="4">
        <f t="shared" si="174"/>
        <v>12.675729543527268</v>
      </c>
      <c r="W2803" s="4" t="str">
        <f>"nep-23"</f>
        <v>nep-23</v>
      </c>
      <c r="X2803" s="4">
        <v>12.939965746661899</v>
      </c>
      <c r="Y2803" s="4">
        <v>12.424995715923901</v>
      </c>
      <c r="Z2803" s="4">
        <v>12.6056406212584</v>
      </c>
      <c r="AA2803" s="4">
        <f t="shared" si="175"/>
        <v>12.6568673612814</v>
      </c>
    </row>
    <row r="2804" spans="2:27" x14ac:dyDescent="0.2">
      <c r="B2804" s="4" t="s">
        <v>4846</v>
      </c>
      <c r="C2804" s="4">
        <v>13.162000000000001</v>
      </c>
      <c r="D2804" s="4">
        <v>13.1791</v>
      </c>
      <c r="E2804" s="4">
        <v>12.4015</v>
      </c>
      <c r="F2804" s="4">
        <f t="shared" si="172"/>
        <v>12.914200000000001</v>
      </c>
      <c r="I2804" s="4" t="s">
        <v>2614</v>
      </c>
      <c r="J2804" s="4">
        <v>12.319900000000001</v>
      </c>
      <c r="K2804" s="4">
        <v>12.9679</v>
      </c>
      <c r="L2804" s="4">
        <v>13.1768</v>
      </c>
      <c r="M2804" s="4">
        <f t="shared" si="173"/>
        <v>12.821533333333335</v>
      </c>
      <c r="P2804" s="4" t="str">
        <f>"pis-1"</f>
        <v>pis-1</v>
      </c>
      <c r="Q2804" s="4">
        <v>12.662240796709501</v>
      </c>
      <c r="R2804" s="4">
        <v>12.507678173996799</v>
      </c>
      <c r="S2804" s="4">
        <v>12.856684625602201</v>
      </c>
      <c r="T2804" s="4">
        <f t="shared" si="174"/>
        <v>12.675534532102832</v>
      </c>
      <c r="W2804" s="4" t="str">
        <f>"cmk-1"</f>
        <v>cmk-1</v>
      </c>
      <c r="X2804" s="4">
        <v>11.7663408626315</v>
      </c>
      <c r="Y2804" s="4">
        <v>13.2989968256358</v>
      </c>
      <c r="Z2804" s="4">
        <v>12.9040374209095</v>
      </c>
      <c r="AA2804" s="4">
        <f t="shared" si="175"/>
        <v>12.656458369725598</v>
      </c>
    </row>
    <row r="2805" spans="2:27" x14ac:dyDescent="0.2">
      <c r="B2805" s="4" t="s">
        <v>2872</v>
      </c>
      <c r="C2805" s="4">
        <v>12.648099999999999</v>
      </c>
      <c r="D2805" s="4">
        <v>13.2486</v>
      </c>
      <c r="E2805" s="4">
        <v>12.835699999999999</v>
      </c>
      <c r="F2805" s="4">
        <f t="shared" si="172"/>
        <v>12.9108</v>
      </c>
      <c r="I2805" s="4" t="s">
        <v>1400</v>
      </c>
      <c r="J2805" s="4">
        <v>12.7403</v>
      </c>
      <c r="K2805" s="4">
        <v>13.152100000000001</v>
      </c>
      <c r="L2805" s="4">
        <v>12.563000000000001</v>
      </c>
      <c r="M2805" s="4">
        <f t="shared" si="173"/>
        <v>12.818466666666668</v>
      </c>
      <c r="P2805" s="4" t="str">
        <f>"plk-2"</f>
        <v>plk-2</v>
      </c>
      <c r="Q2805" s="4">
        <v>12.631363651971901</v>
      </c>
      <c r="R2805" s="4">
        <v>12.7036301709828</v>
      </c>
      <c r="S2805" s="4">
        <v>12.6878309526082</v>
      </c>
      <c r="T2805" s="4">
        <f t="shared" si="174"/>
        <v>12.674274925187634</v>
      </c>
      <c r="W2805" s="4" t="str">
        <f>"pkg-2"</f>
        <v>pkg-2</v>
      </c>
      <c r="X2805" s="4">
        <v>12.7225853890619</v>
      </c>
      <c r="Y2805" s="4">
        <v>12.7973235663881</v>
      </c>
      <c r="Z2805" s="4">
        <v>12.435735758159399</v>
      </c>
      <c r="AA2805" s="4">
        <f t="shared" si="175"/>
        <v>12.651881571203134</v>
      </c>
    </row>
    <row r="2806" spans="2:27" x14ac:dyDescent="0.2">
      <c r="B2806" s="4" t="s">
        <v>603</v>
      </c>
      <c r="C2806" s="4">
        <v>13.1661</v>
      </c>
      <c r="D2806" s="4">
        <v>12.590199999999999</v>
      </c>
      <c r="E2806" s="4">
        <v>12.9711</v>
      </c>
      <c r="F2806" s="4">
        <f t="shared" si="172"/>
        <v>12.909133333333335</v>
      </c>
      <c r="I2806" s="4" t="s">
        <v>3954</v>
      </c>
      <c r="J2806" s="4">
        <v>12.6549</v>
      </c>
      <c r="K2806" s="4">
        <v>12.7906</v>
      </c>
      <c r="L2806" s="4">
        <v>13.0052</v>
      </c>
      <c r="M2806" s="4">
        <f t="shared" si="173"/>
        <v>12.816899999999999</v>
      </c>
      <c r="P2806" s="4" t="str">
        <f>"fbxa-157"</f>
        <v>fbxa-157</v>
      </c>
      <c r="Q2806" s="4">
        <v>12.111713440503699</v>
      </c>
      <c r="R2806" s="4">
        <v>12.757421478153599</v>
      </c>
      <c r="S2806" s="4">
        <v>13.151790757072</v>
      </c>
      <c r="T2806" s="4">
        <f t="shared" si="174"/>
        <v>12.673641891909767</v>
      </c>
      <c r="W2806" s="4" t="str">
        <f>"D2005.4"</f>
        <v>D2005.4</v>
      </c>
      <c r="X2806" s="4">
        <v>12.8715379242841</v>
      </c>
      <c r="Y2806" s="4">
        <v>12.597204114857</v>
      </c>
      <c r="Z2806" s="4">
        <v>12.468238102408099</v>
      </c>
      <c r="AA2806" s="4">
        <f t="shared" si="175"/>
        <v>12.645660047183066</v>
      </c>
    </row>
    <row r="2807" spans="2:27" x14ac:dyDescent="0.2">
      <c r="B2807" s="4" t="s">
        <v>2475</v>
      </c>
      <c r="C2807" s="4">
        <v>12.7818</v>
      </c>
      <c r="D2807" s="4">
        <v>13.079499999999999</v>
      </c>
      <c r="E2807" s="4">
        <v>12.864599999999999</v>
      </c>
      <c r="F2807" s="4">
        <f t="shared" si="172"/>
        <v>12.908633333333333</v>
      </c>
      <c r="I2807" s="4" t="s">
        <v>4007</v>
      </c>
      <c r="J2807" s="4">
        <v>13.0152</v>
      </c>
      <c r="K2807" s="4">
        <v>11.9903</v>
      </c>
      <c r="L2807" s="4">
        <v>13.443099999999999</v>
      </c>
      <c r="M2807" s="4">
        <f t="shared" si="173"/>
        <v>12.8162</v>
      </c>
      <c r="P2807" s="4" t="str">
        <f>"T19C3.4"</f>
        <v>T19C3.4</v>
      </c>
      <c r="Q2807" s="4">
        <v>12.5213134110922</v>
      </c>
      <c r="R2807" s="4">
        <v>12.788496881256499</v>
      </c>
      <c r="S2807" s="4">
        <v>12.7057398782667</v>
      </c>
      <c r="T2807" s="4">
        <f t="shared" si="174"/>
        <v>12.671850056871799</v>
      </c>
      <c r="W2807" s="4" t="str">
        <f>"dnj-7"</f>
        <v>dnj-7</v>
      </c>
      <c r="X2807" s="4">
        <v>12.5761625494762</v>
      </c>
      <c r="Y2807" s="4">
        <v>12.957762659257201</v>
      </c>
      <c r="Z2807" s="4">
        <v>12.4019112373808</v>
      </c>
      <c r="AA2807" s="4">
        <f t="shared" si="175"/>
        <v>12.6452788153714</v>
      </c>
    </row>
    <row r="2808" spans="2:27" x14ac:dyDescent="0.2">
      <c r="B2808" s="4" t="s">
        <v>2710</v>
      </c>
      <c r="C2808" s="4">
        <v>12.6625</v>
      </c>
      <c r="D2808" s="4">
        <v>13.0943</v>
      </c>
      <c r="E2808" s="4">
        <v>12.9627</v>
      </c>
      <c r="F2808" s="4">
        <f t="shared" si="172"/>
        <v>12.906499999999999</v>
      </c>
      <c r="I2808" s="4" t="s">
        <v>145</v>
      </c>
      <c r="J2808" s="4">
        <v>13.003299999999999</v>
      </c>
      <c r="K2808" s="4">
        <v>12.6675</v>
      </c>
      <c r="L2808" s="4">
        <v>12.775700000000001</v>
      </c>
      <c r="M2808" s="4">
        <f t="shared" si="173"/>
        <v>12.8155</v>
      </c>
      <c r="P2808" s="4" t="str">
        <f>"Y37H9A.3"</f>
        <v>Y37H9A.3</v>
      </c>
      <c r="Q2808" s="4">
        <v>12.4825750865195</v>
      </c>
      <c r="R2808" s="4">
        <v>12.724417799300801</v>
      </c>
      <c r="S2808" s="4">
        <v>12.8085416842914</v>
      </c>
      <c r="T2808" s="4">
        <f t="shared" si="174"/>
        <v>12.671844856703899</v>
      </c>
      <c r="W2808" s="4" t="str">
        <f>"tag-340"</f>
        <v>tag-340</v>
      </c>
      <c r="X2808" s="4">
        <v>12.656775053569101</v>
      </c>
      <c r="Y2808" s="4">
        <v>13.072384426229499</v>
      </c>
      <c r="Z2808" s="4">
        <v>12.205880052282</v>
      </c>
      <c r="AA2808" s="4">
        <f t="shared" si="175"/>
        <v>12.6450131773602</v>
      </c>
    </row>
    <row r="2809" spans="2:27" x14ac:dyDescent="0.2">
      <c r="B2809" s="4" t="s">
        <v>1281</v>
      </c>
      <c r="C2809" s="4">
        <v>12.59</v>
      </c>
      <c r="D2809" s="4">
        <v>13.2995</v>
      </c>
      <c r="E2809" s="4">
        <v>12.8271</v>
      </c>
      <c r="F2809" s="4">
        <f t="shared" si="172"/>
        <v>12.905533333333333</v>
      </c>
      <c r="I2809" s="4" t="s">
        <v>1205</v>
      </c>
      <c r="J2809" s="4">
        <v>12.9909</v>
      </c>
      <c r="K2809" s="4">
        <v>12.607900000000001</v>
      </c>
      <c r="L2809" s="4">
        <v>12.8414</v>
      </c>
      <c r="M2809" s="4">
        <f t="shared" si="173"/>
        <v>12.813400000000001</v>
      </c>
      <c r="P2809" s="4" t="str">
        <f>"elo-5"</f>
        <v>elo-5</v>
      </c>
      <c r="Q2809" s="4">
        <v>11.7861135668799</v>
      </c>
      <c r="R2809" s="4">
        <v>12.5958762761987</v>
      </c>
      <c r="S2809" s="4">
        <v>13.6319931868365</v>
      </c>
      <c r="T2809" s="4">
        <f t="shared" si="174"/>
        <v>12.671327676638365</v>
      </c>
      <c r="W2809" s="4" t="str">
        <f>"endu-1"</f>
        <v>endu-1</v>
      </c>
      <c r="X2809" s="4">
        <v>12.9152213257818</v>
      </c>
      <c r="Y2809" s="4">
        <v>12.2557658856645</v>
      </c>
      <c r="Z2809" s="4">
        <v>12.7633540089102</v>
      </c>
      <c r="AA2809" s="4">
        <f t="shared" si="175"/>
        <v>12.6447804067855</v>
      </c>
    </row>
    <row r="2810" spans="2:27" x14ac:dyDescent="0.2">
      <c r="B2810" s="4" t="s">
        <v>1097</v>
      </c>
      <c r="C2810" s="4">
        <v>13.0625</v>
      </c>
      <c r="D2810" s="4">
        <v>12.4488</v>
      </c>
      <c r="E2810" s="4">
        <v>13.191599999999999</v>
      </c>
      <c r="F2810" s="4">
        <f t="shared" si="172"/>
        <v>12.900966666666667</v>
      </c>
      <c r="I2810" s="4" t="s">
        <v>4528</v>
      </c>
      <c r="J2810" s="4">
        <v>13.0686</v>
      </c>
      <c r="K2810" s="4">
        <v>12.4672</v>
      </c>
      <c r="L2810" s="4">
        <v>12.9025</v>
      </c>
      <c r="M2810" s="4">
        <f t="shared" si="173"/>
        <v>12.812766666666667</v>
      </c>
      <c r="P2810" s="4" t="str">
        <f>"Y39A1A.21"</f>
        <v>Y39A1A.21</v>
      </c>
      <c r="Q2810" s="4">
        <v>12.154833950254099</v>
      </c>
      <c r="R2810" s="4">
        <v>13.0175926084212</v>
      </c>
      <c r="S2810" s="4">
        <v>12.8318673335617</v>
      </c>
      <c r="T2810" s="4">
        <f t="shared" si="174"/>
        <v>12.668097964079001</v>
      </c>
      <c r="W2810" s="4" t="str">
        <f>"sup-36"</f>
        <v>sup-36</v>
      </c>
      <c r="X2810" s="4">
        <v>12.749058336016301</v>
      </c>
      <c r="Y2810" s="4">
        <v>12.804646316288601</v>
      </c>
      <c r="Z2810" s="4">
        <v>12.376798641891099</v>
      </c>
      <c r="AA2810" s="4">
        <f t="shared" si="175"/>
        <v>12.643501098065334</v>
      </c>
    </row>
    <row r="2811" spans="2:27" x14ac:dyDescent="0.2">
      <c r="B2811" s="4" t="s">
        <v>2928</v>
      </c>
      <c r="C2811" s="4">
        <v>12.9594</v>
      </c>
      <c r="D2811" s="4">
        <v>13.0547</v>
      </c>
      <c r="E2811" s="4">
        <v>12.651199999999999</v>
      </c>
      <c r="F2811" s="4">
        <f t="shared" si="172"/>
        <v>12.888433333333333</v>
      </c>
      <c r="I2811" s="4" t="s">
        <v>4517</v>
      </c>
      <c r="J2811" s="4">
        <v>12.629200000000001</v>
      </c>
      <c r="K2811" s="4">
        <v>12.4757</v>
      </c>
      <c r="L2811" s="4">
        <v>13.3188</v>
      </c>
      <c r="M2811" s="4">
        <f t="shared" si="173"/>
        <v>12.807899999999998</v>
      </c>
      <c r="P2811" s="4" t="str">
        <f>"fubl-4"</f>
        <v>fubl-4</v>
      </c>
      <c r="Q2811" s="4">
        <v>12.984278280527301</v>
      </c>
      <c r="R2811" s="4">
        <v>12.451882176009599</v>
      </c>
      <c r="S2811" s="4">
        <v>12.561897521188699</v>
      </c>
      <c r="T2811" s="4">
        <f t="shared" si="174"/>
        <v>12.666019325908534</v>
      </c>
      <c r="W2811" s="4" t="str">
        <f>"ZK1055.7"</f>
        <v>ZK1055.7</v>
      </c>
      <c r="X2811" s="4">
        <v>12.9287810717474</v>
      </c>
      <c r="Y2811" s="4">
        <v>12.2580931161379</v>
      </c>
      <c r="Z2811" s="4">
        <v>12.7339550109564</v>
      </c>
      <c r="AA2811" s="4">
        <f t="shared" si="175"/>
        <v>12.640276399613901</v>
      </c>
    </row>
    <row r="2812" spans="2:27" x14ac:dyDescent="0.2">
      <c r="B2812" s="4" t="s">
        <v>3466</v>
      </c>
      <c r="C2812" s="4">
        <v>12.814399999999999</v>
      </c>
      <c r="D2812" s="4">
        <v>12.8414</v>
      </c>
      <c r="E2812" s="4">
        <v>13.006500000000001</v>
      </c>
      <c r="F2812" s="4">
        <f t="shared" si="172"/>
        <v>12.887433333333334</v>
      </c>
      <c r="I2812" s="4" t="s">
        <v>3770</v>
      </c>
      <c r="J2812" s="4">
        <v>12.883800000000001</v>
      </c>
      <c r="K2812" s="4">
        <v>12.896599999999999</v>
      </c>
      <c r="L2812" s="4">
        <v>12.6425</v>
      </c>
      <c r="M2812" s="4">
        <f t="shared" si="173"/>
        <v>12.807633333333333</v>
      </c>
      <c r="P2812" s="4" t="str">
        <f>"swan-1"</f>
        <v>swan-1</v>
      </c>
      <c r="Q2812" s="4">
        <v>12.8876666142978</v>
      </c>
      <c r="R2812" s="4">
        <v>12.617441930022601</v>
      </c>
      <c r="S2812" s="4">
        <v>12.481308093003101</v>
      </c>
      <c r="T2812" s="4">
        <f t="shared" si="174"/>
        <v>12.662138879107834</v>
      </c>
      <c r="W2812" s="4" t="str">
        <f>"cyc-2.1"</f>
        <v>cyc-2.1</v>
      </c>
      <c r="X2812" s="4">
        <v>13.029216439072901</v>
      </c>
      <c r="Y2812" s="4">
        <v>12.248579364696001</v>
      </c>
      <c r="Z2812" s="4">
        <v>12.638498547133899</v>
      </c>
      <c r="AA2812" s="4">
        <f t="shared" si="175"/>
        <v>12.638764783634267</v>
      </c>
    </row>
    <row r="2813" spans="2:27" x14ac:dyDescent="0.2">
      <c r="B2813" s="4" t="s">
        <v>1060</v>
      </c>
      <c r="C2813" s="4">
        <v>12.520799999999999</v>
      </c>
      <c r="D2813" s="4">
        <v>13.153</v>
      </c>
      <c r="E2813" s="4">
        <v>12.988</v>
      </c>
      <c r="F2813" s="4">
        <f t="shared" si="172"/>
        <v>12.887266666666667</v>
      </c>
      <c r="I2813" s="4" t="s">
        <v>1458</v>
      </c>
      <c r="J2813" s="4">
        <v>12.9834</v>
      </c>
      <c r="K2813" s="4">
        <v>12.876799999999999</v>
      </c>
      <c r="L2813" s="4">
        <v>12.557399999999999</v>
      </c>
      <c r="M2813" s="4">
        <f t="shared" si="173"/>
        <v>12.805866666666667</v>
      </c>
      <c r="P2813" s="4" t="str">
        <f>"T02H6.1"</f>
        <v>T02H6.1</v>
      </c>
      <c r="Q2813" s="4">
        <v>12.573610174615499</v>
      </c>
      <c r="R2813" s="4">
        <v>12.6569035878266</v>
      </c>
      <c r="S2813" s="4">
        <v>12.7557934170019</v>
      </c>
      <c r="T2813" s="4">
        <f t="shared" si="174"/>
        <v>12.662102393147999</v>
      </c>
      <c r="W2813" s="4" t="str">
        <f>"gbas-1"</f>
        <v>gbas-1</v>
      </c>
      <c r="X2813" s="4">
        <v>12.3320893435221</v>
      </c>
      <c r="Y2813" s="4">
        <v>12.7511291030203</v>
      </c>
      <c r="Z2813" s="4">
        <v>12.8247880121774</v>
      </c>
      <c r="AA2813" s="4">
        <f t="shared" si="175"/>
        <v>12.636002152906599</v>
      </c>
    </row>
    <row r="2814" spans="2:27" x14ac:dyDescent="0.2">
      <c r="B2814" s="4" t="s">
        <v>3313</v>
      </c>
      <c r="C2814" s="4">
        <v>13.4</v>
      </c>
      <c r="D2814" s="4">
        <v>12.2813</v>
      </c>
      <c r="E2814" s="4">
        <v>12.9754</v>
      </c>
      <c r="F2814" s="4">
        <f t="shared" si="172"/>
        <v>12.885566666666668</v>
      </c>
      <c r="I2814" s="4" t="s">
        <v>1607</v>
      </c>
      <c r="J2814" s="4">
        <v>12.674899999999999</v>
      </c>
      <c r="K2814" s="4">
        <v>12.6958</v>
      </c>
      <c r="L2814" s="4">
        <v>13.038500000000001</v>
      </c>
      <c r="M2814" s="4">
        <f t="shared" si="173"/>
        <v>12.803066666666666</v>
      </c>
      <c r="P2814" s="4" t="str">
        <f>"tnt-3"</f>
        <v>tnt-3</v>
      </c>
      <c r="Q2814" s="4">
        <v>12.7106095500398</v>
      </c>
      <c r="R2814" s="4">
        <v>12.644324684955601</v>
      </c>
      <c r="S2814" s="4">
        <v>12.630180235383699</v>
      </c>
      <c r="T2814" s="4">
        <f t="shared" si="174"/>
        <v>12.661704823459701</v>
      </c>
      <c r="W2814" s="4" t="str">
        <f>"flh-1"</f>
        <v>flh-1</v>
      </c>
      <c r="X2814" s="4">
        <v>13.0300426234108</v>
      </c>
      <c r="Y2814" s="4">
        <v>12.596179303933701</v>
      </c>
      <c r="Z2814" s="4">
        <v>12.274320577697001</v>
      </c>
      <c r="AA2814" s="4">
        <f t="shared" si="175"/>
        <v>12.633514168347167</v>
      </c>
    </row>
    <row r="2815" spans="2:27" x14ac:dyDescent="0.2">
      <c r="B2815" s="4" t="s">
        <v>1148</v>
      </c>
      <c r="C2815" s="4">
        <v>12.936199999999999</v>
      </c>
      <c r="D2815" s="4">
        <v>13.202400000000001</v>
      </c>
      <c r="E2815" s="4">
        <v>12.5122</v>
      </c>
      <c r="F2815" s="4">
        <f t="shared" si="172"/>
        <v>12.883600000000001</v>
      </c>
      <c r="I2815" s="4" t="s">
        <v>4835</v>
      </c>
      <c r="J2815" s="4">
        <v>12.159599999999999</v>
      </c>
      <c r="K2815" s="4">
        <v>12.3384</v>
      </c>
      <c r="L2815" s="4">
        <v>13.9086</v>
      </c>
      <c r="M2815" s="4">
        <f t="shared" si="173"/>
        <v>12.802199999999999</v>
      </c>
      <c r="P2815" s="4" t="str">
        <f>"eat-17"</f>
        <v>eat-17</v>
      </c>
      <c r="Q2815" s="4">
        <v>12.551087658224899</v>
      </c>
      <c r="R2815" s="4">
        <v>12.8564571044482</v>
      </c>
      <c r="S2815" s="4">
        <v>12.5734833248224</v>
      </c>
      <c r="T2815" s="4">
        <f t="shared" si="174"/>
        <v>12.660342695831831</v>
      </c>
      <c r="W2815" s="4" t="str">
        <f>"cdh-12"</f>
        <v>cdh-12</v>
      </c>
      <c r="X2815" s="4">
        <v>12.852238108630001</v>
      </c>
      <c r="Y2815" s="4">
        <v>11.818081685045501</v>
      </c>
      <c r="Z2815" s="4">
        <v>13.227414153872299</v>
      </c>
      <c r="AA2815" s="4">
        <f t="shared" si="175"/>
        <v>12.632577982515935</v>
      </c>
    </row>
    <row r="2816" spans="2:27" x14ac:dyDescent="0.2">
      <c r="B2816" s="4" t="s">
        <v>2240</v>
      </c>
      <c r="C2816" s="4">
        <v>12.82</v>
      </c>
      <c r="D2816" s="4">
        <v>12.7339</v>
      </c>
      <c r="E2816" s="4">
        <v>13.0937</v>
      </c>
      <c r="F2816" s="4">
        <f t="shared" si="172"/>
        <v>12.882533333333333</v>
      </c>
      <c r="I2816" s="4" t="s">
        <v>610</v>
      </c>
      <c r="J2816" s="4">
        <v>12.9785</v>
      </c>
      <c r="K2816" s="4">
        <v>12.7867</v>
      </c>
      <c r="L2816" s="4">
        <v>12.634399999999999</v>
      </c>
      <c r="M2816" s="4">
        <f t="shared" si="173"/>
        <v>12.799866666666667</v>
      </c>
      <c r="P2816" s="4" t="str">
        <f>"C25H3.7"</f>
        <v>C25H3.7</v>
      </c>
      <c r="Q2816" s="4">
        <v>12.7782500672509</v>
      </c>
      <c r="R2816" s="4">
        <v>12.7216502225625</v>
      </c>
      <c r="S2816" s="4">
        <v>12.465812471303099</v>
      </c>
      <c r="T2816" s="4">
        <f t="shared" si="174"/>
        <v>12.655237587038833</v>
      </c>
      <c r="W2816" s="4" t="str">
        <f>"dhs-11"</f>
        <v>dhs-11</v>
      </c>
      <c r="X2816" s="4">
        <v>13.0685551650775</v>
      </c>
      <c r="Y2816" s="4">
        <v>12.283294554443</v>
      </c>
      <c r="Z2816" s="4">
        <v>12.545650403261501</v>
      </c>
      <c r="AA2816" s="4">
        <f t="shared" si="175"/>
        <v>12.632500040927335</v>
      </c>
    </row>
    <row r="2817" spans="2:27" x14ac:dyDescent="0.2">
      <c r="B2817" s="4" t="s">
        <v>1906</v>
      </c>
      <c r="C2817" s="4">
        <v>12.911</v>
      </c>
      <c r="D2817" s="4">
        <v>12.546200000000001</v>
      </c>
      <c r="E2817" s="4">
        <v>13.1769</v>
      </c>
      <c r="F2817" s="4">
        <f t="shared" si="172"/>
        <v>12.878033333333335</v>
      </c>
      <c r="I2817" s="4" t="s">
        <v>4847</v>
      </c>
      <c r="J2817" s="4">
        <v>12.4595</v>
      </c>
      <c r="K2817" s="4">
        <v>12.083500000000001</v>
      </c>
      <c r="L2817" s="4">
        <v>13.8383</v>
      </c>
      <c r="M2817" s="4">
        <f t="shared" si="173"/>
        <v>12.793766666666665</v>
      </c>
      <c r="P2817" s="4" t="str">
        <f>"acl-6"</f>
        <v>acl-6</v>
      </c>
      <c r="Q2817" s="4">
        <v>12.4169379980677</v>
      </c>
      <c r="R2817" s="4">
        <v>12.860526672128101</v>
      </c>
      <c r="S2817" s="4">
        <v>12.6838904192463</v>
      </c>
      <c r="T2817" s="4">
        <f t="shared" si="174"/>
        <v>12.653785029814033</v>
      </c>
      <c r="W2817" s="4" t="str">
        <f>"syx-5"</f>
        <v>syx-5</v>
      </c>
      <c r="X2817" s="4">
        <v>12.8275375882394</v>
      </c>
      <c r="Y2817" s="4">
        <v>12.6485899633235</v>
      </c>
      <c r="Z2817" s="4">
        <v>12.4181283602384</v>
      </c>
      <c r="AA2817" s="4">
        <f t="shared" si="175"/>
        <v>12.631418637267101</v>
      </c>
    </row>
    <row r="2818" spans="2:27" x14ac:dyDescent="0.2">
      <c r="B2818" s="4" t="s">
        <v>1514</v>
      </c>
      <c r="C2818" s="4">
        <v>12.6065</v>
      </c>
      <c r="D2818" s="4">
        <v>12.969200000000001</v>
      </c>
      <c r="E2818" s="4">
        <v>13.0372</v>
      </c>
      <c r="F2818" s="4">
        <f t="shared" ref="F2818:F2881" si="176">(C2818+D2818+E2818)/3</f>
        <v>12.870966666666668</v>
      </c>
      <c r="I2818" s="4" t="s">
        <v>3458</v>
      </c>
      <c r="J2818" s="4">
        <v>12.9861</v>
      </c>
      <c r="K2818" s="4">
        <v>12.470700000000001</v>
      </c>
      <c r="L2818" s="4">
        <v>12.9237</v>
      </c>
      <c r="M2818" s="4">
        <f t="shared" ref="M2818:M2881" si="177">(J2818+K2818+L2818)/3</f>
        <v>12.7935</v>
      </c>
      <c r="P2818" s="4" t="str">
        <f>"Y57G11C.33"</f>
        <v>Y57G11C.33</v>
      </c>
      <c r="Q2818" s="4">
        <v>12.609847639253299</v>
      </c>
      <c r="R2818" s="4">
        <v>12.633913854019699</v>
      </c>
      <c r="S2818" s="4">
        <v>12.715518860095001</v>
      </c>
      <c r="T2818" s="4">
        <f t="shared" ref="T2818:T2881" si="178">(Q2818+R2818+S2818)/3</f>
        <v>12.653093451122666</v>
      </c>
      <c r="W2818" s="4" t="str">
        <f>"daf-36"</f>
        <v>daf-36</v>
      </c>
      <c r="X2818" s="4">
        <v>12.8601646312728</v>
      </c>
      <c r="Y2818" s="4">
        <v>12.592874451900199</v>
      </c>
      <c r="Z2818" s="4">
        <v>12.4350752243289</v>
      </c>
      <c r="AA2818" s="4">
        <f t="shared" ref="AA2818:AA2881" si="179">(X2818+Y2818+Z2818)/3</f>
        <v>12.629371435833967</v>
      </c>
    </row>
    <row r="2819" spans="2:27" x14ac:dyDescent="0.2">
      <c r="B2819" s="4" t="s">
        <v>4848</v>
      </c>
      <c r="C2819" s="4">
        <v>13.0664</v>
      </c>
      <c r="D2819" s="4">
        <v>12.958500000000001</v>
      </c>
      <c r="E2819" s="4">
        <v>12.5748</v>
      </c>
      <c r="F2819" s="4">
        <f t="shared" si="176"/>
        <v>12.866566666666666</v>
      </c>
      <c r="I2819" s="4" t="s">
        <v>646</v>
      </c>
      <c r="J2819" s="4">
        <v>12.6553</v>
      </c>
      <c r="K2819" s="4">
        <v>12.947699999999999</v>
      </c>
      <c r="L2819" s="4">
        <v>12.773199999999999</v>
      </c>
      <c r="M2819" s="4">
        <f t="shared" si="177"/>
        <v>12.792066666666665</v>
      </c>
      <c r="P2819" s="4" t="str">
        <f>"lgg-3"</f>
        <v>lgg-3</v>
      </c>
      <c r="Q2819" s="4">
        <v>12.2598535142996</v>
      </c>
      <c r="R2819" s="4">
        <v>12.7813571151984</v>
      </c>
      <c r="S2819" s="4">
        <v>12.913384668532499</v>
      </c>
      <c r="T2819" s="4">
        <f t="shared" si="178"/>
        <v>12.651531766010166</v>
      </c>
      <c r="W2819" s="4" t="str">
        <f>"erv-46"</f>
        <v>erv-46</v>
      </c>
      <c r="X2819" s="4">
        <v>12.7784303729151</v>
      </c>
      <c r="Y2819" s="4">
        <v>13.0100049082049</v>
      </c>
      <c r="Z2819" s="4">
        <v>12.0974687859915</v>
      </c>
      <c r="AA2819" s="4">
        <f t="shared" si="179"/>
        <v>12.628634689037169</v>
      </c>
    </row>
    <row r="2820" spans="2:27" x14ac:dyDescent="0.2">
      <c r="B2820" s="4" t="s">
        <v>3108</v>
      </c>
      <c r="C2820" s="4">
        <v>13.0314</v>
      </c>
      <c r="D2820" s="4">
        <v>12.924899999999999</v>
      </c>
      <c r="E2820" s="4">
        <v>12.6433</v>
      </c>
      <c r="F2820" s="4">
        <f t="shared" si="176"/>
        <v>12.866533333333331</v>
      </c>
      <c r="I2820" s="4" t="s">
        <v>4808</v>
      </c>
      <c r="J2820" s="4">
        <v>12.818099999999999</v>
      </c>
      <c r="K2820" s="4">
        <v>12.7273</v>
      </c>
      <c r="L2820" s="4">
        <v>12.8263</v>
      </c>
      <c r="M2820" s="4">
        <f t="shared" si="177"/>
        <v>12.790566666666669</v>
      </c>
      <c r="P2820" s="4" t="str">
        <f>"moc-3"</f>
        <v>moc-3</v>
      </c>
      <c r="Q2820" s="4">
        <v>13.015209268476699</v>
      </c>
      <c r="R2820" s="4">
        <v>12.497278988369599</v>
      </c>
      <c r="S2820" s="4">
        <v>12.4259162747645</v>
      </c>
      <c r="T2820" s="4">
        <f t="shared" si="178"/>
        <v>12.646134843870266</v>
      </c>
      <c r="W2820" s="4" t="str">
        <f>"cest-35.1"</f>
        <v>cest-35.1</v>
      </c>
      <c r="X2820" s="4">
        <v>12.076407042201801</v>
      </c>
      <c r="Y2820" s="4">
        <v>12.676222250605701</v>
      </c>
      <c r="Z2820" s="4">
        <v>13.1294868406923</v>
      </c>
      <c r="AA2820" s="4">
        <f t="shared" si="179"/>
        <v>12.627372044499934</v>
      </c>
    </row>
    <row r="2821" spans="2:27" x14ac:dyDescent="0.2">
      <c r="B2821" s="4" t="s">
        <v>578</v>
      </c>
      <c r="C2821" s="4">
        <v>12.533200000000001</v>
      </c>
      <c r="D2821" s="4">
        <v>13.360799999999999</v>
      </c>
      <c r="E2821" s="4">
        <v>12.6966</v>
      </c>
      <c r="F2821" s="4">
        <f t="shared" si="176"/>
        <v>12.863533333333331</v>
      </c>
      <c r="I2821" s="4" t="s">
        <v>2864</v>
      </c>
      <c r="J2821" s="4">
        <v>13.132300000000001</v>
      </c>
      <c r="K2821" s="4">
        <v>12.6677</v>
      </c>
      <c r="L2821" s="4">
        <v>12.569800000000001</v>
      </c>
      <c r="M2821" s="4">
        <f t="shared" si="177"/>
        <v>12.789933333333332</v>
      </c>
      <c r="P2821" s="4" t="str">
        <f>"snr-3"</f>
        <v>snr-3</v>
      </c>
      <c r="Q2821" s="4">
        <v>12.7566198693057</v>
      </c>
      <c r="R2821" s="4">
        <v>12.7957682520925</v>
      </c>
      <c r="S2821" s="4">
        <v>12.3847275491931</v>
      </c>
      <c r="T2821" s="4">
        <f t="shared" si="178"/>
        <v>12.645705223530435</v>
      </c>
      <c r="W2821" s="4" t="str">
        <f>"cyp-37b1"</f>
        <v>cyp-37b1</v>
      </c>
      <c r="X2821" s="4">
        <v>12.6403563153489</v>
      </c>
      <c r="Y2821" s="4">
        <v>12.6032500771475</v>
      </c>
      <c r="Z2821" s="4">
        <v>12.6359693778713</v>
      </c>
      <c r="AA2821" s="4">
        <f t="shared" si="179"/>
        <v>12.626525256789234</v>
      </c>
    </row>
    <row r="2822" spans="2:27" x14ac:dyDescent="0.2">
      <c r="B2822" s="4" t="s">
        <v>4509</v>
      </c>
      <c r="C2822" s="4">
        <v>12.408799999999999</v>
      </c>
      <c r="D2822" s="4">
        <v>13.1083</v>
      </c>
      <c r="E2822" s="4">
        <v>13.0633</v>
      </c>
      <c r="F2822" s="4">
        <f t="shared" si="176"/>
        <v>12.860133333333332</v>
      </c>
      <c r="I2822" s="4" t="s">
        <v>3526</v>
      </c>
      <c r="J2822" s="4">
        <v>13.048500000000001</v>
      </c>
      <c r="K2822" s="4">
        <v>12.692399999999999</v>
      </c>
      <c r="L2822" s="4">
        <v>12.617800000000001</v>
      </c>
      <c r="M2822" s="4">
        <f t="shared" si="177"/>
        <v>12.786233333333334</v>
      </c>
      <c r="P2822" s="4" t="str">
        <f>"mrp-7"</f>
        <v>mrp-7</v>
      </c>
      <c r="Q2822" s="4">
        <v>12.1528464490769</v>
      </c>
      <c r="R2822" s="4">
        <v>12.8852709575439</v>
      </c>
      <c r="S2822" s="4">
        <v>12.8945611035267</v>
      </c>
      <c r="T2822" s="4">
        <f t="shared" si="178"/>
        <v>12.644226170049166</v>
      </c>
      <c r="W2822" s="4" t="str">
        <f>"ham-3"</f>
        <v>ham-3</v>
      </c>
      <c r="X2822" s="4">
        <v>12.7389591475249</v>
      </c>
      <c r="Y2822" s="4">
        <v>12.416341082501701</v>
      </c>
      <c r="Z2822" s="4">
        <v>12.718601185158001</v>
      </c>
      <c r="AA2822" s="4">
        <f t="shared" si="179"/>
        <v>12.624633805061535</v>
      </c>
    </row>
    <row r="2823" spans="2:27" x14ac:dyDescent="0.2">
      <c r="B2823" s="4" t="s">
        <v>248</v>
      </c>
      <c r="C2823" s="4">
        <v>12.6187</v>
      </c>
      <c r="D2823" s="4">
        <v>13.204700000000001</v>
      </c>
      <c r="E2823" s="4">
        <v>12.7438</v>
      </c>
      <c r="F2823" s="4">
        <f t="shared" si="176"/>
        <v>12.855733333333333</v>
      </c>
      <c r="I2823" s="4" t="s">
        <v>4849</v>
      </c>
      <c r="J2823" s="4">
        <v>12.893700000000001</v>
      </c>
      <c r="K2823" s="4">
        <v>12.567</v>
      </c>
      <c r="L2823" s="4">
        <v>12.8972</v>
      </c>
      <c r="M2823" s="4">
        <f t="shared" si="177"/>
        <v>12.785966666666667</v>
      </c>
      <c r="P2823" s="4" t="str">
        <f>"Y53F4B.9"</f>
        <v>Y53F4B.9</v>
      </c>
      <c r="Q2823" s="4">
        <v>12.756690547847599</v>
      </c>
      <c r="R2823" s="4">
        <v>13.064510598438</v>
      </c>
      <c r="S2823" s="4">
        <v>12.1092027079088</v>
      </c>
      <c r="T2823" s="4">
        <f t="shared" si="178"/>
        <v>12.643467951398131</v>
      </c>
      <c r="W2823" s="4" t="str">
        <f>"metl-9"</f>
        <v>metl-9</v>
      </c>
      <c r="X2823" s="4">
        <v>12.9996670749179</v>
      </c>
      <c r="Y2823" s="4">
        <v>12.2046686502919</v>
      </c>
      <c r="Z2823" s="4">
        <v>12.6619343506924</v>
      </c>
      <c r="AA2823" s="4">
        <f t="shared" si="179"/>
        <v>12.622090025300734</v>
      </c>
    </row>
    <row r="2824" spans="2:27" x14ac:dyDescent="0.2">
      <c r="B2824" s="4" t="s">
        <v>4007</v>
      </c>
      <c r="C2824" s="4">
        <v>12.7217</v>
      </c>
      <c r="D2824" s="4">
        <v>13.323700000000001</v>
      </c>
      <c r="E2824" s="4">
        <v>12.5153</v>
      </c>
      <c r="F2824" s="4">
        <f t="shared" si="176"/>
        <v>12.853566666666666</v>
      </c>
      <c r="I2824" s="4" t="s">
        <v>2397</v>
      </c>
      <c r="J2824" s="4">
        <v>12.6792</v>
      </c>
      <c r="K2824" s="4">
        <v>12.9068</v>
      </c>
      <c r="L2824" s="4">
        <v>12.747199999999999</v>
      </c>
      <c r="M2824" s="4">
        <f t="shared" si="177"/>
        <v>12.777733333333332</v>
      </c>
      <c r="P2824" s="4" t="str">
        <f>"C08E8.4"</f>
        <v>C08E8.4</v>
      </c>
      <c r="Q2824" s="4">
        <v>12.386356103490799</v>
      </c>
      <c r="R2824" s="4">
        <v>12.835807677917</v>
      </c>
      <c r="S2824" s="4">
        <v>12.7042132326609</v>
      </c>
      <c r="T2824" s="4">
        <f t="shared" si="178"/>
        <v>12.642125671356233</v>
      </c>
      <c r="W2824" s="4" t="str">
        <f>"ubr-1"</f>
        <v>ubr-1</v>
      </c>
      <c r="X2824" s="4">
        <v>13.0438253127252</v>
      </c>
      <c r="Y2824" s="4">
        <v>12.8722516403708</v>
      </c>
      <c r="Z2824" s="4">
        <v>11.9457509789816</v>
      </c>
      <c r="AA2824" s="4">
        <f t="shared" si="179"/>
        <v>12.620609310692535</v>
      </c>
    </row>
    <row r="2825" spans="2:27" x14ac:dyDescent="0.2">
      <c r="B2825" s="4" t="s">
        <v>870</v>
      </c>
      <c r="C2825" s="4">
        <v>12.7547</v>
      </c>
      <c r="D2825" s="4">
        <v>12.6326</v>
      </c>
      <c r="E2825" s="4">
        <v>13.1693</v>
      </c>
      <c r="F2825" s="4">
        <f t="shared" si="176"/>
        <v>12.852200000000002</v>
      </c>
      <c r="I2825" s="4" t="s">
        <v>2843</v>
      </c>
      <c r="J2825" s="4">
        <v>12.6104</v>
      </c>
      <c r="K2825" s="4">
        <v>12.528499999999999</v>
      </c>
      <c r="L2825" s="4">
        <v>13.1768</v>
      </c>
      <c r="M2825" s="4">
        <f t="shared" si="177"/>
        <v>12.7719</v>
      </c>
      <c r="P2825" s="4" t="str">
        <f>"glo-4"</f>
        <v>glo-4</v>
      </c>
      <c r="Q2825" s="4">
        <v>12.6983786425536</v>
      </c>
      <c r="R2825" s="4">
        <v>12.479031531075</v>
      </c>
      <c r="S2825" s="4">
        <v>12.745329385859399</v>
      </c>
      <c r="T2825" s="4">
        <f t="shared" si="178"/>
        <v>12.640913186496</v>
      </c>
      <c r="W2825" s="4" t="str">
        <f>"rskn-1"</f>
        <v>rskn-1</v>
      </c>
      <c r="X2825" s="4">
        <v>12.506215466212399</v>
      </c>
      <c r="Y2825" s="4">
        <v>12.788874101536701</v>
      </c>
      <c r="Z2825" s="4">
        <v>12.561386966597301</v>
      </c>
      <c r="AA2825" s="4">
        <f t="shared" si="179"/>
        <v>12.618825511448799</v>
      </c>
    </row>
    <row r="2826" spans="2:27" x14ac:dyDescent="0.2">
      <c r="B2826" s="4" t="s">
        <v>2397</v>
      </c>
      <c r="C2826" s="4">
        <v>12.959300000000001</v>
      </c>
      <c r="D2826" s="4">
        <v>12.653</v>
      </c>
      <c r="E2826" s="4">
        <v>12.9381</v>
      </c>
      <c r="F2826" s="4">
        <f t="shared" si="176"/>
        <v>12.850133333333334</v>
      </c>
      <c r="I2826" s="4" t="s">
        <v>1507</v>
      </c>
      <c r="J2826" s="4">
        <v>12.9422</v>
      </c>
      <c r="K2826" s="4">
        <v>12.3537</v>
      </c>
      <c r="L2826" s="4">
        <v>13.0099</v>
      </c>
      <c r="M2826" s="4">
        <f t="shared" si="177"/>
        <v>12.768599999999999</v>
      </c>
      <c r="P2826" s="4" t="str">
        <f>"acbp-5"</f>
        <v>acbp-5</v>
      </c>
      <c r="Q2826" s="4">
        <v>12.644342167768</v>
      </c>
      <c r="R2826" s="4">
        <v>12.3315113134729</v>
      </c>
      <c r="S2826" s="4">
        <v>12.945788007786099</v>
      </c>
      <c r="T2826" s="4">
        <f t="shared" si="178"/>
        <v>12.640547163008998</v>
      </c>
      <c r="W2826" s="4" t="str">
        <f>"cysl-3"</f>
        <v>cysl-3</v>
      </c>
      <c r="X2826" s="4">
        <v>12.5789417051835</v>
      </c>
      <c r="Y2826" s="4">
        <v>12.439121304553201</v>
      </c>
      <c r="Z2826" s="4">
        <v>12.8329204648599</v>
      </c>
      <c r="AA2826" s="4">
        <f t="shared" si="179"/>
        <v>12.616994491532202</v>
      </c>
    </row>
    <row r="2827" spans="2:27" x14ac:dyDescent="0.2">
      <c r="B2827" s="4" t="s">
        <v>2828</v>
      </c>
      <c r="C2827" s="4">
        <v>12.771100000000001</v>
      </c>
      <c r="D2827" s="4">
        <v>12.560499999999999</v>
      </c>
      <c r="E2827" s="4">
        <v>13.197900000000001</v>
      </c>
      <c r="F2827" s="4">
        <f t="shared" si="176"/>
        <v>12.843166666666667</v>
      </c>
      <c r="I2827" s="4" t="s">
        <v>121</v>
      </c>
      <c r="J2827" s="4">
        <v>12.728</v>
      </c>
      <c r="K2827" s="4">
        <v>12.541700000000001</v>
      </c>
      <c r="L2827" s="4">
        <v>13.010899999999999</v>
      </c>
      <c r="M2827" s="4">
        <f t="shared" si="177"/>
        <v>12.760199999999999</v>
      </c>
      <c r="P2827" s="4" t="str">
        <f>"npp-14"</f>
        <v>npp-14</v>
      </c>
      <c r="Q2827" s="4">
        <v>13.0232236585568</v>
      </c>
      <c r="R2827" s="4">
        <v>12.3055587425282</v>
      </c>
      <c r="S2827" s="4">
        <v>12.589504489506</v>
      </c>
      <c r="T2827" s="4">
        <f t="shared" si="178"/>
        <v>12.639428963530333</v>
      </c>
      <c r="W2827" s="4" t="str">
        <f>"ntl-4"</f>
        <v>ntl-4</v>
      </c>
      <c r="X2827" s="4">
        <v>12.7733225429469</v>
      </c>
      <c r="Y2827" s="4">
        <v>12.3902869111906</v>
      </c>
      <c r="Z2827" s="4">
        <v>12.685027098521299</v>
      </c>
      <c r="AA2827" s="4">
        <f t="shared" si="179"/>
        <v>12.6162121842196</v>
      </c>
    </row>
    <row r="2828" spans="2:27" x14ac:dyDescent="0.2">
      <c r="B2828" s="4" t="s">
        <v>1062</v>
      </c>
      <c r="C2828" s="4">
        <v>12.8955</v>
      </c>
      <c r="D2828" s="4">
        <v>12.871600000000001</v>
      </c>
      <c r="E2828" s="4">
        <v>12.7615</v>
      </c>
      <c r="F2828" s="4">
        <f t="shared" si="176"/>
        <v>12.842866666666666</v>
      </c>
      <c r="I2828" s="4" t="s">
        <v>4834</v>
      </c>
      <c r="J2828" s="4">
        <v>13.252800000000001</v>
      </c>
      <c r="K2828" s="4">
        <v>12.483000000000001</v>
      </c>
      <c r="L2828" s="4">
        <v>12.5372</v>
      </c>
      <c r="M2828" s="4">
        <f t="shared" si="177"/>
        <v>12.757666666666667</v>
      </c>
      <c r="P2828" s="4" t="str">
        <f>"sta-1"</f>
        <v>sta-1</v>
      </c>
      <c r="Q2828" s="4">
        <v>12.754883641569601</v>
      </c>
      <c r="R2828" s="4">
        <v>12.5103522313147</v>
      </c>
      <c r="S2828" s="4">
        <v>12.651394024140901</v>
      </c>
      <c r="T2828" s="4">
        <f t="shared" si="178"/>
        <v>12.638876632341734</v>
      </c>
      <c r="W2828" s="4" t="str">
        <f>"K07A12.1"</f>
        <v>K07A12.1</v>
      </c>
      <c r="X2828" s="4">
        <v>12.9963052366029</v>
      </c>
      <c r="Y2828" s="4">
        <v>12.2290410386228</v>
      </c>
      <c r="Z2828" s="4">
        <v>12.6209829587741</v>
      </c>
      <c r="AA2828" s="4">
        <f t="shared" si="179"/>
        <v>12.615443077999933</v>
      </c>
    </row>
    <row r="2829" spans="2:27" x14ac:dyDescent="0.2">
      <c r="B2829" s="4" t="s">
        <v>1205</v>
      </c>
      <c r="C2829" s="4">
        <v>12.443099999999999</v>
      </c>
      <c r="D2829" s="4">
        <v>13.290800000000001</v>
      </c>
      <c r="E2829" s="4">
        <v>12.791700000000001</v>
      </c>
      <c r="F2829" s="4">
        <f t="shared" si="176"/>
        <v>12.841866666666666</v>
      </c>
      <c r="I2829" s="4" t="s">
        <v>3905</v>
      </c>
      <c r="J2829" s="4">
        <v>12.904999999999999</v>
      </c>
      <c r="K2829" s="4">
        <v>12.5197</v>
      </c>
      <c r="L2829" s="4">
        <v>12.842700000000001</v>
      </c>
      <c r="M2829" s="4">
        <f t="shared" si="177"/>
        <v>12.755800000000001</v>
      </c>
      <c r="P2829" s="4" t="str">
        <f>"Y17G9B.5"</f>
        <v>Y17G9B.5</v>
      </c>
      <c r="Q2829" s="4">
        <v>12.642400808607601</v>
      </c>
      <c r="R2829" s="4">
        <v>12.654225956143399</v>
      </c>
      <c r="S2829" s="4">
        <v>12.617200707068299</v>
      </c>
      <c r="T2829" s="4">
        <f t="shared" si="178"/>
        <v>12.637942490606434</v>
      </c>
      <c r="W2829" s="4" t="str">
        <f>"tnt-3"</f>
        <v>tnt-3</v>
      </c>
      <c r="X2829" s="4">
        <v>12.522507291647001</v>
      </c>
      <c r="Y2829" s="4">
        <v>12.766420630071901</v>
      </c>
      <c r="Z2829" s="4">
        <v>12.5533298441364</v>
      </c>
      <c r="AA2829" s="4">
        <f t="shared" si="179"/>
        <v>12.614085921951768</v>
      </c>
    </row>
    <row r="2830" spans="2:27" x14ac:dyDescent="0.2">
      <c r="B2830" s="4" t="s">
        <v>3794</v>
      </c>
      <c r="C2830" s="4">
        <v>12.611599999999999</v>
      </c>
      <c r="D2830" s="4">
        <v>13.1548</v>
      </c>
      <c r="E2830" s="4">
        <v>12.7532</v>
      </c>
      <c r="F2830" s="4">
        <f t="shared" si="176"/>
        <v>12.839866666666666</v>
      </c>
      <c r="I2830" s="4" t="s">
        <v>3792</v>
      </c>
      <c r="J2830" s="4">
        <v>12.8439</v>
      </c>
      <c r="K2830" s="4">
        <v>12.9244</v>
      </c>
      <c r="L2830" s="4">
        <v>12.495200000000001</v>
      </c>
      <c r="M2830" s="4">
        <f t="shared" si="177"/>
        <v>12.7545</v>
      </c>
      <c r="P2830" s="4" t="str">
        <f>"rde-2"</f>
        <v>rde-2</v>
      </c>
      <c r="Q2830" s="4">
        <v>13.0049913096629</v>
      </c>
      <c r="R2830" s="4">
        <v>12.579545630263301</v>
      </c>
      <c r="S2830" s="4">
        <v>12.325552091053</v>
      </c>
      <c r="T2830" s="4">
        <f t="shared" si="178"/>
        <v>12.636696343659734</v>
      </c>
      <c r="W2830" s="4" t="str">
        <f>"ttll-15"</f>
        <v>ttll-15</v>
      </c>
      <c r="X2830" s="4">
        <v>12.6144406757049</v>
      </c>
      <c r="Y2830" s="4">
        <v>12.724333568876499</v>
      </c>
      <c r="Z2830" s="4">
        <v>12.498331558039499</v>
      </c>
      <c r="AA2830" s="4">
        <f t="shared" si="179"/>
        <v>12.612368600873632</v>
      </c>
    </row>
    <row r="2831" spans="2:27" x14ac:dyDescent="0.2">
      <c r="B2831" s="4" t="s">
        <v>4147</v>
      </c>
      <c r="C2831" s="4">
        <v>12.9664</v>
      </c>
      <c r="D2831" s="4">
        <v>12.4496</v>
      </c>
      <c r="E2831" s="4">
        <v>13.090299999999999</v>
      </c>
      <c r="F2831" s="4">
        <f t="shared" si="176"/>
        <v>12.835433333333333</v>
      </c>
      <c r="I2831" s="4" t="s">
        <v>2619</v>
      </c>
      <c r="J2831" s="4">
        <v>12.764699999999999</v>
      </c>
      <c r="K2831" s="4">
        <v>12.981299999999999</v>
      </c>
      <c r="L2831" s="4">
        <v>12.4948</v>
      </c>
      <c r="M2831" s="4">
        <f t="shared" si="177"/>
        <v>12.746933333333333</v>
      </c>
      <c r="P2831" s="4" t="str">
        <f>"hmgs-1"</f>
        <v>hmgs-1</v>
      </c>
      <c r="Q2831" s="4">
        <v>12.557097249236699</v>
      </c>
      <c r="R2831" s="4">
        <v>12.8231517836235</v>
      </c>
      <c r="S2831" s="4">
        <v>12.526853051579501</v>
      </c>
      <c r="T2831" s="4">
        <f t="shared" si="178"/>
        <v>12.635700694813233</v>
      </c>
      <c r="W2831" s="4" t="str">
        <f>"ZK686.3"</f>
        <v>ZK686.3</v>
      </c>
      <c r="X2831" s="4">
        <v>12.713213126844</v>
      </c>
      <c r="Y2831" s="4">
        <v>12.5524040699596</v>
      </c>
      <c r="Z2831" s="4">
        <v>12.5638412930552</v>
      </c>
      <c r="AA2831" s="4">
        <f t="shared" si="179"/>
        <v>12.6098194966196</v>
      </c>
    </row>
    <row r="2832" spans="2:27" x14ac:dyDescent="0.2">
      <c r="B2832" s="4" t="s">
        <v>804</v>
      </c>
      <c r="C2832" s="4">
        <v>12.8392</v>
      </c>
      <c r="D2832" s="4">
        <v>13.025700000000001</v>
      </c>
      <c r="E2832" s="4">
        <v>12.6332</v>
      </c>
      <c r="F2832" s="4">
        <f t="shared" si="176"/>
        <v>12.832700000000001</v>
      </c>
      <c r="I2832" s="4" t="s">
        <v>380</v>
      </c>
      <c r="J2832" s="4">
        <v>12.674200000000001</v>
      </c>
      <c r="K2832" s="4">
        <v>12.364699999999999</v>
      </c>
      <c r="L2832" s="4">
        <v>13.1869</v>
      </c>
      <c r="M2832" s="4">
        <f t="shared" si="177"/>
        <v>12.741933333333334</v>
      </c>
      <c r="P2832" s="4" t="str">
        <f>"cyp-25a3"</f>
        <v>cyp-25a3</v>
      </c>
      <c r="Q2832" s="4">
        <v>12.405824051255999</v>
      </c>
      <c r="R2832" s="4">
        <v>12.9372598684067</v>
      </c>
      <c r="S2832" s="4">
        <v>12.559859503016501</v>
      </c>
      <c r="T2832" s="4">
        <f t="shared" si="178"/>
        <v>12.6343144742264</v>
      </c>
      <c r="W2832" s="4" t="str">
        <f>"mdt-1.2"</f>
        <v>mdt-1.2</v>
      </c>
      <c r="X2832" s="4">
        <v>12.8473230359293</v>
      </c>
      <c r="Y2832" s="4">
        <v>12.1794962774227</v>
      </c>
      <c r="Z2832" s="4">
        <v>12.7984448152346</v>
      </c>
      <c r="AA2832" s="4">
        <f t="shared" si="179"/>
        <v>12.608421376195531</v>
      </c>
    </row>
    <row r="2833" spans="2:27" x14ac:dyDescent="0.2">
      <c r="B2833" s="4" t="s">
        <v>991</v>
      </c>
      <c r="C2833" s="4">
        <v>13.024800000000001</v>
      </c>
      <c r="D2833" s="4">
        <v>12.352600000000001</v>
      </c>
      <c r="E2833" s="4">
        <v>13.112500000000001</v>
      </c>
      <c r="F2833" s="4">
        <f t="shared" si="176"/>
        <v>12.829966666666669</v>
      </c>
      <c r="I2833" s="4" t="s">
        <v>2939</v>
      </c>
      <c r="J2833" s="4">
        <v>12.535399999999999</v>
      </c>
      <c r="K2833" s="4">
        <v>12.6745</v>
      </c>
      <c r="L2833" s="4">
        <v>13.011200000000001</v>
      </c>
      <c r="M2833" s="4">
        <f t="shared" si="177"/>
        <v>12.740366666666667</v>
      </c>
      <c r="P2833" s="4" t="str">
        <f>"sqst-1"</f>
        <v>sqst-1</v>
      </c>
      <c r="Q2833" s="4">
        <v>12.6628528299437</v>
      </c>
      <c r="R2833" s="4">
        <v>12.6153501805967</v>
      </c>
      <c r="S2833" s="4">
        <v>12.615188800123899</v>
      </c>
      <c r="T2833" s="4">
        <f t="shared" si="178"/>
        <v>12.631130603554766</v>
      </c>
      <c r="W2833" s="4" t="str">
        <f>"rab-21"</f>
        <v>rab-21</v>
      </c>
      <c r="X2833" s="4">
        <v>12.9356472414848</v>
      </c>
      <c r="Y2833" s="4">
        <v>12.3285330823139</v>
      </c>
      <c r="Z2833" s="4">
        <v>12.5493476383788</v>
      </c>
      <c r="AA2833" s="4">
        <f t="shared" si="179"/>
        <v>12.604509320725832</v>
      </c>
    </row>
    <row r="2834" spans="2:27" x14ac:dyDescent="0.2">
      <c r="B2834" s="4" t="s">
        <v>4850</v>
      </c>
      <c r="C2834" s="4">
        <v>12.956300000000001</v>
      </c>
      <c r="D2834" s="4">
        <v>12.9145</v>
      </c>
      <c r="E2834" s="4">
        <v>12.6044</v>
      </c>
      <c r="F2834" s="4">
        <f t="shared" si="176"/>
        <v>12.825066666666666</v>
      </c>
      <c r="I2834" s="4" t="s">
        <v>4839</v>
      </c>
      <c r="J2834" s="4">
        <v>12.5709</v>
      </c>
      <c r="K2834" s="4">
        <v>12.989800000000001</v>
      </c>
      <c r="L2834" s="4">
        <v>12.6571</v>
      </c>
      <c r="M2834" s="4">
        <f t="shared" si="177"/>
        <v>12.739266666666666</v>
      </c>
      <c r="P2834" s="4" t="str">
        <f>"ppm-1.d"</f>
        <v>ppm-1.d</v>
      </c>
      <c r="Q2834" s="4">
        <v>12.5208646218649</v>
      </c>
      <c r="R2834" s="4">
        <v>12.4245982970019</v>
      </c>
      <c r="S2834" s="4">
        <v>12.9424814612061</v>
      </c>
      <c r="T2834" s="4">
        <f t="shared" si="178"/>
        <v>12.629314793357635</v>
      </c>
      <c r="W2834" s="4" t="str">
        <f>"K09F5.6"</f>
        <v>K09F5.6</v>
      </c>
      <c r="X2834" s="4">
        <v>12.5548241850202</v>
      </c>
      <c r="Y2834" s="4">
        <v>12.6755266971333</v>
      </c>
      <c r="Z2834" s="4">
        <v>12.5766989335893</v>
      </c>
      <c r="AA2834" s="4">
        <f t="shared" si="179"/>
        <v>12.602349938580934</v>
      </c>
    </row>
    <row r="2835" spans="2:27" x14ac:dyDescent="0.2">
      <c r="B2835" s="4" t="s">
        <v>4346</v>
      </c>
      <c r="C2835" s="4">
        <v>12.5047</v>
      </c>
      <c r="D2835" s="4">
        <v>13.309900000000001</v>
      </c>
      <c r="E2835" s="4">
        <v>12.6579</v>
      </c>
      <c r="F2835" s="4">
        <f t="shared" si="176"/>
        <v>12.824166666666665</v>
      </c>
      <c r="I2835" s="4" t="s">
        <v>4473</v>
      </c>
      <c r="J2835" s="4">
        <v>12.838100000000001</v>
      </c>
      <c r="K2835" s="4">
        <v>12.6937</v>
      </c>
      <c r="L2835" s="4">
        <v>12.682</v>
      </c>
      <c r="M2835" s="4">
        <f t="shared" si="177"/>
        <v>12.737933333333332</v>
      </c>
      <c r="P2835" s="4" t="str">
        <f>"aldo-2"</f>
        <v>aldo-2</v>
      </c>
      <c r="Q2835" s="4">
        <v>11.9889071912811</v>
      </c>
      <c r="R2835" s="4">
        <v>12.868008261574801</v>
      </c>
      <c r="S2835" s="4">
        <v>13.029668384467101</v>
      </c>
      <c r="T2835" s="4">
        <f t="shared" si="178"/>
        <v>12.628861279107667</v>
      </c>
      <c r="W2835" s="4" t="str">
        <f>"unc-51"</f>
        <v>unc-51</v>
      </c>
      <c r="X2835" s="4">
        <v>12.389987502697499</v>
      </c>
      <c r="Y2835" s="4">
        <v>12.586501693713499</v>
      </c>
      <c r="Z2835" s="4">
        <v>12.8285030290122</v>
      </c>
      <c r="AA2835" s="4">
        <f t="shared" si="179"/>
        <v>12.601664075141066</v>
      </c>
    </row>
    <row r="2836" spans="2:27" x14ac:dyDescent="0.2">
      <c r="B2836" s="4" t="s">
        <v>3841</v>
      </c>
      <c r="C2836" s="4">
        <v>13.2355</v>
      </c>
      <c r="D2836" s="4">
        <v>12.167999999999999</v>
      </c>
      <c r="E2836" s="4">
        <v>13.0585</v>
      </c>
      <c r="F2836" s="4">
        <f t="shared" si="176"/>
        <v>12.820666666666668</v>
      </c>
      <c r="I2836" s="4" t="s">
        <v>845</v>
      </c>
      <c r="J2836" s="4">
        <v>12.638</v>
      </c>
      <c r="K2836" s="4">
        <v>12.8428</v>
      </c>
      <c r="L2836" s="4">
        <v>12.7187</v>
      </c>
      <c r="M2836" s="4">
        <f t="shared" si="177"/>
        <v>12.733166666666667</v>
      </c>
      <c r="P2836" s="4" t="str">
        <f>"grl-15"</f>
        <v>grl-15</v>
      </c>
      <c r="Q2836" s="4">
        <v>12.622236206666701</v>
      </c>
      <c r="R2836" s="4">
        <v>12.436081697985699</v>
      </c>
      <c r="S2836" s="4">
        <v>12.827522915781101</v>
      </c>
      <c r="T2836" s="4">
        <f t="shared" si="178"/>
        <v>12.628613606811166</v>
      </c>
      <c r="W2836" s="4" t="str">
        <f>"tes-1"</f>
        <v>tes-1</v>
      </c>
      <c r="X2836" s="4">
        <v>12.716360059260801</v>
      </c>
      <c r="Y2836" s="4">
        <v>12.6818159317947</v>
      </c>
      <c r="Z2836" s="4">
        <v>12.3894688816321</v>
      </c>
      <c r="AA2836" s="4">
        <f t="shared" si="179"/>
        <v>12.5958816242292</v>
      </c>
    </row>
    <row r="2837" spans="2:27" x14ac:dyDescent="0.2">
      <c r="B2837" s="4" t="s">
        <v>959</v>
      </c>
      <c r="C2837" s="4">
        <v>13.0967</v>
      </c>
      <c r="D2837" s="4">
        <v>12.792899999999999</v>
      </c>
      <c r="E2837" s="4">
        <v>12.557499999999999</v>
      </c>
      <c r="F2837" s="4">
        <f t="shared" si="176"/>
        <v>12.8157</v>
      </c>
      <c r="I2837" s="4" t="s">
        <v>4851</v>
      </c>
      <c r="J2837" s="4">
        <v>12.5091</v>
      </c>
      <c r="K2837" s="4">
        <v>12.684100000000001</v>
      </c>
      <c r="L2837" s="4">
        <v>12.9964</v>
      </c>
      <c r="M2837" s="4">
        <f t="shared" si="177"/>
        <v>12.729866666666666</v>
      </c>
      <c r="P2837" s="4" t="str">
        <f>"xdh-1"</f>
        <v>xdh-1</v>
      </c>
      <c r="Q2837" s="4">
        <v>12.8571558068505</v>
      </c>
      <c r="R2837" s="4">
        <v>12.6041407455076</v>
      </c>
      <c r="S2837" s="4">
        <v>12.423165884593599</v>
      </c>
      <c r="T2837" s="4">
        <f t="shared" si="178"/>
        <v>12.628154145650567</v>
      </c>
      <c r="W2837" s="4" t="str">
        <f>"anmt-3"</f>
        <v>anmt-3</v>
      </c>
      <c r="X2837" s="4">
        <v>12.2483300356754</v>
      </c>
      <c r="Y2837" s="4">
        <v>12.827913372436401</v>
      </c>
      <c r="Z2837" s="4">
        <v>12.7094796104602</v>
      </c>
      <c r="AA2837" s="4">
        <f t="shared" si="179"/>
        <v>12.595241006190667</v>
      </c>
    </row>
    <row r="2838" spans="2:27" x14ac:dyDescent="0.2">
      <c r="B2838" s="4" t="s">
        <v>2332</v>
      </c>
      <c r="C2838" s="4">
        <v>12.620100000000001</v>
      </c>
      <c r="D2838" s="4">
        <v>12.7478</v>
      </c>
      <c r="E2838" s="4">
        <v>13.0731</v>
      </c>
      <c r="F2838" s="4">
        <f t="shared" si="176"/>
        <v>12.813666666666668</v>
      </c>
      <c r="I2838" s="4" t="s">
        <v>3563</v>
      </c>
      <c r="J2838" s="4">
        <v>12.676399999999999</v>
      </c>
      <c r="K2838" s="4">
        <v>12.601699999999999</v>
      </c>
      <c r="L2838" s="4">
        <v>12.8964</v>
      </c>
      <c r="M2838" s="4">
        <f t="shared" si="177"/>
        <v>12.724833333333331</v>
      </c>
      <c r="P2838" s="4" t="str">
        <f>"C36A4.4"</f>
        <v>C36A4.4</v>
      </c>
      <c r="Q2838" s="4">
        <v>12.212150811270799</v>
      </c>
      <c r="R2838" s="4">
        <v>12.7078721496233</v>
      </c>
      <c r="S2838" s="4">
        <v>12.9640163862619</v>
      </c>
      <c r="T2838" s="4">
        <f t="shared" si="178"/>
        <v>12.628013115718668</v>
      </c>
      <c r="W2838" s="4" t="str">
        <f>"prx-1"</f>
        <v>prx-1</v>
      </c>
      <c r="X2838" s="4">
        <v>12.5019861192766</v>
      </c>
      <c r="Y2838" s="4">
        <v>12.6071475273615</v>
      </c>
      <c r="Z2838" s="4">
        <v>12.6752070611722</v>
      </c>
      <c r="AA2838" s="4">
        <f t="shared" si="179"/>
        <v>12.594780235936767</v>
      </c>
    </row>
    <row r="2839" spans="2:27" x14ac:dyDescent="0.2">
      <c r="B2839" s="4" t="s">
        <v>1747</v>
      </c>
      <c r="C2839" s="4">
        <v>12.6738</v>
      </c>
      <c r="D2839" s="4">
        <v>12.6038</v>
      </c>
      <c r="E2839" s="4">
        <v>13.1532</v>
      </c>
      <c r="F2839" s="4">
        <f t="shared" si="176"/>
        <v>12.810266666666665</v>
      </c>
      <c r="I2839" s="4" t="s">
        <v>875</v>
      </c>
      <c r="J2839" s="4">
        <v>12.7098</v>
      </c>
      <c r="K2839" s="4">
        <v>12.833</v>
      </c>
      <c r="L2839" s="4">
        <v>12.628399999999999</v>
      </c>
      <c r="M2839" s="4">
        <f t="shared" si="177"/>
        <v>12.723733333333334</v>
      </c>
      <c r="P2839" s="4" t="str">
        <f>"lea-1"</f>
        <v>lea-1</v>
      </c>
      <c r="Q2839" s="4">
        <v>13.1912098153174</v>
      </c>
      <c r="R2839" s="4">
        <v>12.4557145386136</v>
      </c>
      <c r="S2839" s="4">
        <v>12.236979697838199</v>
      </c>
      <c r="T2839" s="4">
        <f t="shared" si="178"/>
        <v>12.6279680172564</v>
      </c>
      <c r="W2839" s="4" t="str">
        <f>"rep-1"</f>
        <v>rep-1</v>
      </c>
      <c r="X2839" s="4">
        <v>14.199542098477499</v>
      </c>
      <c r="Y2839" s="4">
        <v>12.077180770787701</v>
      </c>
      <c r="Z2839" s="4">
        <v>11.506245945996101</v>
      </c>
      <c r="AA2839" s="4">
        <f t="shared" si="179"/>
        <v>12.594322938420433</v>
      </c>
    </row>
    <row r="2840" spans="2:27" x14ac:dyDescent="0.2">
      <c r="B2840" s="4" t="s">
        <v>2133</v>
      </c>
      <c r="C2840" s="4">
        <v>13.003500000000001</v>
      </c>
      <c r="D2840" s="4">
        <v>12.598100000000001</v>
      </c>
      <c r="E2840" s="4">
        <v>12.827</v>
      </c>
      <c r="F2840" s="4">
        <f t="shared" si="176"/>
        <v>12.809533333333334</v>
      </c>
      <c r="I2840" s="4" t="s">
        <v>3251</v>
      </c>
      <c r="J2840" s="4">
        <v>12.3466</v>
      </c>
      <c r="K2840" s="4">
        <v>12.709300000000001</v>
      </c>
      <c r="L2840" s="4">
        <v>13.097300000000001</v>
      </c>
      <c r="M2840" s="4">
        <f t="shared" si="177"/>
        <v>12.717733333333333</v>
      </c>
      <c r="P2840" s="4" t="str">
        <f>"ceh-92"</f>
        <v>ceh-92</v>
      </c>
      <c r="Q2840" s="4">
        <v>12.647589216166001</v>
      </c>
      <c r="R2840" s="4">
        <v>12.940823148419</v>
      </c>
      <c r="S2840" s="4">
        <v>12.295213329313899</v>
      </c>
      <c r="T2840" s="4">
        <f t="shared" si="178"/>
        <v>12.627875231299633</v>
      </c>
      <c r="W2840" s="4" t="str">
        <f>"cey-3"</f>
        <v>cey-3</v>
      </c>
      <c r="X2840" s="4">
        <v>12.7718490336022</v>
      </c>
      <c r="Y2840" s="4">
        <v>11.7833027220003</v>
      </c>
      <c r="Z2840" s="4">
        <v>13.2229808655431</v>
      </c>
      <c r="AA2840" s="4">
        <f t="shared" si="179"/>
        <v>12.5927108737152</v>
      </c>
    </row>
    <row r="2841" spans="2:27" x14ac:dyDescent="0.2">
      <c r="B2841" s="4" t="s">
        <v>4810</v>
      </c>
      <c r="C2841" s="4">
        <v>12.5741</v>
      </c>
      <c r="D2841" s="4">
        <v>12.962199999999999</v>
      </c>
      <c r="E2841" s="4">
        <v>12.886200000000001</v>
      </c>
      <c r="F2841" s="4">
        <f t="shared" si="176"/>
        <v>12.807499999999999</v>
      </c>
      <c r="I2841" s="4" t="s">
        <v>2980</v>
      </c>
      <c r="J2841" s="4">
        <v>12.632099999999999</v>
      </c>
      <c r="K2841" s="4">
        <v>12.618</v>
      </c>
      <c r="L2841" s="4">
        <v>12.9011</v>
      </c>
      <c r="M2841" s="4">
        <f t="shared" si="177"/>
        <v>12.717066666666668</v>
      </c>
      <c r="P2841" s="4" t="str">
        <f>"K01G5.5"</f>
        <v>K01G5.5</v>
      </c>
      <c r="Q2841" s="4">
        <v>12.4807847648975</v>
      </c>
      <c r="R2841" s="4">
        <v>12.6820685413559</v>
      </c>
      <c r="S2841" s="4">
        <v>12.717647761762001</v>
      </c>
      <c r="T2841" s="4">
        <f t="shared" si="178"/>
        <v>12.626833689338467</v>
      </c>
      <c r="W2841" s="4" t="str">
        <f>"fli-1"</f>
        <v>fli-1</v>
      </c>
      <c r="X2841" s="4">
        <v>12.3866048482327</v>
      </c>
      <c r="Y2841" s="4">
        <v>12.695325016698501</v>
      </c>
      <c r="Z2841" s="4">
        <v>12.695858743762599</v>
      </c>
      <c r="AA2841" s="4">
        <f t="shared" si="179"/>
        <v>12.592596202897932</v>
      </c>
    </row>
    <row r="2842" spans="2:27" x14ac:dyDescent="0.2">
      <c r="B2842" s="4" t="s">
        <v>2103</v>
      </c>
      <c r="C2842" s="4">
        <v>12.706799999999999</v>
      </c>
      <c r="D2842" s="4">
        <v>12.903</v>
      </c>
      <c r="E2842" s="4">
        <v>12.810600000000001</v>
      </c>
      <c r="F2842" s="4">
        <f t="shared" si="176"/>
        <v>12.806800000000001</v>
      </c>
      <c r="I2842" s="4" t="s">
        <v>3256</v>
      </c>
      <c r="J2842" s="4">
        <v>12.710800000000001</v>
      </c>
      <c r="K2842" s="4">
        <v>12.5633</v>
      </c>
      <c r="L2842" s="4">
        <v>12.869199999999999</v>
      </c>
      <c r="M2842" s="4">
        <f t="shared" si="177"/>
        <v>12.714433333333332</v>
      </c>
      <c r="P2842" s="4" t="str">
        <f>"aakb-1"</f>
        <v>aakb-1</v>
      </c>
      <c r="Q2842" s="4">
        <v>12.475285529902299</v>
      </c>
      <c r="R2842" s="4">
        <v>12.768928506529001</v>
      </c>
      <c r="S2842" s="4">
        <v>12.619045130661499</v>
      </c>
      <c r="T2842" s="4">
        <f t="shared" si="178"/>
        <v>12.621086389030934</v>
      </c>
      <c r="W2842" s="4" t="str">
        <f>"skpo-3"</f>
        <v>skpo-3</v>
      </c>
      <c r="X2842" s="4">
        <v>12.858458329342699</v>
      </c>
      <c r="Y2842" s="4">
        <v>12.4866945724537</v>
      </c>
      <c r="Z2842" s="4">
        <v>12.4316026260373</v>
      </c>
      <c r="AA2842" s="4">
        <f t="shared" si="179"/>
        <v>12.592251842611233</v>
      </c>
    </row>
    <row r="2843" spans="2:27" x14ac:dyDescent="0.2">
      <c r="B2843" s="4" t="s">
        <v>4787</v>
      </c>
      <c r="C2843" s="4">
        <v>12.8146</v>
      </c>
      <c r="D2843" s="4">
        <v>12.7742</v>
      </c>
      <c r="E2843" s="4">
        <v>12.827199999999999</v>
      </c>
      <c r="F2843" s="4">
        <f t="shared" si="176"/>
        <v>12.805333333333332</v>
      </c>
      <c r="I2843" s="4" t="s">
        <v>1238</v>
      </c>
      <c r="J2843" s="4">
        <v>12.5122</v>
      </c>
      <c r="K2843" s="4">
        <v>12.8317</v>
      </c>
      <c r="L2843" s="4">
        <v>12.798299999999999</v>
      </c>
      <c r="M2843" s="4">
        <f t="shared" si="177"/>
        <v>12.714066666666666</v>
      </c>
      <c r="P2843" s="4" t="str">
        <f>"slc-17.4"</f>
        <v>slc-17.4</v>
      </c>
      <c r="Q2843" s="4">
        <v>12.4865826575376</v>
      </c>
      <c r="R2843" s="4">
        <v>12.550862248771599</v>
      </c>
      <c r="S2843" s="4">
        <v>12.823310404866699</v>
      </c>
      <c r="T2843" s="4">
        <f t="shared" si="178"/>
        <v>12.620251770391965</v>
      </c>
      <c r="W2843" s="4" t="str">
        <f>"daf-18"</f>
        <v>daf-18</v>
      </c>
      <c r="X2843" s="4">
        <v>12.5621102122757</v>
      </c>
      <c r="Y2843" s="4">
        <v>12.466188242506799</v>
      </c>
      <c r="Z2843" s="4">
        <v>12.7368867973471</v>
      </c>
      <c r="AA2843" s="4">
        <f t="shared" si="179"/>
        <v>12.588395084043199</v>
      </c>
    </row>
    <row r="2844" spans="2:27" x14ac:dyDescent="0.2">
      <c r="B2844" s="4" t="s">
        <v>3608</v>
      </c>
      <c r="C2844" s="4">
        <v>12.936400000000001</v>
      </c>
      <c r="D2844" s="4">
        <v>12.5716</v>
      </c>
      <c r="E2844" s="4">
        <v>12.8985</v>
      </c>
      <c r="F2844" s="4">
        <f t="shared" si="176"/>
        <v>12.802166666666666</v>
      </c>
      <c r="I2844" s="4" t="s">
        <v>4101</v>
      </c>
      <c r="J2844" s="4">
        <v>12.2674</v>
      </c>
      <c r="K2844" s="4">
        <v>12.8422</v>
      </c>
      <c r="L2844" s="4">
        <v>13.030099999999999</v>
      </c>
      <c r="M2844" s="4">
        <f t="shared" si="177"/>
        <v>12.713233333333333</v>
      </c>
      <c r="P2844" s="4" t="str">
        <f>"rpac-19"</f>
        <v>rpac-19</v>
      </c>
      <c r="Q2844" s="4">
        <v>12.8006199166276</v>
      </c>
      <c r="R2844" s="4">
        <v>12.502260804200599</v>
      </c>
      <c r="S2844" s="4">
        <v>12.5576535102599</v>
      </c>
      <c r="T2844" s="4">
        <f t="shared" si="178"/>
        <v>12.620178077029365</v>
      </c>
      <c r="W2844" s="4" t="str">
        <f>"rde-2"</f>
        <v>rde-2</v>
      </c>
      <c r="X2844" s="4">
        <v>12.884413861041301</v>
      </c>
      <c r="Y2844" s="4">
        <v>12.453335709409499</v>
      </c>
      <c r="Z2844" s="4">
        <v>12.426525259634399</v>
      </c>
      <c r="AA2844" s="4">
        <f t="shared" si="179"/>
        <v>12.5880916100284</v>
      </c>
    </row>
    <row r="2845" spans="2:27" x14ac:dyDescent="0.2">
      <c r="B2845" s="4" t="s">
        <v>686</v>
      </c>
      <c r="C2845" s="4">
        <v>12.927099999999999</v>
      </c>
      <c r="D2845" s="4">
        <v>13.0527</v>
      </c>
      <c r="E2845" s="4">
        <v>12.422800000000001</v>
      </c>
      <c r="F2845" s="4">
        <f t="shared" si="176"/>
        <v>12.800866666666666</v>
      </c>
      <c r="I2845" s="4" t="s">
        <v>4090</v>
      </c>
      <c r="J2845" s="4">
        <v>13.1555</v>
      </c>
      <c r="K2845" s="4">
        <v>12.571899999999999</v>
      </c>
      <c r="L2845" s="4">
        <v>12.405799999999999</v>
      </c>
      <c r="M2845" s="4">
        <f t="shared" si="177"/>
        <v>12.711066666666667</v>
      </c>
      <c r="P2845" s="4" t="str">
        <f>"Y71H2AM.3"</f>
        <v>Y71H2AM.3</v>
      </c>
      <c r="Q2845" s="4">
        <v>12.969121048483499</v>
      </c>
      <c r="R2845" s="4">
        <v>12.766265479228601</v>
      </c>
      <c r="S2845" s="4">
        <v>12.1148151618832</v>
      </c>
      <c r="T2845" s="4">
        <f t="shared" si="178"/>
        <v>12.616733896531768</v>
      </c>
      <c r="W2845" s="4" t="str">
        <f>"cdc-48.3"</f>
        <v>cdc-48.3</v>
      </c>
      <c r="X2845" s="4">
        <v>12.7491856967802</v>
      </c>
      <c r="Y2845" s="4">
        <v>12.4374730266995</v>
      </c>
      <c r="Z2845" s="4">
        <v>12.5727177124368</v>
      </c>
      <c r="AA2845" s="4">
        <f t="shared" si="179"/>
        <v>12.586458811972166</v>
      </c>
    </row>
    <row r="2846" spans="2:27" x14ac:dyDescent="0.2">
      <c r="B2846" s="4" t="s">
        <v>1069</v>
      </c>
      <c r="C2846" s="4">
        <v>13.291399999999999</v>
      </c>
      <c r="D2846" s="4">
        <v>12.834199999999999</v>
      </c>
      <c r="E2846" s="4">
        <v>12.2682</v>
      </c>
      <c r="F2846" s="4">
        <f t="shared" si="176"/>
        <v>12.797933333333333</v>
      </c>
      <c r="I2846" s="4" t="s">
        <v>2462</v>
      </c>
      <c r="J2846" s="4">
        <v>12.630599999999999</v>
      </c>
      <c r="K2846" s="4">
        <v>12.5505</v>
      </c>
      <c r="L2846" s="4">
        <v>12.9483</v>
      </c>
      <c r="M2846" s="4">
        <f t="shared" si="177"/>
        <v>12.709800000000001</v>
      </c>
      <c r="P2846" s="4" t="str">
        <f>"T12G3.2"</f>
        <v>T12G3.2</v>
      </c>
      <c r="Q2846" s="4">
        <v>12.639404451072201</v>
      </c>
      <c r="R2846" s="4">
        <v>12.7001498386803</v>
      </c>
      <c r="S2846" s="4">
        <v>12.5037567876153</v>
      </c>
      <c r="T2846" s="4">
        <f t="shared" si="178"/>
        <v>12.614437025789266</v>
      </c>
      <c r="W2846" s="4" t="str">
        <f>"ymel-1"</f>
        <v>ymel-1</v>
      </c>
      <c r="X2846" s="4">
        <v>12.4135950932549</v>
      </c>
      <c r="Y2846" s="4">
        <v>12.7408398329181</v>
      </c>
      <c r="Z2846" s="4">
        <v>12.5975651184876</v>
      </c>
      <c r="AA2846" s="4">
        <f t="shared" si="179"/>
        <v>12.584000014886866</v>
      </c>
    </row>
    <row r="2847" spans="2:27" x14ac:dyDescent="0.2">
      <c r="B2847" s="4" t="s">
        <v>4852</v>
      </c>
      <c r="C2847" s="4">
        <v>12.704499999999999</v>
      </c>
      <c r="D2847" s="4">
        <v>13.0723</v>
      </c>
      <c r="E2847" s="4">
        <v>12.610900000000001</v>
      </c>
      <c r="F2847" s="4">
        <f t="shared" si="176"/>
        <v>12.795900000000001</v>
      </c>
      <c r="I2847" s="4" t="s">
        <v>4109</v>
      </c>
      <c r="J2847" s="4">
        <v>12.5045</v>
      </c>
      <c r="K2847" s="4">
        <v>12.5075</v>
      </c>
      <c r="L2847" s="4">
        <v>13.0998</v>
      </c>
      <c r="M2847" s="4">
        <f t="shared" si="177"/>
        <v>12.703933333333334</v>
      </c>
      <c r="P2847" s="4" t="str">
        <f>"saeg-2"</f>
        <v>saeg-2</v>
      </c>
      <c r="Q2847" s="4">
        <v>12.5296562442274</v>
      </c>
      <c r="R2847" s="4">
        <v>12.5313555086469</v>
      </c>
      <c r="S2847" s="4">
        <v>12.7795494093887</v>
      </c>
      <c r="T2847" s="4">
        <f t="shared" si="178"/>
        <v>12.613520387421</v>
      </c>
      <c r="W2847" s="4" t="str">
        <f>"Y39G10AR.9"</f>
        <v>Y39G10AR.9</v>
      </c>
      <c r="X2847" s="4">
        <v>12.386716596394599</v>
      </c>
      <c r="Y2847" s="4">
        <v>12.6315283318166</v>
      </c>
      <c r="Z2847" s="4">
        <v>12.7333330691919</v>
      </c>
      <c r="AA2847" s="4">
        <f t="shared" si="179"/>
        <v>12.583859332467702</v>
      </c>
    </row>
    <row r="2848" spans="2:27" x14ac:dyDescent="0.2">
      <c r="B2848" s="4" t="s">
        <v>752</v>
      </c>
      <c r="C2848" s="4">
        <v>13.2037</v>
      </c>
      <c r="D2848" s="4">
        <v>13.1325</v>
      </c>
      <c r="E2848" s="4">
        <v>12.0497</v>
      </c>
      <c r="F2848" s="4">
        <f t="shared" si="176"/>
        <v>12.795299999999999</v>
      </c>
      <c r="I2848" s="4" t="s">
        <v>4261</v>
      </c>
      <c r="J2848" s="4">
        <v>12.246700000000001</v>
      </c>
      <c r="K2848" s="4">
        <v>12.7402</v>
      </c>
      <c r="L2848" s="4">
        <v>13.1158</v>
      </c>
      <c r="M2848" s="4">
        <f t="shared" si="177"/>
        <v>12.700899999999999</v>
      </c>
      <c r="P2848" s="4" t="str">
        <f>"3E324"</f>
        <v>3E324</v>
      </c>
      <c r="Q2848" s="4">
        <v>12.5140368578578</v>
      </c>
      <c r="R2848" s="4">
        <v>12.6758281802949</v>
      </c>
      <c r="S2848" s="4">
        <v>12.646916516508</v>
      </c>
      <c r="T2848" s="4">
        <f t="shared" si="178"/>
        <v>12.612260518220234</v>
      </c>
      <c r="W2848" s="4" t="str">
        <f>"rnp-3"</f>
        <v>rnp-3</v>
      </c>
      <c r="X2848" s="4">
        <v>13.714491580635199</v>
      </c>
      <c r="Y2848" s="4">
        <v>11.6051855977787</v>
      </c>
      <c r="Z2848" s="4">
        <v>12.427522584334</v>
      </c>
      <c r="AA2848" s="4">
        <f t="shared" si="179"/>
        <v>12.582399920915966</v>
      </c>
    </row>
    <row r="2849" spans="2:27" x14ac:dyDescent="0.2">
      <c r="B2849" s="4" t="s">
        <v>1538</v>
      </c>
      <c r="C2849" s="4">
        <v>12.713800000000001</v>
      </c>
      <c r="D2849" s="4">
        <v>12.795400000000001</v>
      </c>
      <c r="E2849" s="4">
        <v>12.844200000000001</v>
      </c>
      <c r="F2849" s="4">
        <f t="shared" si="176"/>
        <v>12.784466666666667</v>
      </c>
      <c r="I2849" s="4" t="s">
        <v>1311</v>
      </c>
      <c r="J2849" s="4">
        <v>12.6051</v>
      </c>
      <c r="K2849" s="4">
        <v>12.6693</v>
      </c>
      <c r="L2849" s="4">
        <v>12.822900000000001</v>
      </c>
      <c r="M2849" s="4">
        <f t="shared" si="177"/>
        <v>12.699100000000001</v>
      </c>
      <c r="P2849" s="4" t="str">
        <f>"vha-5"</f>
        <v>vha-5</v>
      </c>
      <c r="Q2849" s="4">
        <v>12.5580461390233</v>
      </c>
      <c r="R2849" s="4">
        <v>12.4486943654236</v>
      </c>
      <c r="S2849" s="4">
        <v>12.827470638827901</v>
      </c>
      <c r="T2849" s="4">
        <f t="shared" si="178"/>
        <v>12.611403714424933</v>
      </c>
      <c r="W2849" s="4" t="str">
        <f>"vms-1"</f>
        <v>vms-1</v>
      </c>
      <c r="X2849" s="4">
        <v>12.5295206592818</v>
      </c>
      <c r="Y2849" s="4">
        <v>12.5736946805479</v>
      </c>
      <c r="Z2849" s="4">
        <v>12.6219901536188</v>
      </c>
      <c r="AA2849" s="4">
        <f t="shared" si="179"/>
        <v>12.575068497816167</v>
      </c>
    </row>
    <row r="2850" spans="2:27" x14ac:dyDescent="0.2">
      <c r="B2850" s="4" t="s">
        <v>1023</v>
      </c>
      <c r="C2850" s="4">
        <v>12.891400000000001</v>
      </c>
      <c r="D2850" s="4">
        <v>12.519399999999999</v>
      </c>
      <c r="E2850" s="4">
        <v>12.935499999999999</v>
      </c>
      <c r="F2850" s="4">
        <f t="shared" si="176"/>
        <v>12.7821</v>
      </c>
      <c r="I2850" s="4" t="s">
        <v>2884</v>
      </c>
      <c r="J2850" s="4">
        <v>12.4703</v>
      </c>
      <c r="K2850" s="4">
        <v>12.8078</v>
      </c>
      <c r="L2850" s="4">
        <v>12.819100000000001</v>
      </c>
      <c r="M2850" s="4">
        <f t="shared" si="177"/>
        <v>12.699066666666667</v>
      </c>
      <c r="P2850" s="4" t="str">
        <f>"skr-3"</f>
        <v>skr-3</v>
      </c>
      <c r="Q2850" s="4">
        <v>12.628869808679299</v>
      </c>
      <c r="R2850" s="4">
        <v>12.4988721435214</v>
      </c>
      <c r="S2850" s="4">
        <v>12.702616698534699</v>
      </c>
      <c r="T2850" s="4">
        <f t="shared" si="178"/>
        <v>12.610119550245132</v>
      </c>
      <c r="W2850" s="4" t="str">
        <f>"mdh-1"</f>
        <v>mdh-1</v>
      </c>
      <c r="X2850" s="4">
        <v>12.0253450528601</v>
      </c>
      <c r="Y2850" s="4">
        <v>12.309270664066601</v>
      </c>
      <c r="Z2850" s="4">
        <v>13.384192753703999</v>
      </c>
      <c r="AA2850" s="4">
        <f t="shared" si="179"/>
        <v>12.572936156876899</v>
      </c>
    </row>
    <row r="2851" spans="2:27" x14ac:dyDescent="0.2">
      <c r="B2851" s="4" t="s">
        <v>2987</v>
      </c>
      <c r="C2851" s="4">
        <v>12.682499999999999</v>
      </c>
      <c r="D2851" s="4">
        <v>12.6073</v>
      </c>
      <c r="E2851" s="4">
        <v>13.0541</v>
      </c>
      <c r="F2851" s="4">
        <f t="shared" si="176"/>
        <v>12.7813</v>
      </c>
      <c r="I2851" s="4" t="s">
        <v>4180</v>
      </c>
      <c r="J2851" s="4">
        <v>12.766</v>
      </c>
      <c r="K2851" s="4">
        <v>12.7417</v>
      </c>
      <c r="L2851" s="4">
        <v>12.587</v>
      </c>
      <c r="M2851" s="4">
        <f t="shared" si="177"/>
        <v>12.698233333333334</v>
      </c>
      <c r="P2851" s="4" t="str">
        <f>"vrk-1"</f>
        <v>vrk-1</v>
      </c>
      <c r="Q2851" s="4">
        <v>12.427471966271799</v>
      </c>
      <c r="R2851" s="4">
        <v>12.684579510753</v>
      </c>
      <c r="S2851" s="4">
        <v>12.7108783469941</v>
      </c>
      <c r="T2851" s="4">
        <f t="shared" si="178"/>
        <v>12.607643274672967</v>
      </c>
      <c r="W2851" s="4" t="str">
        <f>"ubh-3"</f>
        <v>ubh-3</v>
      </c>
      <c r="X2851" s="4">
        <v>12.732642506746499</v>
      </c>
      <c r="Y2851" s="4">
        <v>12.785876110254</v>
      </c>
      <c r="Z2851" s="4">
        <v>12.197521555786199</v>
      </c>
      <c r="AA2851" s="4">
        <f t="shared" si="179"/>
        <v>12.5720133909289</v>
      </c>
    </row>
    <row r="2852" spans="2:27" x14ac:dyDescent="0.2">
      <c r="B2852" s="4" t="s">
        <v>4252</v>
      </c>
      <c r="C2852" s="4">
        <v>12.9915</v>
      </c>
      <c r="D2852" s="4">
        <v>12.761200000000001</v>
      </c>
      <c r="E2852" s="4">
        <v>12.585699999999999</v>
      </c>
      <c r="F2852" s="4">
        <f t="shared" si="176"/>
        <v>12.779466666666666</v>
      </c>
      <c r="I2852" s="4" t="s">
        <v>2443</v>
      </c>
      <c r="J2852" s="4">
        <v>12.6539</v>
      </c>
      <c r="K2852" s="4">
        <v>12.482200000000001</v>
      </c>
      <c r="L2852" s="4">
        <v>12.8893</v>
      </c>
      <c r="M2852" s="4">
        <f t="shared" si="177"/>
        <v>12.675133333333333</v>
      </c>
      <c r="P2852" s="4" t="str">
        <f>"itsn-1"</f>
        <v>itsn-1</v>
      </c>
      <c r="Q2852" s="4">
        <v>12.3901848824437</v>
      </c>
      <c r="R2852" s="4">
        <v>13.322640483327</v>
      </c>
      <c r="S2852" s="4">
        <v>12.107495781110099</v>
      </c>
      <c r="T2852" s="4">
        <f t="shared" si="178"/>
        <v>12.606773715626934</v>
      </c>
      <c r="W2852" s="4" t="str">
        <f>"acox-1.2"</f>
        <v>acox-1.2</v>
      </c>
      <c r="X2852" s="4">
        <v>12.897108260900501</v>
      </c>
      <c r="Y2852" s="4">
        <v>12.5770943442289</v>
      </c>
      <c r="Z2852" s="4">
        <v>12.241473257847099</v>
      </c>
      <c r="AA2852" s="4">
        <f t="shared" si="179"/>
        <v>12.571891954325499</v>
      </c>
    </row>
    <row r="2853" spans="2:27" x14ac:dyDescent="0.2">
      <c r="B2853" s="4" t="s">
        <v>1619</v>
      </c>
      <c r="C2853" s="4">
        <v>12.645</v>
      </c>
      <c r="D2853" s="4">
        <v>12.969200000000001</v>
      </c>
      <c r="E2853" s="4">
        <v>12.7239</v>
      </c>
      <c r="F2853" s="4">
        <f t="shared" si="176"/>
        <v>12.779366666666666</v>
      </c>
      <c r="I2853" s="4" t="s">
        <v>2699</v>
      </c>
      <c r="J2853" s="4">
        <v>12.656700000000001</v>
      </c>
      <c r="K2853" s="4">
        <v>12.764699999999999</v>
      </c>
      <c r="L2853" s="4">
        <v>12.5977</v>
      </c>
      <c r="M2853" s="4">
        <f t="shared" si="177"/>
        <v>12.673033333333331</v>
      </c>
      <c r="P2853" s="4" t="str">
        <f>"mlt-2"</f>
        <v>mlt-2</v>
      </c>
      <c r="Q2853" s="4">
        <v>13.5550324375375</v>
      </c>
      <c r="R2853" s="4">
        <v>12.4637161440649</v>
      </c>
      <c r="S2853" s="4">
        <v>11.7979062064122</v>
      </c>
      <c r="T2853" s="4">
        <f t="shared" si="178"/>
        <v>12.605551596004867</v>
      </c>
      <c r="W2853" s="4" t="str">
        <f>"R31.2"</f>
        <v>R31.2</v>
      </c>
      <c r="X2853" s="4">
        <v>12.6458525735378</v>
      </c>
      <c r="Y2853" s="4">
        <v>12.481083249984099</v>
      </c>
      <c r="Z2853" s="4">
        <v>12.5836426404378</v>
      </c>
      <c r="AA2853" s="4">
        <f t="shared" si="179"/>
        <v>12.5701928213199</v>
      </c>
    </row>
    <row r="2854" spans="2:27" x14ac:dyDescent="0.2">
      <c r="B2854" s="4" t="s">
        <v>2228</v>
      </c>
      <c r="C2854" s="4">
        <v>12.7782</v>
      </c>
      <c r="D2854" s="4">
        <v>12.860799999999999</v>
      </c>
      <c r="E2854" s="4">
        <v>12.691800000000001</v>
      </c>
      <c r="F2854" s="4">
        <f t="shared" si="176"/>
        <v>12.776933333333332</v>
      </c>
      <c r="I2854" s="4" t="s">
        <v>138</v>
      </c>
      <c r="J2854" s="4">
        <v>12.721500000000001</v>
      </c>
      <c r="K2854" s="4">
        <v>12.5296</v>
      </c>
      <c r="L2854" s="4">
        <v>12.767099999999999</v>
      </c>
      <c r="M2854" s="4">
        <f t="shared" si="177"/>
        <v>12.672733333333333</v>
      </c>
      <c r="P2854" s="4" t="str">
        <f>"dpt-1"</f>
        <v>dpt-1</v>
      </c>
      <c r="Q2854" s="4">
        <v>12.526979669454899</v>
      </c>
      <c r="R2854" s="4">
        <v>12.7203809155319</v>
      </c>
      <c r="S2854" s="4">
        <v>12.568068894540801</v>
      </c>
      <c r="T2854" s="4">
        <f t="shared" si="178"/>
        <v>12.605143159842534</v>
      </c>
      <c r="W2854" s="4" t="str">
        <f>"B0432.7"</f>
        <v>B0432.7</v>
      </c>
      <c r="X2854" s="4">
        <v>12.3827424557316</v>
      </c>
      <c r="Y2854" s="4">
        <v>12.3771757616286</v>
      </c>
      <c r="Z2854" s="4">
        <v>12.9199900701008</v>
      </c>
      <c r="AA2854" s="4">
        <f t="shared" si="179"/>
        <v>12.559969429153668</v>
      </c>
    </row>
    <row r="2855" spans="2:27" x14ac:dyDescent="0.2">
      <c r="B2855" s="4" t="s">
        <v>4791</v>
      </c>
      <c r="C2855" s="4">
        <v>12.734299999999999</v>
      </c>
      <c r="D2855" s="4">
        <v>12.696400000000001</v>
      </c>
      <c r="E2855" s="4">
        <v>12.891</v>
      </c>
      <c r="F2855" s="4">
        <f t="shared" si="176"/>
        <v>12.773899999999999</v>
      </c>
      <c r="I2855" s="4" t="s">
        <v>3348</v>
      </c>
      <c r="J2855" s="4">
        <v>12.6441</v>
      </c>
      <c r="K2855" s="4">
        <v>12.6145</v>
      </c>
      <c r="L2855" s="4">
        <v>12.758599999999999</v>
      </c>
      <c r="M2855" s="4">
        <f t="shared" si="177"/>
        <v>12.672400000000001</v>
      </c>
      <c r="P2855" s="4" t="str">
        <f>"praf-3"</f>
        <v>praf-3</v>
      </c>
      <c r="Q2855" s="4">
        <v>12.1306913342834</v>
      </c>
      <c r="R2855" s="4">
        <v>12.7234354823246</v>
      </c>
      <c r="S2855" s="4">
        <v>12.959751117868599</v>
      </c>
      <c r="T2855" s="4">
        <f t="shared" si="178"/>
        <v>12.604625978158866</v>
      </c>
      <c r="W2855" s="4" t="str">
        <f>"pqn-59"</f>
        <v>pqn-59</v>
      </c>
      <c r="X2855" s="4">
        <v>12.515255370016</v>
      </c>
      <c r="Y2855" s="4">
        <v>12.804872766680999</v>
      </c>
      <c r="Z2855" s="4">
        <v>12.357292301439699</v>
      </c>
      <c r="AA2855" s="4">
        <f t="shared" si="179"/>
        <v>12.559140146045566</v>
      </c>
    </row>
    <row r="2856" spans="2:27" x14ac:dyDescent="0.2">
      <c r="B2856" s="4" t="s">
        <v>2212</v>
      </c>
      <c r="C2856" s="4">
        <v>12.881399999999999</v>
      </c>
      <c r="D2856" s="4">
        <v>12.910299999999999</v>
      </c>
      <c r="E2856" s="4">
        <v>12.5251</v>
      </c>
      <c r="F2856" s="4">
        <f t="shared" si="176"/>
        <v>12.772266666666667</v>
      </c>
      <c r="I2856" s="4" t="s">
        <v>1773</v>
      </c>
      <c r="J2856" s="4">
        <v>12.9521</v>
      </c>
      <c r="K2856" s="4">
        <v>12.607200000000001</v>
      </c>
      <c r="L2856" s="4">
        <v>12.4533</v>
      </c>
      <c r="M2856" s="4">
        <f t="shared" si="177"/>
        <v>12.670866666666667</v>
      </c>
      <c r="P2856" s="4" t="str">
        <f>"W02D9.2"</f>
        <v>W02D9.2</v>
      </c>
      <c r="Q2856" s="4">
        <v>12.3691685875784</v>
      </c>
      <c r="R2856" s="4">
        <v>12.524616572653199</v>
      </c>
      <c r="S2856" s="4">
        <v>12.9186810670688</v>
      </c>
      <c r="T2856" s="4">
        <f t="shared" si="178"/>
        <v>12.604155409100136</v>
      </c>
      <c r="W2856" s="4" t="str">
        <f>"catp-3"</f>
        <v>catp-3</v>
      </c>
      <c r="X2856" s="4">
        <v>12.7345948847322</v>
      </c>
      <c r="Y2856" s="4">
        <v>12.6316510463871</v>
      </c>
      <c r="Z2856" s="4">
        <v>12.3070279752946</v>
      </c>
      <c r="AA2856" s="4">
        <f t="shared" si="179"/>
        <v>12.557757968804635</v>
      </c>
    </row>
    <row r="2857" spans="2:27" x14ac:dyDescent="0.2">
      <c r="B2857" s="4" t="s">
        <v>2912</v>
      </c>
      <c r="C2857" s="4">
        <v>13.018599999999999</v>
      </c>
      <c r="D2857" s="4">
        <v>12.6145</v>
      </c>
      <c r="E2857" s="4">
        <v>12.683299999999999</v>
      </c>
      <c r="F2857" s="4">
        <f t="shared" si="176"/>
        <v>12.772133333333334</v>
      </c>
      <c r="I2857" s="4" t="s">
        <v>4852</v>
      </c>
      <c r="J2857" s="4">
        <v>12.729100000000001</v>
      </c>
      <c r="K2857" s="4">
        <v>12.6899</v>
      </c>
      <c r="L2857" s="4">
        <v>12.5913</v>
      </c>
      <c r="M2857" s="4">
        <f t="shared" si="177"/>
        <v>12.6701</v>
      </c>
      <c r="P2857" s="4" t="str">
        <f>"Y39G8B.1"</f>
        <v>Y39G8B.1</v>
      </c>
      <c r="Q2857" s="4">
        <v>12.1906531380458</v>
      </c>
      <c r="R2857" s="4">
        <v>12.796903913698401</v>
      </c>
      <c r="S2857" s="4">
        <v>12.8185418705855</v>
      </c>
      <c r="T2857" s="4">
        <f t="shared" si="178"/>
        <v>12.602032974109902</v>
      </c>
      <c r="W2857" s="4" t="str">
        <f>"lgg-3"</f>
        <v>lgg-3</v>
      </c>
      <c r="X2857" s="4">
        <v>12.5588820922182</v>
      </c>
      <c r="Y2857" s="4">
        <v>12.0408213237171</v>
      </c>
      <c r="Z2857" s="4">
        <v>13.073550052281</v>
      </c>
      <c r="AA2857" s="4">
        <f t="shared" si="179"/>
        <v>12.557751156072101</v>
      </c>
    </row>
    <row r="2858" spans="2:27" x14ac:dyDescent="0.2">
      <c r="B2858" s="4" t="s">
        <v>4090</v>
      </c>
      <c r="C2858" s="4">
        <v>12.9832</v>
      </c>
      <c r="D2858" s="4">
        <v>12.213200000000001</v>
      </c>
      <c r="E2858" s="4">
        <v>13.113200000000001</v>
      </c>
      <c r="F2858" s="4">
        <f t="shared" si="176"/>
        <v>12.769866666666667</v>
      </c>
      <c r="I2858" s="4" t="s">
        <v>379</v>
      </c>
      <c r="J2858" s="4">
        <v>12.623900000000001</v>
      </c>
      <c r="K2858" s="4">
        <v>12.803900000000001</v>
      </c>
      <c r="L2858" s="4">
        <v>12.571999999999999</v>
      </c>
      <c r="M2858" s="4">
        <f t="shared" si="177"/>
        <v>12.666600000000001</v>
      </c>
      <c r="P2858" s="4" t="str">
        <f>"pbrm-1"</f>
        <v>pbrm-1</v>
      </c>
      <c r="Q2858" s="4">
        <v>12.6804127181223</v>
      </c>
      <c r="R2858" s="4">
        <v>12.6251094581026</v>
      </c>
      <c r="S2858" s="4">
        <v>12.496990511790001</v>
      </c>
      <c r="T2858" s="4">
        <f t="shared" si="178"/>
        <v>12.600837562671634</v>
      </c>
      <c r="W2858" s="4" t="str">
        <f>"sptl-3"</f>
        <v>sptl-3</v>
      </c>
      <c r="X2858" s="4">
        <v>12.504590621784599</v>
      </c>
      <c r="Y2858" s="4">
        <v>12.474248268607999</v>
      </c>
      <c r="Z2858" s="4">
        <v>12.6795965121013</v>
      </c>
      <c r="AA2858" s="4">
        <f t="shared" si="179"/>
        <v>12.5528118008313</v>
      </c>
    </row>
    <row r="2859" spans="2:27" x14ac:dyDescent="0.2">
      <c r="B2859" s="4" t="s">
        <v>1912</v>
      </c>
      <c r="C2859" s="4">
        <v>12.4711</v>
      </c>
      <c r="D2859" s="4">
        <v>13.0564</v>
      </c>
      <c r="E2859" s="4">
        <v>12.7774</v>
      </c>
      <c r="F2859" s="4">
        <f t="shared" si="176"/>
        <v>12.768300000000002</v>
      </c>
      <c r="I2859" s="4" t="s">
        <v>3140</v>
      </c>
      <c r="J2859" s="4">
        <v>12.4283</v>
      </c>
      <c r="K2859" s="4">
        <v>12.656599999999999</v>
      </c>
      <c r="L2859" s="4">
        <v>12.912699999999999</v>
      </c>
      <c r="M2859" s="4">
        <f t="shared" si="177"/>
        <v>12.665866666666666</v>
      </c>
      <c r="P2859" s="4" t="str">
        <f>"nuo-6"</f>
        <v>nuo-6</v>
      </c>
      <c r="Q2859" s="4">
        <v>12.6315808236881</v>
      </c>
      <c r="R2859" s="4">
        <v>12.615253436808</v>
      </c>
      <c r="S2859" s="4">
        <v>12.5521228396209</v>
      </c>
      <c r="T2859" s="4">
        <f t="shared" si="178"/>
        <v>12.599652366705667</v>
      </c>
      <c r="W2859" s="4" t="str">
        <f>"kin-29"</f>
        <v>kin-29</v>
      </c>
      <c r="X2859" s="4">
        <v>12.550410323909899</v>
      </c>
      <c r="Y2859" s="4">
        <v>12.7596004991758</v>
      </c>
      <c r="Z2859" s="4">
        <v>12.338226399647899</v>
      </c>
      <c r="AA2859" s="4">
        <f t="shared" si="179"/>
        <v>12.549412407577867</v>
      </c>
    </row>
    <row r="2860" spans="2:27" x14ac:dyDescent="0.2">
      <c r="B2860" s="4" t="s">
        <v>178</v>
      </c>
      <c r="C2860" s="4">
        <v>12.4185</v>
      </c>
      <c r="D2860" s="4">
        <v>12.932600000000001</v>
      </c>
      <c r="E2860" s="4">
        <v>12.950900000000001</v>
      </c>
      <c r="F2860" s="4">
        <f t="shared" si="176"/>
        <v>12.767333333333335</v>
      </c>
      <c r="I2860" s="4" t="s">
        <v>482</v>
      </c>
      <c r="J2860" s="4">
        <v>12.5359</v>
      </c>
      <c r="K2860" s="4">
        <v>12.9787</v>
      </c>
      <c r="L2860" s="4">
        <v>12.4788</v>
      </c>
      <c r="M2860" s="4">
        <f t="shared" si="177"/>
        <v>12.664466666666668</v>
      </c>
      <c r="P2860" s="4" t="str">
        <f>"F56B3.11"</f>
        <v>F56B3.11</v>
      </c>
      <c r="Q2860" s="4">
        <v>12.446502282596001</v>
      </c>
      <c r="R2860" s="4">
        <v>12.714085064536301</v>
      </c>
      <c r="S2860" s="4">
        <v>12.636139283014201</v>
      </c>
      <c r="T2860" s="4">
        <f t="shared" si="178"/>
        <v>12.5989088767155</v>
      </c>
      <c r="W2860" s="4" t="str">
        <f>"cyld-1"</f>
        <v>cyld-1</v>
      </c>
      <c r="X2860" s="4">
        <v>12.424335666501401</v>
      </c>
      <c r="Y2860" s="4">
        <v>12.7227202234565</v>
      </c>
      <c r="Z2860" s="4">
        <v>12.494994058981099</v>
      </c>
      <c r="AA2860" s="4">
        <f t="shared" si="179"/>
        <v>12.547349982979668</v>
      </c>
    </row>
    <row r="2861" spans="2:27" x14ac:dyDescent="0.2">
      <c r="B2861" s="4" t="s">
        <v>646</v>
      </c>
      <c r="C2861" s="4">
        <v>12.7349</v>
      </c>
      <c r="D2861" s="4">
        <v>12.9285</v>
      </c>
      <c r="E2861" s="4">
        <v>12.5702</v>
      </c>
      <c r="F2861" s="4">
        <f t="shared" si="176"/>
        <v>12.744533333333331</v>
      </c>
      <c r="I2861" s="4" t="s">
        <v>3248</v>
      </c>
      <c r="J2861" s="4">
        <v>12.8918</v>
      </c>
      <c r="K2861" s="4">
        <v>12.5884</v>
      </c>
      <c r="L2861" s="4">
        <v>12.512700000000001</v>
      </c>
      <c r="M2861" s="4">
        <f t="shared" si="177"/>
        <v>12.664299999999999</v>
      </c>
      <c r="P2861" s="4" t="str">
        <f>"F02C12.1"</f>
        <v>F02C12.1</v>
      </c>
      <c r="Q2861" s="4">
        <v>12.4792130374901</v>
      </c>
      <c r="R2861" s="4">
        <v>12.575404909627499</v>
      </c>
      <c r="S2861" s="4">
        <v>12.7347534526037</v>
      </c>
      <c r="T2861" s="4">
        <f t="shared" si="178"/>
        <v>12.596457133240433</v>
      </c>
      <c r="W2861" s="4" t="str">
        <f>"ccnk-1"</f>
        <v>ccnk-1</v>
      </c>
      <c r="X2861" s="4">
        <v>12.968560805253199</v>
      </c>
      <c r="Y2861" s="4">
        <v>11.818548671056201</v>
      </c>
      <c r="Z2861" s="4">
        <v>12.848088282978299</v>
      </c>
      <c r="AA2861" s="4">
        <f t="shared" si="179"/>
        <v>12.545065919762566</v>
      </c>
    </row>
    <row r="2862" spans="2:27" x14ac:dyDescent="0.2">
      <c r="B2862" s="4" t="s">
        <v>2454</v>
      </c>
      <c r="C2862" s="4">
        <v>12.6547</v>
      </c>
      <c r="D2862" s="4">
        <v>12.8386</v>
      </c>
      <c r="E2862" s="4">
        <v>12.7394</v>
      </c>
      <c r="F2862" s="4">
        <f t="shared" si="176"/>
        <v>12.744233333333332</v>
      </c>
      <c r="I2862" s="4" t="s">
        <v>2824</v>
      </c>
      <c r="J2862" s="4">
        <v>12.905799999999999</v>
      </c>
      <c r="K2862" s="4">
        <v>12.4161</v>
      </c>
      <c r="L2862" s="4">
        <v>12.6685</v>
      </c>
      <c r="M2862" s="4">
        <f t="shared" si="177"/>
        <v>12.663466666666666</v>
      </c>
      <c r="P2862" s="4" t="str">
        <f>"parp-1"</f>
        <v>parp-1</v>
      </c>
      <c r="Q2862" s="4">
        <v>12.225290092438</v>
      </c>
      <c r="R2862" s="4">
        <v>12.727601243140001</v>
      </c>
      <c r="S2862" s="4">
        <v>12.822990009035401</v>
      </c>
      <c r="T2862" s="4">
        <f t="shared" si="178"/>
        <v>12.591960448204468</v>
      </c>
      <c r="W2862" s="4" t="str">
        <f>"frm-5.2"</f>
        <v>frm-5.2</v>
      </c>
      <c r="X2862" s="4">
        <v>12.5168256563088</v>
      </c>
      <c r="Y2862" s="4">
        <v>12.4284371087479</v>
      </c>
      <c r="Z2862" s="4">
        <v>12.678878870242499</v>
      </c>
      <c r="AA2862" s="4">
        <f t="shared" si="179"/>
        <v>12.541380545099733</v>
      </c>
    </row>
    <row r="2863" spans="2:27" x14ac:dyDescent="0.2">
      <c r="B2863" s="4" t="s">
        <v>2443</v>
      </c>
      <c r="C2863" s="4">
        <v>12.8504</v>
      </c>
      <c r="D2863" s="4">
        <v>12.4496</v>
      </c>
      <c r="E2863" s="4">
        <v>12.931800000000001</v>
      </c>
      <c r="F2863" s="4">
        <f t="shared" si="176"/>
        <v>12.743933333333333</v>
      </c>
      <c r="I2863" s="4" t="s">
        <v>3764</v>
      </c>
      <c r="J2863" s="4">
        <v>12.410299999999999</v>
      </c>
      <c r="K2863" s="4">
        <v>12.652799999999999</v>
      </c>
      <c r="L2863" s="4">
        <v>12.891500000000001</v>
      </c>
      <c r="M2863" s="4">
        <f t="shared" si="177"/>
        <v>12.651533333333333</v>
      </c>
      <c r="P2863" s="4" t="str">
        <f>"sir-2.1"</f>
        <v>sir-2.1</v>
      </c>
      <c r="Q2863" s="4">
        <v>12.636843549468599</v>
      </c>
      <c r="R2863" s="4">
        <v>12.743877474245799</v>
      </c>
      <c r="S2863" s="4">
        <v>12.394869245679301</v>
      </c>
      <c r="T2863" s="4">
        <f t="shared" si="178"/>
        <v>12.591863423131235</v>
      </c>
      <c r="W2863" s="4" t="str">
        <f>"fbxa-63"</f>
        <v>fbxa-63</v>
      </c>
      <c r="X2863" s="4">
        <v>12.592713040024501</v>
      </c>
      <c r="Y2863" s="4">
        <v>12.515654465581299</v>
      </c>
      <c r="Z2863" s="4">
        <v>12.514960647053799</v>
      </c>
      <c r="AA2863" s="4">
        <f t="shared" si="179"/>
        <v>12.541109384219865</v>
      </c>
    </row>
    <row r="2864" spans="2:27" x14ac:dyDescent="0.2">
      <c r="B2864" s="4" t="s">
        <v>3038</v>
      </c>
      <c r="C2864" s="4">
        <v>12.613200000000001</v>
      </c>
      <c r="D2864" s="4">
        <v>12.735300000000001</v>
      </c>
      <c r="E2864" s="4">
        <v>12.8748</v>
      </c>
      <c r="F2864" s="4">
        <f t="shared" si="176"/>
        <v>12.741100000000001</v>
      </c>
      <c r="I2864" s="4" t="s">
        <v>2225</v>
      </c>
      <c r="J2864" s="4">
        <v>12.9443</v>
      </c>
      <c r="K2864" s="4">
        <v>12.3992</v>
      </c>
      <c r="L2864" s="4">
        <v>12.5825</v>
      </c>
      <c r="M2864" s="4">
        <f t="shared" si="177"/>
        <v>12.642000000000001</v>
      </c>
      <c r="P2864" s="4" t="str">
        <f>"F35D2.1"</f>
        <v>F35D2.1</v>
      </c>
      <c r="Q2864" s="4">
        <v>12.962361116686299</v>
      </c>
      <c r="R2864" s="4">
        <v>12.082880825153801</v>
      </c>
      <c r="S2864" s="4">
        <v>12.730272614759899</v>
      </c>
      <c r="T2864" s="4">
        <f t="shared" si="178"/>
        <v>12.591838185533334</v>
      </c>
      <c r="W2864" s="4" t="str">
        <f>"mdt-4"</f>
        <v>mdt-4</v>
      </c>
      <c r="X2864" s="4">
        <v>12.7357519348687</v>
      </c>
      <c r="Y2864" s="4">
        <v>12.5695390504894</v>
      </c>
      <c r="Z2864" s="4">
        <v>12.3177789440031</v>
      </c>
      <c r="AA2864" s="4">
        <f t="shared" si="179"/>
        <v>12.541023309787066</v>
      </c>
    </row>
    <row r="2865" spans="2:27" x14ac:dyDescent="0.2">
      <c r="B2865" s="4" t="s">
        <v>566</v>
      </c>
      <c r="C2865" s="4">
        <v>12.6805</v>
      </c>
      <c r="D2865" s="4">
        <v>13.039</v>
      </c>
      <c r="E2865" s="4">
        <v>12.493499999999999</v>
      </c>
      <c r="F2865" s="4">
        <f t="shared" si="176"/>
        <v>12.737666666666668</v>
      </c>
      <c r="I2865" s="4" t="s">
        <v>1132</v>
      </c>
      <c r="J2865" s="4">
        <v>12.489800000000001</v>
      </c>
      <c r="K2865" s="4">
        <v>12.579499999999999</v>
      </c>
      <c r="L2865" s="4">
        <v>12.833299999999999</v>
      </c>
      <c r="M2865" s="4">
        <f t="shared" si="177"/>
        <v>12.6342</v>
      </c>
      <c r="P2865" s="4" t="str">
        <f>"endu-1"</f>
        <v>endu-1</v>
      </c>
      <c r="Q2865" s="4">
        <v>12.538121632802101</v>
      </c>
      <c r="R2865" s="4">
        <v>12.6549145247428</v>
      </c>
      <c r="S2865" s="4">
        <v>12.5819006797038</v>
      </c>
      <c r="T2865" s="4">
        <f t="shared" si="178"/>
        <v>12.591645612416235</v>
      </c>
      <c r="W2865" s="4" t="str">
        <f>"pgp-10"</f>
        <v>pgp-10</v>
      </c>
      <c r="X2865" s="4">
        <v>12.8517768287366</v>
      </c>
      <c r="Y2865" s="4">
        <v>12.411699587225</v>
      </c>
      <c r="Z2865" s="4">
        <v>12.352094043388</v>
      </c>
      <c r="AA2865" s="4">
        <f t="shared" si="179"/>
        <v>12.538523486449867</v>
      </c>
    </row>
    <row r="2866" spans="2:27" x14ac:dyDescent="0.2">
      <c r="B2866" s="4" t="s">
        <v>4853</v>
      </c>
      <c r="C2866" s="4">
        <v>12.5959</v>
      </c>
      <c r="D2866" s="4">
        <v>12.6447</v>
      </c>
      <c r="E2866" s="4">
        <v>12.952199999999999</v>
      </c>
      <c r="F2866" s="4">
        <f t="shared" si="176"/>
        <v>12.730933333333333</v>
      </c>
      <c r="I2866" s="4" t="s">
        <v>1754</v>
      </c>
      <c r="J2866" s="4">
        <v>12.5967</v>
      </c>
      <c r="K2866" s="4">
        <v>12.734400000000001</v>
      </c>
      <c r="L2866" s="4">
        <v>12.5037</v>
      </c>
      <c r="M2866" s="4">
        <f t="shared" si="177"/>
        <v>12.611600000000001</v>
      </c>
      <c r="P2866" s="4" t="str">
        <f>"mdt-17"</f>
        <v>mdt-17</v>
      </c>
      <c r="Q2866" s="4">
        <v>12.5245656052928</v>
      </c>
      <c r="R2866" s="4">
        <v>12.7838850197748</v>
      </c>
      <c r="S2866" s="4">
        <v>12.4612094447165</v>
      </c>
      <c r="T2866" s="4">
        <f t="shared" si="178"/>
        <v>12.589886689928035</v>
      </c>
      <c r="W2866" s="4" t="str">
        <f>"algn-1"</f>
        <v>algn-1</v>
      </c>
      <c r="X2866" s="4">
        <v>12.775018204615</v>
      </c>
      <c r="Y2866" s="4">
        <v>12.4107398070767</v>
      </c>
      <c r="Z2866" s="4">
        <v>12.428201892314</v>
      </c>
      <c r="AA2866" s="4">
        <f t="shared" si="179"/>
        <v>12.537986634668565</v>
      </c>
    </row>
    <row r="2867" spans="2:27" x14ac:dyDescent="0.2">
      <c r="B2867" s="4" t="s">
        <v>2906</v>
      </c>
      <c r="C2867" s="4">
        <v>12.700200000000001</v>
      </c>
      <c r="D2867" s="4">
        <v>13.001300000000001</v>
      </c>
      <c r="E2867" s="4">
        <v>12.478899999999999</v>
      </c>
      <c r="F2867" s="4">
        <f t="shared" si="176"/>
        <v>12.726800000000003</v>
      </c>
      <c r="I2867" s="4" t="s">
        <v>3898</v>
      </c>
      <c r="J2867" s="4">
        <v>12.579800000000001</v>
      </c>
      <c r="K2867" s="4">
        <v>12.392200000000001</v>
      </c>
      <c r="L2867" s="4">
        <v>12.8568</v>
      </c>
      <c r="M2867" s="4">
        <f t="shared" si="177"/>
        <v>12.6096</v>
      </c>
      <c r="P2867" s="4" t="str">
        <f>"ifd-1"</f>
        <v>ifd-1</v>
      </c>
      <c r="Q2867" s="4">
        <v>12.817496934747</v>
      </c>
      <c r="R2867" s="4">
        <v>12.154714168863</v>
      </c>
      <c r="S2867" s="4">
        <v>12.789105390936699</v>
      </c>
      <c r="T2867" s="4">
        <f t="shared" si="178"/>
        <v>12.587105498182233</v>
      </c>
      <c r="W2867" s="24" t="str">
        <f>"mlt-3"</f>
        <v>mlt-3</v>
      </c>
      <c r="X2867" s="24">
        <v>12.488884711015899</v>
      </c>
      <c r="Y2867" s="24">
        <v>12.0755068674003</v>
      </c>
      <c r="Z2867" s="24">
        <v>13.0475688864736</v>
      </c>
      <c r="AA2867" s="4">
        <f t="shared" si="179"/>
        <v>12.537320154963266</v>
      </c>
    </row>
    <row r="2868" spans="2:27" x14ac:dyDescent="0.2">
      <c r="B2868" s="4" t="s">
        <v>4336</v>
      </c>
      <c r="C2868" s="4">
        <v>13.229200000000001</v>
      </c>
      <c r="D2868" s="4">
        <v>12.4217</v>
      </c>
      <c r="E2868" s="4">
        <v>12.508800000000001</v>
      </c>
      <c r="F2868" s="4">
        <f t="shared" si="176"/>
        <v>12.719900000000001</v>
      </c>
      <c r="I2868" s="4" t="s">
        <v>3298</v>
      </c>
      <c r="J2868" s="4">
        <v>12.704700000000001</v>
      </c>
      <c r="K2868" s="4">
        <v>12.5832</v>
      </c>
      <c r="L2868" s="4">
        <v>12.5383</v>
      </c>
      <c r="M2868" s="4">
        <f t="shared" si="177"/>
        <v>12.608733333333333</v>
      </c>
      <c r="P2868" s="4" t="str">
        <f>"jac-1"</f>
        <v>jac-1</v>
      </c>
      <c r="Q2868" s="4">
        <v>12.461800594593599</v>
      </c>
      <c r="R2868" s="4">
        <v>12.8346565233339</v>
      </c>
      <c r="S2868" s="4">
        <v>12.4628934601702</v>
      </c>
      <c r="T2868" s="4">
        <f t="shared" si="178"/>
        <v>12.586450192699232</v>
      </c>
      <c r="W2868" s="4" t="str">
        <f>"elpc-3"</f>
        <v>elpc-3</v>
      </c>
      <c r="X2868" s="4">
        <v>12.6747203922924</v>
      </c>
      <c r="Y2868" s="4">
        <v>12.552817807248299</v>
      </c>
      <c r="Z2868" s="4">
        <v>12.3833371282351</v>
      </c>
      <c r="AA2868" s="4">
        <f t="shared" si="179"/>
        <v>12.536958442591933</v>
      </c>
    </row>
    <row r="2869" spans="2:27" x14ac:dyDescent="0.2">
      <c r="B2869" s="4" t="s">
        <v>3256</v>
      </c>
      <c r="C2869" s="4">
        <v>12.5746</v>
      </c>
      <c r="D2869" s="4">
        <v>12.919600000000001</v>
      </c>
      <c r="E2869" s="4">
        <v>12.6586</v>
      </c>
      <c r="F2869" s="4">
        <f t="shared" si="176"/>
        <v>12.717599999999999</v>
      </c>
      <c r="I2869" s="4" t="s">
        <v>4195</v>
      </c>
      <c r="J2869" s="4">
        <v>12.3973</v>
      </c>
      <c r="K2869" s="4">
        <v>12.740600000000001</v>
      </c>
      <c r="L2869" s="4">
        <v>12.668200000000001</v>
      </c>
      <c r="M2869" s="4">
        <f t="shared" si="177"/>
        <v>12.602033333333333</v>
      </c>
      <c r="P2869" s="4" t="str">
        <f>"prhg-1"</f>
        <v>prhg-1</v>
      </c>
      <c r="Q2869" s="4">
        <v>12.716407805232301</v>
      </c>
      <c r="R2869" s="4">
        <v>12.607830049103899</v>
      </c>
      <c r="S2869" s="4">
        <v>12.433383234966</v>
      </c>
      <c r="T2869" s="4">
        <f t="shared" si="178"/>
        <v>12.585873696434065</v>
      </c>
      <c r="W2869" s="4" t="str">
        <f>"glo-4"</f>
        <v>glo-4</v>
      </c>
      <c r="X2869" s="4">
        <v>12.491899262673799</v>
      </c>
      <c r="Y2869" s="4">
        <v>12.52126346122</v>
      </c>
      <c r="Z2869" s="4">
        <v>12.5925461027922</v>
      </c>
      <c r="AA2869" s="4">
        <f t="shared" si="179"/>
        <v>12.535236275561999</v>
      </c>
    </row>
    <row r="2870" spans="2:27" x14ac:dyDescent="0.2">
      <c r="B2870" s="4" t="s">
        <v>2705</v>
      </c>
      <c r="C2870" s="4">
        <v>12.646599999999999</v>
      </c>
      <c r="D2870" s="4">
        <v>12.4659</v>
      </c>
      <c r="E2870" s="4">
        <v>13.0373</v>
      </c>
      <c r="F2870" s="4">
        <f t="shared" si="176"/>
        <v>12.7166</v>
      </c>
      <c r="I2870" s="4" t="s">
        <v>4854</v>
      </c>
      <c r="J2870" s="4">
        <v>12.459300000000001</v>
      </c>
      <c r="K2870" s="4">
        <v>12.6226</v>
      </c>
      <c r="L2870" s="4">
        <v>12.7216</v>
      </c>
      <c r="M2870" s="4">
        <f t="shared" si="177"/>
        <v>12.601166666666666</v>
      </c>
      <c r="P2870" s="4" t="str">
        <f>"Y67D8A.2"</f>
        <v>Y67D8A.2</v>
      </c>
      <c r="Q2870" s="4">
        <v>12.713373598340899</v>
      </c>
      <c r="R2870" s="4">
        <v>12.494528013615</v>
      </c>
      <c r="S2870" s="4">
        <v>12.539344842698201</v>
      </c>
      <c r="T2870" s="4">
        <f t="shared" si="178"/>
        <v>12.582415484884699</v>
      </c>
      <c r="W2870" s="4" t="str">
        <f>"hgo-1"</f>
        <v>hgo-1</v>
      </c>
      <c r="X2870" s="4">
        <v>12.5043134296749</v>
      </c>
      <c r="Y2870" s="4">
        <v>12.3014995339711</v>
      </c>
      <c r="Z2870" s="4">
        <v>12.797385527421101</v>
      </c>
      <c r="AA2870" s="4">
        <f t="shared" si="179"/>
        <v>12.534399497022365</v>
      </c>
    </row>
    <row r="2871" spans="2:27" x14ac:dyDescent="0.2">
      <c r="B2871" s="4" t="s">
        <v>1754</v>
      </c>
      <c r="C2871" s="4">
        <v>12.746499999999999</v>
      </c>
      <c r="D2871" s="4">
        <v>12.4712</v>
      </c>
      <c r="E2871" s="4">
        <v>12.9285</v>
      </c>
      <c r="F2871" s="4">
        <f t="shared" si="176"/>
        <v>12.715400000000001</v>
      </c>
      <c r="I2871" s="4" t="s">
        <v>13</v>
      </c>
      <c r="J2871" s="4">
        <v>12.397399999999999</v>
      </c>
      <c r="K2871" s="4">
        <v>12.2644</v>
      </c>
      <c r="L2871" s="4">
        <v>13.1107</v>
      </c>
      <c r="M2871" s="4">
        <f t="shared" si="177"/>
        <v>12.590833333333334</v>
      </c>
      <c r="P2871" s="4" t="str">
        <f>"Y19D2B.1"</f>
        <v>Y19D2B.1</v>
      </c>
      <c r="Q2871" s="4">
        <v>12.5916102644173</v>
      </c>
      <c r="R2871" s="4">
        <v>12.5587172981244</v>
      </c>
      <c r="S2871" s="4">
        <v>12.5968786700099</v>
      </c>
      <c r="T2871" s="4">
        <f t="shared" si="178"/>
        <v>12.5824020775172</v>
      </c>
      <c r="W2871" s="4" t="str">
        <f>"pole-1"</f>
        <v>pole-1</v>
      </c>
      <c r="X2871" s="4">
        <v>12.714501133427</v>
      </c>
      <c r="Y2871" s="4">
        <v>12.612175152719599</v>
      </c>
      <c r="Z2871" s="4">
        <v>12.275065958939001</v>
      </c>
      <c r="AA2871" s="4">
        <f t="shared" si="179"/>
        <v>12.533914081695201</v>
      </c>
    </row>
    <row r="2872" spans="2:27" x14ac:dyDescent="0.2">
      <c r="B2872" s="4" t="s">
        <v>4855</v>
      </c>
      <c r="C2872" s="4">
        <v>13.469900000000001</v>
      </c>
      <c r="D2872" s="4">
        <v>12.621</v>
      </c>
      <c r="E2872" s="4">
        <v>12.047800000000001</v>
      </c>
      <c r="F2872" s="4">
        <f t="shared" si="176"/>
        <v>12.712899999999999</v>
      </c>
      <c r="I2872" s="4" t="s">
        <v>992</v>
      </c>
      <c r="J2872" s="4">
        <v>12.099500000000001</v>
      </c>
      <c r="K2872" s="4">
        <v>12.9963</v>
      </c>
      <c r="L2872" s="4">
        <v>12.664899999999999</v>
      </c>
      <c r="M2872" s="4">
        <f t="shared" si="177"/>
        <v>12.5869</v>
      </c>
      <c r="P2872" s="4" t="str">
        <f>"rgl-1"</f>
        <v>rgl-1</v>
      </c>
      <c r="Q2872" s="4">
        <v>12.4014891058379</v>
      </c>
      <c r="R2872" s="4">
        <v>12.900936239540901</v>
      </c>
      <c r="S2872" s="4">
        <v>12.442377004224101</v>
      </c>
      <c r="T2872" s="4">
        <f t="shared" si="178"/>
        <v>12.581600783200967</v>
      </c>
      <c r="W2872" s="4" t="str">
        <f>"cdf-1"</f>
        <v>cdf-1</v>
      </c>
      <c r="X2872" s="4">
        <v>12.8051777505252</v>
      </c>
      <c r="Y2872" s="4">
        <v>12.770867585832001</v>
      </c>
      <c r="Z2872" s="4">
        <v>12.0224564240324</v>
      </c>
      <c r="AA2872" s="4">
        <f t="shared" si="179"/>
        <v>12.532833920129868</v>
      </c>
    </row>
    <row r="2873" spans="2:27" x14ac:dyDescent="0.2">
      <c r="B2873" s="4" t="s">
        <v>4856</v>
      </c>
      <c r="C2873" s="4">
        <v>12.770899999999999</v>
      </c>
      <c r="D2873" s="4">
        <v>12.7746</v>
      </c>
      <c r="E2873" s="4">
        <v>12.5846</v>
      </c>
      <c r="F2873" s="4">
        <f t="shared" si="176"/>
        <v>12.710033333333334</v>
      </c>
      <c r="I2873" s="4" t="s">
        <v>2738</v>
      </c>
      <c r="J2873" s="4">
        <v>12.3216</v>
      </c>
      <c r="K2873" s="4">
        <v>12.442500000000001</v>
      </c>
      <c r="L2873" s="4">
        <v>12.9918</v>
      </c>
      <c r="M2873" s="4">
        <f t="shared" si="177"/>
        <v>12.585299999999998</v>
      </c>
      <c r="P2873" s="4" t="str">
        <f>"F33A8.4"</f>
        <v>F33A8.4</v>
      </c>
      <c r="Q2873" s="4">
        <v>12.699271194557401</v>
      </c>
      <c r="R2873" s="4">
        <v>12.81925978676</v>
      </c>
      <c r="S2873" s="4">
        <v>12.2166648689604</v>
      </c>
      <c r="T2873" s="4">
        <f t="shared" si="178"/>
        <v>12.578398616759268</v>
      </c>
      <c r="W2873" s="4" t="str">
        <f>"ZK1127.4"</f>
        <v>ZK1127.4</v>
      </c>
      <c r="X2873" s="4">
        <v>12.9663393924282</v>
      </c>
      <c r="Y2873" s="4">
        <v>12.570342553722901</v>
      </c>
      <c r="Z2873" s="4">
        <v>12.0617555309213</v>
      </c>
      <c r="AA2873" s="4">
        <f t="shared" si="179"/>
        <v>12.532812492357465</v>
      </c>
    </row>
    <row r="2874" spans="2:27" x14ac:dyDescent="0.2">
      <c r="B2874" s="4" t="s">
        <v>3710</v>
      </c>
      <c r="C2874" s="4">
        <v>12.2951</v>
      </c>
      <c r="D2874" s="4">
        <v>13.0006</v>
      </c>
      <c r="E2874" s="4">
        <v>12.8278</v>
      </c>
      <c r="F2874" s="4">
        <f t="shared" si="176"/>
        <v>12.707833333333333</v>
      </c>
      <c r="I2874" s="4" t="s">
        <v>2688</v>
      </c>
      <c r="J2874" s="4">
        <v>12.314</v>
      </c>
      <c r="K2874" s="4">
        <v>12.596500000000001</v>
      </c>
      <c r="L2874" s="4">
        <v>12.844900000000001</v>
      </c>
      <c r="M2874" s="4">
        <f t="shared" si="177"/>
        <v>12.585133333333333</v>
      </c>
      <c r="P2874" s="4" t="str">
        <f>"hpo-15"</f>
        <v>hpo-15</v>
      </c>
      <c r="Q2874" s="4">
        <v>12.4376328773956</v>
      </c>
      <c r="R2874" s="4">
        <v>12.5582668924516</v>
      </c>
      <c r="S2874" s="4">
        <v>12.738297035293799</v>
      </c>
      <c r="T2874" s="4">
        <f t="shared" si="178"/>
        <v>12.578065601713666</v>
      </c>
      <c r="W2874" s="4" t="str">
        <f>"png-1"</f>
        <v>png-1</v>
      </c>
      <c r="X2874" s="4">
        <v>12.7479391878062</v>
      </c>
      <c r="Y2874" s="4">
        <v>12.539858121987001</v>
      </c>
      <c r="Z2874" s="4">
        <v>12.302360204727499</v>
      </c>
      <c r="AA2874" s="4">
        <f t="shared" si="179"/>
        <v>12.530052504840233</v>
      </c>
    </row>
    <row r="2875" spans="2:27" x14ac:dyDescent="0.2">
      <c r="B2875" s="4" t="s">
        <v>4195</v>
      </c>
      <c r="C2875" s="4">
        <v>12.8521</v>
      </c>
      <c r="D2875" s="4">
        <v>12.748900000000001</v>
      </c>
      <c r="E2875" s="4">
        <v>12.5168</v>
      </c>
      <c r="F2875" s="4">
        <f t="shared" si="176"/>
        <v>12.705933333333334</v>
      </c>
      <c r="I2875" s="4" t="s">
        <v>2991</v>
      </c>
      <c r="J2875" s="4">
        <v>12.2546</v>
      </c>
      <c r="K2875" s="4">
        <v>12.687200000000001</v>
      </c>
      <c r="L2875" s="4">
        <v>12.792999999999999</v>
      </c>
      <c r="M2875" s="4">
        <f t="shared" si="177"/>
        <v>12.578266666666666</v>
      </c>
      <c r="P2875" s="4" t="str">
        <f>"C30G12.2"</f>
        <v>C30G12.2</v>
      </c>
      <c r="Q2875" s="4">
        <v>12.2889095456842</v>
      </c>
      <c r="R2875" s="4">
        <v>12.7030184459423</v>
      </c>
      <c r="S2875" s="4">
        <v>12.7362075844957</v>
      </c>
      <c r="T2875" s="4">
        <f t="shared" si="178"/>
        <v>12.576045192040732</v>
      </c>
      <c r="W2875" s="4" t="str">
        <f>"lin-38"</f>
        <v>lin-38</v>
      </c>
      <c r="X2875" s="4">
        <v>12.238038465112201</v>
      </c>
      <c r="Y2875" s="4">
        <v>12.8065773211239</v>
      </c>
      <c r="Z2875" s="4">
        <v>12.536412384957901</v>
      </c>
      <c r="AA2875" s="4">
        <f t="shared" si="179"/>
        <v>12.527009390398</v>
      </c>
    </row>
    <row r="2876" spans="2:27" x14ac:dyDescent="0.2">
      <c r="B2876" s="4" t="s">
        <v>135</v>
      </c>
      <c r="C2876" s="4">
        <v>13.343400000000001</v>
      </c>
      <c r="D2876" s="4">
        <v>12.632099999999999</v>
      </c>
      <c r="E2876" s="4">
        <v>12.135</v>
      </c>
      <c r="F2876" s="4">
        <f t="shared" si="176"/>
        <v>12.7035</v>
      </c>
      <c r="I2876" s="4" t="s">
        <v>4345</v>
      </c>
      <c r="J2876" s="4">
        <v>12.5495</v>
      </c>
      <c r="K2876" s="4">
        <v>12.4131</v>
      </c>
      <c r="L2876" s="4">
        <v>12.730399999999999</v>
      </c>
      <c r="M2876" s="4">
        <f t="shared" si="177"/>
        <v>12.564333333333332</v>
      </c>
      <c r="P2876" s="4" t="str">
        <f>"rsa-2"</f>
        <v>rsa-2</v>
      </c>
      <c r="Q2876" s="4">
        <v>12.468140910830799</v>
      </c>
      <c r="R2876" s="4">
        <v>12.4667492433479</v>
      </c>
      <c r="S2876" s="4">
        <v>12.7906892094543</v>
      </c>
      <c r="T2876" s="4">
        <f t="shared" si="178"/>
        <v>12.575193121211001</v>
      </c>
      <c r="W2876" s="4" t="str">
        <f>"prmt-7"</f>
        <v>prmt-7</v>
      </c>
      <c r="X2876" s="4">
        <v>12.0387688803982</v>
      </c>
      <c r="Y2876" s="4">
        <v>12.838028281122901</v>
      </c>
      <c r="Z2876" s="4">
        <v>12.7023556281572</v>
      </c>
      <c r="AA2876" s="4">
        <f t="shared" si="179"/>
        <v>12.526384263226101</v>
      </c>
    </row>
    <row r="2877" spans="2:27" x14ac:dyDescent="0.2">
      <c r="B2877" s="4" t="s">
        <v>4841</v>
      </c>
      <c r="C2877" s="4">
        <v>12.8195</v>
      </c>
      <c r="D2877" s="4">
        <v>12.4618</v>
      </c>
      <c r="E2877" s="4">
        <v>12.8154</v>
      </c>
      <c r="F2877" s="4">
        <f t="shared" si="176"/>
        <v>12.6989</v>
      </c>
      <c r="I2877" s="4" t="s">
        <v>4843</v>
      </c>
      <c r="J2877" s="4">
        <v>12.6973</v>
      </c>
      <c r="K2877" s="4">
        <v>12.2895</v>
      </c>
      <c r="L2877" s="4">
        <v>12.6515</v>
      </c>
      <c r="M2877" s="4">
        <f t="shared" si="177"/>
        <v>12.546100000000001</v>
      </c>
      <c r="P2877" s="4" t="str">
        <f>"parn-2"</f>
        <v>parn-2</v>
      </c>
      <c r="Q2877" s="4">
        <v>12.4223416527366</v>
      </c>
      <c r="R2877" s="4">
        <v>12.711223944619601</v>
      </c>
      <c r="S2877" s="4">
        <v>12.591076846185199</v>
      </c>
      <c r="T2877" s="4">
        <f t="shared" si="178"/>
        <v>12.574880814513799</v>
      </c>
      <c r="W2877" s="4" t="str">
        <f>"morc-1"</f>
        <v>morc-1</v>
      </c>
      <c r="X2877" s="4">
        <v>12.3518542420312</v>
      </c>
      <c r="Y2877" s="4">
        <v>12.7873921113761</v>
      </c>
      <c r="Z2877" s="4">
        <v>12.4389510775747</v>
      </c>
      <c r="AA2877" s="4">
        <f t="shared" si="179"/>
        <v>12.526065810327333</v>
      </c>
    </row>
    <row r="2878" spans="2:27" x14ac:dyDescent="0.2">
      <c r="B2878" s="4" t="s">
        <v>992</v>
      </c>
      <c r="C2878" s="4">
        <v>12.644399999999999</v>
      </c>
      <c r="D2878" s="4">
        <v>12.8932</v>
      </c>
      <c r="E2878" s="4">
        <v>12.5566</v>
      </c>
      <c r="F2878" s="4">
        <f t="shared" si="176"/>
        <v>12.698066666666668</v>
      </c>
      <c r="I2878" s="4" t="s">
        <v>3283</v>
      </c>
      <c r="J2878" s="4">
        <v>12.4109</v>
      </c>
      <c r="K2878" s="4">
        <v>12.4442</v>
      </c>
      <c r="L2878" s="4">
        <v>12.7789</v>
      </c>
      <c r="M2878" s="4">
        <f t="shared" si="177"/>
        <v>12.544666666666666</v>
      </c>
      <c r="P2878" s="4" t="str">
        <f>"hlb-1"</f>
        <v>hlb-1</v>
      </c>
      <c r="Q2878" s="4">
        <v>12.332967772631401</v>
      </c>
      <c r="R2878" s="4">
        <v>12.448300995928401</v>
      </c>
      <c r="S2878" s="4">
        <v>12.9397492339812</v>
      </c>
      <c r="T2878" s="4">
        <f t="shared" si="178"/>
        <v>12.573672667513668</v>
      </c>
      <c r="W2878" s="4" t="str">
        <f>"gob-1"</f>
        <v>gob-1</v>
      </c>
      <c r="X2878" s="4">
        <v>12.3802096417146</v>
      </c>
      <c r="Y2878" s="4">
        <v>12.5966996386058</v>
      </c>
      <c r="Z2878" s="4">
        <v>12.5975402069216</v>
      </c>
      <c r="AA2878" s="4">
        <f t="shared" si="179"/>
        <v>12.524816495747332</v>
      </c>
    </row>
    <row r="2879" spans="2:27" x14ac:dyDescent="0.2">
      <c r="B2879" s="4" t="s">
        <v>1167</v>
      </c>
      <c r="C2879" s="4">
        <v>12.930199999999999</v>
      </c>
      <c r="D2879" s="4">
        <v>12.2948</v>
      </c>
      <c r="E2879" s="4">
        <v>12.8674</v>
      </c>
      <c r="F2879" s="4">
        <f t="shared" si="176"/>
        <v>12.697466666666665</v>
      </c>
      <c r="I2879" s="4" t="s">
        <v>2368</v>
      </c>
      <c r="J2879" s="4">
        <v>12.6838</v>
      </c>
      <c r="K2879" s="4">
        <v>12.3765</v>
      </c>
      <c r="L2879" s="4">
        <v>12.569100000000001</v>
      </c>
      <c r="M2879" s="4">
        <f t="shared" si="177"/>
        <v>12.543133333333332</v>
      </c>
      <c r="P2879" s="4" t="str">
        <f>"W02B12.11"</f>
        <v>W02B12.11</v>
      </c>
      <c r="Q2879" s="4">
        <v>12.4078860002081</v>
      </c>
      <c r="R2879" s="4">
        <v>12.7803830181997</v>
      </c>
      <c r="S2879" s="4">
        <v>12.517643324535101</v>
      </c>
      <c r="T2879" s="4">
        <f t="shared" si="178"/>
        <v>12.568637447647633</v>
      </c>
      <c r="W2879" s="4" t="str">
        <f>"pign-1"</f>
        <v>pign-1</v>
      </c>
      <c r="X2879" s="4">
        <v>12.363774866253999</v>
      </c>
      <c r="Y2879" s="4">
        <v>12.5436352887215</v>
      </c>
      <c r="Z2879" s="4">
        <v>12.6666095193369</v>
      </c>
      <c r="AA2879" s="4">
        <f t="shared" si="179"/>
        <v>12.524673224770801</v>
      </c>
    </row>
    <row r="2880" spans="2:27" x14ac:dyDescent="0.2">
      <c r="B2880" s="4" t="s">
        <v>2688</v>
      </c>
      <c r="C2880" s="4">
        <v>12.5246</v>
      </c>
      <c r="D2880" s="4">
        <v>12.912100000000001</v>
      </c>
      <c r="E2880" s="4">
        <v>12.6241</v>
      </c>
      <c r="F2880" s="4">
        <f t="shared" si="176"/>
        <v>12.686933333333334</v>
      </c>
      <c r="I2880" s="4" t="s">
        <v>4582</v>
      </c>
      <c r="J2880" s="4">
        <v>12.883900000000001</v>
      </c>
      <c r="K2880" s="4">
        <v>12.3164</v>
      </c>
      <c r="L2880" s="4">
        <v>12.416600000000001</v>
      </c>
      <c r="M2880" s="4">
        <f t="shared" si="177"/>
        <v>12.538966666666667</v>
      </c>
      <c r="P2880" s="4" t="str">
        <f>"pqn-39"</f>
        <v>pqn-39</v>
      </c>
      <c r="Q2880" s="4">
        <v>13.8920608027525</v>
      </c>
      <c r="R2880" s="4">
        <v>11.1393432942742</v>
      </c>
      <c r="S2880" s="4">
        <v>12.6735672199849</v>
      </c>
      <c r="T2880" s="4">
        <f t="shared" si="178"/>
        <v>12.5683237723372</v>
      </c>
      <c r="W2880" s="4" t="str">
        <f>"spd-5"</f>
        <v>spd-5</v>
      </c>
      <c r="X2880" s="4">
        <v>12.433299327352101</v>
      </c>
      <c r="Y2880" s="4">
        <v>12.5111331195092</v>
      </c>
      <c r="Z2880" s="4">
        <v>12.628169817276801</v>
      </c>
      <c r="AA2880" s="4">
        <f t="shared" si="179"/>
        <v>12.5242007547127</v>
      </c>
    </row>
    <row r="2881" spans="2:27" x14ac:dyDescent="0.2">
      <c r="B2881" s="4" t="s">
        <v>400</v>
      </c>
      <c r="C2881" s="4">
        <v>12.5754</v>
      </c>
      <c r="D2881" s="4">
        <v>12.305400000000001</v>
      </c>
      <c r="E2881" s="4">
        <v>13.178800000000001</v>
      </c>
      <c r="F2881" s="4">
        <f t="shared" si="176"/>
        <v>12.686533333333335</v>
      </c>
      <c r="I2881" s="4" t="s">
        <v>3155</v>
      </c>
      <c r="J2881" s="4">
        <v>12.728199999999999</v>
      </c>
      <c r="K2881" s="4">
        <v>12.2318</v>
      </c>
      <c r="L2881" s="4">
        <v>12.608700000000001</v>
      </c>
      <c r="M2881" s="4">
        <f t="shared" si="177"/>
        <v>12.5229</v>
      </c>
      <c r="P2881" s="4" t="str">
        <f>"M106.2"</f>
        <v>M106.2</v>
      </c>
      <c r="Q2881" s="4">
        <v>12.917418338055301</v>
      </c>
      <c r="R2881" s="4">
        <v>12.308580597338899</v>
      </c>
      <c r="S2881" s="4">
        <v>12.4759917051847</v>
      </c>
      <c r="T2881" s="4">
        <f t="shared" si="178"/>
        <v>12.567330213526299</v>
      </c>
      <c r="W2881" s="4" t="str">
        <f>"hum-2"</f>
        <v>hum-2</v>
      </c>
      <c r="X2881" s="4">
        <v>12.2602261481537</v>
      </c>
      <c r="Y2881" s="4">
        <v>12.782389817501601</v>
      </c>
      <c r="Z2881" s="4">
        <v>12.5253367655655</v>
      </c>
      <c r="AA2881" s="4">
        <f t="shared" si="179"/>
        <v>12.522650910406933</v>
      </c>
    </row>
    <row r="2882" spans="2:27" x14ac:dyDescent="0.2">
      <c r="B2882" s="4" t="s">
        <v>365</v>
      </c>
      <c r="C2882" s="4">
        <v>12.5403</v>
      </c>
      <c r="D2882" s="4">
        <v>12.5641</v>
      </c>
      <c r="E2882" s="4">
        <v>12.9468</v>
      </c>
      <c r="F2882" s="4">
        <f t="shared" ref="F2882:F2945" si="180">(C2882+D2882+E2882)/3</f>
        <v>12.683733333333331</v>
      </c>
      <c r="I2882" s="4" t="s">
        <v>4857</v>
      </c>
      <c r="J2882" s="4">
        <v>12.366</v>
      </c>
      <c r="K2882" s="4">
        <v>12.568099999999999</v>
      </c>
      <c r="L2882" s="4">
        <v>12.6076</v>
      </c>
      <c r="M2882" s="4">
        <f t="shared" ref="M2882:M2893" si="181">(J2882+K2882+L2882)/3</f>
        <v>12.5139</v>
      </c>
      <c r="P2882" s="4" t="str">
        <f>"vha-10"</f>
        <v>vha-10</v>
      </c>
      <c r="Q2882" s="4">
        <v>12.1238086159197</v>
      </c>
      <c r="R2882" s="4">
        <v>13.0111946707342</v>
      </c>
      <c r="S2882" s="4">
        <v>12.552367981656699</v>
      </c>
      <c r="T2882" s="4">
        <f t="shared" ref="T2882:T2945" si="182">(Q2882+R2882+S2882)/3</f>
        <v>12.562457089436867</v>
      </c>
      <c r="W2882" s="4" t="str">
        <f>"zipt-11"</f>
        <v>zipt-11</v>
      </c>
      <c r="X2882" s="4">
        <v>12.5943264379575</v>
      </c>
      <c r="Y2882" s="4">
        <v>12.359302046058501</v>
      </c>
      <c r="Z2882" s="4">
        <v>12.6136375635335</v>
      </c>
      <c r="AA2882" s="4">
        <f t="shared" ref="AA2882:AA2945" si="183">(X2882+Y2882+Z2882)/3</f>
        <v>12.522422015849834</v>
      </c>
    </row>
    <row r="2883" spans="2:27" x14ac:dyDescent="0.2">
      <c r="B2883" s="4" t="s">
        <v>3316</v>
      </c>
      <c r="C2883" s="4">
        <v>13.0114</v>
      </c>
      <c r="D2883" s="4">
        <v>12.231400000000001</v>
      </c>
      <c r="E2883" s="4">
        <v>12.7967</v>
      </c>
      <c r="F2883" s="4">
        <f t="shared" si="180"/>
        <v>12.679833333333335</v>
      </c>
      <c r="I2883" s="4" t="s">
        <v>2239</v>
      </c>
      <c r="J2883" s="4">
        <v>12.396000000000001</v>
      </c>
      <c r="K2883" s="4">
        <v>12.3566</v>
      </c>
      <c r="L2883" s="4">
        <v>12.740600000000001</v>
      </c>
      <c r="M2883" s="4">
        <f t="shared" si="181"/>
        <v>12.497733333333334</v>
      </c>
      <c r="P2883" s="4" t="str">
        <f>"cyld-1"</f>
        <v>cyld-1</v>
      </c>
      <c r="Q2883" s="4">
        <v>12.305794323000899</v>
      </c>
      <c r="R2883" s="4">
        <v>12.6964454514832</v>
      </c>
      <c r="S2883" s="4">
        <v>12.685075439866999</v>
      </c>
      <c r="T2883" s="4">
        <f t="shared" si="182"/>
        <v>12.5624384047837</v>
      </c>
      <c r="W2883" s="4" t="str">
        <f>"tbc-16"</f>
        <v>tbc-16</v>
      </c>
      <c r="X2883" s="4">
        <v>12.4918715505005</v>
      </c>
      <c r="Y2883" s="4">
        <v>12.675316553954501</v>
      </c>
      <c r="Z2883" s="4">
        <v>12.3989151748174</v>
      </c>
      <c r="AA2883" s="4">
        <f t="shared" si="183"/>
        <v>12.522034426424133</v>
      </c>
    </row>
    <row r="2884" spans="2:27" x14ac:dyDescent="0.2">
      <c r="B2884" s="4" t="s">
        <v>3764</v>
      </c>
      <c r="C2884" s="4">
        <v>12.6008</v>
      </c>
      <c r="D2884" s="4">
        <v>12.8508</v>
      </c>
      <c r="E2884" s="4">
        <v>12.5776</v>
      </c>
      <c r="F2884" s="4">
        <f t="shared" si="180"/>
        <v>12.676400000000001</v>
      </c>
      <c r="I2884" s="4" t="s">
        <v>3617</v>
      </c>
      <c r="J2884" s="4">
        <v>12.425599999999999</v>
      </c>
      <c r="K2884" s="4">
        <v>12.3233</v>
      </c>
      <c r="L2884" s="4">
        <v>12.728199999999999</v>
      </c>
      <c r="M2884" s="4">
        <f t="shared" si="181"/>
        <v>12.492366666666667</v>
      </c>
      <c r="P2884" s="4" t="str">
        <f>"hmp-1"</f>
        <v>hmp-1</v>
      </c>
      <c r="Q2884" s="4">
        <v>12.5128187024238</v>
      </c>
      <c r="R2884" s="4">
        <v>12.6293519140256</v>
      </c>
      <c r="S2884" s="4">
        <v>12.5406501690262</v>
      </c>
      <c r="T2884" s="4">
        <f t="shared" si="182"/>
        <v>12.5609402618252</v>
      </c>
      <c r="W2884" s="4" t="str">
        <f>"R12E2.11"</f>
        <v>R12E2.11</v>
      </c>
      <c r="X2884" s="4">
        <v>12.896526380715599</v>
      </c>
      <c r="Y2884" s="4">
        <v>12.308166374025999</v>
      </c>
      <c r="Z2884" s="4">
        <v>12.358739634166801</v>
      </c>
      <c r="AA2884" s="4">
        <f t="shared" si="183"/>
        <v>12.521144129636134</v>
      </c>
    </row>
    <row r="2885" spans="2:27" x14ac:dyDescent="0.2">
      <c r="B2885" s="4" t="s">
        <v>3137</v>
      </c>
      <c r="C2885" s="4">
        <v>12.6188</v>
      </c>
      <c r="D2885" s="4">
        <v>13.300599999999999</v>
      </c>
      <c r="E2885" s="4">
        <v>12.102</v>
      </c>
      <c r="F2885" s="4">
        <f t="shared" si="180"/>
        <v>12.6738</v>
      </c>
      <c r="I2885" s="4" t="s">
        <v>4858</v>
      </c>
      <c r="J2885" s="4">
        <v>12.192399999999999</v>
      </c>
      <c r="K2885" s="4">
        <v>12.7376</v>
      </c>
      <c r="L2885" s="4">
        <v>12.452500000000001</v>
      </c>
      <c r="M2885" s="4">
        <f t="shared" si="181"/>
        <v>12.460833333333333</v>
      </c>
      <c r="P2885" s="4" t="str">
        <f>"atg-2"</f>
        <v>atg-2</v>
      </c>
      <c r="Q2885" s="4">
        <v>12.7020497259098</v>
      </c>
      <c r="R2885" s="4">
        <v>12.5016985932808</v>
      </c>
      <c r="S2885" s="4">
        <v>12.478882606337301</v>
      </c>
      <c r="T2885" s="4">
        <f t="shared" si="182"/>
        <v>12.560876975175967</v>
      </c>
      <c r="W2885" s="4" t="str">
        <f>"M18.3"</f>
        <v>M18.3</v>
      </c>
      <c r="X2885" s="4">
        <v>12.465596380228201</v>
      </c>
      <c r="Y2885" s="4">
        <v>12.392235869332801</v>
      </c>
      <c r="Z2885" s="4">
        <v>12.6980663499247</v>
      </c>
      <c r="AA2885" s="4">
        <f t="shared" si="183"/>
        <v>12.518632866495233</v>
      </c>
    </row>
    <row r="2886" spans="2:27" x14ac:dyDescent="0.2">
      <c r="B2886" s="4" t="s">
        <v>3562</v>
      </c>
      <c r="C2886" s="4">
        <v>12.4068</v>
      </c>
      <c r="D2886" s="4">
        <v>12.7454</v>
      </c>
      <c r="E2886" s="4">
        <v>12.8675</v>
      </c>
      <c r="F2886" s="4">
        <f t="shared" si="180"/>
        <v>12.673233333333334</v>
      </c>
      <c r="I2886" s="4" t="s">
        <v>2289</v>
      </c>
      <c r="J2886" s="4">
        <v>12.5558</v>
      </c>
      <c r="K2886" s="4">
        <v>12.331200000000001</v>
      </c>
      <c r="L2886" s="4">
        <v>12.4649</v>
      </c>
      <c r="M2886" s="4">
        <f t="shared" si="181"/>
        <v>12.450633333333334</v>
      </c>
      <c r="P2886" s="4" t="str">
        <f>"K12H4.5"</f>
        <v>K12H4.5</v>
      </c>
      <c r="Q2886" s="4">
        <v>12.100548291216599</v>
      </c>
      <c r="R2886" s="4">
        <v>13.0513225154829</v>
      </c>
      <c r="S2886" s="4">
        <v>12.5266406682767</v>
      </c>
      <c r="T2886" s="4">
        <f t="shared" si="182"/>
        <v>12.559503824992065</v>
      </c>
      <c r="W2886" s="4" t="str">
        <f>"pfkb-1.2"</f>
        <v>pfkb-1.2</v>
      </c>
      <c r="X2886" s="4">
        <v>12.525652631466199</v>
      </c>
      <c r="Y2886" s="4">
        <v>12.2554174019365</v>
      </c>
      <c r="Z2886" s="4">
        <v>12.773024713321799</v>
      </c>
      <c r="AA2886" s="4">
        <f t="shared" si="183"/>
        <v>12.5180315822415</v>
      </c>
    </row>
    <row r="2887" spans="2:27" x14ac:dyDescent="0.2">
      <c r="B2887" s="4" t="s">
        <v>2289</v>
      </c>
      <c r="C2887" s="4">
        <v>12.5701</v>
      </c>
      <c r="D2887" s="4">
        <v>13.014799999999999</v>
      </c>
      <c r="E2887" s="4">
        <v>12.394600000000001</v>
      </c>
      <c r="F2887" s="4">
        <f t="shared" si="180"/>
        <v>12.659833333333333</v>
      </c>
      <c r="I2887" s="4" t="s">
        <v>3686</v>
      </c>
      <c r="J2887" s="4">
        <v>12.3796</v>
      </c>
      <c r="K2887" s="4">
        <v>12.483599999999999</v>
      </c>
      <c r="L2887" s="4">
        <v>12.4871</v>
      </c>
      <c r="M2887" s="4">
        <f t="shared" si="181"/>
        <v>12.450099999999999</v>
      </c>
      <c r="P2887" s="4" t="str">
        <f>"bet-1"</f>
        <v>bet-1</v>
      </c>
      <c r="Q2887" s="4">
        <v>12.155255420235701</v>
      </c>
      <c r="R2887" s="4">
        <v>12.8566378787944</v>
      </c>
      <c r="S2887" s="4">
        <v>12.664395884785799</v>
      </c>
      <c r="T2887" s="4">
        <f t="shared" si="182"/>
        <v>12.558763061271966</v>
      </c>
      <c r="W2887" s="4" t="str">
        <f>"gcy-28"</f>
        <v>gcy-28</v>
      </c>
      <c r="X2887" s="4">
        <v>12.662861038674601</v>
      </c>
      <c r="Y2887" s="4">
        <v>12.821130266407099</v>
      </c>
      <c r="Z2887" s="4">
        <v>12.0652274533973</v>
      </c>
      <c r="AA2887" s="4">
        <f t="shared" si="183"/>
        <v>12.516406252826334</v>
      </c>
    </row>
    <row r="2888" spans="2:27" x14ac:dyDescent="0.2">
      <c r="B2888" s="4" t="s">
        <v>3680</v>
      </c>
      <c r="C2888" s="4">
        <v>12.6662</v>
      </c>
      <c r="D2888" s="4">
        <v>12.3736</v>
      </c>
      <c r="E2888" s="4">
        <v>12.9124</v>
      </c>
      <c r="F2888" s="4">
        <f t="shared" si="180"/>
        <v>12.650733333333333</v>
      </c>
      <c r="I2888" s="4" t="s">
        <v>4853</v>
      </c>
      <c r="J2888" s="4">
        <v>12.4785</v>
      </c>
      <c r="K2888" s="4">
        <v>12.0593</v>
      </c>
      <c r="L2888" s="4">
        <v>12.7751</v>
      </c>
      <c r="M2888" s="4">
        <f t="shared" si="181"/>
        <v>12.437633333333332</v>
      </c>
      <c r="P2888" s="4" t="str">
        <f>"pah-1"</f>
        <v>pah-1</v>
      </c>
      <c r="Q2888" s="4">
        <v>12.4621691528118</v>
      </c>
      <c r="R2888" s="4">
        <v>12.677388129101899</v>
      </c>
      <c r="S2888" s="4">
        <v>12.523511022678401</v>
      </c>
      <c r="T2888" s="4">
        <f t="shared" si="182"/>
        <v>12.554356101530701</v>
      </c>
      <c r="W2888" s="4" t="str">
        <f>"pef-1"</f>
        <v>pef-1</v>
      </c>
      <c r="X2888" s="4">
        <v>12.4602417054016</v>
      </c>
      <c r="Y2888" s="4">
        <v>12.8345434025446</v>
      </c>
      <c r="Z2888" s="4">
        <v>12.247425237005499</v>
      </c>
      <c r="AA2888" s="4">
        <f t="shared" si="183"/>
        <v>12.5140701149839</v>
      </c>
    </row>
    <row r="2889" spans="2:27" x14ac:dyDescent="0.2">
      <c r="B2889" s="4" t="s">
        <v>4859</v>
      </c>
      <c r="C2889" s="4">
        <v>12.4414</v>
      </c>
      <c r="D2889" s="4">
        <v>12.759</v>
      </c>
      <c r="E2889" s="4">
        <v>12.7379</v>
      </c>
      <c r="F2889" s="4">
        <f t="shared" si="180"/>
        <v>12.646099999999999</v>
      </c>
      <c r="I2889" s="4" t="s">
        <v>2384</v>
      </c>
      <c r="J2889" s="4">
        <v>12.402799999999999</v>
      </c>
      <c r="K2889" s="4">
        <v>12.3024</v>
      </c>
      <c r="L2889" s="4">
        <v>12.5289</v>
      </c>
      <c r="M2889" s="4">
        <f t="shared" si="181"/>
        <v>12.411366666666666</v>
      </c>
      <c r="P2889" s="4" t="str">
        <f>"pssy-2"</f>
        <v>pssy-2</v>
      </c>
      <c r="Q2889" s="4">
        <v>12.0965420662074</v>
      </c>
      <c r="R2889" s="4">
        <v>12.6493110787659</v>
      </c>
      <c r="S2889" s="4">
        <v>12.913705240489501</v>
      </c>
      <c r="T2889" s="4">
        <f t="shared" si="182"/>
        <v>12.553186128487601</v>
      </c>
      <c r="W2889" s="4" t="str">
        <f>"cpr-1"</f>
        <v>cpr-1</v>
      </c>
      <c r="X2889" s="4">
        <v>12.4052962297981</v>
      </c>
      <c r="Y2889" s="4">
        <v>12.5347378028096</v>
      </c>
      <c r="Z2889" s="4">
        <v>12.597142453305899</v>
      </c>
      <c r="AA2889" s="4">
        <f t="shared" si="183"/>
        <v>12.512392161971199</v>
      </c>
    </row>
    <row r="2890" spans="2:27" x14ac:dyDescent="0.2">
      <c r="B2890" s="4" t="s">
        <v>1134</v>
      </c>
      <c r="C2890" s="4">
        <v>12.5786</v>
      </c>
      <c r="D2890" s="4">
        <v>12.837300000000001</v>
      </c>
      <c r="E2890" s="4">
        <v>12.5181</v>
      </c>
      <c r="F2890" s="4">
        <f t="shared" si="180"/>
        <v>12.644666666666666</v>
      </c>
      <c r="I2890" s="4" t="s">
        <v>4088</v>
      </c>
      <c r="J2890" s="4">
        <v>12.362399999999999</v>
      </c>
      <c r="K2890" s="4">
        <v>12.0413</v>
      </c>
      <c r="L2890" s="4">
        <v>12.584199999999999</v>
      </c>
      <c r="M2890" s="4">
        <f t="shared" si="181"/>
        <v>12.329299999999998</v>
      </c>
      <c r="P2890" s="4" t="str">
        <f>"cogc-2"</f>
        <v>cogc-2</v>
      </c>
      <c r="Q2890" s="4">
        <v>12.8818029902414</v>
      </c>
      <c r="R2890" s="4">
        <v>12.4891001754575</v>
      </c>
      <c r="S2890" s="4">
        <v>12.2865338163787</v>
      </c>
      <c r="T2890" s="4">
        <f t="shared" si="182"/>
        <v>12.552478994025867</v>
      </c>
      <c r="W2890" s="4" t="str">
        <f>"glrx-10"</f>
        <v>glrx-10</v>
      </c>
      <c r="X2890" s="4">
        <v>11.967901998872</v>
      </c>
      <c r="Y2890" s="4">
        <v>12.4360516241396</v>
      </c>
      <c r="Z2890" s="4">
        <v>13.129328566656801</v>
      </c>
      <c r="AA2890" s="4">
        <f t="shared" si="183"/>
        <v>12.511094063222799</v>
      </c>
    </row>
    <row r="2891" spans="2:27" x14ac:dyDescent="0.2">
      <c r="B2891" s="4" t="s">
        <v>4181</v>
      </c>
      <c r="C2891" s="4">
        <v>12.573600000000001</v>
      </c>
      <c r="D2891" s="4">
        <v>12.682</v>
      </c>
      <c r="E2891" s="4">
        <v>12.676600000000001</v>
      </c>
      <c r="F2891" s="4">
        <f t="shared" si="180"/>
        <v>12.644066666666667</v>
      </c>
      <c r="I2891" s="4" t="s">
        <v>4181</v>
      </c>
      <c r="J2891" s="4">
        <v>12.128</v>
      </c>
      <c r="K2891" s="4">
        <v>12.2136</v>
      </c>
      <c r="L2891" s="4">
        <v>12.615600000000001</v>
      </c>
      <c r="M2891" s="4">
        <f t="shared" si="181"/>
        <v>12.319066666666666</v>
      </c>
      <c r="P2891" s="4" t="str">
        <f>"ZC373.2"</f>
        <v>ZC373.2</v>
      </c>
      <c r="Q2891" s="4">
        <v>12.854932839080901</v>
      </c>
      <c r="R2891" s="4">
        <v>12.146616270066099</v>
      </c>
      <c r="S2891" s="4">
        <v>12.6431311321747</v>
      </c>
      <c r="T2891" s="4">
        <f t="shared" si="182"/>
        <v>12.548226747107234</v>
      </c>
      <c r="W2891" s="4" t="str">
        <f>"B0303.11"</f>
        <v>B0303.11</v>
      </c>
      <c r="X2891" s="4">
        <v>12.417480282490001</v>
      </c>
      <c r="Y2891" s="4">
        <v>12.5393080772637</v>
      </c>
      <c r="Z2891" s="4">
        <v>12.573955693605599</v>
      </c>
      <c r="AA2891" s="4">
        <f t="shared" si="183"/>
        <v>12.510248017786433</v>
      </c>
    </row>
    <row r="2892" spans="2:27" x14ac:dyDescent="0.2">
      <c r="B2892" s="4" t="s">
        <v>121</v>
      </c>
      <c r="C2892" s="4">
        <v>12.67</v>
      </c>
      <c r="D2892" s="4">
        <v>12.976000000000001</v>
      </c>
      <c r="E2892" s="4">
        <v>12.286</v>
      </c>
      <c r="F2892" s="4">
        <f t="shared" si="180"/>
        <v>12.644</v>
      </c>
      <c r="I2892" s="4" t="s">
        <v>4860</v>
      </c>
      <c r="J2892" s="4">
        <v>12.151999999999999</v>
      </c>
      <c r="K2892" s="4">
        <v>12.1736</v>
      </c>
      <c r="L2892" s="4">
        <v>12.419700000000001</v>
      </c>
      <c r="M2892" s="4">
        <f t="shared" si="181"/>
        <v>12.248433333333333</v>
      </c>
      <c r="P2892" s="4" t="str">
        <f>"egal-1"</f>
        <v>egal-1</v>
      </c>
      <c r="Q2892" s="4">
        <v>12.415479450428199</v>
      </c>
      <c r="R2892" s="4">
        <v>12.6289072744768</v>
      </c>
      <c r="S2892" s="4">
        <v>12.596404355435499</v>
      </c>
      <c r="T2892" s="4">
        <f t="shared" si="182"/>
        <v>12.5469303601135</v>
      </c>
      <c r="W2892" s="4" t="str">
        <f>"rme-2"</f>
        <v>rme-2</v>
      </c>
      <c r="X2892" s="4">
        <v>12.8784516719239</v>
      </c>
      <c r="Y2892" s="4">
        <v>12.6156893124523</v>
      </c>
      <c r="Z2892" s="4">
        <v>12.033580495815499</v>
      </c>
      <c r="AA2892" s="4">
        <f t="shared" si="183"/>
        <v>12.509240493397234</v>
      </c>
    </row>
    <row r="2893" spans="2:27" x14ac:dyDescent="0.2">
      <c r="B2893" s="4" t="s">
        <v>2991</v>
      </c>
      <c r="C2893" s="4">
        <v>12.4575</v>
      </c>
      <c r="D2893" s="4">
        <v>12.7394</v>
      </c>
      <c r="E2893" s="4">
        <v>12.727399999999999</v>
      </c>
      <c r="F2893" s="4">
        <f t="shared" si="180"/>
        <v>12.641433333333334</v>
      </c>
      <c r="I2893" s="4" t="s">
        <v>1859</v>
      </c>
      <c r="J2893" s="4">
        <v>11.990600000000001</v>
      </c>
      <c r="K2893" s="4">
        <v>12.062200000000001</v>
      </c>
      <c r="L2893" s="4">
        <v>12.4063</v>
      </c>
      <c r="M2893" s="4">
        <f t="shared" si="181"/>
        <v>12.153033333333333</v>
      </c>
      <c r="P2893" s="4" t="str">
        <f>"ugt-60"</f>
        <v>ugt-60</v>
      </c>
      <c r="Q2893" s="4">
        <v>12.3450003454456</v>
      </c>
      <c r="R2893" s="4">
        <v>12.781468079338</v>
      </c>
      <c r="S2893" s="4">
        <v>12.5137240773185</v>
      </c>
      <c r="T2893" s="4">
        <f t="shared" si="182"/>
        <v>12.546730834034031</v>
      </c>
      <c r="W2893" s="4" t="str">
        <f>"sacy-1"</f>
        <v>sacy-1</v>
      </c>
      <c r="X2893" s="4">
        <v>12.823030556859999</v>
      </c>
      <c r="Y2893" s="4">
        <v>12.054231368274399</v>
      </c>
      <c r="Z2893" s="4">
        <v>12.6435000159232</v>
      </c>
      <c r="AA2893" s="4">
        <f t="shared" si="183"/>
        <v>12.5069206470192</v>
      </c>
    </row>
    <row r="2894" spans="2:27" x14ac:dyDescent="0.2">
      <c r="B2894" s="4" t="s">
        <v>1893</v>
      </c>
      <c r="C2894" s="4">
        <v>12.495100000000001</v>
      </c>
      <c r="D2894" s="4">
        <v>12.823499999999999</v>
      </c>
      <c r="E2894" s="4">
        <v>12.5695</v>
      </c>
      <c r="F2894" s="4">
        <f t="shared" si="180"/>
        <v>12.629366666666668</v>
      </c>
      <c r="P2894" s="4" t="str">
        <f>"rpb-4"</f>
        <v>rpb-4</v>
      </c>
      <c r="Q2894" s="4">
        <v>12.145040289521299</v>
      </c>
      <c r="R2894" s="4">
        <v>12.8336097653305</v>
      </c>
      <c r="S2894" s="4">
        <v>12.64931507182</v>
      </c>
      <c r="T2894" s="4">
        <f t="shared" si="182"/>
        <v>12.542655042223933</v>
      </c>
      <c r="W2894" s="4" t="str">
        <f>"pmp-3"</f>
        <v>pmp-3</v>
      </c>
      <c r="X2894" s="4">
        <v>12.6486976663255</v>
      </c>
      <c r="Y2894" s="4">
        <v>12.529431789097099</v>
      </c>
      <c r="Z2894" s="4">
        <v>12.3376045782937</v>
      </c>
      <c r="AA2894" s="4">
        <f t="shared" si="183"/>
        <v>12.505244677905432</v>
      </c>
    </row>
    <row r="2895" spans="2:27" x14ac:dyDescent="0.2">
      <c r="B2895" s="4" t="s">
        <v>4308</v>
      </c>
      <c r="C2895" s="4">
        <v>12.786899999999999</v>
      </c>
      <c r="D2895" s="4">
        <v>12.3697</v>
      </c>
      <c r="E2895" s="4">
        <v>12.7135</v>
      </c>
      <c r="F2895" s="4">
        <f t="shared" si="180"/>
        <v>12.623366666666664</v>
      </c>
      <c r="P2895" s="4" t="str">
        <f>"tbc-13"</f>
        <v>tbc-13</v>
      </c>
      <c r="Q2895" s="4">
        <v>12.646902743976</v>
      </c>
      <c r="R2895" s="4">
        <v>12.5470142103207</v>
      </c>
      <c r="S2895" s="4">
        <v>12.432484096146499</v>
      </c>
      <c r="T2895" s="4">
        <f t="shared" si="182"/>
        <v>12.542133683481067</v>
      </c>
      <c r="W2895" s="4" t="str">
        <f>"Y52B11A.10"</f>
        <v>Y52B11A.10</v>
      </c>
      <c r="X2895" s="4">
        <v>12.652086264436999</v>
      </c>
      <c r="Y2895" s="4">
        <v>12.448986517918801</v>
      </c>
      <c r="Z2895" s="4">
        <v>12.4103248820958</v>
      </c>
      <c r="AA2895" s="4">
        <f t="shared" si="183"/>
        <v>12.503799221483867</v>
      </c>
    </row>
    <row r="2896" spans="2:27" x14ac:dyDescent="0.2">
      <c r="B2896" s="4" t="s">
        <v>4861</v>
      </c>
      <c r="C2896" s="4">
        <v>12.527900000000001</v>
      </c>
      <c r="D2896" s="4">
        <v>12.6663</v>
      </c>
      <c r="E2896" s="4">
        <v>12.6578</v>
      </c>
      <c r="F2896" s="4">
        <f t="shared" si="180"/>
        <v>12.617333333333335</v>
      </c>
      <c r="P2896" s="4" t="str">
        <f>"ugt-21"</f>
        <v>ugt-21</v>
      </c>
      <c r="Q2896" s="4">
        <v>12.437212532433801</v>
      </c>
      <c r="R2896" s="4">
        <v>12.4998493468183</v>
      </c>
      <c r="S2896" s="4">
        <v>12.6810800832754</v>
      </c>
      <c r="T2896" s="4">
        <f t="shared" si="182"/>
        <v>12.539380654175835</v>
      </c>
      <c r="W2896" s="4" t="str">
        <f>"csn-6"</f>
        <v>csn-6</v>
      </c>
      <c r="X2896" s="4">
        <v>12.6265058303657</v>
      </c>
      <c r="Y2896" s="4">
        <v>12.5382390476917</v>
      </c>
      <c r="Z2896" s="4">
        <v>12.343794003572301</v>
      </c>
      <c r="AA2896" s="4">
        <f t="shared" si="183"/>
        <v>12.502846293876566</v>
      </c>
    </row>
    <row r="2897" spans="2:27" x14ac:dyDescent="0.2">
      <c r="B2897" s="4" t="s">
        <v>4862</v>
      </c>
      <c r="C2897" s="4">
        <v>12.7979</v>
      </c>
      <c r="D2897" s="4">
        <v>12.2188</v>
      </c>
      <c r="E2897" s="4">
        <v>12.8283</v>
      </c>
      <c r="F2897" s="4">
        <f t="shared" si="180"/>
        <v>12.615</v>
      </c>
      <c r="P2897" s="4" t="str">
        <f>"arx-1"</f>
        <v>arx-1</v>
      </c>
      <c r="Q2897" s="4">
        <v>12.3211823792976</v>
      </c>
      <c r="R2897" s="4">
        <v>12.776683358560399</v>
      </c>
      <c r="S2897" s="4">
        <v>12.5074909576308</v>
      </c>
      <c r="T2897" s="4">
        <f t="shared" si="182"/>
        <v>12.535118898496266</v>
      </c>
      <c r="W2897" s="4" t="str">
        <f>"C17G10.1"</f>
        <v>C17G10.1</v>
      </c>
      <c r="X2897" s="4">
        <v>12.346490494574301</v>
      </c>
      <c r="Y2897" s="4">
        <v>12.411767376009101</v>
      </c>
      <c r="Z2897" s="4">
        <v>12.7472850116706</v>
      </c>
      <c r="AA2897" s="4">
        <f t="shared" si="183"/>
        <v>12.501847627418</v>
      </c>
    </row>
    <row r="2898" spans="2:27" x14ac:dyDescent="0.2">
      <c r="B2898" s="4" t="s">
        <v>4588</v>
      </c>
      <c r="C2898" s="4">
        <v>12.923500000000001</v>
      </c>
      <c r="D2898" s="4">
        <v>12.2888</v>
      </c>
      <c r="E2898" s="4">
        <v>12.599600000000001</v>
      </c>
      <c r="F2898" s="4">
        <f t="shared" si="180"/>
        <v>12.603966666666667</v>
      </c>
      <c r="P2898" s="4" t="str">
        <f>"pcaf-1"</f>
        <v>pcaf-1</v>
      </c>
      <c r="Q2898" s="4">
        <v>12.5723806604872</v>
      </c>
      <c r="R2898" s="4">
        <v>12.561742236346401</v>
      </c>
      <c r="S2898" s="4">
        <v>12.4627112623965</v>
      </c>
      <c r="T2898" s="4">
        <f t="shared" si="182"/>
        <v>12.5322780530767</v>
      </c>
      <c r="W2898" s="4" t="str">
        <f>"dpl-1"</f>
        <v>dpl-1</v>
      </c>
      <c r="X2898" s="4">
        <v>12.4104338943577</v>
      </c>
      <c r="Y2898" s="4">
        <v>12.5615345861632</v>
      </c>
      <c r="Z2898" s="4">
        <v>12.5321283570527</v>
      </c>
      <c r="AA2898" s="4">
        <f t="shared" si="183"/>
        <v>12.501365612524532</v>
      </c>
    </row>
    <row r="2899" spans="2:27" x14ac:dyDescent="0.2">
      <c r="B2899" s="4" t="s">
        <v>4152</v>
      </c>
      <c r="C2899" s="4">
        <v>12.601000000000001</v>
      </c>
      <c r="D2899" s="4">
        <v>12.6059</v>
      </c>
      <c r="E2899" s="4">
        <v>12.597</v>
      </c>
      <c r="F2899" s="4">
        <f t="shared" si="180"/>
        <v>12.6013</v>
      </c>
      <c r="P2899" s="4" t="str">
        <f>"C08B11.3"</f>
        <v>C08B11.3</v>
      </c>
      <c r="Q2899" s="4">
        <v>12.2319826267703</v>
      </c>
      <c r="R2899" s="4">
        <v>12.5952181871683</v>
      </c>
      <c r="S2899" s="4">
        <v>12.768768271270799</v>
      </c>
      <c r="T2899" s="4">
        <f t="shared" si="182"/>
        <v>12.531989695069798</v>
      </c>
      <c r="W2899" s="4" t="str">
        <f>"F29B9.8"</f>
        <v>F29B9.8</v>
      </c>
      <c r="X2899" s="4">
        <v>12.787006630872201</v>
      </c>
      <c r="Y2899" s="4">
        <v>12.354341342284499</v>
      </c>
      <c r="Z2899" s="4">
        <v>12.358005382762</v>
      </c>
      <c r="AA2899" s="4">
        <f t="shared" si="183"/>
        <v>12.4997844519729</v>
      </c>
    </row>
    <row r="2900" spans="2:27" x14ac:dyDescent="0.2">
      <c r="B2900" s="4" t="s">
        <v>144</v>
      </c>
      <c r="C2900" s="4">
        <v>12.4161</v>
      </c>
      <c r="D2900" s="4">
        <v>12.870900000000001</v>
      </c>
      <c r="E2900" s="4">
        <v>12.4901</v>
      </c>
      <c r="F2900" s="4">
        <f t="shared" si="180"/>
        <v>12.592366666666665</v>
      </c>
      <c r="P2900" s="4" t="str">
        <f>"elpc-1"</f>
        <v>elpc-1</v>
      </c>
      <c r="Q2900" s="4">
        <v>11.8069735769421</v>
      </c>
      <c r="R2900" s="4">
        <v>13.194908474764899</v>
      </c>
      <c r="S2900" s="4">
        <v>12.589255114223301</v>
      </c>
      <c r="T2900" s="4">
        <f t="shared" si="182"/>
        <v>12.5303790553101</v>
      </c>
      <c r="W2900" s="4" t="str">
        <f>"F20D1.3"</f>
        <v>F20D1.3</v>
      </c>
      <c r="X2900" s="4">
        <v>12.782228685385199</v>
      </c>
      <c r="Y2900" s="4">
        <v>12.1412452508938</v>
      </c>
      <c r="Z2900" s="4">
        <v>12.5752777295514</v>
      </c>
      <c r="AA2900" s="4">
        <f t="shared" si="183"/>
        <v>12.499583888610132</v>
      </c>
    </row>
    <row r="2901" spans="2:27" x14ac:dyDescent="0.2">
      <c r="B2901" s="4" t="s">
        <v>1506</v>
      </c>
      <c r="C2901" s="4">
        <v>12.3996</v>
      </c>
      <c r="D2901" s="4">
        <v>12.575200000000001</v>
      </c>
      <c r="E2901" s="4">
        <v>12.787800000000001</v>
      </c>
      <c r="F2901" s="4">
        <f t="shared" si="180"/>
        <v>12.587533333333335</v>
      </c>
      <c r="P2901" s="4" t="str">
        <f>"toe-2"</f>
        <v>toe-2</v>
      </c>
      <c r="Q2901" s="4">
        <v>12.144781555007601</v>
      </c>
      <c r="R2901" s="4">
        <v>12.5939267222977</v>
      </c>
      <c r="S2901" s="4">
        <v>12.8443988874299</v>
      </c>
      <c r="T2901" s="4">
        <f t="shared" si="182"/>
        <v>12.527702388245066</v>
      </c>
      <c r="W2901" s="4" t="str">
        <f>"DY3.8"</f>
        <v>DY3.8</v>
      </c>
      <c r="X2901" s="4">
        <v>12.9476807743848</v>
      </c>
      <c r="Y2901" s="4">
        <v>12.4294789038329</v>
      </c>
      <c r="Z2901" s="4">
        <v>12.1207704859528</v>
      </c>
      <c r="AA2901" s="4">
        <f t="shared" si="183"/>
        <v>12.4993100547235</v>
      </c>
    </row>
    <row r="2902" spans="2:27" x14ac:dyDescent="0.2">
      <c r="B2902" s="4" t="s">
        <v>4863</v>
      </c>
      <c r="C2902" s="4">
        <v>12.416700000000001</v>
      </c>
      <c r="D2902" s="4">
        <v>12.831099999999999</v>
      </c>
      <c r="E2902" s="4">
        <v>12.5136</v>
      </c>
      <c r="F2902" s="4">
        <f t="shared" si="180"/>
        <v>12.587133333333332</v>
      </c>
      <c r="P2902" s="4" t="str">
        <f>"trcs-2"</f>
        <v>trcs-2</v>
      </c>
      <c r="Q2902" s="4">
        <v>12.5224456235826</v>
      </c>
      <c r="R2902" s="4">
        <v>12.5724032340884</v>
      </c>
      <c r="S2902" s="4">
        <v>12.4865880543305</v>
      </c>
      <c r="T2902" s="4">
        <f t="shared" si="182"/>
        <v>12.527145637333833</v>
      </c>
      <c r="W2902" s="4" t="str">
        <f>"dph-2"</f>
        <v>dph-2</v>
      </c>
      <c r="X2902" s="4">
        <v>13.1286066892776</v>
      </c>
      <c r="Y2902" s="4">
        <v>11.564092676690199</v>
      </c>
      <c r="Z2902" s="4">
        <v>12.8013900047627</v>
      </c>
      <c r="AA2902" s="4">
        <f t="shared" si="183"/>
        <v>12.4980297902435</v>
      </c>
    </row>
    <row r="2903" spans="2:27" x14ac:dyDescent="0.2">
      <c r="B2903" s="4" t="s">
        <v>4088</v>
      </c>
      <c r="C2903" s="4">
        <v>13.194800000000001</v>
      </c>
      <c r="D2903" s="4">
        <v>12.195</v>
      </c>
      <c r="E2903" s="4">
        <v>12.3508</v>
      </c>
      <c r="F2903" s="4">
        <f t="shared" si="180"/>
        <v>12.5802</v>
      </c>
      <c r="P2903" s="4" t="str">
        <f>"C17H11.2"</f>
        <v>C17H11.2</v>
      </c>
      <c r="Q2903" s="4">
        <v>12.620264597659601</v>
      </c>
      <c r="R2903" s="4">
        <v>12.6080598084157</v>
      </c>
      <c r="S2903" s="4">
        <v>12.3504292885228</v>
      </c>
      <c r="T2903" s="4">
        <f t="shared" si="182"/>
        <v>12.526251231532703</v>
      </c>
      <c r="W2903" s="4" t="str">
        <f>"jmjc-1"</f>
        <v>jmjc-1</v>
      </c>
      <c r="X2903" s="4">
        <v>12.523021515974699</v>
      </c>
      <c r="Y2903" s="4">
        <v>12.4903972811569</v>
      </c>
      <c r="Z2903" s="4">
        <v>12.478899530497101</v>
      </c>
      <c r="AA2903" s="4">
        <f t="shared" si="183"/>
        <v>12.4974394425429</v>
      </c>
    </row>
    <row r="2904" spans="2:27" x14ac:dyDescent="0.2">
      <c r="B2904" s="4" t="s">
        <v>4864</v>
      </c>
      <c r="C2904" s="4">
        <v>12.1106</v>
      </c>
      <c r="D2904" s="4">
        <v>13.155900000000001</v>
      </c>
      <c r="E2904" s="4">
        <v>12.4679</v>
      </c>
      <c r="F2904" s="4">
        <f t="shared" si="180"/>
        <v>12.578133333333334</v>
      </c>
      <c r="P2904" s="4" t="str">
        <f>"F55F8.3"</f>
        <v>F55F8.3</v>
      </c>
      <c r="Q2904" s="4">
        <v>12.4112736636074</v>
      </c>
      <c r="R2904" s="4">
        <v>12.6058862776885</v>
      </c>
      <c r="S2904" s="4">
        <v>12.560593670483801</v>
      </c>
      <c r="T2904" s="4">
        <f t="shared" si="182"/>
        <v>12.525917870593233</v>
      </c>
      <c r="W2904" s="4" t="str">
        <f>"nhr-8"</f>
        <v>nhr-8</v>
      </c>
      <c r="X2904" s="4">
        <v>12.7158282502006</v>
      </c>
      <c r="Y2904" s="4">
        <v>12.5043293362437</v>
      </c>
      <c r="Z2904" s="4">
        <v>12.2684536055878</v>
      </c>
      <c r="AA2904" s="4">
        <f t="shared" si="183"/>
        <v>12.496203730677367</v>
      </c>
    </row>
    <row r="2905" spans="2:27" x14ac:dyDescent="0.2">
      <c r="B2905" s="4" t="s">
        <v>3421</v>
      </c>
      <c r="C2905" s="4">
        <v>13.033200000000001</v>
      </c>
      <c r="D2905" s="4">
        <v>12.2477</v>
      </c>
      <c r="E2905" s="4">
        <v>12.4397</v>
      </c>
      <c r="F2905" s="4">
        <f t="shared" si="180"/>
        <v>12.573533333333335</v>
      </c>
      <c r="P2905" s="4" t="str">
        <f>"such-1"</f>
        <v>such-1</v>
      </c>
      <c r="Q2905" s="4">
        <v>11.837459978713699</v>
      </c>
      <c r="R2905" s="4">
        <v>12.9141294128393</v>
      </c>
      <c r="S2905" s="4">
        <v>12.825908260006999</v>
      </c>
      <c r="T2905" s="4">
        <f t="shared" si="182"/>
        <v>12.525832550519999</v>
      </c>
      <c r="W2905" s="4" t="str">
        <f>"pbs-3"</f>
        <v>pbs-3</v>
      </c>
      <c r="X2905" s="4">
        <v>12.899595913171799</v>
      </c>
      <c r="Y2905" s="4">
        <v>11.4605053721593</v>
      </c>
      <c r="Z2905" s="4">
        <v>13.124252137280299</v>
      </c>
      <c r="AA2905" s="4">
        <f t="shared" si="183"/>
        <v>12.494784474203799</v>
      </c>
    </row>
    <row r="2906" spans="2:27" x14ac:dyDescent="0.2">
      <c r="B2906" s="4" t="s">
        <v>379</v>
      </c>
      <c r="C2906" s="4">
        <v>12.7049</v>
      </c>
      <c r="D2906" s="4">
        <v>12.3302</v>
      </c>
      <c r="E2906" s="4">
        <v>12.6623</v>
      </c>
      <c r="F2906" s="4">
        <f t="shared" si="180"/>
        <v>12.565800000000001</v>
      </c>
      <c r="P2906" s="4" t="str">
        <f>"cbs-1"</f>
        <v>cbs-1</v>
      </c>
      <c r="Q2906" s="4">
        <v>12.505305294238999</v>
      </c>
      <c r="R2906" s="4">
        <v>12.626173177772399</v>
      </c>
      <c r="S2906" s="4">
        <v>12.4443906917232</v>
      </c>
      <c r="T2906" s="4">
        <f t="shared" si="182"/>
        <v>12.525289721244866</v>
      </c>
      <c r="W2906" s="4" t="str">
        <f>"ras-2"</f>
        <v>ras-2</v>
      </c>
      <c r="X2906" s="4">
        <v>12.330126499240601</v>
      </c>
      <c r="Y2906" s="4">
        <v>12.433046670699399</v>
      </c>
      <c r="Z2906" s="4">
        <v>12.719414633136701</v>
      </c>
      <c r="AA2906" s="4">
        <f t="shared" si="183"/>
        <v>12.494195934358899</v>
      </c>
    </row>
    <row r="2907" spans="2:27" x14ac:dyDescent="0.2">
      <c r="B2907" s="4" t="s">
        <v>3563</v>
      </c>
      <c r="C2907" s="4">
        <v>12.319100000000001</v>
      </c>
      <c r="D2907" s="4">
        <v>12.984999999999999</v>
      </c>
      <c r="E2907" s="4">
        <v>12.38</v>
      </c>
      <c r="F2907" s="4">
        <f t="shared" si="180"/>
        <v>12.561366666666666</v>
      </c>
      <c r="P2907" s="4" t="str">
        <f>"pign-1"</f>
        <v>pign-1</v>
      </c>
      <c r="Q2907" s="4">
        <v>12.420970482357699</v>
      </c>
      <c r="R2907" s="4">
        <v>12.3877347469593</v>
      </c>
      <c r="S2907" s="4">
        <v>12.7596034647409</v>
      </c>
      <c r="T2907" s="4">
        <f t="shared" si="182"/>
        <v>12.522769564685966</v>
      </c>
      <c r="W2907" s="4" t="str">
        <f>"nonu-1"</f>
        <v>nonu-1</v>
      </c>
      <c r="X2907" s="4">
        <v>12.2772096432686</v>
      </c>
      <c r="Y2907" s="4">
        <v>12.3466597176006</v>
      </c>
      <c r="Z2907" s="4">
        <v>12.857795025094299</v>
      </c>
      <c r="AA2907" s="4">
        <f t="shared" si="183"/>
        <v>12.493888128654499</v>
      </c>
    </row>
    <row r="2908" spans="2:27" x14ac:dyDescent="0.2">
      <c r="B2908" s="4" t="s">
        <v>4345</v>
      </c>
      <c r="C2908" s="4">
        <v>12.2912</v>
      </c>
      <c r="D2908" s="4">
        <v>12.8276</v>
      </c>
      <c r="E2908" s="4">
        <v>12.5311</v>
      </c>
      <c r="F2908" s="4">
        <f t="shared" si="180"/>
        <v>12.549966666666668</v>
      </c>
      <c r="P2908" s="4" t="str">
        <f>"map-2"</f>
        <v>map-2</v>
      </c>
      <c r="Q2908" s="4">
        <v>12.7152374867961</v>
      </c>
      <c r="R2908" s="4">
        <v>12.405019716439</v>
      </c>
      <c r="S2908" s="4">
        <v>12.4476335856525</v>
      </c>
      <c r="T2908" s="4">
        <f t="shared" si="182"/>
        <v>12.522630262962531</v>
      </c>
      <c r="W2908" s="4" t="str">
        <f>"gid-7"</f>
        <v>gid-7</v>
      </c>
      <c r="X2908" s="4">
        <v>12.6117609209159</v>
      </c>
      <c r="Y2908" s="4">
        <v>12.4442587555638</v>
      </c>
      <c r="Z2908" s="4">
        <v>12.4208521452914</v>
      </c>
      <c r="AA2908" s="4">
        <f t="shared" si="183"/>
        <v>12.492290607257033</v>
      </c>
    </row>
    <row r="2909" spans="2:27" x14ac:dyDescent="0.2">
      <c r="B2909" s="4" t="s">
        <v>4169</v>
      </c>
      <c r="C2909" s="4">
        <v>12.757</v>
      </c>
      <c r="D2909" s="4">
        <v>12.2712</v>
      </c>
      <c r="E2909" s="4">
        <v>12.5784</v>
      </c>
      <c r="F2909" s="4">
        <f t="shared" si="180"/>
        <v>12.535533333333333</v>
      </c>
      <c r="P2909" s="4" t="str">
        <f>"cua-1"</f>
        <v>cua-1</v>
      </c>
      <c r="Q2909" s="4">
        <v>12.5753303111926</v>
      </c>
      <c r="R2909" s="4">
        <v>12.4107235539458</v>
      </c>
      <c r="S2909" s="4">
        <v>12.580668749601401</v>
      </c>
      <c r="T2909" s="4">
        <f t="shared" si="182"/>
        <v>12.522240871579934</v>
      </c>
      <c r="W2909" s="4" t="str">
        <f>"usp-48"</f>
        <v>usp-48</v>
      </c>
      <c r="X2909" s="4">
        <v>12.506161759014899</v>
      </c>
      <c r="Y2909" s="4">
        <v>12.450645000362</v>
      </c>
      <c r="Z2909" s="4">
        <v>12.5136648403869</v>
      </c>
      <c r="AA2909" s="4">
        <f t="shared" si="183"/>
        <v>12.490157199921265</v>
      </c>
    </row>
    <row r="2910" spans="2:27" x14ac:dyDescent="0.2">
      <c r="B2910" s="4" t="s">
        <v>479</v>
      </c>
      <c r="C2910" s="4">
        <v>12.508100000000001</v>
      </c>
      <c r="D2910" s="4">
        <v>12.1266</v>
      </c>
      <c r="E2910" s="4">
        <v>12.966200000000001</v>
      </c>
      <c r="F2910" s="4">
        <f t="shared" si="180"/>
        <v>12.533633333333334</v>
      </c>
      <c r="P2910" s="4" t="str">
        <f>"sbds-1"</f>
        <v>sbds-1</v>
      </c>
      <c r="Q2910" s="4">
        <v>12.113329654240699</v>
      </c>
      <c r="R2910" s="4">
        <v>12.7661517552157</v>
      </c>
      <c r="S2910" s="4">
        <v>12.6871341906712</v>
      </c>
      <c r="T2910" s="4">
        <f t="shared" si="182"/>
        <v>12.522205200042533</v>
      </c>
      <c r="W2910" s="4" t="str">
        <f>"gst-20"</f>
        <v>gst-20</v>
      </c>
      <c r="X2910" s="4">
        <v>12.2502804411365</v>
      </c>
      <c r="Y2910" s="4">
        <v>12.683408352247501</v>
      </c>
      <c r="Z2910" s="4">
        <v>12.529288699501</v>
      </c>
      <c r="AA2910" s="4">
        <f t="shared" si="183"/>
        <v>12.487659164295001</v>
      </c>
    </row>
    <row r="2911" spans="2:27" x14ac:dyDescent="0.2">
      <c r="B2911" s="4" t="s">
        <v>4415</v>
      </c>
      <c r="C2911" s="4">
        <v>12.500999999999999</v>
      </c>
      <c r="D2911" s="4">
        <v>12.2445</v>
      </c>
      <c r="E2911" s="4">
        <v>12.8551</v>
      </c>
      <c r="F2911" s="4">
        <f t="shared" si="180"/>
        <v>12.533533333333333</v>
      </c>
      <c r="P2911" s="4" t="str">
        <f>"inx-12"</f>
        <v>inx-12</v>
      </c>
      <c r="Q2911" s="4">
        <v>11.925489916816501</v>
      </c>
      <c r="R2911" s="4">
        <v>12.7358749041632</v>
      </c>
      <c r="S2911" s="4">
        <v>12.8918814773315</v>
      </c>
      <c r="T2911" s="4">
        <f t="shared" si="182"/>
        <v>12.517748766103734</v>
      </c>
      <c r="W2911" s="4" t="str">
        <f>"daf-25"</f>
        <v>daf-25</v>
      </c>
      <c r="X2911" s="4">
        <v>12.4719547186253</v>
      </c>
      <c r="Y2911" s="4">
        <v>12.396927508331499</v>
      </c>
      <c r="Z2911" s="4">
        <v>12.588465726137199</v>
      </c>
      <c r="AA2911" s="4">
        <f t="shared" si="183"/>
        <v>12.485782651031334</v>
      </c>
    </row>
    <row r="2912" spans="2:27" x14ac:dyDescent="0.2">
      <c r="B2912" s="4" t="s">
        <v>1540</v>
      </c>
      <c r="C2912" s="4">
        <v>12.8561</v>
      </c>
      <c r="D2912" s="4">
        <v>12.4634</v>
      </c>
      <c r="E2912" s="4">
        <v>12.271100000000001</v>
      </c>
      <c r="F2912" s="4">
        <f t="shared" si="180"/>
        <v>12.530199999999999</v>
      </c>
      <c r="P2912" s="4" t="str">
        <f>"rbm-28"</f>
        <v>rbm-28</v>
      </c>
      <c r="Q2912" s="4">
        <v>12.415810092311901</v>
      </c>
      <c r="R2912" s="4">
        <v>12.645015222365799</v>
      </c>
      <c r="S2912" s="4">
        <v>12.484693180950501</v>
      </c>
      <c r="T2912" s="4">
        <f t="shared" si="182"/>
        <v>12.515172831876066</v>
      </c>
      <c r="W2912" s="4" t="str">
        <f>"K05C4.7"</f>
        <v>K05C4.7</v>
      </c>
      <c r="X2912" s="4">
        <v>13.047003974835301</v>
      </c>
      <c r="Y2912" s="4">
        <v>12.2678195530792</v>
      </c>
      <c r="Z2912" s="4">
        <v>12.141010181171801</v>
      </c>
      <c r="AA2912" s="4">
        <f t="shared" si="183"/>
        <v>12.485277903028766</v>
      </c>
    </row>
    <row r="2913" spans="2:27" x14ac:dyDescent="0.2">
      <c r="B2913" s="4" t="s">
        <v>2338</v>
      </c>
      <c r="C2913" s="4">
        <v>12.378299999999999</v>
      </c>
      <c r="D2913" s="4">
        <v>12.142799999999999</v>
      </c>
      <c r="E2913" s="4">
        <v>13.021100000000001</v>
      </c>
      <c r="F2913" s="4">
        <f t="shared" si="180"/>
        <v>12.514066666666665</v>
      </c>
      <c r="P2913" s="4" t="str">
        <f>"npp-21"</f>
        <v>npp-21</v>
      </c>
      <c r="Q2913" s="4">
        <v>12.3040885024564</v>
      </c>
      <c r="R2913" s="4">
        <v>12.7768445980533</v>
      </c>
      <c r="S2913" s="4">
        <v>12.455061628043</v>
      </c>
      <c r="T2913" s="4">
        <f t="shared" si="182"/>
        <v>12.5119982428509</v>
      </c>
      <c r="W2913" s="4" t="str">
        <f>"Y53F4B.9"</f>
        <v>Y53F4B.9</v>
      </c>
      <c r="X2913" s="4">
        <v>12.7079573091277</v>
      </c>
      <c r="Y2913" s="4">
        <v>12.125626797218001</v>
      </c>
      <c r="Z2913" s="4">
        <v>12.6218520231448</v>
      </c>
      <c r="AA2913" s="4">
        <f t="shared" si="183"/>
        <v>12.485145376496833</v>
      </c>
    </row>
    <row r="2914" spans="2:27" x14ac:dyDescent="0.2">
      <c r="B2914" s="4" t="s">
        <v>4445</v>
      </c>
      <c r="C2914" s="4">
        <v>12.6972</v>
      </c>
      <c r="D2914" s="4">
        <v>12.4514</v>
      </c>
      <c r="E2914" s="4">
        <v>12.384499999999999</v>
      </c>
      <c r="F2914" s="4">
        <f t="shared" si="180"/>
        <v>12.511033333333335</v>
      </c>
      <c r="P2914" s="4" t="str">
        <f>"F36D3.4"</f>
        <v>F36D3.4</v>
      </c>
      <c r="Q2914" s="4">
        <v>11.067390018318401</v>
      </c>
      <c r="R2914" s="4">
        <v>13.529106432815601</v>
      </c>
      <c r="S2914" s="4">
        <v>12.9309211332187</v>
      </c>
      <c r="T2914" s="4">
        <f t="shared" si="182"/>
        <v>12.509139194784234</v>
      </c>
      <c r="W2914" s="4" t="str">
        <f>"air-2"</f>
        <v>air-2</v>
      </c>
      <c r="X2914" s="4">
        <v>12.9814025469173</v>
      </c>
      <c r="Y2914" s="4">
        <v>12.1200285507781</v>
      </c>
      <c r="Z2914" s="4">
        <v>12.3480495756172</v>
      </c>
      <c r="AA2914" s="4">
        <f t="shared" si="183"/>
        <v>12.483160224437533</v>
      </c>
    </row>
    <row r="2915" spans="2:27" x14ac:dyDescent="0.2">
      <c r="B2915" s="4" t="s">
        <v>4277</v>
      </c>
      <c r="C2915" s="4">
        <v>12.739000000000001</v>
      </c>
      <c r="D2915" s="4">
        <v>12.356999999999999</v>
      </c>
      <c r="E2915" s="4">
        <v>12.4186</v>
      </c>
      <c r="F2915" s="4">
        <f t="shared" si="180"/>
        <v>12.504866666666667</v>
      </c>
      <c r="P2915" s="4" t="str">
        <f>"ppfr-4"</f>
        <v>ppfr-4</v>
      </c>
      <c r="Q2915" s="4">
        <v>12.9293633619471</v>
      </c>
      <c r="R2915" s="4">
        <v>12.197807566104901</v>
      </c>
      <c r="S2915" s="4">
        <v>12.394096973295801</v>
      </c>
      <c r="T2915" s="4">
        <f t="shared" si="182"/>
        <v>12.507089300449268</v>
      </c>
      <c r="W2915" s="4" t="str">
        <f>"C54G4.9"</f>
        <v>C54G4.9</v>
      </c>
      <c r="X2915" s="4">
        <v>13.264484600036001</v>
      </c>
      <c r="Y2915" s="4">
        <v>11.9682972268473</v>
      </c>
      <c r="Z2915" s="4">
        <v>12.2111523718204</v>
      </c>
      <c r="AA2915" s="4">
        <f t="shared" si="183"/>
        <v>12.4813113995679</v>
      </c>
    </row>
    <row r="2916" spans="2:27" x14ac:dyDescent="0.2">
      <c r="B2916" s="4" t="s">
        <v>645</v>
      </c>
      <c r="C2916" s="4">
        <v>12.510400000000001</v>
      </c>
      <c r="D2916" s="4">
        <v>12.2417</v>
      </c>
      <c r="E2916" s="4">
        <v>12.7608</v>
      </c>
      <c r="F2916" s="4">
        <f t="shared" si="180"/>
        <v>12.504300000000001</v>
      </c>
      <c r="P2916" s="4" t="str">
        <f>"ech-9"</f>
        <v>ech-9</v>
      </c>
      <c r="Q2916" s="4">
        <v>12.1387853502222</v>
      </c>
      <c r="R2916" s="4">
        <v>12.9798411240091</v>
      </c>
      <c r="S2916" s="4">
        <v>12.398278136196099</v>
      </c>
      <c r="T2916" s="4">
        <f t="shared" si="182"/>
        <v>12.505634870142465</v>
      </c>
      <c r="W2916" s="4" t="str">
        <f>"rpb-4"</f>
        <v>rpb-4</v>
      </c>
      <c r="X2916" s="4">
        <v>12.300318447857901</v>
      </c>
      <c r="Y2916" s="4">
        <v>12.645684693943901</v>
      </c>
      <c r="Z2916" s="4">
        <v>12.4933130851466</v>
      </c>
      <c r="AA2916" s="4">
        <f t="shared" si="183"/>
        <v>12.479772075649469</v>
      </c>
    </row>
    <row r="2917" spans="2:27" x14ac:dyDescent="0.2">
      <c r="B2917" s="4" t="s">
        <v>4849</v>
      </c>
      <c r="C2917" s="4">
        <v>12.3789</v>
      </c>
      <c r="D2917" s="4">
        <v>12.2583</v>
      </c>
      <c r="E2917" s="4">
        <v>12.8713</v>
      </c>
      <c r="F2917" s="4">
        <f t="shared" si="180"/>
        <v>12.502833333333333</v>
      </c>
      <c r="P2917" s="4" t="str">
        <f>"sta-2"</f>
        <v>sta-2</v>
      </c>
      <c r="Q2917" s="4">
        <v>12.5267729387838</v>
      </c>
      <c r="R2917" s="4">
        <v>12.3197474458181</v>
      </c>
      <c r="S2917" s="4">
        <v>12.665555588338201</v>
      </c>
      <c r="T2917" s="4">
        <f t="shared" si="182"/>
        <v>12.504025324313368</v>
      </c>
      <c r="W2917" s="4" t="str">
        <f>"unk-1"</f>
        <v>unk-1</v>
      </c>
      <c r="X2917" s="4">
        <v>12.604407738255601</v>
      </c>
      <c r="Y2917" s="4">
        <v>12.5482418801128</v>
      </c>
      <c r="Z2917" s="4">
        <v>12.276204320062201</v>
      </c>
      <c r="AA2917" s="4">
        <f t="shared" si="183"/>
        <v>12.476284646143533</v>
      </c>
    </row>
    <row r="2918" spans="2:27" x14ac:dyDescent="0.2">
      <c r="B2918" s="4" t="s">
        <v>4517</v>
      </c>
      <c r="C2918" s="4">
        <v>12.2089</v>
      </c>
      <c r="D2918" s="4">
        <v>12.472300000000001</v>
      </c>
      <c r="E2918" s="4">
        <v>12.7346</v>
      </c>
      <c r="F2918" s="4">
        <f t="shared" si="180"/>
        <v>12.471933333333334</v>
      </c>
      <c r="P2918" s="4" t="str">
        <f>"unc-61"</f>
        <v>unc-61</v>
      </c>
      <c r="Q2918" s="4">
        <v>12.6464764419426</v>
      </c>
      <c r="R2918" s="4">
        <v>12.3283578348598</v>
      </c>
      <c r="S2918" s="4">
        <v>12.534653568653701</v>
      </c>
      <c r="T2918" s="4">
        <f t="shared" si="182"/>
        <v>12.503162615152034</v>
      </c>
      <c r="W2918" s="4" t="str">
        <f>"Y50D4A.4"</f>
        <v>Y50D4A.4</v>
      </c>
      <c r="X2918" s="4">
        <v>12.780718558820899</v>
      </c>
      <c r="Y2918" s="4">
        <v>12.101046859330401</v>
      </c>
      <c r="Z2918" s="4">
        <v>12.5280517317088</v>
      </c>
      <c r="AA2918" s="4">
        <f t="shared" si="183"/>
        <v>12.469939049953368</v>
      </c>
    </row>
    <row r="2919" spans="2:27" x14ac:dyDescent="0.2">
      <c r="B2919" s="4" t="s">
        <v>452</v>
      </c>
      <c r="C2919" s="4">
        <v>12.2753</v>
      </c>
      <c r="D2919" s="4">
        <v>12.564</v>
      </c>
      <c r="E2919" s="4">
        <v>12.505000000000001</v>
      </c>
      <c r="F2919" s="4">
        <f t="shared" si="180"/>
        <v>12.448100000000002</v>
      </c>
      <c r="P2919" s="4" t="str">
        <f>"Y26E6A.3"</f>
        <v>Y26E6A.3</v>
      </c>
      <c r="Q2919" s="4">
        <v>11.9683396493405</v>
      </c>
      <c r="R2919" s="4">
        <v>12.6918054316856</v>
      </c>
      <c r="S2919" s="4">
        <v>12.8439309899744</v>
      </c>
      <c r="T2919" s="4">
        <f t="shared" si="182"/>
        <v>12.501358690333499</v>
      </c>
      <c r="W2919" s="4" t="str">
        <f>"C18C4.7"</f>
        <v>C18C4.7</v>
      </c>
      <c r="X2919" s="4">
        <v>12.7205395658348</v>
      </c>
      <c r="Y2919" s="4">
        <v>12.258623778494499</v>
      </c>
      <c r="Z2919" s="4">
        <v>12.414200831782701</v>
      </c>
      <c r="AA2919" s="4">
        <f t="shared" si="183"/>
        <v>12.464454725370667</v>
      </c>
    </row>
    <row r="2920" spans="2:27" x14ac:dyDescent="0.2">
      <c r="B2920" s="4" t="s">
        <v>2039</v>
      </c>
      <c r="C2920" s="4">
        <v>12.242699999999999</v>
      </c>
      <c r="D2920" s="4">
        <v>12.1669</v>
      </c>
      <c r="E2920" s="4">
        <v>12.920999999999999</v>
      </c>
      <c r="F2920" s="4">
        <f t="shared" si="180"/>
        <v>12.443533333333333</v>
      </c>
      <c r="P2920" s="4" t="str">
        <f>"arx-5"</f>
        <v>arx-5</v>
      </c>
      <c r="Q2920" s="4">
        <v>12.3793380565664</v>
      </c>
      <c r="R2920" s="4">
        <v>12.481709415134601</v>
      </c>
      <c r="S2920" s="4">
        <v>12.6389527709115</v>
      </c>
      <c r="T2920" s="4">
        <f t="shared" si="182"/>
        <v>12.500000080870834</v>
      </c>
      <c r="W2920" s="4" t="str">
        <f>"frm-2"</f>
        <v>frm-2</v>
      </c>
      <c r="X2920" s="4">
        <v>12.401301690059899</v>
      </c>
      <c r="Y2920" s="4">
        <v>12.5557598250148</v>
      </c>
      <c r="Z2920" s="4">
        <v>12.4336797922338</v>
      </c>
      <c r="AA2920" s="4">
        <f t="shared" si="183"/>
        <v>12.463580435769501</v>
      </c>
    </row>
    <row r="2921" spans="2:27" x14ac:dyDescent="0.2">
      <c r="B2921" s="4" t="s">
        <v>4865</v>
      </c>
      <c r="C2921" s="4">
        <v>12.6327</v>
      </c>
      <c r="D2921" s="4">
        <v>12.338800000000001</v>
      </c>
      <c r="E2921" s="4">
        <v>12.3553</v>
      </c>
      <c r="F2921" s="4">
        <f t="shared" si="180"/>
        <v>12.442266666666667</v>
      </c>
      <c r="P2921" s="4" t="str">
        <f>"syx-5"</f>
        <v>syx-5</v>
      </c>
      <c r="Q2921" s="4">
        <v>12.3978635450983</v>
      </c>
      <c r="R2921" s="4">
        <v>12.6426855557651</v>
      </c>
      <c r="S2921" s="4">
        <v>12.4592997076795</v>
      </c>
      <c r="T2921" s="4">
        <f t="shared" si="182"/>
        <v>12.499949602847634</v>
      </c>
      <c r="W2921" s="4" t="str">
        <f>"nhr-49"</f>
        <v>nhr-49</v>
      </c>
      <c r="X2921" s="4">
        <v>12.6337714472409</v>
      </c>
      <c r="Y2921" s="4">
        <v>12.5884705479932</v>
      </c>
      <c r="Z2921" s="4">
        <v>12.1514907056316</v>
      </c>
      <c r="AA2921" s="4">
        <f t="shared" si="183"/>
        <v>12.457910900288567</v>
      </c>
    </row>
    <row r="2922" spans="2:27" x14ac:dyDescent="0.2">
      <c r="B2922" s="4" t="s">
        <v>2195</v>
      </c>
      <c r="C2922" s="4">
        <v>12.4802</v>
      </c>
      <c r="D2922" s="4">
        <v>12.585599999999999</v>
      </c>
      <c r="E2922" s="4">
        <v>12.2492</v>
      </c>
      <c r="F2922" s="4">
        <f t="shared" si="180"/>
        <v>12.438333333333333</v>
      </c>
      <c r="P2922" s="4" t="str">
        <f>"cle-1"</f>
        <v>cle-1</v>
      </c>
      <c r="Q2922" s="4">
        <v>12.4038765056551</v>
      </c>
      <c r="R2922" s="4">
        <v>12.4529406770761</v>
      </c>
      <c r="S2922" s="4">
        <v>12.642397653859</v>
      </c>
      <c r="T2922" s="4">
        <f t="shared" si="182"/>
        <v>12.499738278863399</v>
      </c>
      <c r="W2922" s="4" t="str">
        <f>"arx-1"</f>
        <v>arx-1</v>
      </c>
      <c r="X2922" s="4">
        <v>12.855753639219699</v>
      </c>
      <c r="Y2922" s="4">
        <v>12.0044074194939</v>
      </c>
      <c r="Z2922" s="4">
        <v>12.506377997649</v>
      </c>
      <c r="AA2922" s="4">
        <f t="shared" si="183"/>
        <v>12.455513018787533</v>
      </c>
    </row>
    <row r="2923" spans="2:27" x14ac:dyDescent="0.2">
      <c r="B2923" s="4" t="s">
        <v>138</v>
      </c>
      <c r="C2923" s="4">
        <v>12.0602</v>
      </c>
      <c r="D2923" s="4">
        <v>12.6167</v>
      </c>
      <c r="E2923" s="4">
        <v>12.6303</v>
      </c>
      <c r="F2923" s="4">
        <f t="shared" si="180"/>
        <v>12.435733333333333</v>
      </c>
      <c r="P2923" s="4" t="str">
        <f>"tbc-18"</f>
        <v>tbc-18</v>
      </c>
      <c r="Q2923" s="4">
        <v>12.166565557460499</v>
      </c>
      <c r="R2923" s="4">
        <v>12.7549985620299</v>
      </c>
      <c r="S2923" s="4">
        <v>12.5761103585571</v>
      </c>
      <c r="T2923" s="4">
        <f t="shared" si="182"/>
        <v>12.499224826015833</v>
      </c>
      <c r="W2923" s="4" t="str">
        <f>"sqst-1"</f>
        <v>sqst-1</v>
      </c>
      <c r="X2923" s="4">
        <v>12.418664514529899</v>
      </c>
      <c r="Y2923" s="4">
        <v>12.367764181021</v>
      </c>
      <c r="Z2923" s="4">
        <v>12.571970501248099</v>
      </c>
      <c r="AA2923" s="4">
        <f t="shared" si="183"/>
        <v>12.452799732266334</v>
      </c>
    </row>
    <row r="2924" spans="2:27" x14ac:dyDescent="0.2">
      <c r="B2924" s="4" t="s">
        <v>4858</v>
      </c>
      <c r="C2924" s="4">
        <v>12.562200000000001</v>
      </c>
      <c r="D2924" s="4">
        <v>12.385199999999999</v>
      </c>
      <c r="E2924" s="4">
        <v>12.3439</v>
      </c>
      <c r="F2924" s="4">
        <f t="shared" si="180"/>
        <v>12.430433333333333</v>
      </c>
      <c r="P2924" s="4" t="str">
        <f>"F22G12.4"</f>
        <v>F22G12.4</v>
      </c>
      <c r="Q2924" s="4">
        <v>12.5985794905109</v>
      </c>
      <c r="R2924" s="4">
        <v>12.564717440943699</v>
      </c>
      <c r="S2924" s="4">
        <v>12.333064581355501</v>
      </c>
      <c r="T2924" s="4">
        <f t="shared" si="182"/>
        <v>12.4987871709367</v>
      </c>
      <c r="W2924" s="4" t="str">
        <f>"plc-3"</f>
        <v>plc-3</v>
      </c>
      <c r="X2924" s="4">
        <v>12.776367067742401</v>
      </c>
      <c r="Y2924" s="4">
        <v>12.253446008567201</v>
      </c>
      <c r="Z2924" s="4">
        <v>12.3101300778113</v>
      </c>
      <c r="AA2924" s="4">
        <f t="shared" si="183"/>
        <v>12.446647718040301</v>
      </c>
    </row>
    <row r="2925" spans="2:27" x14ac:dyDescent="0.2">
      <c r="B2925" s="4" t="s">
        <v>4832</v>
      </c>
      <c r="C2925" s="4">
        <v>12.358700000000001</v>
      </c>
      <c r="D2925" s="4">
        <v>12.530799999999999</v>
      </c>
      <c r="E2925" s="4">
        <v>12.4009</v>
      </c>
      <c r="F2925" s="4">
        <f t="shared" si="180"/>
        <v>12.430133333333332</v>
      </c>
      <c r="P2925" s="4" t="str">
        <f>"ZC204.12"</f>
        <v>ZC204.12</v>
      </c>
      <c r="Q2925" s="4">
        <v>12.4195602853625</v>
      </c>
      <c r="R2925" s="4">
        <v>12.687851549140101</v>
      </c>
      <c r="S2925" s="4">
        <v>12.380061611159</v>
      </c>
      <c r="T2925" s="4">
        <f t="shared" si="182"/>
        <v>12.495824481887199</v>
      </c>
      <c r="W2925" s="4" t="str">
        <f>"mcd-1"</f>
        <v>mcd-1</v>
      </c>
      <c r="X2925" s="4">
        <v>12.5873441877436</v>
      </c>
      <c r="Y2925" s="4">
        <v>12.810210919077299</v>
      </c>
      <c r="Z2925" s="4">
        <v>11.9259764048655</v>
      </c>
      <c r="AA2925" s="4">
        <f t="shared" si="183"/>
        <v>12.441177170562133</v>
      </c>
    </row>
    <row r="2926" spans="2:27" x14ac:dyDescent="0.2">
      <c r="B2926" s="4" t="s">
        <v>893</v>
      </c>
      <c r="C2926" s="4">
        <v>12.200900000000001</v>
      </c>
      <c r="D2926" s="4">
        <v>12.7676</v>
      </c>
      <c r="E2926" s="4">
        <v>12.3192</v>
      </c>
      <c r="F2926" s="4">
        <f t="shared" si="180"/>
        <v>12.429233333333334</v>
      </c>
      <c r="P2926" s="4" t="str">
        <f>"puf-5"</f>
        <v>puf-5</v>
      </c>
      <c r="Q2926" s="4">
        <v>12.6349895404778</v>
      </c>
      <c r="R2926" s="4">
        <v>12.3793614913182</v>
      </c>
      <c r="S2926" s="4">
        <v>12.4653119699471</v>
      </c>
      <c r="T2926" s="4">
        <f t="shared" si="182"/>
        <v>12.493221000581032</v>
      </c>
      <c r="W2926" s="4" t="str">
        <f>"F36D3.4"</f>
        <v>F36D3.4</v>
      </c>
      <c r="X2926" s="4">
        <v>12.686007963647301</v>
      </c>
      <c r="Y2926" s="4">
        <v>12.374346581031199</v>
      </c>
      <c r="Z2926" s="4">
        <v>12.262001111986301</v>
      </c>
      <c r="AA2926" s="4">
        <f t="shared" si="183"/>
        <v>12.440785218888266</v>
      </c>
    </row>
    <row r="2927" spans="2:27" x14ac:dyDescent="0.2">
      <c r="B2927" s="4" t="s">
        <v>1311</v>
      </c>
      <c r="C2927" s="4">
        <v>12.2623</v>
      </c>
      <c r="D2927" s="4">
        <v>12.490600000000001</v>
      </c>
      <c r="E2927" s="4">
        <v>12.4815</v>
      </c>
      <c r="F2927" s="4">
        <f t="shared" si="180"/>
        <v>12.411466666666668</v>
      </c>
      <c r="P2927" s="4" t="str">
        <f>"B0273.1"</f>
        <v>B0273.1</v>
      </c>
      <c r="Q2927" s="4">
        <v>12.0722800093716</v>
      </c>
      <c r="R2927" s="4">
        <v>12.911515434979499</v>
      </c>
      <c r="S2927" s="4">
        <v>12.495236452780199</v>
      </c>
      <c r="T2927" s="4">
        <f t="shared" si="182"/>
        <v>12.4930106323771</v>
      </c>
      <c r="W2927" s="4" t="str">
        <f>"nlp-77"</f>
        <v>nlp-77</v>
      </c>
      <c r="X2927" s="4">
        <v>13.0212030459346</v>
      </c>
      <c r="Y2927" s="4">
        <v>12.090663185976</v>
      </c>
      <c r="Z2927" s="4">
        <v>12.2100440037471</v>
      </c>
      <c r="AA2927" s="4">
        <f t="shared" si="183"/>
        <v>12.440636745219232</v>
      </c>
    </row>
    <row r="2928" spans="2:27" x14ac:dyDescent="0.2">
      <c r="B2928" s="4" t="s">
        <v>1132</v>
      </c>
      <c r="C2928" s="4">
        <v>12.3834</v>
      </c>
      <c r="D2928" s="4">
        <v>12.488899999999999</v>
      </c>
      <c r="E2928" s="4">
        <v>12.3597</v>
      </c>
      <c r="F2928" s="4">
        <f t="shared" si="180"/>
        <v>12.410666666666666</v>
      </c>
      <c r="P2928" s="4" t="str">
        <f>"cest-5.1"</f>
        <v>cest-5.1</v>
      </c>
      <c r="Q2928" s="4">
        <v>12.0002536316463</v>
      </c>
      <c r="R2928" s="4">
        <v>13.050683813743399</v>
      </c>
      <c r="S2928" s="4">
        <v>12.426792114423501</v>
      </c>
      <c r="T2928" s="4">
        <f t="shared" si="182"/>
        <v>12.492576519937733</v>
      </c>
      <c r="W2928" s="4" t="str">
        <f>"lin-36"</f>
        <v>lin-36</v>
      </c>
      <c r="X2928" s="4">
        <v>12.679691267114499</v>
      </c>
      <c r="Y2928" s="4">
        <v>12.396009070017</v>
      </c>
      <c r="Z2928" s="4">
        <v>12.2291241878563</v>
      </c>
      <c r="AA2928" s="4">
        <f t="shared" si="183"/>
        <v>12.434941508329267</v>
      </c>
    </row>
    <row r="2929" spans="2:27" x14ac:dyDescent="0.2">
      <c r="B2929" s="4" t="s">
        <v>1605</v>
      </c>
      <c r="C2929" s="4">
        <v>12.6669</v>
      </c>
      <c r="D2929" s="4">
        <v>12.410500000000001</v>
      </c>
      <c r="E2929" s="4">
        <v>12.1525</v>
      </c>
      <c r="F2929" s="4">
        <f t="shared" si="180"/>
        <v>12.409966666666667</v>
      </c>
      <c r="P2929" s="4" t="str">
        <f>"rsd-2"</f>
        <v>rsd-2</v>
      </c>
      <c r="Q2929" s="4">
        <v>12.414504462859799</v>
      </c>
      <c r="R2929" s="4">
        <v>12.506027569637199</v>
      </c>
      <c r="S2929" s="4">
        <v>12.550735522469999</v>
      </c>
      <c r="T2929" s="4">
        <f t="shared" si="182"/>
        <v>12.490422518322333</v>
      </c>
      <c r="W2929" s="4" t="str">
        <f>"Y15E3A.4"</f>
        <v>Y15E3A.4</v>
      </c>
      <c r="X2929" s="4">
        <v>12.918934955184101</v>
      </c>
      <c r="Y2929" s="4">
        <v>11.9548217933754</v>
      </c>
      <c r="Z2929" s="4">
        <v>12.428670856476399</v>
      </c>
      <c r="AA2929" s="4">
        <f t="shared" si="183"/>
        <v>12.434142535011967</v>
      </c>
    </row>
    <row r="2930" spans="2:27" x14ac:dyDescent="0.2">
      <c r="B2930" s="4" t="s">
        <v>3105</v>
      </c>
      <c r="C2930" s="4">
        <v>12.0854</v>
      </c>
      <c r="D2930" s="4">
        <v>12.533899999999999</v>
      </c>
      <c r="E2930" s="4">
        <v>12.5928</v>
      </c>
      <c r="F2930" s="4">
        <f t="shared" si="180"/>
        <v>12.404033333333333</v>
      </c>
      <c r="P2930" s="4" t="str">
        <f>"zen-4"</f>
        <v>zen-4</v>
      </c>
      <c r="Q2930" s="4">
        <v>12.257680037052801</v>
      </c>
      <c r="R2930" s="4">
        <v>12.3845318725787</v>
      </c>
      <c r="S2930" s="4">
        <v>12.8275506467731</v>
      </c>
      <c r="T2930" s="4">
        <f t="shared" si="182"/>
        <v>12.489920852134865</v>
      </c>
      <c r="W2930" s="4" t="str">
        <f>"noah-2"</f>
        <v>noah-2</v>
      </c>
      <c r="X2930" s="4">
        <v>11.971345106341699</v>
      </c>
      <c r="Y2930" s="4">
        <v>12.525523718829801</v>
      </c>
      <c r="Z2930" s="4">
        <v>12.805544850888401</v>
      </c>
      <c r="AA2930" s="4">
        <f t="shared" si="183"/>
        <v>12.434137892019967</v>
      </c>
    </row>
    <row r="2931" spans="2:27" x14ac:dyDescent="0.2">
      <c r="B2931" s="4" t="s">
        <v>2175</v>
      </c>
      <c r="C2931" s="4">
        <v>12.3858</v>
      </c>
      <c r="D2931" s="4">
        <v>12.285500000000001</v>
      </c>
      <c r="E2931" s="4">
        <v>12.518000000000001</v>
      </c>
      <c r="F2931" s="4">
        <f t="shared" si="180"/>
        <v>12.396433333333334</v>
      </c>
      <c r="P2931" s="4" t="str">
        <f>"capg-2"</f>
        <v>capg-2</v>
      </c>
      <c r="Q2931" s="4">
        <v>12.4654459697334</v>
      </c>
      <c r="R2931" s="4">
        <v>12.652266292733501</v>
      </c>
      <c r="S2931" s="4">
        <v>12.352014021007401</v>
      </c>
      <c r="T2931" s="4">
        <f t="shared" si="182"/>
        <v>12.4899087611581</v>
      </c>
      <c r="W2931" s="4" t="str">
        <f>"cox-5b"</f>
        <v>cox-5b</v>
      </c>
      <c r="X2931" s="4">
        <v>12.2900848777692</v>
      </c>
      <c r="Y2931" s="4">
        <v>12.4105962614364</v>
      </c>
      <c r="Z2931" s="4">
        <v>12.5981832324024</v>
      </c>
      <c r="AA2931" s="4">
        <f t="shared" si="183"/>
        <v>12.432954790536</v>
      </c>
    </row>
    <row r="2932" spans="2:27" x14ac:dyDescent="0.2">
      <c r="B2932" s="4" t="s">
        <v>4854</v>
      </c>
      <c r="C2932" s="4">
        <v>12.2827</v>
      </c>
      <c r="D2932" s="4">
        <v>12.4366</v>
      </c>
      <c r="E2932" s="4">
        <v>12.4473</v>
      </c>
      <c r="F2932" s="4">
        <f t="shared" si="180"/>
        <v>12.388866666666667</v>
      </c>
      <c r="P2932" s="4" t="str">
        <f>"eef-1B.2"</f>
        <v>eef-1B.2</v>
      </c>
      <c r="Q2932" s="4">
        <v>12.676694134043601</v>
      </c>
      <c r="R2932" s="4">
        <v>12.533465883675801</v>
      </c>
      <c r="S2932" s="4">
        <v>12.2552061301016</v>
      </c>
      <c r="T2932" s="4">
        <f t="shared" si="182"/>
        <v>12.488455382607</v>
      </c>
      <c r="W2932" s="4" t="str">
        <f>"E02H1.6"</f>
        <v>E02H1.6</v>
      </c>
      <c r="X2932" s="4">
        <v>12.754759860449701</v>
      </c>
      <c r="Y2932" s="4">
        <v>12.1670745862261</v>
      </c>
      <c r="Z2932" s="4">
        <v>12.3755346392951</v>
      </c>
      <c r="AA2932" s="4">
        <f t="shared" si="183"/>
        <v>12.432456361990299</v>
      </c>
    </row>
    <row r="2933" spans="2:27" x14ac:dyDescent="0.2">
      <c r="B2933" s="4" t="s">
        <v>4866</v>
      </c>
      <c r="C2933" s="4">
        <v>12.3415</v>
      </c>
      <c r="D2933" s="4">
        <v>12.419700000000001</v>
      </c>
      <c r="E2933" s="4">
        <v>12.3605</v>
      </c>
      <c r="F2933" s="4">
        <f t="shared" si="180"/>
        <v>12.373900000000001</v>
      </c>
      <c r="P2933" s="4" t="str">
        <f>"C27B7.5"</f>
        <v>C27B7.5</v>
      </c>
      <c r="Q2933" s="4">
        <v>12.322668753833099</v>
      </c>
      <c r="R2933" s="4">
        <v>12.816809525829299</v>
      </c>
      <c r="S2933" s="4">
        <v>12.3230332226463</v>
      </c>
      <c r="T2933" s="4">
        <f t="shared" si="182"/>
        <v>12.487503834102901</v>
      </c>
      <c r="W2933" s="4" t="str">
        <f>"trmt-10C.1"</f>
        <v>trmt-10C.1</v>
      </c>
      <c r="X2933" s="4">
        <v>12.4626274995644</v>
      </c>
      <c r="Y2933" s="4">
        <v>12.5333201477796</v>
      </c>
      <c r="Z2933" s="4">
        <v>12.295207016518701</v>
      </c>
      <c r="AA2933" s="4">
        <f t="shared" si="183"/>
        <v>12.430384887954233</v>
      </c>
    </row>
    <row r="2934" spans="2:27" x14ac:dyDescent="0.2">
      <c r="B2934" s="4" t="s">
        <v>4149</v>
      </c>
      <c r="C2934" s="4">
        <v>12.2454</v>
      </c>
      <c r="D2934" s="4">
        <v>12.192500000000001</v>
      </c>
      <c r="E2934" s="4">
        <v>12.678800000000001</v>
      </c>
      <c r="F2934" s="4">
        <f t="shared" si="180"/>
        <v>12.372233333333334</v>
      </c>
      <c r="P2934" s="4" t="str">
        <f>"crn-3"</f>
        <v>crn-3</v>
      </c>
      <c r="Q2934" s="4">
        <v>12.2197739661183</v>
      </c>
      <c r="R2934" s="4">
        <v>12.7410622021169</v>
      </c>
      <c r="S2934" s="4">
        <v>12.4732644412271</v>
      </c>
      <c r="T2934" s="4">
        <f t="shared" si="182"/>
        <v>12.478033536487432</v>
      </c>
      <c r="W2934" s="4" t="str">
        <f>"C37A5.7"</f>
        <v>C37A5.7</v>
      </c>
      <c r="X2934" s="4">
        <v>12.123960912448499</v>
      </c>
      <c r="Y2934" s="4">
        <v>12.4740303381994</v>
      </c>
      <c r="Z2934" s="4">
        <v>12.690259953170001</v>
      </c>
      <c r="AA2934" s="4">
        <f t="shared" si="183"/>
        <v>12.429417067939299</v>
      </c>
    </row>
    <row r="2935" spans="2:27" x14ac:dyDescent="0.2">
      <c r="B2935" s="4" t="s">
        <v>1810</v>
      </c>
      <c r="C2935" s="4">
        <v>12.6107</v>
      </c>
      <c r="D2935" s="4">
        <v>12.4963</v>
      </c>
      <c r="E2935" s="4">
        <v>11.972799999999999</v>
      </c>
      <c r="F2935" s="4">
        <f t="shared" si="180"/>
        <v>12.359933333333332</v>
      </c>
      <c r="P2935" s="4" t="str">
        <f>"dnj-7"</f>
        <v>dnj-7</v>
      </c>
      <c r="Q2935" s="4">
        <v>12.5012454219949</v>
      </c>
      <c r="R2935" s="4">
        <v>12.481485140279201</v>
      </c>
      <c r="S2935" s="4">
        <v>12.4466090557636</v>
      </c>
      <c r="T2935" s="4">
        <f t="shared" si="182"/>
        <v>12.476446539345901</v>
      </c>
      <c r="W2935" s="4" t="str">
        <f>"flu-2"</f>
        <v>flu-2</v>
      </c>
      <c r="X2935" s="4">
        <v>13.0781135753785</v>
      </c>
      <c r="Y2935" s="4">
        <v>11.742635737453901</v>
      </c>
      <c r="Z2935" s="4">
        <v>12.466171837705099</v>
      </c>
      <c r="AA2935" s="4">
        <f t="shared" si="183"/>
        <v>12.428973716845833</v>
      </c>
    </row>
    <row r="2936" spans="2:27" x14ac:dyDescent="0.2">
      <c r="B2936" s="4" t="s">
        <v>4473</v>
      </c>
      <c r="C2936" s="4">
        <v>12.0001</v>
      </c>
      <c r="D2936" s="4">
        <v>12.4222</v>
      </c>
      <c r="E2936" s="4">
        <v>12.611599999999999</v>
      </c>
      <c r="F2936" s="4">
        <f t="shared" si="180"/>
        <v>12.344633333333334</v>
      </c>
      <c r="P2936" s="4" t="str">
        <f>"tnt-2"</f>
        <v>tnt-2</v>
      </c>
      <c r="Q2936" s="4">
        <v>12.0828799560951</v>
      </c>
      <c r="R2936" s="4">
        <v>12.8700836661657</v>
      </c>
      <c r="S2936" s="4">
        <v>12.471906587180101</v>
      </c>
      <c r="T2936" s="4">
        <f t="shared" si="182"/>
        <v>12.4749567364803</v>
      </c>
      <c r="W2936" s="4" t="str">
        <f>"Y48G1C.8"</f>
        <v>Y48G1C.8</v>
      </c>
      <c r="X2936" s="4">
        <v>12.185238704299501</v>
      </c>
      <c r="Y2936" s="4">
        <v>12.569215456126001</v>
      </c>
      <c r="Z2936" s="4">
        <v>12.519669107714</v>
      </c>
      <c r="AA2936" s="4">
        <f t="shared" si="183"/>
        <v>12.424707756046502</v>
      </c>
    </row>
    <row r="2937" spans="2:27" x14ac:dyDescent="0.2">
      <c r="B2937" s="4" t="s">
        <v>1200</v>
      </c>
      <c r="C2937" s="4">
        <v>12.493499999999999</v>
      </c>
      <c r="D2937" s="4">
        <v>12.153600000000001</v>
      </c>
      <c r="E2937" s="4">
        <v>12.3622</v>
      </c>
      <c r="F2937" s="4">
        <f t="shared" si="180"/>
        <v>12.336433333333334</v>
      </c>
      <c r="P2937" s="4" t="str">
        <f>"cey-1"</f>
        <v>cey-1</v>
      </c>
      <c r="Q2937" s="4">
        <v>11.8720942307159</v>
      </c>
      <c r="R2937" s="4">
        <v>12.985335832773799</v>
      </c>
      <c r="S2937" s="4">
        <v>12.5628032459673</v>
      </c>
      <c r="T2937" s="4">
        <f t="shared" si="182"/>
        <v>12.473411103152335</v>
      </c>
      <c r="W2937" s="4" t="str">
        <f>"tcc-1"</f>
        <v>tcc-1</v>
      </c>
      <c r="X2937" s="4">
        <v>12.341255445999201</v>
      </c>
      <c r="Y2937" s="4">
        <v>12.5803030663266</v>
      </c>
      <c r="Z2937" s="4">
        <v>12.351369591647201</v>
      </c>
      <c r="AA2937" s="4">
        <f t="shared" si="183"/>
        <v>12.424309367991</v>
      </c>
    </row>
    <row r="2938" spans="2:27" x14ac:dyDescent="0.2">
      <c r="B2938" s="4" t="s">
        <v>3617</v>
      </c>
      <c r="C2938" s="4">
        <v>12.2087</v>
      </c>
      <c r="D2938" s="4">
        <v>12.17</v>
      </c>
      <c r="E2938" s="4">
        <v>12.616400000000001</v>
      </c>
      <c r="F2938" s="4">
        <f t="shared" si="180"/>
        <v>12.3317</v>
      </c>
      <c r="P2938" s="4" t="str">
        <f>"cap-1"</f>
        <v>cap-1</v>
      </c>
      <c r="Q2938" s="4">
        <v>12.217535192527199</v>
      </c>
      <c r="R2938" s="4">
        <v>12.588054877756701</v>
      </c>
      <c r="S2938" s="4">
        <v>12.611392864247099</v>
      </c>
      <c r="T2938" s="4">
        <f t="shared" si="182"/>
        <v>12.472327644843666</v>
      </c>
      <c r="W2938" s="4" t="str">
        <f>"cogc-2"</f>
        <v>cogc-2</v>
      </c>
      <c r="X2938" s="4">
        <v>12.602207948421899</v>
      </c>
      <c r="Y2938" s="4">
        <v>12.223748540330099</v>
      </c>
      <c r="Z2938" s="4">
        <v>12.444609395048101</v>
      </c>
      <c r="AA2938" s="4">
        <f t="shared" si="183"/>
        <v>12.423521961266701</v>
      </c>
    </row>
    <row r="2939" spans="2:27" x14ac:dyDescent="0.2">
      <c r="B2939" s="4" t="s">
        <v>4860</v>
      </c>
      <c r="C2939" s="4">
        <v>12.064399999999999</v>
      </c>
      <c r="D2939" s="4">
        <v>12.4392</v>
      </c>
      <c r="E2939" s="4">
        <v>12.4293</v>
      </c>
      <c r="F2939" s="4">
        <f t="shared" si="180"/>
        <v>12.310966666666666</v>
      </c>
      <c r="P2939" s="4" t="str">
        <f>"ndk-1"</f>
        <v>ndk-1</v>
      </c>
      <c r="Q2939" s="4">
        <v>11.8252232825711</v>
      </c>
      <c r="R2939" s="4">
        <v>13.0199562742034</v>
      </c>
      <c r="S2939" s="4">
        <v>12.568249291007</v>
      </c>
      <c r="T2939" s="4">
        <f t="shared" si="182"/>
        <v>12.471142949260502</v>
      </c>
      <c r="W2939" s="4" t="str">
        <f>"cap-1"</f>
        <v>cap-1</v>
      </c>
      <c r="X2939" s="4">
        <v>12.2291615027346</v>
      </c>
      <c r="Y2939" s="4">
        <v>12.589663637939999</v>
      </c>
      <c r="Z2939" s="4">
        <v>12.451482468662601</v>
      </c>
      <c r="AA2939" s="4">
        <f t="shared" si="183"/>
        <v>12.423435869779064</v>
      </c>
    </row>
    <row r="2940" spans="2:27" x14ac:dyDescent="0.2">
      <c r="B2940" s="4" t="s">
        <v>3348</v>
      </c>
      <c r="C2940" s="4">
        <v>12.254</v>
      </c>
      <c r="D2940" s="4">
        <v>12.438700000000001</v>
      </c>
      <c r="E2940" s="4">
        <v>12.227499999999999</v>
      </c>
      <c r="F2940" s="4">
        <f t="shared" si="180"/>
        <v>12.306733333333334</v>
      </c>
      <c r="P2940" s="4" t="str">
        <f>"dct-6"</f>
        <v>dct-6</v>
      </c>
      <c r="Q2940" s="4">
        <v>12.4203433645574</v>
      </c>
      <c r="R2940" s="4">
        <v>12.5127743754646</v>
      </c>
      <c r="S2940" s="4">
        <v>12.4790070698335</v>
      </c>
      <c r="T2940" s="4">
        <f t="shared" si="182"/>
        <v>12.470708269951833</v>
      </c>
      <c r="W2940" s="4" t="str">
        <f>"nhr-88"</f>
        <v>nhr-88</v>
      </c>
      <c r="X2940" s="4">
        <v>12.3704610705849</v>
      </c>
      <c r="Y2940" s="4">
        <v>12.2752156353309</v>
      </c>
      <c r="Z2940" s="4">
        <v>12.6180137269656</v>
      </c>
      <c r="AA2940" s="4">
        <f t="shared" si="183"/>
        <v>12.421230144293801</v>
      </c>
    </row>
    <row r="2941" spans="2:27" x14ac:dyDescent="0.2">
      <c r="B2941" s="4" t="s">
        <v>4534</v>
      </c>
      <c r="C2941" s="4">
        <v>12.7323</v>
      </c>
      <c r="D2941" s="4">
        <v>12.039199999999999</v>
      </c>
      <c r="E2941" s="4">
        <v>12.087199999999999</v>
      </c>
      <c r="F2941" s="4">
        <f t="shared" si="180"/>
        <v>12.286233333333334</v>
      </c>
      <c r="P2941" s="4" t="str">
        <f>"phy-2"</f>
        <v>phy-2</v>
      </c>
      <c r="Q2941" s="4">
        <v>12.584362970567399</v>
      </c>
      <c r="R2941" s="4">
        <v>12.4553882725747</v>
      </c>
      <c r="S2941" s="4">
        <v>12.3700737966474</v>
      </c>
      <c r="T2941" s="4">
        <f t="shared" si="182"/>
        <v>12.469941679929832</v>
      </c>
      <c r="W2941" s="4" t="str">
        <f>"bet-1"</f>
        <v>bet-1</v>
      </c>
      <c r="X2941" s="4">
        <v>12.3756442093317</v>
      </c>
      <c r="Y2941" s="4">
        <v>12.3858908599149</v>
      </c>
      <c r="Z2941" s="4">
        <v>12.4992849509271</v>
      </c>
      <c r="AA2941" s="4">
        <f t="shared" si="183"/>
        <v>12.420273340057898</v>
      </c>
    </row>
    <row r="2942" spans="2:27" x14ac:dyDescent="0.2">
      <c r="B2942" s="4" t="s">
        <v>815</v>
      </c>
      <c r="C2942" s="4">
        <v>12.195600000000001</v>
      </c>
      <c r="D2942" s="4">
        <v>12.3573</v>
      </c>
      <c r="E2942" s="4">
        <v>12.294700000000001</v>
      </c>
      <c r="F2942" s="4">
        <f t="shared" si="180"/>
        <v>12.282533333333333</v>
      </c>
      <c r="P2942" s="4" t="str">
        <f>"argk-1"</f>
        <v>argk-1</v>
      </c>
      <c r="Q2942" s="4">
        <v>12.221753037743101</v>
      </c>
      <c r="R2942" s="4">
        <v>12.6591435099336</v>
      </c>
      <c r="S2942" s="4">
        <v>12.527726337553499</v>
      </c>
      <c r="T2942" s="4">
        <f t="shared" si="182"/>
        <v>12.4695409617434</v>
      </c>
      <c r="W2942" s="4" t="str">
        <f>"rgl-1"</f>
        <v>rgl-1</v>
      </c>
      <c r="X2942" s="4">
        <v>12.342771609748199</v>
      </c>
      <c r="Y2942" s="4">
        <v>12.6711253490327</v>
      </c>
      <c r="Z2942" s="4">
        <v>12.2417290014585</v>
      </c>
      <c r="AA2942" s="4">
        <f t="shared" si="183"/>
        <v>12.418541986746467</v>
      </c>
    </row>
    <row r="2943" spans="2:27" x14ac:dyDescent="0.2">
      <c r="B2943" s="4" t="s">
        <v>3251</v>
      </c>
      <c r="C2943" s="4">
        <v>12.1778</v>
      </c>
      <c r="D2943" s="4">
        <v>12.313000000000001</v>
      </c>
      <c r="E2943" s="4">
        <v>12.312900000000001</v>
      </c>
      <c r="F2943" s="4">
        <f t="shared" si="180"/>
        <v>12.267899999999999</v>
      </c>
      <c r="P2943" s="4" t="str">
        <f>"T05F1.2"</f>
        <v>T05F1.2</v>
      </c>
      <c r="Q2943" s="4">
        <v>12.507732867696401</v>
      </c>
      <c r="R2943" s="4">
        <v>12.713632787195101</v>
      </c>
      <c r="S2943" s="4">
        <v>12.183047104478501</v>
      </c>
      <c r="T2943" s="4">
        <f t="shared" si="182"/>
        <v>12.468137586456669</v>
      </c>
      <c r="W2943" s="4" t="str">
        <f>"C34F6.10"</f>
        <v>C34F6.10</v>
      </c>
      <c r="X2943" s="4">
        <v>12.551948497867601</v>
      </c>
      <c r="Y2943" s="4">
        <v>12.319384614424401</v>
      </c>
      <c r="Z2943" s="4">
        <v>12.384260885385</v>
      </c>
      <c r="AA2943" s="4">
        <f t="shared" si="183"/>
        <v>12.418531332558999</v>
      </c>
    </row>
    <row r="2944" spans="2:27" x14ac:dyDescent="0.2">
      <c r="B2944" s="4" t="s">
        <v>2518</v>
      </c>
      <c r="C2944" s="4">
        <v>11.930300000000001</v>
      </c>
      <c r="D2944" s="4">
        <v>12.1166</v>
      </c>
      <c r="E2944" s="4">
        <v>12.751200000000001</v>
      </c>
      <c r="F2944" s="4">
        <f t="shared" si="180"/>
        <v>12.266033333333334</v>
      </c>
      <c r="P2944" s="4" t="str">
        <f>"F39B2.3"</f>
        <v>F39B2.3</v>
      </c>
      <c r="Q2944" s="4">
        <v>12.5730743143752</v>
      </c>
      <c r="R2944" s="4">
        <v>12.627477742907701</v>
      </c>
      <c r="S2944" s="4">
        <v>12.203543546448101</v>
      </c>
      <c r="T2944" s="4">
        <f t="shared" si="182"/>
        <v>12.468031867910334</v>
      </c>
      <c r="W2944" s="4" t="str">
        <f>"ZK899.2"</f>
        <v>ZK899.2</v>
      </c>
      <c r="X2944" s="4">
        <v>12.478106028640701</v>
      </c>
      <c r="Y2944" s="4">
        <v>12.0354219138645</v>
      </c>
      <c r="Z2944" s="4">
        <v>12.7387812779178</v>
      </c>
      <c r="AA2944" s="4">
        <f t="shared" si="183"/>
        <v>12.417436406807667</v>
      </c>
    </row>
    <row r="2945" spans="2:27" x14ac:dyDescent="0.2">
      <c r="B2945" s="4" t="s">
        <v>1731</v>
      </c>
      <c r="C2945" s="4">
        <v>12.317</v>
      </c>
      <c r="D2945" s="4">
        <v>12.213200000000001</v>
      </c>
      <c r="E2945" s="4">
        <v>12.2439</v>
      </c>
      <c r="F2945" s="4">
        <f t="shared" si="180"/>
        <v>12.258033333333335</v>
      </c>
      <c r="P2945" s="4" t="str">
        <f>"nhr-19"</f>
        <v>nhr-19</v>
      </c>
      <c r="Q2945" s="4">
        <v>12.600340931279</v>
      </c>
      <c r="R2945" s="4">
        <v>12.4279981441606</v>
      </c>
      <c r="S2945" s="4">
        <v>12.375129435619501</v>
      </c>
      <c r="T2945" s="4">
        <f t="shared" si="182"/>
        <v>12.467822837019702</v>
      </c>
      <c r="W2945" s="4" t="str">
        <f>"3E324"</f>
        <v>3E324</v>
      </c>
      <c r="X2945" s="4">
        <v>12.8475238200683</v>
      </c>
      <c r="Y2945" s="4">
        <v>12.4096707398476</v>
      </c>
      <c r="Z2945" s="4">
        <v>11.993239877086801</v>
      </c>
      <c r="AA2945" s="4">
        <f t="shared" si="183"/>
        <v>12.4168114790009</v>
      </c>
    </row>
    <row r="2946" spans="2:27" x14ac:dyDescent="0.2">
      <c r="B2946" s="4" t="s">
        <v>2036</v>
      </c>
      <c r="C2946" s="4">
        <v>12.197900000000001</v>
      </c>
      <c r="D2946" s="4">
        <v>12.2806</v>
      </c>
      <c r="E2946" s="4">
        <v>12.2818</v>
      </c>
      <c r="F2946" s="4">
        <f t="shared" ref="F2946:F2955" si="184">(C2946+D2946+E2946)/3</f>
        <v>12.253433333333334</v>
      </c>
      <c r="P2946" s="4" t="str">
        <f>"dnj-10"</f>
        <v>dnj-10</v>
      </c>
      <c r="Q2946" s="4">
        <v>12.237835257905701</v>
      </c>
      <c r="R2946" s="4">
        <v>12.4397117850217</v>
      </c>
      <c r="S2946" s="4">
        <v>12.7227095233442</v>
      </c>
      <c r="T2946" s="4">
        <f t="shared" ref="T2946:T3009" si="185">(Q2946+R2946+S2946)/3</f>
        <v>12.4667521887572</v>
      </c>
      <c r="W2946" s="4" t="str">
        <f>"dach-1"</f>
        <v>dach-1</v>
      </c>
      <c r="X2946" s="4">
        <v>13.3117128488852</v>
      </c>
      <c r="Y2946" s="4">
        <v>12.2483846975059</v>
      </c>
      <c r="Z2946" s="4">
        <v>11.6729425406802</v>
      </c>
      <c r="AA2946" s="4">
        <f t="shared" ref="AA2946:AA3009" si="186">(X2946+Y2946+Z2946)/3</f>
        <v>12.411013362357101</v>
      </c>
    </row>
    <row r="2947" spans="2:27" x14ac:dyDescent="0.2">
      <c r="B2947" s="4" t="s">
        <v>1594</v>
      </c>
      <c r="C2947" s="4">
        <v>12.6892</v>
      </c>
      <c r="D2947" s="4">
        <v>11.9536</v>
      </c>
      <c r="E2947" s="4">
        <v>12.110200000000001</v>
      </c>
      <c r="F2947" s="4">
        <f t="shared" si="184"/>
        <v>12.250999999999999</v>
      </c>
      <c r="P2947" s="4" t="str">
        <f>"edg-1"</f>
        <v>edg-1</v>
      </c>
      <c r="Q2947" s="4">
        <v>12.3908708572705</v>
      </c>
      <c r="R2947" s="4">
        <v>12.3885731734754</v>
      </c>
      <c r="S2947" s="4">
        <v>12.6201473925607</v>
      </c>
      <c r="T2947" s="4">
        <f t="shared" si="185"/>
        <v>12.466530474435535</v>
      </c>
      <c r="W2947" s="4" t="str">
        <f>"R166.3"</f>
        <v>R166.3</v>
      </c>
      <c r="X2947" s="4">
        <v>12.5633422709531</v>
      </c>
      <c r="Y2947" s="4">
        <v>12.480345072796499</v>
      </c>
      <c r="Z2947" s="4">
        <v>12.1884758412565</v>
      </c>
      <c r="AA2947" s="4">
        <f t="shared" si="186"/>
        <v>12.410721061668701</v>
      </c>
    </row>
    <row r="2948" spans="2:27" x14ac:dyDescent="0.2">
      <c r="B2948" s="4" t="s">
        <v>482</v>
      </c>
      <c r="C2948" s="4">
        <v>11.9558</v>
      </c>
      <c r="D2948" s="4">
        <v>12.1508</v>
      </c>
      <c r="E2948" s="4">
        <v>12.478999999999999</v>
      </c>
      <c r="F2948" s="4">
        <f t="shared" si="184"/>
        <v>12.1952</v>
      </c>
      <c r="P2948" s="4" t="str">
        <f>"C47G2.3"</f>
        <v>C47G2.3</v>
      </c>
      <c r="Q2948" s="4">
        <v>12.4727659148126</v>
      </c>
      <c r="R2948" s="4">
        <v>12.3594079651087</v>
      </c>
      <c r="S2948" s="4">
        <v>12.561848032010399</v>
      </c>
      <c r="T2948" s="4">
        <f t="shared" si="185"/>
        <v>12.464673970643901</v>
      </c>
      <c r="W2948" s="4" t="str">
        <f>"mrpl-49"</f>
        <v>mrpl-49</v>
      </c>
      <c r="X2948" s="4">
        <v>12.5277867170207</v>
      </c>
      <c r="Y2948" s="4">
        <v>12.1616678067493</v>
      </c>
      <c r="Z2948" s="4">
        <v>12.5293353391717</v>
      </c>
      <c r="AA2948" s="4">
        <f t="shared" si="186"/>
        <v>12.406263287647233</v>
      </c>
    </row>
    <row r="2949" spans="2:27" x14ac:dyDescent="0.2">
      <c r="B2949" s="4" t="s">
        <v>1450</v>
      </c>
      <c r="C2949" s="4">
        <v>12.137499999999999</v>
      </c>
      <c r="D2949" s="4">
        <v>12.0588</v>
      </c>
      <c r="E2949" s="4">
        <v>12.3696</v>
      </c>
      <c r="F2949" s="4">
        <f t="shared" si="184"/>
        <v>12.188633333333334</v>
      </c>
      <c r="P2949" s="4" t="str">
        <f>"henn-1"</f>
        <v>henn-1</v>
      </c>
      <c r="Q2949" s="4">
        <v>12.590884209267101</v>
      </c>
      <c r="R2949" s="4">
        <v>12.516419067448799</v>
      </c>
      <c r="S2949" s="4">
        <v>12.283157541546</v>
      </c>
      <c r="T2949" s="4">
        <f t="shared" si="185"/>
        <v>12.463486939420633</v>
      </c>
      <c r="W2949" s="4" t="str">
        <f>"mig-15"</f>
        <v>mig-15</v>
      </c>
      <c r="X2949" s="4">
        <v>12.373272008547699</v>
      </c>
      <c r="Y2949" s="4">
        <v>12.5507893439943</v>
      </c>
      <c r="Z2949" s="4">
        <v>12.2928468061267</v>
      </c>
      <c r="AA2949" s="4">
        <f t="shared" si="186"/>
        <v>12.405636052889568</v>
      </c>
    </row>
    <row r="2950" spans="2:27" x14ac:dyDescent="0.2">
      <c r="B2950" s="4" t="s">
        <v>4343</v>
      </c>
      <c r="C2950" s="4">
        <v>11.9596</v>
      </c>
      <c r="D2950" s="4">
        <v>12.013</v>
      </c>
      <c r="E2950" s="4">
        <v>12.4358</v>
      </c>
      <c r="F2950" s="4">
        <f t="shared" si="184"/>
        <v>12.136133333333333</v>
      </c>
      <c r="P2950" s="4" t="str">
        <f>"E02H1.6"</f>
        <v>E02H1.6</v>
      </c>
      <c r="Q2950" s="4">
        <v>12.4537019705124</v>
      </c>
      <c r="R2950" s="4">
        <v>12.1880947005221</v>
      </c>
      <c r="S2950" s="4">
        <v>12.744476411977001</v>
      </c>
      <c r="T2950" s="4">
        <f t="shared" si="185"/>
        <v>12.462091027670501</v>
      </c>
      <c r="W2950" s="4" t="str">
        <f>"pept-1"</f>
        <v>pept-1</v>
      </c>
      <c r="X2950" s="4">
        <v>12.9103619869108</v>
      </c>
      <c r="Y2950" s="4">
        <v>12.161885335813301</v>
      </c>
      <c r="Z2950" s="4">
        <v>12.1404594554635</v>
      </c>
      <c r="AA2950" s="4">
        <f t="shared" si="186"/>
        <v>12.404235592729201</v>
      </c>
    </row>
    <row r="2951" spans="2:27" x14ac:dyDescent="0.2">
      <c r="B2951" s="4" t="s">
        <v>1028</v>
      </c>
      <c r="C2951" s="4">
        <v>12.0169</v>
      </c>
      <c r="D2951" s="4">
        <v>12.441000000000001</v>
      </c>
      <c r="E2951" s="4">
        <v>11.9373</v>
      </c>
      <c r="F2951" s="4">
        <f t="shared" si="184"/>
        <v>12.131733333333335</v>
      </c>
      <c r="P2951" s="4" t="str">
        <f>"tcer-1"</f>
        <v>tcer-1</v>
      </c>
      <c r="Q2951" s="4">
        <v>12.449130645749401</v>
      </c>
      <c r="R2951" s="4">
        <v>12.365945589159701</v>
      </c>
      <c r="S2951" s="4">
        <v>12.566908045016699</v>
      </c>
      <c r="T2951" s="4">
        <f t="shared" si="185"/>
        <v>12.460661426641934</v>
      </c>
      <c r="W2951" s="4" t="str">
        <f>"pig-1"</f>
        <v>pig-1</v>
      </c>
      <c r="X2951" s="4">
        <v>12.5025861918893</v>
      </c>
      <c r="Y2951" s="4">
        <v>12.733525622859601</v>
      </c>
      <c r="Z2951" s="4">
        <v>11.9561547563752</v>
      </c>
      <c r="AA2951" s="4">
        <f t="shared" si="186"/>
        <v>12.3974221903747</v>
      </c>
    </row>
    <row r="2952" spans="2:27" x14ac:dyDescent="0.2">
      <c r="B2952" s="4" t="s">
        <v>2120</v>
      </c>
      <c r="C2952" s="4">
        <v>11.905799999999999</v>
      </c>
      <c r="D2952" s="4">
        <v>12.2814</v>
      </c>
      <c r="E2952" s="4">
        <v>12.0731</v>
      </c>
      <c r="F2952" s="4">
        <f t="shared" si="184"/>
        <v>12.086766666666668</v>
      </c>
      <c r="P2952" s="4" t="str">
        <f>"nkat-3"</f>
        <v>nkat-3</v>
      </c>
      <c r="Q2952" s="4">
        <v>12.846805926685899</v>
      </c>
      <c r="R2952" s="4">
        <v>12.425011183636199</v>
      </c>
      <c r="S2952" s="4">
        <v>12.0971465095542</v>
      </c>
      <c r="T2952" s="4">
        <f t="shared" si="185"/>
        <v>12.456321206625432</v>
      </c>
      <c r="W2952" s="4" t="str">
        <f>"T10B10.4"</f>
        <v>T10B10.4</v>
      </c>
      <c r="X2952" s="4">
        <v>12.4953583129746</v>
      </c>
      <c r="Y2952" s="4">
        <v>12.136412120224501</v>
      </c>
      <c r="Z2952" s="4">
        <v>12.5523633222209</v>
      </c>
      <c r="AA2952" s="4">
        <f t="shared" si="186"/>
        <v>12.394711251806667</v>
      </c>
    </row>
    <row r="2953" spans="2:27" x14ac:dyDescent="0.2">
      <c r="B2953" s="4" t="s">
        <v>3172</v>
      </c>
      <c r="C2953" s="4">
        <v>11.8216</v>
      </c>
      <c r="D2953" s="4">
        <v>12.0312</v>
      </c>
      <c r="E2953" s="4">
        <v>12.280799999999999</v>
      </c>
      <c r="F2953" s="4">
        <f t="shared" si="184"/>
        <v>12.044533333333334</v>
      </c>
      <c r="P2953" s="4" t="str">
        <f>"aman-1"</f>
        <v>aman-1</v>
      </c>
      <c r="Q2953" s="4">
        <v>12.494236268775399</v>
      </c>
      <c r="R2953" s="4">
        <v>12.2271922421561</v>
      </c>
      <c r="S2953" s="4">
        <v>12.6423732732265</v>
      </c>
      <c r="T2953" s="4">
        <f t="shared" si="185"/>
        <v>12.454600594719333</v>
      </c>
      <c r="W2953" s="4" t="str">
        <f>"chdh-1"</f>
        <v>chdh-1</v>
      </c>
      <c r="X2953" s="4">
        <v>12.064048927063499</v>
      </c>
      <c r="Y2953" s="4">
        <v>12.3278422711573</v>
      </c>
      <c r="Z2953" s="4">
        <v>12.789451341777699</v>
      </c>
      <c r="AA2953" s="4">
        <f t="shared" si="186"/>
        <v>12.393780846666166</v>
      </c>
    </row>
    <row r="2954" spans="2:27" x14ac:dyDescent="0.2">
      <c r="B2954" s="4" t="s">
        <v>201</v>
      </c>
      <c r="C2954" s="4">
        <v>11.762600000000001</v>
      </c>
      <c r="D2954" s="4">
        <v>12.0304</v>
      </c>
      <c r="E2954" s="4">
        <v>12.1554</v>
      </c>
      <c r="F2954" s="4">
        <f t="shared" si="184"/>
        <v>11.982799999999999</v>
      </c>
      <c r="P2954" s="4" t="str">
        <f>"Y41C4A.9"</f>
        <v>Y41C4A.9</v>
      </c>
      <c r="Q2954" s="4">
        <v>12.467421681153599</v>
      </c>
      <c r="R2954" s="4">
        <v>12.7874749254346</v>
      </c>
      <c r="S2954" s="4">
        <v>12.1084897432315</v>
      </c>
      <c r="T2954" s="4">
        <f t="shared" si="185"/>
        <v>12.454462116606566</v>
      </c>
      <c r="W2954" s="4" t="str">
        <f>"tag-343"</f>
        <v>tag-343</v>
      </c>
      <c r="X2954" s="4">
        <v>11.6574443654555</v>
      </c>
      <c r="Y2954" s="4">
        <v>12.749836014213599</v>
      </c>
      <c r="Z2954" s="4">
        <v>12.763789993304201</v>
      </c>
      <c r="AA2954" s="4">
        <f t="shared" si="186"/>
        <v>12.390356790991101</v>
      </c>
    </row>
    <row r="2955" spans="2:27" x14ac:dyDescent="0.2">
      <c r="B2955" s="4" t="s">
        <v>4057</v>
      </c>
      <c r="C2955" s="4">
        <v>11.7775</v>
      </c>
      <c r="D2955" s="4">
        <v>12.0966</v>
      </c>
      <c r="E2955" s="4">
        <v>11.9314</v>
      </c>
      <c r="F2955" s="4">
        <f t="shared" si="184"/>
        <v>11.935166666666666</v>
      </c>
      <c r="P2955" s="4" t="str">
        <f>"exc-5"</f>
        <v>exc-5</v>
      </c>
      <c r="Q2955" s="4">
        <v>12.164704784400801</v>
      </c>
      <c r="R2955" s="4">
        <v>12.7777680614814</v>
      </c>
      <c r="S2955" s="4">
        <v>12.4206776730335</v>
      </c>
      <c r="T2955" s="4">
        <f t="shared" si="185"/>
        <v>12.454383506305234</v>
      </c>
      <c r="W2955" s="4" t="str">
        <f>"fbxc-2"</f>
        <v>fbxc-2</v>
      </c>
      <c r="X2955" s="4">
        <v>12.6068227418021</v>
      </c>
      <c r="Y2955" s="4">
        <v>12.6617737922343</v>
      </c>
      <c r="Z2955" s="4">
        <v>11.8807783662023</v>
      </c>
      <c r="AA2955" s="4">
        <f t="shared" si="186"/>
        <v>12.383124966746232</v>
      </c>
    </row>
    <row r="2956" spans="2:27" x14ac:dyDescent="0.2">
      <c r="P2956" s="4" t="str">
        <f>"F39H2.3"</f>
        <v>F39H2.3</v>
      </c>
      <c r="Q2956" s="4">
        <v>12.5077912338388</v>
      </c>
      <c r="R2956" s="4">
        <v>12.486590597835299</v>
      </c>
      <c r="S2956" s="4">
        <v>12.3634577729431</v>
      </c>
      <c r="T2956" s="4">
        <f t="shared" si="185"/>
        <v>12.452613201539066</v>
      </c>
      <c r="W2956" s="4" t="str">
        <f>"sec-22"</f>
        <v>sec-22</v>
      </c>
      <c r="X2956" s="4">
        <v>12.8982341563954</v>
      </c>
      <c r="Y2956" s="4">
        <v>12.2551615340377</v>
      </c>
      <c r="Z2956" s="4">
        <v>11.982865391425699</v>
      </c>
      <c r="AA2956" s="4">
        <f t="shared" si="186"/>
        <v>12.378753693952932</v>
      </c>
    </row>
    <row r="2957" spans="2:27" x14ac:dyDescent="0.2">
      <c r="P2957" s="4" t="str">
        <f>"nhr-47"</f>
        <v>nhr-47</v>
      </c>
      <c r="Q2957" s="4">
        <v>12.5560364383369</v>
      </c>
      <c r="R2957" s="4">
        <v>12.633801132572</v>
      </c>
      <c r="S2957" s="4">
        <v>12.1639092280304</v>
      </c>
      <c r="T2957" s="4">
        <f t="shared" si="185"/>
        <v>12.451248932979766</v>
      </c>
      <c r="W2957" s="4" t="str">
        <f>"F55F8.3"</f>
        <v>F55F8.3</v>
      </c>
      <c r="X2957" s="4">
        <v>12.3250899516039</v>
      </c>
      <c r="Y2957" s="4">
        <v>12.215463122510901</v>
      </c>
      <c r="Z2957" s="4">
        <v>12.587794706602001</v>
      </c>
      <c r="AA2957" s="4">
        <f t="shared" si="186"/>
        <v>12.3761159269056</v>
      </c>
    </row>
    <row r="2958" spans="2:27" x14ac:dyDescent="0.2">
      <c r="P2958" s="4" t="str">
        <f>"hgrs-1"</f>
        <v>hgrs-1</v>
      </c>
      <c r="Q2958" s="4">
        <v>12.308027879263401</v>
      </c>
      <c r="R2958" s="4">
        <v>12.586740990409499</v>
      </c>
      <c r="S2958" s="4">
        <v>12.4518675872358</v>
      </c>
      <c r="T2958" s="4">
        <f t="shared" si="185"/>
        <v>12.448878818969566</v>
      </c>
      <c r="W2958" s="4" t="str">
        <f>"vps-33.1"</f>
        <v>vps-33.1</v>
      </c>
      <c r="X2958" s="4">
        <v>12.6721945569717</v>
      </c>
      <c r="Y2958" s="4">
        <v>12.4184534440113</v>
      </c>
      <c r="Z2958" s="4">
        <v>12.0252575649083</v>
      </c>
      <c r="AA2958" s="4">
        <f t="shared" si="186"/>
        <v>12.371968521963767</v>
      </c>
    </row>
    <row r="2959" spans="2:27" x14ac:dyDescent="0.2">
      <c r="P2959" s="4" t="str">
        <f>"Y106G6H.6"</f>
        <v>Y106G6H.6</v>
      </c>
      <c r="Q2959" s="4">
        <v>12.5924638654033</v>
      </c>
      <c r="R2959" s="4">
        <v>12.5114365108341</v>
      </c>
      <c r="S2959" s="4">
        <v>12.242258071095501</v>
      </c>
      <c r="T2959" s="4">
        <f t="shared" si="185"/>
        <v>12.448719482444298</v>
      </c>
      <c r="W2959" s="4" t="str">
        <f>"imp-3"</f>
        <v>imp-3</v>
      </c>
      <c r="X2959" s="4">
        <v>11.926855708005901</v>
      </c>
      <c r="Y2959" s="4">
        <v>12.594679659903999</v>
      </c>
      <c r="Z2959" s="4">
        <v>12.5924130707026</v>
      </c>
      <c r="AA2959" s="4">
        <f t="shared" si="186"/>
        <v>12.371316146204165</v>
      </c>
    </row>
    <row r="2960" spans="2:27" x14ac:dyDescent="0.2">
      <c r="P2960" s="4" t="str">
        <f>"erd-2.1"</f>
        <v>erd-2.1</v>
      </c>
      <c r="Q2960" s="4">
        <v>11.729688357091</v>
      </c>
      <c r="R2960" s="4">
        <v>12.940697421855001</v>
      </c>
      <c r="S2960" s="4">
        <v>12.6732778126851</v>
      </c>
      <c r="T2960" s="4">
        <f t="shared" si="185"/>
        <v>12.447887863877034</v>
      </c>
      <c r="W2960" s="4" t="str">
        <f>"txl-1"</f>
        <v>txl-1</v>
      </c>
      <c r="X2960" s="4">
        <v>12.551074424305799</v>
      </c>
      <c r="Y2960" s="4">
        <v>11.836365687968801</v>
      </c>
      <c r="Z2960" s="4">
        <v>12.716977334640299</v>
      </c>
      <c r="AA2960" s="4">
        <f t="shared" si="186"/>
        <v>12.368139148971634</v>
      </c>
    </row>
    <row r="2961" spans="16:27" x14ac:dyDescent="0.2">
      <c r="P2961" s="4" t="str">
        <f>"marc-6"</f>
        <v>marc-6</v>
      </c>
      <c r="Q2961" s="4">
        <v>12.500880656401501</v>
      </c>
      <c r="R2961" s="4">
        <v>12.270272242005399</v>
      </c>
      <c r="S2961" s="4">
        <v>12.563551946480301</v>
      </c>
      <c r="T2961" s="4">
        <f t="shared" si="185"/>
        <v>12.444901614962399</v>
      </c>
      <c r="W2961" s="4" t="str">
        <f>"cyk-1"</f>
        <v>cyk-1</v>
      </c>
      <c r="X2961" s="4">
        <v>12.7641095554876</v>
      </c>
      <c r="Y2961" s="4">
        <v>12.299162096089701</v>
      </c>
      <c r="Z2961" s="4">
        <v>12.0304124764656</v>
      </c>
      <c r="AA2961" s="4">
        <f t="shared" si="186"/>
        <v>12.364561376014301</v>
      </c>
    </row>
    <row r="2962" spans="16:27" x14ac:dyDescent="0.2">
      <c r="P2962" s="4" t="str">
        <f>"sna-2"</f>
        <v>sna-2</v>
      </c>
      <c r="Q2962" s="4">
        <v>12.3007251249722</v>
      </c>
      <c r="R2962" s="4">
        <v>12.630191507530499</v>
      </c>
      <c r="S2962" s="4">
        <v>12.4033921901345</v>
      </c>
      <c r="T2962" s="4">
        <f t="shared" si="185"/>
        <v>12.444769607545732</v>
      </c>
      <c r="W2962" s="4" t="str">
        <f>"nhr-40"</f>
        <v>nhr-40</v>
      </c>
      <c r="X2962" s="4">
        <v>12.381521407318001</v>
      </c>
      <c r="Y2962" s="4">
        <v>12.351169837385999</v>
      </c>
      <c r="Z2962" s="4">
        <v>12.359864229510301</v>
      </c>
      <c r="AA2962" s="4">
        <f t="shared" si="186"/>
        <v>12.364185158071434</v>
      </c>
    </row>
    <row r="2963" spans="16:27" x14ac:dyDescent="0.2">
      <c r="P2963" s="4" t="str">
        <f>"ttll-15"</f>
        <v>ttll-15</v>
      </c>
      <c r="Q2963" s="4">
        <v>12.1218303370485</v>
      </c>
      <c r="R2963" s="4">
        <v>12.4537949253483</v>
      </c>
      <c r="S2963" s="4">
        <v>12.758072338935699</v>
      </c>
      <c r="T2963" s="4">
        <f t="shared" si="185"/>
        <v>12.444565867110832</v>
      </c>
      <c r="W2963" s="4" t="str">
        <f>"let-19"</f>
        <v>let-19</v>
      </c>
      <c r="X2963" s="4">
        <v>12.141346773694201</v>
      </c>
      <c r="Y2963" s="4">
        <v>12.3205978849775</v>
      </c>
      <c r="Z2963" s="4">
        <v>12.627802724278601</v>
      </c>
      <c r="AA2963" s="4">
        <f t="shared" si="186"/>
        <v>12.3632491276501</v>
      </c>
    </row>
    <row r="2964" spans="16:27" x14ac:dyDescent="0.2">
      <c r="P2964" s="4" t="str">
        <f>"bath-40"</f>
        <v>bath-40</v>
      </c>
      <c r="Q2964" s="4">
        <v>12.519813099406401</v>
      </c>
      <c r="R2964" s="4">
        <v>12.4861717149979</v>
      </c>
      <c r="S2964" s="4">
        <v>12.323487029133799</v>
      </c>
      <c r="T2964" s="4">
        <f t="shared" si="185"/>
        <v>12.443157281179367</v>
      </c>
      <c r="W2964" s="4" t="str">
        <f>"ugt-26"</f>
        <v>ugt-26</v>
      </c>
      <c r="X2964" s="4">
        <v>12.4215634155131</v>
      </c>
      <c r="Y2964" s="4">
        <v>12.2133056277268</v>
      </c>
      <c r="Z2964" s="4">
        <v>12.4479006584945</v>
      </c>
      <c r="AA2964" s="4">
        <f t="shared" si="186"/>
        <v>12.360923233911469</v>
      </c>
    </row>
    <row r="2965" spans="16:27" x14ac:dyDescent="0.2">
      <c r="P2965" s="4" t="str">
        <f>"C46F11.4"</f>
        <v>C46F11.4</v>
      </c>
      <c r="Q2965" s="4">
        <v>12.3216318428044</v>
      </c>
      <c r="R2965" s="4">
        <v>12.537144321532899</v>
      </c>
      <c r="S2965" s="4">
        <v>12.463061997573901</v>
      </c>
      <c r="T2965" s="4">
        <f t="shared" si="185"/>
        <v>12.440612720637068</v>
      </c>
      <c r="W2965" s="4" t="str">
        <f>"alg-1"</f>
        <v>alg-1</v>
      </c>
      <c r="X2965" s="4">
        <v>12.517957944709099</v>
      </c>
      <c r="Y2965" s="4">
        <v>11.997419433599299</v>
      </c>
      <c r="Z2965" s="4">
        <v>12.5634578234559</v>
      </c>
      <c r="AA2965" s="4">
        <f t="shared" si="186"/>
        <v>12.359611733921433</v>
      </c>
    </row>
    <row r="2966" spans="16:27" x14ac:dyDescent="0.2">
      <c r="P2966" s="4" t="str">
        <f>"F56C9.10"</f>
        <v>F56C9.10</v>
      </c>
      <c r="Q2966" s="4">
        <v>12.537913943337999</v>
      </c>
      <c r="R2966" s="4">
        <v>12.4158034083025</v>
      </c>
      <c r="S2966" s="4">
        <v>12.3601353122524</v>
      </c>
      <c r="T2966" s="4">
        <f t="shared" si="185"/>
        <v>12.4379508879643</v>
      </c>
      <c r="W2966" s="4" t="str">
        <f>"sep-1"</f>
        <v>sep-1</v>
      </c>
      <c r="X2966" s="4">
        <v>12.712173257209701</v>
      </c>
      <c r="Y2966" s="4">
        <v>12.0142469214328</v>
      </c>
      <c r="Z2966" s="4">
        <v>12.3490038086765</v>
      </c>
      <c r="AA2966" s="4">
        <f t="shared" si="186"/>
        <v>12.358474662439667</v>
      </c>
    </row>
    <row r="2967" spans="16:27" x14ac:dyDescent="0.2">
      <c r="P2967" s="4" t="str">
        <f>"T05B9.1"</f>
        <v>T05B9.1</v>
      </c>
      <c r="Q2967" s="4">
        <v>12.504036059618</v>
      </c>
      <c r="R2967" s="4">
        <v>12.497091071543</v>
      </c>
      <c r="S2967" s="4">
        <v>12.310303835537299</v>
      </c>
      <c r="T2967" s="4">
        <f t="shared" si="185"/>
        <v>12.437143655566098</v>
      </c>
      <c r="W2967" s="4" t="str">
        <f>"Y53G8AR.9"</f>
        <v>Y53G8AR.9</v>
      </c>
      <c r="X2967" s="4">
        <v>12.3982189438831</v>
      </c>
      <c r="Y2967" s="4">
        <v>12.3935841381413</v>
      </c>
      <c r="Z2967" s="4">
        <v>12.280707911074</v>
      </c>
      <c r="AA2967" s="4">
        <f t="shared" si="186"/>
        <v>12.357503664366135</v>
      </c>
    </row>
    <row r="2968" spans="16:27" x14ac:dyDescent="0.2">
      <c r="P2968" s="4" t="str">
        <f>"Y43C5B.3"</f>
        <v>Y43C5B.3</v>
      </c>
      <c r="Q2968" s="4">
        <v>11.7074818116805</v>
      </c>
      <c r="R2968" s="4">
        <v>12.785481379559901</v>
      </c>
      <c r="S2968" s="4">
        <v>12.8134750892201</v>
      </c>
      <c r="T2968" s="4">
        <f t="shared" si="185"/>
        <v>12.435479426820166</v>
      </c>
      <c r="W2968" s="4" t="str">
        <f>"gfi-3"</f>
        <v>gfi-3</v>
      </c>
      <c r="X2968" s="4">
        <v>12.2518842236846</v>
      </c>
      <c r="Y2968" s="4">
        <v>12.0956128311858</v>
      </c>
      <c r="Z2968" s="4">
        <v>12.720469077222001</v>
      </c>
      <c r="AA2968" s="4">
        <f t="shared" si="186"/>
        <v>12.355988710697467</v>
      </c>
    </row>
    <row r="2969" spans="16:27" x14ac:dyDescent="0.2">
      <c r="P2969" s="4" t="str">
        <f>"T10C6.6"</f>
        <v>T10C6.6</v>
      </c>
      <c r="Q2969" s="4">
        <v>12.0837568537615</v>
      </c>
      <c r="R2969" s="4">
        <v>12.7968834142786</v>
      </c>
      <c r="S2969" s="4">
        <v>12.4206999377696</v>
      </c>
      <c r="T2969" s="4">
        <f t="shared" si="185"/>
        <v>12.433780068603234</v>
      </c>
      <c r="W2969" s="4" t="str">
        <f>"Y50D7A.3"</f>
        <v>Y50D7A.3</v>
      </c>
      <c r="X2969" s="4">
        <v>12.4959934965485</v>
      </c>
      <c r="Y2969" s="4">
        <v>12.108801811111899</v>
      </c>
      <c r="Z2969" s="4">
        <v>12.4535466632988</v>
      </c>
      <c r="AA2969" s="4">
        <f t="shared" si="186"/>
        <v>12.352780656986399</v>
      </c>
    </row>
    <row r="2970" spans="16:27" x14ac:dyDescent="0.2">
      <c r="P2970" s="4" t="str">
        <f>"phdh-1"</f>
        <v>phdh-1</v>
      </c>
      <c r="Q2970" s="4">
        <v>11.720472690182699</v>
      </c>
      <c r="R2970" s="4">
        <v>12.896537327746399</v>
      </c>
      <c r="S2970" s="4">
        <v>12.680182434011799</v>
      </c>
      <c r="T2970" s="4">
        <f t="shared" si="185"/>
        <v>12.432397483980298</v>
      </c>
      <c r="W2970" s="4" t="str">
        <f>"ctg-2"</f>
        <v>ctg-2</v>
      </c>
      <c r="X2970" s="4">
        <v>12.2208027825348</v>
      </c>
      <c r="Y2970" s="4">
        <v>12.224290890462401</v>
      </c>
      <c r="Z2970" s="4">
        <v>12.606907875388799</v>
      </c>
      <c r="AA2970" s="4">
        <f t="shared" si="186"/>
        <v>12.350667182795334</v>
      </c>
    </row>
    <row r="2971" spans="16:27" x14ac:dyDescent="0.2">
      <c r="P2971" s="4" t="str">
        <f>"ugt-26"</f>
        <v>ugt-26</v>
      </c>
      <c r="Q2971" s="4">
        <v>12.129040667684199</v>
      </c>
      <c r="R2971" s="4">
        <v>12.599627337115599</v>
      </c>
      <c r="S2971" s="4">
        <v>12.562316454645</v>
      </c>
      <c r="T2971" s="4">
        <f t="shared" si="185"/>
        <v>12.430328153148267</v>
      </c>
      <c r="W2971" s="4" t="str">
        <f>"B0261.7"</f>
        <v>B0261.7</v>
      </c>
      <c r="X2971" s="4">
        <v>12.4544709948937</v>
      </c>
      <c r="Y2971" s="4">
        <v>12.5035455826731</v>
      </c>
      <c r="Z2971" s="4">
        <v>12.084123155582599</v>
      </c>
      <c r="AA2971" s="4">
        <f t="shared" si="186"/>
        <v>12.347379911049799</v>
      </c>
    </row>
    <row r="2972" spans="16:27" x14ac:dyDescent="0.2">
      <c r="P2972" s="4" t="str">
        <f>"puf-11"</f>
        <v>puf-11</v>
      </c>
      <c r="Q2972" s="4">
        <v>12.1857966657694</v>
      </c>
      <c r="R2972" s="4">
        <v>12.6029058440652</v>
      </c>
      <c r="S2972" s="4">
        <v>12.4990973943922</v>
      </c>
      <c r="T2972" s="4">
        <f t="shared" si="185"/>
        <v>12.429266634742268</v>
      </c>
      <c r="W2972" s="4" t="str">
        <f>"F39H2.3"</f>
        <v>F39H2.3</v>
      </c>
      <c r="X2972" s="4">
        <v>12.064253062736601</v>
      </c>
      <c r="Y2972" s="4">
        <v>12.291666787942001</v>
      </c>
      <c r="Z2972" s="4">
        <v>12.6816308039372</v>
      </c>
      <c r="AA2972" s="4">
        <f t="shared" si="186"/>
        <v>12.345850218205266</v>
      </c>
    </row>
    <row r="2973" spans="16:27" x14ac:dyDescent="0.2">
      <c r="P2973" s="4" t="str">
        <f>"F40E10.6"</f>
        <v>F40E10.6</v>
      </c>
      <c r="Q2973" s="4">
        <v>11.626795323132599</v>
      </c>
      <c r="R2973" s="4">
        <v>12.6408933280337</v>
      </c>
      <c r="S2973" s="4">
        <v>13.0183383283456</v>
      </c>
      <c r="T2973" s="4">
        <f t="shared" si="185"/>
        <v>12.428675659837301</v>
      </c>
      <c r="W2973" s="4" t="str">
        <f>"cbp-1"</f>
        <v>cbp-1</v>
      </c>
      <c r="X2973" s="4">
        <v>11.7559077633905</v>
      </c>
      <c r="Y2973" s="4">
        <v>12.5022043307792</v>
      </c>
      <c r="Z2973" s="4">
        <v>12.7767506437721</v>
      </c>
      <c r="AA2973" s="4">
        <f t="shared" si="186"/>
        <v>12.344954245980601</v>
      </c>
    </row>
    <row r="2974" spans="16:27" x14ac:dyDescent="0.2">
      <c r="P2974" s="4" t="str">
        <f>"cbp-3"</f>
        <v>cbp-3</v>
      </c>
      <c r="Q2974" s="4">
        <v>12.0998050719446</v>
      </c>
      <c r="R2974" s="4">
        <v>12.4996843021937</v>
      </c>
      <c r="S2974" s="4">
        <v>12.6729813495885</v>
      </c>
      <c r="T2974" s="4">
        <f t="shared" si="185"/>
        <v>12.424156907908932</v>
      </c>
      <c r="W2974" s="4" t="str">
        <f>"ccar-1"</f>
        <v>ccar-1</v>
      </c>
      <c r="X2974" s="4">
        <v>11.769597548569299</v>
      </c>
      <c r="Y2974" s="4">
        <v>12.5853481194598</v>
      </c>
      <c r="Z2974" s="4">
        <v>12.6786798917824</v>
      </c>
      <c r="AA2974" s="4">
        <f t="shared" si="186"/>
        <v>12.344541853270499</v>
      </c>
    </row>
    <row r="2975" spans="16:27" x14ac:dyDescent="0.2">
      <c r="P2975" s="4" t="str">
        <f>"Y41D4A.4"</f>
        <v>Y41D4A.4</v>
      </c>
      <c r="Q2975" s="4">
        <v>11.7258230788538</v>
      </c>
      <c r="R2975" s="4">
        <v>12.744903439681099</v>
      </c>
      <c r="S2975" s="4">
        <v>12.795813265696101</v>
      </c>
      <c r="T2975" s="4">
        <f t="shared" si="185"/>
        <v>12.422179928077</v>
      </c>
      <c r="W2975" s="4" t="str">
        <f>"D2021.4"</f>
        <v>D2021.4</v>
      </c>
      <c r="X2975" s="4">
        <v>13.021649156419301</v>
      </c>
      <c r="Y2975" s="4">
        <v>12.713786654126199</v>
      </c>
      <c r="Z2975" s="4">
        <v>11.2965034604784</v>
      </c>
      <c r="AA2975" s="4">
        <f t="shared" si="186"/>
        <v>12.343979757007967</v>
      </c>
    </row>
    <row r="2976" spans="16:27" x14ac:dyDescent="0.2">
      <c r="P2976" s="4" t="str">
        <f>"cpr-1"</f>
        <v>cpr-1</v>
      </c>
      <c r="Q2976" s="4">
        <v>11.564001047137699</v>
      </c>
      <c r="R2976" s="4">
        <v>12.8512314610996</v>
      </c>
      <c r="S2976" s="4">
        <v>12.8425040557469</v>
      </c>
      <c r="T2976" s="4">
        <f t="shared" si="185"/>
        <v>12.419245521328065</v>
      </c>
      <c r="W2976" s="4" t="str">
        <f>"F40E10.6"</f>
        <v>F40E10.6</v>
      </c>
      <c r="X2976" s="4">
        <v>11.863362151671</v>
      </c>
      <c r="Y2976" s="4">
        <v>12.3823421494471</v>
      </c>
      <c r="Z2976" s="4">
        <v>12.7829081875727</v>
      </c>
      <c r="AA2976" s="4">
        <f t="shared" si="186"/>
        <v>12.3428708295636</v>
      </c>
    </row>
    <row r="2977" spans="16:27" x14ac:dyDescent="0.2">
      <c r="P2977" s="4" t="str">
        <f>"nft-1"</f>
        <v>nft-1</v>
      </c>
      <c r="Q2977" s="4">
        <v>13.0897949263382</v>
      </c>
      <c r="R2977" s="4">
        <v>12.337253335200201</v>
      </c>
      <c r="S2977" s="4">
        <v>11.8302512494563</v>
      </c>
      <c r="T2977" s="4">
        <f t="shared" si="185"/>
        <v>12.419099836998233</v>
      </c>
      <c r="W2977" s="4" t="str">
        <f>"alfa-1"</f>
        <v>alfa-1</v>
      </c>
      <c r="X2977" s="4">
        <v>12.2956692969674</v>
      </c>
      <c r="Y2977" s="4">
        <v>12.4117367142088</v>
      </c>
      <c r="Z2977" s="4">
        <v>12.3189502669244</v>
      </c>
      <c r="AA2977" s="4">
        <f t="shared" si="186"/>
        <v>12.342118759366867</v>
      </c>
    </row>
    <row r="2978" spans="16:27" x14ac:dyDescent="0.2">
      <c r="P2978" s="4" t="str">
        <f>"acy-1"</f>
        <v>acy-1</v>
      </c>
      <c r="Q2978" s="4">
        <v>12.091531067956</v>
      </c>
      <c r="R2978" s="4">
        <v>12.321054579389999</v>
      </c>
      <c r="S2978" s="4">
        <v>12.8428672698571</v>
      </c>
      <c r="T2978" s="4">
        <f t="shared" si="185"/>
        <v>12.418484305734367</v>
      </c>
      <c r="W2978" s="4" t="str">
        <f>"sbds-1"</f>
        <v>sbds-1</v>
      </c>
      <c r="X2978" s="4">
        <v>12.1757181560766</v>
      </c>
      <c r="Y2978" s="4">
        <v>12.645776500663001</v>
      </c>
      <c r="Z2978" s="4">
        <v>12.2005323957705</v>
      </c>
      <c r="AA2978" s="4">
        <f t="shared" si="186"/>
        <v>12.340675684170035</v>
      </c>
    </row>
    <row r="2979" spans="16:27" x14ac:dyDescent="0.2">
      <c r="P2979" s="4" t="str">
        <f>"Y39B6A.10"</f>
        <v>Y39B6A.10</v>
      </c>
      <c r="Q2979" s="4">
        <v>11.4078331570558</v>
      </c>
      <c r="R2979" s="4">
        <v>12.871299580617899</v>
      </c>
      <c r="S2979" s="4">
        <v>12.975351944444499</v>
      </c>
      <c r="T2979" s="4">
        <f t="shared" si="185"/>
        <v>12.418161560706066</v>
      </c>
      <c r="W2979" s="4" t="str">
        <f>"stam-1"</f>
        <v>stam-1</v>
      </c>
      <c r="X2979" s="4">
        <v>11.5277001117748</v>
      </c>
      <c r="Y2979" s="4">
        <v>12.983828354575101</v>
      </c>
      <c r="Z2979" s="4">
        <v>12.5048736237685</v>
      </c>
      <c r="AA2979" s="4">
        <f t="shared" si="186"/>
        <v>12.338800696706135</v>
      </c>
    </row>
    <row r="2980" spans="16:27" x14ac:dyDescent="0.2">
      <c r="P2980" s="4" t="str">
        <f>"mtcu-2"</f>
        <v>mtcu-2</v>
      </c>
      <c r="Q2980" s="4">
        <v>12.841816003602601</v>
      </c>
      <c r="R2980" s="4">
        <v>12.2778517302221</v>
      </c>
      <c r="S2980" s="4">
        <v>12.131875356450699</v>
      </c>
      <c r="T2980" s="4">
        <f t="shared" si="185"/>
        <v>12.417181030091799</v>
      </c>
      <c r="W2980" s="4" t="str">
        <f>"hpo-31"</f>
        <v>hpo-31</v>
      </c>
      <c r="X2980" s="4">
        <v>12.4850200535281</v>
      </c>
      <c r="Y2980" s="4">
        <v>12.270401667644</v>
      </c>
      <c r="Z2980" s="4">
        <v>12.260454584472701</v>
      </c>
      <c r="AA2980" s="4">
        <f t="shared" si="186"/>
        <v>12.338625435214931</v>
      </c>
    </row>
    <row r="2981" spans="16:27" x14ac:dyDescent="0.2">
      <c r="P2981" s="4" t="str">
        <f>"nra-4"</f>
        <v>nra-4</v>
      </c>
      <c r="Q2981" s="4">
        <v>12.0025615859795</v>
      </c>
      <c r="R2981" s="4">
        <v>12.6640746724316</v>
      </c>
      <c r="S2981" s="4">
        <v>12.5830466760997</v>
      </c>
      <c r="T2981" s="4">
        <f t="shared" si="185"/>
        <v>12.416560978170267</v>
      </c>
      <c r="W2981" s="4" t="str">
        <f>"C05C8.7"</f>
        <v>C05C8.7</v>
      </c>
      <c r="X2981" s="4">
        <v>10.7370011094261</v>
      </c>
      <c r="Y2981" s="4">
        <v>13.0753867364988</v>
      </c>
      <c r="Z2981" s="4">
        <v>13.198502815262399</v>
      </c>
      <c r="AA2981" s="4">
        <f t="shared" si="186"/>
        <v>12.336963553729099</v>
      </c>
    </row>
    <row r="2982" spans="16:27" x14ac:dyDescent="0.2">
      <c r="P2982" s="4" t="str">
        <f>"C14B1.3"</f>
        <v>C14B1.3</v>
      </c>
      <c r="Q2982" s="4">
        <v>12.4994330733916</v>
      </c>
      <c r="R2982" s="4">
        <v>12.433395245858801</v>
      </c>
      <c r="S2982" s="4">
        <v>12.314289883380001</v>
      </c>
      <c r="T2982" s="4">
        <f t="shared" si="185"/>
        <v>12.415706067543468</v>
      </c>
      <c r="W2982" s="4" t="str">
        <f>"T02H6.1"</f>
        <v>T02H6.1</v>
      </c>
      <c r="X2982" s="4">
        <v>12.696487444048</v>
      </c>
      <c r="Y2982" s="4">
        <v>12.627154052741799</v>
      </c>
      <c r="Z2982" s="4">
        <v>11.685441010618799</v>
      </c>
      <c r="AA2982" s="4">
        <f t="shared" si="186"/>
        <v>12.336360835802864</v>
      </c>
    </row>
    <row r="2983" spans="16:27" x14ac:dyDescent="0.2">
      <c r="P2983" s="4" t="str">
        <f>"C18C4.7"</f>
        <v>C18C4.7</v>
      </c>
      <c r="Q2983" s="4">
        <v>11.1240286691378</v>
      </c>
      <c r="R2983" s="4">
        <v>13.1978982641323</v>
      </c>
      <c r="S2983" s="4">
        <v>12.9227300975926</v>
      </c>
      <c r="T2983" s="4">
        <f t="shared" si="185"/>
        <v>12.414885676954233</v>
      </c>
      <c r="W2983" s="4" t="str">
        <f>"skr-3"</f>
        <v>skr-3</v>
      </c>
      <c r="X2983" s="4">
        <v>12.1368070024226</v>
      </c>
      <c r="Y2983" s="4">
        <v>12.438129338778699</v>
      </c>
      <c r="Z2983" s="4">
        <v>12.4327717926988</v>
      </c>
      <c r="AA2983" s="4">
        <f t="shared" si="186"/>
        <v>12.335902711300035</v>
      </c>
    </row>
    <row r="2984" spans="16:27" x14ac:dyDescent="0.2">
      <c r="P2984" s="4" t="str">
        <f>"cdc-48.3"</f>
        <v>cdc-48.3</v>
      </c>
      <c r="Q2984" s="4">
        <v>12.3867042152149</v>
      </c>
      <c r="R2984" s="4">
        <v>12.637361680881</v>
      </c>
      <c r="S2984" s="4">
        <v>12.209052814623</v>
      </c>
      <c r="T2984" s="4">
        <f t="shared" si="185"/>
        <v>12.411039570239632</v>
      </c>
      <c r="W2984" s="4" t="str">
        <f>"sid-3"</f>
        <v>sid-3</v>
      </c>
      <c r="X2984" s="4">
        <v>12.4385902694746</v>
      </c>
      <c r="Y2984" s="4">
        <v>12.4007429627937</v>
      </c>
      <c r="Z2984" s="4">
        <v>12.1659243339847</v>
      </c>
      <c r="AA2984" s="4">
        <f t="shared" si="186"/>
        <v>12.335085855417667</v>
      </c>
    </row>
    <row r="2985" spans="16:27" x14ac:dyDescent="0.2">
      <c r="P2985" s="4" t="str">
        <f>"T10B10.4"</f>
        <v>T10B10.4</v>
      </c>
      <c r="Q2985" s="4">
        <v>12.552544257225399</v>
      </c>
      <c r="R2985" s="4">
        <v>12.5388460932871</v>
      </c>
      <c r="S2985" s="4">
        <v>12.1399778531216</v>
      </c>
      <c r="T2985" s="4">
        <f t="shared" si="185"/>
        <v>12.410456067878032</v>
      </c>
      <c r="W2985" s="4" t="str">
        <f>"prp-17"</f>
        <v>prp-17</v>
      </c>
      <c r="X2985" s="4">
        <v>12.442127297572201</v>
      </c>
      <c r="Y2985" s="4">
        <v>12.483523606655201</v>
      </c>
      <c r="Z2985" s="4">
        <v>12.0704817737574</v>
      </c>
      <c r="AA2985" s="4">
        <f t="shared" si="186"/>
        <v>12.332044225994935</v>
      </c>
    </row>
    <row r="2986" spans="16:27" x14ac:dyDescent="0.2">
      <c r="P2986" s="4" t="str">
        <f>"nol-6"</f>
        <v>nol-6</v>
      </c>
      <c r="Q2986" s="4">
        <v>12.2300584900937</v>
      </c>
      <c r="R2986" s="4">
        <v>12.5448637501666</v>
      </c>
      <c r="S2986" s="4">
        <v>12.4536656562393</v>
      </c>
      <c r="T2986" s="4">
        <f t="shared" si="185"/>
        <v>12.409529298833201</v>
      </c>
      <c r="W2986" s="4" t="str">
        <f>"emb-30"</f>
        <v>emb-30</v>
      </c>
      <c r="X2986" s="4">
        <v>12.6227102820423</v>
      </c>
      <c r="Y2986" s="4">
        <v>12.3835638525325</v>
      </c>
      <c r="Z2986" s="4">
        <v>11.9882660350307</v>
      </c>
      <c r="AA2986" s="4">
        <f t="shared" si="186"/>
        <v>12.331513389868499</v>
      </c>
    </row>
    <row r="2987" spans="16:27" x14ac:dyDescent="0.2">
      <c r="P2987" s="4" t="str">
        <f>"mlc-2"</f>
        <v>mlc-2</v>
      </c>
      <c r="Q2987" s="4">
        <v>12.590862868192101</v>
      </c>
      <c r="R2987" s="4">
        <v>12.897014777548099</v>
      </c>
      <c r="S2987" s="4">
        <v>11.737431756457701</v>
      </c>
      <c r="T2987" s="4">
        <f t="shared" si="185"/>
        <v>12.4084364673993</v>
      </c>
      <c r="W2987" s="4" t="str">
        <f>"mut-7"</f>
        <v>mut-7</v>
      </c>
      <c r="X2987" s="4">
        <v>12.5774719135003</v>
      </c>
      <c r="Y2987" s="4">
        <v>12.5925005614748</v>
      </c>
      <c r="Z2987" s="4">
        <v>11.8171775860877</v>
      </c>
      <c r="AA2987" s="4">
        <f t="shared" si="186"/>
        <v>12.329050020354266</v>
      </c>
    </row>
    <row r="2988" spans="16:27" x14ac:dyDescent="0.2">
      <c r="P2988" s="4" t="str">
        <f>"tag-296"</f>
        <v>tag-296</v>
      </c>
      <c r="Q2988" s="4">
        <v>12.282874642658401</v>
      </c>
      <c r="R2988" s="4">
        <v>12.6293571398085</v>
      </c>
      <c r="S2988" s="4">
        <v>12.2900499655814</v>
      </c>
      <c r="T2988" s="4">
        <f t="shared" si="185"/>
        <v>12.400760582682766</v>
      </c>
      <c r="W2988" s="4" t="str">
        <f>"far-2"</f>
        <v>far-2</v>
      </c>
      <c r="X2988" s="4">
        <v>12.4531645781506</v>
      </c>
      <c r="Y2988" s="4">
        <v>12.188674264572599</v>
      </c>
      <c r="Z2988" s="4">
        <v>12.3303288382176</v>
      </c>
      <c r="AA2988" s="4">
        <f t="shared" si="186"/>
        <v>12.324055893646934</v>
      </c>
    </row>
    <row r="2989" spans="16:27" x14ac:dyDescent="0.2">
      <c r="P2989" s="4" t="str">
        <f>"ZK686.3"</f>
        <v>ZK686.3</v>
      </c>
      <c r="Q2989" s="4">
        <v>11.978637879162999</v>
      </c>
      <c r="R2989" s="4">
        <v>12.688962019548899</v>
      </c>
      <c r="S2989" s="4">
        <v>12.497359863380099</v>
      </c>
      <c r="T2989" s="4">
        <f t="shared" si="185"/>
        <v>12.388319920697333</v>
      </c>
      <c r="W2989" s="4" t="str">
        <f>"pbrm-1"</f>
        <v>pbrm-1</v>
      </c>
      <c r="X2989" s="4">
        <v>12.2391906124726</v>
      </c>
      <c r="Y2989" s="4">
        <v>12.386122251727301</v>
      </c>
      <c r="Z2989" s="4">
        <v>12.3408167795277</v>
      </c>
      <c r="AA2989" s="4">
        <f t="shared" si="186"/>
        <v>12.322043214575865</v>
      </c>
    </row>
    <row r="2990" spans="16:27" x14ac:dyDescent="0.2">
      <c r="P2990" s="4" t="str">
        <f>"C34F6.10"</f>
        <v>C34F6.10</v>
      </c>
      <c r="Q2990" s="4">
        <v>12.0815054331749</v>
      </c>
      <c r="R2990" s="4">
        <v>12.696323991430299</v>
      </c>
      <c r="S2990" s="4">
        <v>12.383378153520701</v>
      </c>
      <c r="T2990" s="4">
        <f t="shared" si="185"/>
        <v>12.387069192708635</v>
      </c>
      <c r="W2990" s="4" t="str">
        <f>"Y119D3B.12"</f>
        <v>Y119D3B.12</v>
      </c>
      <c r="X2990" s="4">
        <v>12.414438463188599</v>
      </c>
      <c r="Y2990" s="4">
        <v>12.713418304016299</v>
      </c>
      <c r="Z2990" s="4">
        <v>11.837849417529201</v>
      </c>
      <c r="AA2990" s="4">
        <f t="shared" si="186"/>
        <v>12.321902061578031</v>
      </c>
    </row>
    <row r="2991" spans="16:27" x14ac:dyDescent="0.2">
      <c r="P2991" s="4" t="str">
        <f>"nhr-69"</f>
        <v>nhr-69</v>
      </c>
      <c r="Q2991" s="4">
        <v>12.4667600282396</v>
      </c>
      <c r="R2991" s="4">
        <v>12.5757676247984</v>
      </c>
      <c r="S2991" s="4">
        <v>12.1143152871326</v>
      </c>
      <c r="T2991" s="4">
        <f t="shared" si="185"/>
        <v>12.385614313390199</v>
      </c>
      <c r="W2991" s="4" t="str">
        <f>"henn-1"</f>
        <v>henn-1</v>
      </c>
      <c r="X2991" s="4">
        <v>12.5719512617151</v>
      </c>
      <c r="Y2991" s="4">
        <v>12.043745109096401</v>
      </c>
      <c r="Z2991" s="4">
        <v>12.349512968100999</v>
      </c>
      <c r="AA2991" s="4">
        <f t="shared" si="186"/>
        <v>12.321736446304167</v>
      </c>
    </row>
    <row r="2992" spans="16:27" x14ac:dyDescent="0.2">
      <c r="P2992" s="4" t="str">
        <f>"dnj-25"</f>
        <v>dnj-25</v>
      </c>
      <c r="Q2992" s="4">
        <v>11.9932539065999</v>
      </c>
      <c r="R2992" s="4">
        <v>12.5016413340852</v>
      </c>
      <c r="S2992" s="4">
        <v>12.6618105501586</v>
      </c>
      <c r="T2992" s="4">
        <f t="shared" si="185"/>
        <v>12.3855685969479</v>
      </c>
      <c r="W2992" s="4" t="str">
        <f>"epg-7"</f>
        <v>epg-7</v>
      </c>
      <c r="X2992" s="4">
        <v>12.4418250576962</v>
      </c>
      <c r="Y2992" s="4">
        <v>12.4896200731481</v>
      </c>
      <c r="Z2992" s="4">
        <v>12.0215553652612</v>
      </c>
      <c r="AA2992" s="4">
        <f t="shared" si="186"/>
        <v>12.317666832035167</v>
      </c>
    </row>
    <row r="2993" spans="16:27" x14ac:dyDescent="0.2">
      <c r="P2993" s="4" t="str">
        <f>"Y39A1A.20"</f>
        <v>Y39A1A.20</v>
      </c>
      <c r="Q2993" s="4">
        <v>12.175520296425599</v>
      </c>
      <c r="R2993" s="4">
        <v>12.5107312627095</v>
      </c>
      <c r="S2993" s="4">
        <v>12.461400157353999</v>
      </c>
      <c r="T2993" s="4">
        <f t="shared" si="185"/>
        <v>12.382550572163034</v>
      </c>
      <c r="W2993" s="4" t="str">
        <f>"gon-2"</f>
        <v>gon-2</v>
      </c>
      <c r="X2993" s="4">
        <v>12.353394011068</v>
      </c>
      <c r="Y2993" s="4">
        <v>12.227326810566201</v>
      </c>
      <c r="Z2993" s="4">
        <v>12.3673159390375</v>
      </c>
      <c r="AA2993" s="4">
        <f t="shared" si="186"/>
        <v>12.316012253557233</v>
      </c>
    </row>
    <row r="2994" spans="16:27" x14ac:dyDescent="0.2">
      <c r="P2994" s="4" t="str">
        <f>"cyp-31a2"</f>
        <v>cyp-31a2</v>
      </c>
      <c r="Q2994" s="4">
        <v>11.937042807930499</v>
      </c>
      <c r="R2994" s="4">
        <v>12.5725340908765</v>
      </c>
      <c r="S2994" s="4">
        <v>12.6337806612582</v>
      </c>
      <c r="T2994" s="4">
        <f t="shared" si="185"/>
        <v>12.3811191866884</v>
      </c>
      <c r="W2994" s="4" t="str">
        <f>"Y54G11A.7"</f>
        <v>Y54G11A.7</v>
      </c>
      <c r="X2994" s="4">
        <v>12.863563173676701</v>
      </c>
      <c r="Y2994" s="4">
        <v>12.347503157436099</v>
      </c>
      <c r="Z2994" s="4">
        <v>11.6995420752994</v>
      </c>
      <c r="AA2994" s="4">
        <f t="shared" si="186"/>
        <v>12.303536135470734</v>
      </c>
    </row>
    <row r="2995" spans="16:27" x14ac:dyDescent="0.2">
      <c r="P2995" s="4" t="str">
        <f>"M01F1.4"</f>
        <v>M01F1.4</v>
      </c>
      <c r="Q2995" s="4">
        <v>12.6191811430655</v>
      </c>
      <c r="R2995" s="4">
        <v>12.290645078871</v>
      </c>
      <c r="S2995" s="4">
        <v>12.231867148415899</v>
      </c>
      <c r="T2995" s="4">
        <f t="shared" si="185"/>
        <v>12.380564456784134</v>
      </c>
      <c r="W2995" s="4" t="str">
        <f>"rrc-1"</f>
        <v>rrc-1</v>
      </c>
      <c r="X2995" s="4">
        <v>12.6529960419542</v>
      </c>
      <c r="Y2995" s="4">
        <v>11.6657880429171</v>
      </c>
      <c r="Z2995" s="4">
        <v>12.587164597303699</v>
      </c>
      <c r="AA2995" s="4">
        <f t="shared" si="186"/>
        <v>12.301982894058334</v>
      </c>
    </row>
    <row r="2996" spans="16:27" x14ac:dyDescent="0.2">
      <c r="P2996" s="4" t="str">
        <f>"T24G10.2"</f>
        <v>T24G10.2</v>
      </c>
      <c r="Q2996" s="4">
        <v>12.5262024843235</v>
      </c>
      <c r="R2996" s="4">
        <v>12.693925230327199</v>
      </c>
      <c r="S2996" s="4">
        <v>11.9124785160671</v>
      </c>
      <c r="T2996" s="4">
        <f t="shared" si="185"/>
        <v>12.377535410239267</v>
      </c>
      <c r="W2996" s="4" t="str">
        <f>"gcn-2"</f>
        <v>gcn-2</v>
      </c>
      <c r="X2996" s="4">
        <v>12.4201177989529</v>
      </c>
      <c r="Y2996" s="4">
        <v>12.3709295589532</v>
      </c>
      <c r="Z2996" s="4">
        <v>12.102230117883099</v>
      </c>
      <c r="AA2996" s="4">
        <f t="shared" si="186"/>
        <v>12.297759158596401</v>
      </c>
    </row>
    <row r="2997" spans="16:27" x14ac:dyDescent="0.2">
      <c r="P2997" s="4" t="str">
        <f>"cyn-5"</f>
        <v>cyn-5</v>
      </c>
      <c r="Q2997" s="4">
        <v>12.3203660337453</v>
      </c>
      <c r="R2997" s="4">
        <v>12.727182907884201</v>
      </c>
      <c r="S2997" s="4">
        <v>12.0784109425332</v>
      </c>
      <c r="T2997" s="4">
        <f t="shared" si="185"/>
        <v>12.375319961387566</v>
      </c>
      <c r="W2997" s="4" t="str">
        <f>"Y75B8A.25"</f>
        <v>Y75B8A.25</v>
      </c>
      <c r="X2997" s="4">
        <v>12.0938090236882</v>
      </c>
      <c r="Y2997" s="4">
        <v>12.5784982893368</v>
      </c>
      <c r="Z2997" s="4">
        <v>12.2208192640171</v>
      </c>
      <c r="AA2997" s="4">
        <f t="shared" si="186"/>
        <v>12.297708859014035</v>
      </c>
    </row>
    <row r="2998" spans="16:27" x14ac:dyDescent="0.2">
      <c r="P2998" s="4" t="str">
        <f>"usp-48"</f>
        <v>usp-48</v>
      </c>
      <c r="Q2998" s="4">
        <v>12.351468725794099</v>
      </c>
      <c r="R2998" s="4">
        <v>12.4276195593465</v>
      </c>
      <c r="S2998" s="4">
        <v>12.346002666967699</v>
      </c>
      <c r="T2998" s="4">
        <f t="shared" si="185"/>
        <v>12.375030317369431</v>
      </c>
      <c r="W2998" s="4" t="str">
        <f>"F17C11.11"</f>
        <v>F17C11.11</v>
      </c>
      <c r="X2998" s="4">
        <v>12.3917671560844</v>
      </c>
      <c r="Y2998" s="4">
        <v>12.3446331550275</v>
      </c>
      <c r="Z2998" s="4">
        <v>12.1551300222807</v>
      </c>
      <c r="AA2998" s="4">
        <f t="shared" si="186"/>
        <v>12.297176777797533</v>
      </c>
    </row>
    <row r="2999" spans="16:27" x14ac:dyDescent="0.2">
      <c r="P2999" s="4" t="str">
        <f>"cyp-35a3"</f>
        <v>cyp-35a3</v>
      </c>
      <c r="Q2999" s="4">
        <v>11.992523492954</v>
      </c>
      <c r="R2999" s="4">
        <v>12.342169248510899</v>
      </c>
      <c r="S2999" s="4">
        <v>12.7677613773459</v>
      </c>
      <c r="T2999" s="4">
        <f t="shared" si="185"/>
        <v>12.367484706270266</v>
      </c>
      <c r="W2999" s="4" t="str">
        <f>"ppm-2"</f>
        <v>ppm-2</v>
      </c>
      <c r="X2999" s="4">
        <v>12.377616504272</v>
      </c>
      <c r="Y2999" s="4">
        <v>12.3036305859195</v>
      </c>
      <c r="Z2999" s="4">
        <v>12.2064172179817</v>
      </c>
      <c r="AA2999" s="4">
        <f t="shared" si="186"/>
        <v>12.295888102724399</v>
      </c>
    </row>
    <row r="3000" spans="16:27" x14ac:dyDescent="0.2">
      <c r="P3000" s="4" t="str">
        <f>"crn-2"</f>
        <v>crn-2</v>
      </c>
      <c r="Q3000" s="4">
        <v>12.1552915430045</v>
      </c>
      <c r="R3000" s="4">
        <v>12.445898187698999</v>
      </c>
      <c r="S3000" s="4">
        <v>12.4979440709028</v>
      </c>
      <c r="T3000" s="4">
        <f t="shared" si="185"/>
        <v>12.366377933868767</v>
      </c>
      <c r="W3000" s="4" t="str">
        <f>"lap-2"</f>
        <v>lap-2</v>
      </c>
      <c r="X3000" s="4">
        <v>11.631989171023299</v>
      </c>
      <c r="Y3000" s="4">
        <v>12.366257049634701</v>
      </c>
      <c r="Z3000" s="4">
        <v>12.8823611666052</v>
      </c>
      <c r="AA3000" s="4">
        <f t="shared" si="186"/>
        <v>12.2935357957544</v>
      </c>
    </row>
    <row r="3001" spans="16:27" x14ac:dyDescent="0.2">
      <c r="P3001" s="4" t="str">
        <f>"C25H3.11"</f>
        <v>C25H3.11</v>
      </c>
      <c r="Q3001" s="4">
        <v>12.084260337134699</v>
      </c>
      <c r="R3001" s="4">
        <v>12.535956790431101</v>
      </c>
      <c r="S3001" s="4">
        <v>12.444788465958901</v>
      </c>
      <c r="T3001" s="4">
        <f t="shared" si="185"/>
        <v>12.355001864508234</v>
      </c>
      <c r="W3001" s="4" t="str">
        <f>"T12G3.2"</f>
        <v>T12G3.2</v>
      </c>
      <c r="X3001" s="4">
        <v>12.183388442667599</v>
      </c>
      <c r="Y3001" s="4">
        <v>12.464108960039701</v>
      </c>
      <c r="Z3001" s="4">
        <v>12.232381249948199</v>
      </c>
      <c r="AA3001" s="4">
        <f t="shared" si="186"/>
        <v>12.2932928842185</v>
      </c>
    </row>
    <row r="3002" spans="16:27" x14ac:dyDescent="0.2">
      <c r="P3002" s="4" t="str">
        <f>"bub-3"</f>
        <v>bub-3</v>
      </c>
      <c r="Q3002" s="4">
        <v>11.784541199239399</v>
      </c>
      <c r="R3002" s="4">
        <v>12.6206608945008</v>
      </c>
      <c r="S3002" s="4">
        <v>12.6580149879429</v>
      </c>
      <c r="T3002" s="4">
        <f t="shared" si="185"/>
        <v>12.354405693894366</v>
      </c>
      <c r="W3002" s="4" t="str">
        <f>"lec-5"</f>
        <v>lec-5</v>
      </c>
      <c r="X3002" s="4">
        <v>12.201083991785101</v>
      </c>
      <c r="Y3002" s="4">
        <v>11.926059350697599</v>
      </c>
      <c r="Z3002" s="4">
        <v>12.7433140307463</v>
      </c>
      <c r="AA3002" s="4">
        <f t="shared" si="186"/>
        <v>12.290152457743</v>
      </c>
    </row>
    <row r="3003" spans="16:27" x14ac:dyDescent="0.2">
      <c r="P3003" s="4" t="str">
        <f>"wnk-1"</f>
        <v>wnk-1</v>
      </c>
      <c r="Q3003" s="4">
        <v>12.1338653112809</v>
      </c>
      <c r="R3003" s="4">
        <v>12.4526878307383</v>
      </c>
      <c r="S3003" s="4">
        <v>12.4590133236014</v>
      </c>
      <c r="T3003" s="4">
        <f t="shared" si="185"/>
        <v>12.348522155206865</v>
      </c>
      <c r="W3003" s="4" t="str">
        <f>"F56C9.10"</f>
        <v>F56C9.10</v>
      </c>
      <c r="X3003" s="4">
        <v>12.344263049406401</v>
      </c>
      <c r="Y3003" s="4">
        <v>12.334247640927501</v>
      </c>
      <c r="Z3003" s="4">
        <v>12.1863467348828</v>
      </c>
      <c r="AA3003" s="4">
        <f t="shared" si="186"/>
        <v>12.288285808405567</v>
      </c>
    </row>
    <row r="3004" spans="16:27" x14ac:dyDescent="0.2">
      <c r="P3004" s="4" t="str">
        <f>"unc-31"</f>
        <v>unc-31</v>
      </c>
      <c r="Q3004" s="4">
        <v>12.0652020437327</v>
      </c>
      <c r="R3004" s="4">
        <v>12.692510081785001</v>
      </c>
      <c r="S3004" s="4">
        <v>12.286850677340199</v>
      </c>
      <c r="T3004" s="4">
        <f t="shared" si="185"/>
        <v>12.348187600952633</v>
      </c>
      <c r="W3004" s="4" t="str">
        <f>"phm-2"</f>
        <v>phm-2</v>
      </c>
      <c r="X3004" s="4">
        <v>12.0166443588734</v>
      </c>
      <c r="Y3004" s="4">
        <v>12.6170416671255</v>
      </c>
      <c r="Z3004" s="4">
        <v>12.2144149412351</v>
      </c>
      <c r="AA3004" s="4">
        <f t="shared" si="186"/>
        <v>12.282700322411332</v>
      </c>
    </row>
    <row r="3005" spans="16:27" x14ac:dyDescent="0.2">
      <c r="P3005" s="4" t="str">
        <f>"acox-1.1"</f>
        <v>acox-1.1</v>
      </c>
      <c r="Q3005" s="4">
        <v>12.233619006395299</v>
      </c>
      <c r="R3005" s="4">
        <v>12.6025449508991</v>
      </c>
      <c r="S3005" s="4">
        <v>12.193768415220999</v>
      </c>
      <c r="T3005" s="4">
        <f t="shared" si="185"/>
        <v>12.343310790838466</v>
      </c>
      <c r="W3005" s="4" t="str">
        <f>"cas-1"</f>
        <v>cas-1</v>
      </c>
      <c r="X3005" s="4">
        <v>11.584718725960601</v>
      </c>
      <c r="Y3005" s="4">
        <v>12.4069293482455</v>
      </c>
      <c r="Z3005" s="4">
        <v>12.834782540585801</v>
      </c>
      <c r="AA3005" s="4">
        <f t="shared" si="186"/>
        <v>12.2754768715973</v>
      </c>
    </row>
    <row r="3006" spans="16:27" x14ac:dyDescent="0.2">
      <c r="P3006" s="4" t="str">
        <f>"C53B7.2"</f>
        <v>C53B7.2</v>
      </c>
      <c r="Q3006" s="4">
        <v>11.9671965967611</v>
      </c>
      <c r="R3006" s="4">
        <v>12.5395754547759</v>
      </c>
      <c r="S3006" s="4">
        <v>12.515377762455801</v>
      </c>
      <c r="T3006" s="4">
        <f t="shared" si="185"/>
        <v>12.340716604664266</v>
      </c>
      <c r="W3006" s="4" t="str">
        <f>"nex-2"</f>
        <v>nex-2</v>
      </c>
      <c r="X3006" s="4">
        <v>11.89498937944</v>
      </c>
      <c r="Y3006" s="4">
        <v>12.2443470176806</v>
      </c>
      <c r="Z3006" s="4">
        <v>12.6860358445128</v>
      </c>
      <c r="AA3006" s="4">
        <f t="shared" si="186"/>
        <v>12.275124080544467</v>
      </c>
    </row>
    <row r="3007" spans="16:27" x14ac:dyDescent="0.2">
      <c r="P3007" s="4" t="str">
        <f>"Y51F10.11"</f>
        <v>Y51F10.11</v>
      </c>
      <c r="Q3007" s="4">
        <v>12.1576785380621</v>
      </c>
      <c r="R3007" s="4">
        <v>12.474157385790001</v>
      </c>
      <c r="S3007" s="4">
        <v>12.379613628652301</v>
      </c>
      <c r="T3007" s="4">
        <f t="shared" si="185"/>
        <v>12.3371498508348</v>
      </c>
      <c r="W3007" s="4" t="str">
        <f>"ZK354.2"</f>
        <v>ZK354.2</v>
      </c>
      <c r="X3007" s="4">
        <v>12.607763566398001</v>
      </c>
      <c r="Y3007" s="4">
        <v>11.851435217960001</v>
      </c>
      <c r="Z3007" s="4">
        <v>12.357833317308801</v>
      </c>
      <c r="AA3007" s="4">
        <f t="shared" si="186"/>
        <v>12.272344033888935</v>
      </c>
    </row>
    <row r="3008" spans="16:27" x14ac:dyDescent="0.2">
      <c r="P3008" s="4" t="str">
        <f>"ZK1055.7"</f>
        <v>ZK1055.7</v>
      </c>
      <c r="Q3008" s="4">
        <v>12.1338606063629</v>
      </c>
      <c r="R3008" s="4">
        <v>12.243316823007801</v>
      </c>
      <c r="S3008" s="4">
        <v>12.629590699739</v>
      </c>
      <c r="T3008" s="4">
        <f t="shared" si="185"/>
        <v>12.335589376369901</v>
      </c>
      <c r="W3008" s="4" t="str">
        <f>"pdi-2"</f>
        <v>pdi-2</v>
      </c>
      <c r="X3008" s="4">
        <v>12.609216274263799</v>
      </c>
      <c r="Y3008" s="4">
        <v>11.827971614355199</v>
      </c>
      <c r="Z3008" s="4">
        <v>12.377328144059399</v>
      </c>
      <c r="AA3008" s="4">
        <f t="shared" si="186"/>
        <v>12.271505344226133</v>
      </c>
    </row>
    <row r="3009" spans="16:27" x14ac:dyDescent="0.2">
      <c r="P3009" s="4" t="str">
        <f>"cyp-37b1"</f>
        <v>cyp-37b1</v>
      </c>
      <c r="Q3009" s="4">
        <v>12.2387969736741</v>
      </c>
      <c r="R3009" s="4">
        <v>12.294714956999</v>
      </c>
      <c r="S3009" s="4">
        <v>12.471656310916501</v>
      </c>
      <c r="T3009" s="4">
        <f t="shared" si="185"/>
        <v>12.335056080529867</v>
      </c>
      <c r="W3009" s="4" t="str">
        <f>"pgap-3"</f>
        <v>pgap-3</v>
      </c>
      <c r="X3009" s="4">
        <v>12.223644654709</v>
      </c>
      <c r="Y3009" s="4">
        <v>12.2084833862944</v>
      </c>
      <c r="Z3009" s="4">
        <v>12.3771962013428</v>
      </c>
      <c r="AA3009" s="4">
        <f t="shared" si="186"/>
        <v>12.269774747448734</v>
      </c>
    </row>
    <row r="3010" spans="16:27" x14ac:dyDescent="0.2">
      <c r="P3010" s="4" t="str">
        <f>"tcc-1"</f>
        <v>tcc-1</v>
      </c>
      <c r="Q3010" s="4">
        <v>12.292030488442</v>
      </c>
      <c r="R3010" s="4">
        <v>12.3064391919592</v>
      </c>
      <c r="S3010" s="4">
        <v>12.405918211085</v>
      </c>
      <c r="T3010" s="4">
        <f t="shared" ref="T3010:T3073" si="187">(Q3010+R3010+S3010)/3</f>
        <v>12.334795963828734</v>
      </c>
      <c r="W3010" s="4" t="str">
        <f>"col-160"</f>
        <v>col-160</v>
      </c>
      <c r="X3010" s="4">
        <v>12.9198681431232</v>
      </c>
      <c r="Y3010" s="4">
        <v>12.236120389590999</v>
      </c>
      <c r="Z3010" s="4">
        <v>11.647919321471001</v>
      </c>
      <c r="AA3010" s="4">
        <f t="shared" ref="AA3010:AA3073" si="188">(X3010+Y3010+Z3010)/3</f>
        <v>12.2679692847284</v>
      </c>
    </row>
    <row r="3011" spans="16:27" x14ac:dyDescent="0.2">
      <c r="P3011" s="4" t="str">
        <f>"ani-2"</f>
        <v>ani-2</v>
      </c>
      <c r="Q3011" s="4">
        <v>12.647348695772999</v>
      </c>
      <c r="R3011" s="4">
        <v>12.1346426801164</v>
      </c>
      <c r="S3011" s="4">
        <v>12.215533331356699</v>
      </c>
      <c r="T3011" s="4">
        <f t="shared" si="187"/>
        <v>12.332508235748699</v>
      </c>
      <c r="W3011" s="4" t="str">
        <f>"rsd-2"</f>
        <v>rsd-2</v>
      </c>
      <c r="X3011" s="4">
        <v>12.333666755894001</v>
      </c>
      <c r="Y3011" s="4">
        <v>12.3027612835561</v>
      </c>
      <c r="Z3011" s="4">
        <v>12.1663774973473</v>
      </c>
      <c r="AA3011" s="4">
        <f t="shared" si="188"/>
        <v>12.267601845599133</v>
      </c>
    </row>
    <row r="3012" spans="16:27" x14ac:dyDescent="0.2">
      <c r="P3012" s="4" t="str">
        <f>"mdh-1"</f>
        <v>mdh-1</v>
      </c>
      <c r="Q3012" s="4">
        <v>11.9346329352729</v>
      </c>
      <c r="R3012" s="4">
        <v>12.576203092693101</v>
      </c>
      <c r="S3012" s="4">
        <v>12.485191481282801</v>
      </c>
      <c r="T3012" s="4">
        <f t="shared" si="187"/>
        <v>12.332009169749602</v>
      </c>
      <c r="W3012" s="4" t="str">
        <f>"unc-94"</f>
        <v>unc-94</v>
      </c>
      <c r="X3012" s="4">
        <v>12.085582543427201</v>
      </c>
      <c r="Y3012" s="4">
        <v>12.5161350263865</v>
      </c>
      <c r="Z3012" s="4">
        <v>12.199667655634601</v>
      </c>
      <c r="AA3012" s="4">
        <f t="shared" si="188"/>
        <v>12.267128408482767</v>
      </c>
    </row>
    <row r="3013" spans="16:27" x14ac:dyDescent="0.2">
      <c r="P3013" s="4" t="str">
        <f>"rtcb-1"</f>
        <v>rtcb-1</v>
      </c>
      <c r="Q3013" s="4">
        <v>12.129198400718799</v>
      </c>
      <c r="R3013" s="4">
        <v>12.210524805647401</v>
      </c>
      <c r="S3013" s="4">
        <v>12.6512747236583</v>
      </c>
      <c r="T3013" s="4">
        <f t="shared" si="187"/>
        <v>12.330332643341501</v>
      </c>
      <c r="W3013" s="4" t="str">
        <f>"bath-47"</f>
        <v>bath-47</v>
      </c>
      <c r="X3013" s="4">
        <v>12.470124546372301</v>
      </c>
      <c r="Y3013" s="4">
        <v>12.540130508352201</v>
      </c>
      <c r="Z3013" s="4">
        <v>11.7899443948886</v>
      </c>
      <c r="AA3013" s="4">
        <f t="shared" si="188"/>
        <v>12.266733149871035</v>
      </c>
    </row>
    <row r="3014" spans="16:27" x14ac:dyDescent="0.2">
      <c r="P3014" s="4" t="str">
        <f>"grd-14"</f>
        <v>grd-14</v>
      </c>
      <c r="Q3014" s="4">
        <v>12.419347624474799</v>
      </c>
      <c r="R3014" s="4">
        <v>12.175005986550699</v>
      </c>
      <c r="S3014" s="4">
        <v>12.384732933940899</v>
      </c>
      <c r="T3014" s="4">
        <f t="shared" si="187"/>
        <v>12.326362181655464</v>
      </c>
      <c r="W3014" s="4" t="str">
        <f>"rpac-19"</f>
        <v>rpac-19</v>
      </c>
      <c r="X3014" s="4">
        <v>12.8701698227111</v>
      </c>
      <c r="Y3014" s="4">
        <v>12.0432738986649</v>
      </c>
      <c r="Z3014" s="4">
        <v>11.8791906891146</v>
      </c>
      <c r="AA3014" s="4">
        <f t="shared" si="188"/>
        <v>12.264211470163533</v>
      </c>
    </row>
    <row r="3015" spans="16:27" x14ac:dyDescent="0.2">
      <c r="P3015" s="4" t="str">
        <f>"slc-25a46"</f>
        <v>slc-25a46</v>
      </c>
      <c r="Q3015" s="4">
        <v>11.8560772012691</v>
      </c>
      <c r="R3015" s="4">
        <v>12.5726876217279</v>
      </c>
      <c r="S3015" s="4">
        <v>12.5402810174753</v>
      </c>
      <c r="T3015" s="4">
        <f t="shared" si="187"/>
        <v>12.323015280157433</v>
      </c>
      <c r="W3015" s="4" t="str">
        <f>"Y51F10.11"</f>
        <v>Y51F10.11</v>
      </c>
      <c r="X3015" s="4">
        <v>12.6041604991455</v>
      </c>
      <c r="Y3015" s="4">
        <v>12.295445018067101</v>
      </c>
      <c r="Z3015" s="4">
        <v>11.890267039413899</v>
      </c>
      <c r="AA3015" s="4">
        <f t="shared" si="188"/>
        <v>12.263290852208833</v>
      </c>
    </row>
    <row r="3016" spans="16:27" x14ac:dyDescent="0.2">
      <c r="P3016" s="4" t="str">
        <f>"prx-1"</f>
        <v>prx-1</v>
      </c>
      <c r="Q3016" s="4">
        <v>12.284694874147201</v>
      </c>
      <c r="R3016" s="4">
        <v>12.4760193700474</v>
      </c>
      <c r="S3016" s="4">
        <v>12.205907020289899</v>
      </c>
      <c r="T3016" s="4">
        <f t="shared" si="187"/>
        <v>12.3222070881615</v>
      </c>
      <c r="W3016" s="4" t="str">
        <f>"brp-1"</f>
        <v>brp-1</v>
      </c>
      <c r="X3016" s="4">
        <v>12.4866794673299</v>
      </c>
      <c r="Y3016" s="4">
        <v>12.255890754737599</v>
      </c>
      <c r="Z3016" s="4">
        <v>12.036499941975199</v>
      </c>
      <c r="AA3016" s="4">
        <f t="shared" si="188"/>
        <v>12.259690054680901</v>
      </c>
    </row>
    <row r="3017" spans="16:27" x14ac:dyDescent="0.2">
      <c r="P3017" s="4" t="str">
        <f>"chd-3"</f>
        <v>chd-3</v>
      </c>
      <c r="Q3017" s="4">
        <v>12.350338098156101</v>
      </c>
      <c r="R3017" s="4">
        <v>12.2878207079877</v>
      </c>
      <c r="S3017" s="4">
        <v>12.3241376228549</v>
      </c>
      <c r="T3017" s="4">
        <f t="shared" si="187"/>
        <v>12.3207654763329</v>
      </c>
      <c r="W3017" s="4" t="str">
        <f>"wnk-1"</f>
        <v>wnk-1</v>
      </c>
      <c r="X3017" s="4">
        <v>12.3473245014347</v>
      </c>
      <c r="Y3017" s="4">
        <v>12.287444421409001</v>
      </c>
      <c r="Z3017" s="4">
        <v>12.1429876410257</v>
      </c>
      <c r="AA3017" s="4">
        <f t="shared" si="188"/>
        <v>12.259252187956468</v>
      </c>
    </row>
    <row r="3018" spans="16:27" x14ac:dyDescent="0.2">
      <c r="P3018" s="4" t="str">
        <f>"lig-4"</f>
        <v>lig-4</v>
      </c>
      <c r="Q3018" s="4">
        <v>11.9309052674885</v>
      </c>
      <c r="R3018" s="4">
        <v>12.905910630782399</v>
      </c>
      <c r="S3018" s="4">
        <v>12.1227963594337</v>
      </c>
      <c r="T3018" s="4">
        <f t="shared" si="187"/>
        <v>12.3198707525682</v>
      </c>
      <c r="W3018" s="4" t="str">
        <f>"ggtb-1"</f>
        <v>ggtb-1</v>
      </c>
      <c r="X3018" s="4">
        <v>12.2900632766922</v>
      </c>
      <c r="Y3018" s="4">
        <v>12.1627117303112</v>
      </c>
      <c r="Z3018" s="4">
        <v>12.3182198807127</v>
      </c>
      <c r="AA3018" s="4">
        <f t="shared" si="188"/>
        <v>12.256998295905367</v>
      </c>
    </row>
    <row r="3019" spans="16:27" x14ac:dyDescent="0.2">
      <c r="P3019" s="4" t="str">
        <f>"fust-1"</f>
        <v>fust-1</v>
      </c>
      <c r="Q3019" s="4">
        <v>12.2749498880774</v>
      </c>
      <c r="R3019" s="4">
        <v>12.530893964164401</v>
      </c>
      <c r="S3019" s="4">
        <v>12.138347798525899</v>
      </c>
      <c r="T3019" s="4">
        <f t="shared" si="187"/>
        <v>12.3147305502559</v>
      </c>
      <c r="W3019" s="4" t="str">
        <f>"F55A11.6"</f>
        <v>F55A11.6</v>
      </c>
      <c r="X3019" s="4">
        <v>11.9141495474918</v>
      </c>
      <c r="Y3019" s="4">
        <v>12.5559701010965</v>
      </c>
      <c r="Z3019" s="4">
        <v>12.2994433920273</v>
      </c>
      <c r="AA3019" s="4">
        <f t="shared" si="188"/>
        <v>12.256521013538533</v>
      </c>
    </row>
    <row r="3020" spans="16:27" x14ac:dyDescent="0.2">
      <c r="P3020" s="4" t="str">
        <f>"eif-2A"</f>
        <v>eif-2A</v>
      </c>
      <c r="Q3020" s="4">
        <v>12.243035507497201</v>
      </c>
      <c r="R3020" s="4">
        <v>12.2760794013109</v>
      </c>
      <c r="S3020" s="4">
        <v>12.421506716969899</v>
      </c>
      <c r="T3020" s="4">
        <f t="shared" si="187"/>
        <v>12.313540541926001</v>
      </c>
      <c r="W3020" s="4" t="str">
        <f>"daf-3"</f>
        <v>daf-3</v>
      </c>
      <c r="X3020" s="4">
        <v>12.3112160849665</v>
      </c>
      <c r="Y3020" s="4">
        <v>12.327554852566699</v>
      </c>
      <c r="Z3020" s="4">
        <v>12.1215384216719</v>
      </c>
      <c r="AA3020" s="4">
        <f t="shared" si="188"/>
        <v>12.253436453068366</v>
      </c>
    </row>
    <row r="3021" spans="16:27" x14ac:dyDescent="0.2">
      <c r="P3021" s="4" t="str">
        <f>"pqe-1"</f>
        <v>pqe-1</v>
      </c>
      <c r="Q3021" s="4">
        <v>12.4540393269464</v>
      </c>
      <c r="R3021" s="4">
        <v>12.4482354811613</v>
      </c>
      <c r="S3021" s="4">
        <v>12.027592324463001</v>
      </c>
      <c r="T3021" s="4">
        <f t="shared" si="187"/>
        <v>12.309955710856899</v>
      </c>
      <c r="W3021" s="4" t="str">
        <f>"cbs-1"</f>
        <v>cbs-1</v>
      </c>
      <c r="X3021" s="4">
        <v>11.9396667463005</v>
      </c>
      <c r="Y3021" s="4">
        <v>12.2683552376148</v>
      </c>
      <c r="Z3021" s="4">
        <v>12.543594262836599</v>
      </c>
      <c r="AA3021" s="4">
        <f t="shared" si="188"/>
        <v>12.2505387489173</v>
      </c>
    </row>
    <row r="3022" spans="16:27" x14ac:dyDescent="0.2">
      <c r="P3022" s="4" t="str">
        <f>"kle-2"</f>
        <v>kle-2</v>
      </c>
      <c r="Q3022" s="4">
        <v>12.0082209448013</v>
      </c>
      <c r="R3022" s="4">
        <v>12.672675064797399</v>
      </c>
      <c r="S3022" s="4">
        <v>12.242757833172201</v>
      </c>
      <c r="T3022" s="4">
        <f t="shared" si="187"/>
        <v>12.307884614256965</v>
      </c>
      <c r="W3022" s="4" t="str">
        <f>"clh-1"</f>
        <v>clh-1</v>
      </c>
      <c r="X3022" s="4">
        <v>12.6060357849911</v>
      </c>
      <c r="Y3022" s="4">
        <v>12.497803279699699</v>
      </c>
      <c r="Z3022" s="4">
        <v>11.631693741160101</v>
      </c>
      <c r="AA3022" s="4">
        <f t="shared" si="188"/>
        <v>12.245177601950301</v>
      </c>
    </row>
    <row r="3023" spans="16:27" x14ac:dyDescent="0.2">
      <c r="P3023" s="4" t="str">
        <f>"mrpl-49"</f>
        <v>mrpl-49</v>
      </c>
      <c r="Q3023" s="4">
        <v>12.5751296100186</v>
      </c>
      <c r="R3023" s="4">
        <v>12.325423540048799</v>
      </c>
      <c r="S3023" s="4">
        <v>12.0174256084945</v>
      </c>
      <c r="T3023" s="4">
        <f t="shared" si="187"/>
        <v>12.305992919520634</v>
      </c>
      <c r="W3023" s="4" t="str">
        <f>"W02B12.11"</f>
        <v>W02B12.11</v>
      </c>
      <c r="X3023" s="4">
        <v>12.2065618203121</v>
      </c>
      <c r="Y3023" s="4">
        <v>12.495344358708101</v>
      </c>
      <c r="Z3023" s="4">
        <v>12.023811327765801</v>
      </c>
      <c r="AA3023" s="4">
        <f t="shared" si="188"/>
        <v>12.241905835595333</v>
      </c>
    </row>
    <row r="3024" spans="16:27" x14ac:dyDescent="0.2">
      <c r="P3024" s="4" t="str">
        <f>"pifk-1"</f>
        <v>pifk-1</v>
      </c>
      <c r="Q3024" s="4">
        <v>11.8130073220737</v>
      </c>
      <c r="R3024" s="4">
        <v>12.4722589628897</v>
      </c>
      <c r="S3024" s="4">
        <v>12.6308510588511</v>
      </c>
      <c r="T3024" s="4">
        <f t="shared" si="187"/>
        <v>12.305372447938167</v>
      </c>
      <c r="W3024" s="4" t="str">
        <f>"C01G6.5"</f>
        <v>C01G6.5</v>
      </c>
      <c r="X3024" s="4">
        <v>12.0407547526816</v>
      </c>
      <c r="Y3024" s="4">
        <v>12.571786700763599</v>
      </c>
      <c r="Z3024" s="4">
        <v>12.1124862686698</v>
      </c>
      <c r="AA3024" s="4">
        <f t="shared" si="188"/>
        <v>12.241675907371667</v>
      </c>
    </row>
    <row r="3025" spans="2:27" x14ac:dyDescent="0.2">
      <c r="P3025" s="4" t="str">
        <f>"F54E12.2"</f>
        <v>F54E12.2</v>
      </c>
      <c r="Q3025" s="4">
        <v>11.999249817053901</v>
      </c>
      <c r="R3025" s="4">
        <v>12.698734722611199</v>
      </c>
      <c r="S3025" s="4">
        <v>12.2125001861342</v>
      </c>
      <c r="T3025" s="4">
        <f t="shared" si="187"/>
        <v>12.303494908599767</v>
      </c>
      <c r="W3025" s="4" t="str">
        <f>"inx-14"</f>
        <v>inx-14</v>
      </c>
      <c r="X3025" s="4">
        <v>12.398568568867701</v>
      </c>
      <c r="Y3025" s="4">
        <v>12.382872610981501</v>
      </c>
      <c r="Z3025" s="4">
        <v>11.932827489026</v>
      </c>
      <c r="AA3025" s="4">
        <f t="shared" si="188"/>
        <v>12.238089556291735</v>
      </c>
    </row>
    <row r="3026" spans="2:27" x14ac:dyDescent="0.2">
      <c r="P3026" s="4" t="str">
        <f>"dolk-1"</f>
        <v>dolk-1</v>
      </c>
      <c r="Q3026" s="4">
        <v>12.3425458322035</v>
      </c>
      <c r="R3026" s="4">
        <v>12.4487710179208</v>
      </c>
      <c r="S3026" s="4">
        <v>12.116319881117899</v>
      </c>
      <c r="T3026" s="4">
        <f t="shared" si="187"/>
        <v>12.302545577080734</v>
      </c>
      <c r="W3026" s="4" t="str">
        <f>"apr-1"</f>
        <v>apr-1</v>
      </c>
      <c r="X3026" s="4">
        <v>11.9662884853136</v>
      </c>
      <c r="Y3026" s="4">
        <v>12.5444061744221</v>
      </c>
      <c r="Z3026" s="4">
        <v>12.203345804033599</v>
      </c>
      <c r="AA3026" s="4">
        <f t="shared" si="188"/>
        <v>12.238013487923098</v>
      </c>
    </row>
    <row r="3027" spans="2:27" x14ac:dyDescent="0.2">
      <c r="P3027" s="4" t="str">
        <f>"R53.5"</f>
        <v>R53.5</v>
      </c>
      <c r="Q3027" s="4">
        <v>12.078372512327601</v>
      </c>
      <c r="R3027" s="4">
        <v>12.4796049117605</v>
      </c>
      <c r="S3027" s="4">
        <v>12.334823975006801</v>
      </c>
      <c r="T3027" s="4">
        <f t="shared" si="187"/>
        <v>12.297600466364967</v>
      </c>
      <c r="W3027" s="4" t="str">
        <f>"gna-2"</f>
        <v>gna-2</v>
      </c>
      <c r="X3027" s="4">
        <v>12.468713055910101</v>
      </c>
      <c r="Y3027" s="4">
        <v>12.032662183063399</v>
      </c>
      <c r="Z3027" s="4">
        <v>12.2077256273574</v>
      </c>
      <c r="AA3027" s="4">
        <f t="shared" si="188"/>
        <v>12.236366955443634</v>
      </c>
    </row>
    <row r="3028" spans="2:27" x14ac:dyDescent="0.2">
      <c r="P3028" s="4" t="str">
        <f>"Y38E10A.22"</f>
        <v>Y38E10A.22</v>
      </c>
      <c r="Q3028" s="4">
        <v>11.9559619374654</v>
      </c>
      <c r="R3028" s="4">
        <v>12.318396566853499</v>
      </c>
      <c r="S3028" s="4">
        <v>12.615435229507501</v>
      </c>
      <c r="T3028" s="4">
        <f t="shared" si="187"/>
        <v>12.296597911275464</v>
      </c>
      <c r="W3028" s="4" t="str">
        <f>"ceh-18"</f>
        <v>ceh-18</v>
      </c>
      <c r="X3028" s="4">
        <v>11.746561727528899</v>
      </c>
      <c r="Y3028" s="4">
        <v>12.6057010968985</v>
      </c>
      <c r="Z3028" s="4">
        <v>12.351190084068</v>
      </c>
      <c r="AA3028" s="4">
        <f t="shared" si="188"/>
        <v>12.234484302831801</v>
      </c>
    </row>
    <row r="3029" spans="2:27" x14ac:dyDescent="0.2">
      <c r="P3029" s="4" t="str">
        <f>"gst-27"</f>
        <v>gst-27</v>
      </c>
      <c r="Q3029" s="4">
        <v>12.028779070719001</v>
      </c>
      <c r="R3029" s="4">
        <v>12.5275623817613</v>
      </c>
      <c r="S3029" s="4">
        <v>12.3332869581387</v>
      </c>
      <c r="T3029" s="4">
        <f t="shared" si="187"/>
        <v>12.296542803539666</v>
      </c>
      <c r="W3029" s="4" t="str">
        <f>"ndub-5"</f>
        <v>ndub-5</v>
      </c>
      <c r="X3029" s="4">
        <v>12.066990070310201</v>
      </c>
      <c r="Y3029" s="4">
        <v>12.2015484438691</v>
      </c>
      <c r="Z3029" s="4">
        <v>12.429399609114199</v>
      </c>
      <c r="AA3029" s="4">
        <f t="shared" si="188"/>
        <v>12.232646041097832</v>
      </c>
    </row>
    <row r="3030" spans="2:27" x14ac:dyDescent="0.2">
      <c r="P3030" s="4" t="str">
        <f>"pho-7"</f>
        <v>pho-7</v>
      </c>
      <c r="Q3030" s="4">
        <v>12.0176924821389</v>
      </c>
      <c r="R3030" s="4">
        <v>12.5904134558154</v>
      </c>
      <c r="S3030" s="4">
        <v>12.2813137102989</v>
      </c>
      <c r="T3030" s="4">
        <f t="shared" si="187"/>
        <v>12.296473216084399</v>
      </c>
      <c r="W3030" s="4" t="str">
        <f>"set-16"</f>
        <v>set-16</v>
      </c>
      <c r="X3030" s="4">
        <v>12.1151584231953</v>
      </c>
      <c r="Y3030" s="4">
        <v>12.520747103884</v>
      </c>
      <c r="Z3030" s="4">
        <v>12.0559887800566</v>
      </c>
      <c r="AA3030" s="4">
        <f t="shared" si="188"/>
        <v>12.230631435711969</v>
      </c>
    </row>
    <row r="3031" spans="2:27" x14ac:dyDescent="0.2">
      <c r="P3031" s="4" t="str">
        <f>"ZC506.1"</f>
        <v>ZC506.1</v>
      </c>
      <c r="Q3031" s="4">
        <v>11.7639475157654</v>
      </c>
      <c r="R3031" s="4">
        <v>12.5571517284223</v>
      </c>
      <c r="S3031" s="4">
        <v>12.566170478195099</v>
      </c>
      <c r="T3031" s="4">
        <f t="shared" si="187"/>
        <v>12.2957565741276</v>
      </c>
      <c r="W3031" s="4" t="str">
        <f>"gyf-1"</f>
        <v>gyf-1</v>
      </c>
      <c r="X3031" s="4">
        <v>12.6140762935347</v>
      </c>
      <c r="Y3031" s="4">
        <v>11.771729413472499</v>
      </c>
      <c r="Z3031" s="4">
        <v>12.3032282845632</v>
      </c>
      <c r="AA3031" s="4">
        <f t="shared" si="188"/>
        <v>12.229677997190132</v>
      </c>
    </row>
    <row r="3032" spans="2:27" x14ac:dyDescent="0.2">
      <c r="P3032" s="4" t="str">
        <f>"gon-2"</f>
        <v>gon-2</v>
      </c>
      <c r="Q3032" s="4">
        <v>12.1337546084841</v>
      </c>
      <c r="R3032" s="4">
        <v>12.385376108372199</v>
      </c>
      <c r="S3032" s="4">
        <v>12.3667525687199</v>
      </c>
      <c r="T3032" s="4">
        <f t="shared" si="187"/>
        <v>12.2952944285254</v>
      </c>
      <c r="W3032" s="4" t="str">
        <f>"swan-1"</f>
        <v>swan-1</v>
      </c>
      <c r="X3032" s="4">
        <v>12.191727935209199</v>
      </c>
      <c r="Y3032" s="4">
        <v>12.297942944648</v>
      </c>
      <c r="Z3032" s="4">
        <v>12.1937774267587</v>
      </c>
      <c r="AA3032" s="4">
        <f t="shared" si="188"/>
        <v>12.227816102205301</v>
      </c>
    </row>
    <row r="3033" spans="2:27" x14ac:dyDescent="0.2">
      <c r="P3033" s="4" t="str">
        <f>"aspm-1"</f>
        <v>aspm-1</v>
      </c>
      <c r="Q3033" s="4">
        <v>12.1781682731062</v>
      </c>
      <c r="R3033" s="4">
        <v>12.550667666980599</v>
      </c>
      <c r="S3033" s="4">
        <v>12.1501496754454</v>
      </c>
      <c r="T3033" s="4">
        <f t="shared" si="187"/>
        <v>12.2929952051774</v>
      </c>
      <c r="W3033" s="4" t="str">
        <f>"tatn-1"</f>
        <v>tatn-1</v>
      </c>
      <c r="X3033" s="4">
        <v>11.9173902579473</v>
      </c>
      <c r="Y3033" s="4">
        <v>12.3590649529344</v>
      </c>
      <c r="Z3033" s="4">
        <v>12.4062806396661</v>
      </c>
      <c r="AA3033" s="4">
        <f t="shared" si="188"/>
        <v>12.227578616849266</v>
      </c>
    </row>
    <row r="3034" spans="2:27" x14ac:dyDescent="0.2">
      <c r="P3034" s="4" t="str">
        <f>"math-22"</f>
        <v>math-22</v>
      </c>
      <c r="Q3034" s="4">
        <v>12.0655385574855</v>
      </c>
      <c r="R3034" s="4">
        <v>12.7333533473139</v>
      </c>
      <c r="S3034" s="4">
        <v>12.0753935136973</v>
      </c>
      <c r="T3034" s="4">
        <f t="shared" si="187"/>
        <v>12.291428472832232</v>
      </c>
      <c r="W3034" s="4" t="str">
        <f>"mlk-1"</f>
        <v>mlk-1</v>
      </c>
      <c r="X3034" s="4">
        <v>12.3274528617548</v>
      </c>
      <c r="Y3034" s="4">
        <v>12.2423413699427</v>
      </c>
      <c r="Z3034" s="4">
        <v>12.1126452804977</v>
      </c>
      <c r="AA3034" s="4">
        <f t="shared" si="188"/>
        <v>12.2274798373984</v>
      </c>
    </row>
    <row r="3035" spans="2:27" x14ac:dyDescent="0.2">
      <c r="P3035" s="4" t="str">
        <f>"Y42H9AR.1"</f>
        <v>Y42H9AR.1</v>
      </c>
      <c r="Q3035" s="4">
        <v>11.408190658553099</v>
      </c>
      <c r="R3035" s="4">
        <v>13.0572201804779</v>
      </c>
      <c r="S3035" s="4">
        <v>12.4009273719698</v>
      </c>
      <c r="T3035" s="4">
        <f t="shared" si="187"/>
        <v>12.288779403666934</v>
      </c>
      <c r="W3035" s="4" t="str">
        <f>"nol-6"</f>
        <v>nol-6</v>
      </c>
      <c r="X3035" s="4">
        <v>12.2101383747331</v>
      </c>
      <c r="Y3035" s="4">
        <v>12.2105341157376</v>
      </c>
      <c r="Z3035" s="4">
        <v>12.255169539856</v>
      </c>
      <c r="AA3035" s="4">
        <f t="shared" si="188"/>
        <v>12.225280676775567</v>
      </c>
    </row>
    <row r="3036" spans="2:27" x14ac:dyDescent="0.2">
      <c r="P3036" s="4" t="str">
        <f>"algn-1"</f>
        <v>algn-1</v>
      </c>
      <c r="Q3036" s="4">
        <v>11.916045063753501</v>
      </c>
      <c r="R3036" s="4">
        <v>12.548436699400099</v>
      </c>
      <c r="S3036" s="4">
        <v>12.382124598481701</v>
      </c>
      <c r="T3036" s="4">
        <f t="shared" si="187"/>
        <v>12.282202120545101</v>
      </c>
      <c r="W3036" s="4" t="str">
        <f>"slc-30a5"</f>
        <v>slc-30a5</v>
      </c>
      <c r="X3036" s="4">
        <v>12.666889487582599</v>
      </c>
      <c r="Y3036" s="4">
        <v>11.326622550683901</v>
      </c>
      <c r="Z3036" s="4">
        <v>12.678198983951701</v>
      </c>
      <c r="AA3036" s="4">
        <f t="shared" si="188"/>
        <v>12.223903674072735</v>
      </c>
    </row>
    <row r="3037" spans="2:27" x14ac:dyDescent="0.2">
      <c r="P3037" s="4" t="str">
        <f>"ras-2"</f>
        <v>ras-2</v>
      </c>
      <c r="Q3037" s="4">
        <v>12.576591409115199</v>
      </c>
      <c r="R3037" s="4">
        <v>11.913320630152</v>
      </c>
      <c r="S3037" s="4">
        <v>12.352999182998801</v>
      </c>
      <c r="T3037" s="4">
        <f t="shared" si="187"/>
        <v>12.280970407421998</v>
      </c>
      <c r="W3037" s="4" t="str">
        <f>"taf-1"</f>
        <v>taf-1</v>
      </c>
      <c r="X3037" s="4">
        <v>11.919313988086101</v>
      </c>
      <c r="Y3037" s="4">
        <v>12.244105466674</v>
      </c>
      <c r="Z3037" s="4">
        <v>12.5022030430715</v>
      </c>
      <c r="AA3037" s="4">
        <f t="shared" si="188"/>
        <v>12.221874165943868</v>
      </c>
    </row>
    <row r="3038" spans="2:27" x14ac:dyDescent="0.2">
      <c r="B3038" s="24"/>
      <c r="C3038" s="24"/>
      <c r="D3038" s="24"/>
      <c r="E3038" s="24"/>
      <c r="P3038" s="4" t="str">
        <f>"ipla-3"</f>
        <v>ipla-3</v>
      </c>
      <c r="Q3038" s="4">
        <v>12.5207989071878</v>
      </c>
      <c r="R3038" s="4">
        <v>12.4510605597458</v>
      </c>
      <c r="S3038" s="4">
        <v>11.8695409751027</v>
      </c>
      <c r="T3038" s="4">
        <f t="shared" si="187"/>
        <v>12.280466814012101</v>
      </c>
      <c r="W3038" s="4" t="str">
        <f>"npp-1"</f>
        <v>npp-1</v>
      </c>
      <c r="X3038" s="4">
        <v>12.5702996953267</v>
      </c>
      <c r="Y3038" s="4">
        <v>11.9770060682847</v>
      </c>
      <c r="Z3038" s="4">
        <v>12.101990053384601</v>
      </c>
      <c r="AA3038" s="4">
        <f t="shared" si="188"/>
        <v>12.216431938998667</v>
      </c>
    </row>
    <row r="3039" spans="2:27" x14ac:dyDescent="0.2">
      <c r="P3039" s="4" t="str">
        <f>"grl-25"</f>
        <v>grl-25</v>
      </c>
      <c r="Q3039" s="4">
        <v>12.276281736527899</v>
      </c>
      <c r="R3039" s="4">
        <v>12.4045981471505</v>
      </c>
      <c r="S3039" s="4">
        <v>12.138092135290201</v>
      </c>
      <c r="T3039" s="4">
        <f t="shared" si="187"/>
        <v>12.272990672989534</v>
      </c>
      <c r="W3039" s="4" t="str">
        <f>"vrk-1"</f>
        <v>vrk-1</v>
      </c>
      <c r="X3039" s="4">
        <v>12.2585184488323</v>
      </c>
      <c r="Y3039" s="4">
        <v>12.0779768657346</v>
      </c>
      <c r="Z3039" s="4">
        <v>12.3055028508722</v>
      </c>
      <c r="AA3039" s="4">
        <f t="shared" si="188"/>
        <v>12.213999388479699</v>
      </c>
    </row>
    <row r="3040" spans="2:27" x14ac:dyDescent="0.2">
      <c r="P3040" s="4" t="str">
        <f>"frm-2"</f>
        <v>frm-2</v>
      </c>
      <c r="Q3040" s="4">
        <v>11.910659343187801</v>
      </c>
      <c r="R3040" s="4">
        <v>12.552656953645</v>
      </c>
      <c r="S3040" s="4">
        <v>12.348362820950699</v>
      </c>
      <c r="T3040" s="4">
        <f t="shared" si="187"/>
        <v>12.270559705927832</v>
      </c>
      <c r="W3040" s="4" t="str">
        <f>"ndk-1"</f>
        <v>ndk-1</v>
      </c>
      <c r="X3040" s="4">
        <v>12.4240536288887</v>
      </c>
      <c r="Y3040" s="4">
        <v>11.7134281052017</v>
      </c>
      <c r="Z3040" s="4">
        <v>12.4983244102154</v>
      </c>
      <c r="AA3040" s="4">
        <f t="shared" si="188"/>
        <v>12.211935381435268</v>
      </c>
    </row>
    <row r="3041" spans="16:27" x14ac:dyDescent="0.2">
      <c r="P3041" s="4" t="str">
        <f>"glo-1"</f>
        <v>glo-1</v>
      </c>
      <c r="Q3041" s="4">
        <v>12.6478514545995</v>
      </c>
      <c r="R3041" s="4">
        <v>12.151120044947801</v>
      </c>
      <c r="S3041" s="4">
        <v>12.0121934167421</v>
      </c>
      <c r="T3041" s="4">
        <f t="shared" si="187"/>
        <v>12.270388305429799</v>
      </c>
      <c r="W3041" s="4" t="str">
        <f>"K01G5.5"</f>
        <v>K01G5.5</v>
      </c>
      <c r="X3041" s="4">
        <v>12.2843686608864</v>
      </c>
      <c r="Y3041" s="4">
        <v>12.0883416319947</v>
      </c>
      <c r="Z3041" s="4">
        <v>12.260785978350899</v>
      </c>
      <c r="AA3041" s="4">
        <f t="shared" si="188"/>
        <v>12.211165423744001</v>
      </c>
    </row>
    <row r="3042" spans="16:27" x14ac:dyDescent="0.2">
      <c r="P3042" s="4" t="str">
        <f>"pid-3"</f>
        <v>pid-3</v>
      </c>
      <c r="Q3042" s="4">
        <v>12.3261014666768</v>
      </c>
      <c r="R3042" s="4">
        <v>12.113202630176501</v>
      </c>
      <c r="S3042" s="4">
        <v>12.3646287702223</v>
      </c>
      <c r="T3042" s="4">
        <f t="shared" si="187"/>
        <v>12.267977622358535</v>
      </c>
      <c r="W3042" s="4" t="str">
        <f>"chd-3"</f>
        <v>chd-3</v>
      </c>
      <c r="X3042" s="4">
        <v>12.2345617357969</v>
      </c>
      <c r="Y3042" s="4">
        <v>12.2802203074747</v>
      </c>
      <c r="Z3042" s="4">
        <v>12.1162727596429</v>
      </c>
      <c r="AA3042" s="4">
        <f t="shared" si="188"/>
        <v>12.210351600971501</v>
      </c>
    </row>
    <row r="3043" spans="16:27" x14ac:dyDescent="0.2">
      <c r="P3043" s="4" t="str">
        <f>"nhl-2"</f>
        <v>nhl-2</v>
      </c>
      <c r="Q3043" s="4">
        <v>12.0815178602596</v>
      </c>
      <c r="R3043" s="4">
        <v>12.351666887794099</v>
      </c>
      <c r="S3043" s="4">
        <v>12.3536311040444</v>
      </c>
      <c r="T3043" s="4">
        <f t="shared" si="187"/>
        <v>12.262271950699366</v>
      </c>
      <c r="W3043" s="4" t="str">
        <f>"lin-15B"</f>
        <v>lin-15B</v>
      </c>
      <c r="X3043" s="4">
        <v>12.0521568684799</v>
      </c>
      <c r="Y3043" s="4">
        <v>12.3523955485669</v>
      </c>
      <c r="Z3043" s="4">
        <v>12.2194297178465</v>
      </c>
      <c r="AA3043" s="4">
        <f t="shared" si="188"/>
        <v>12.207994044964435</v>
      </c>
    </row>
    <row r="3044" spans="16:27" x14ac:dyDescent="0.2">
      <c r="P3044" s="4" t="str">
        <f>"DY3.8"</f>
        <v>DY3.8</v>
      </c>
      <c r="Q3044" s="4">
        <v>11.985984319090999</v>
      </c>
      <c r="R3044" s="4">
        <v>12.5113715000514</v>
      </c>
      <c r="S3044" s="4">
        <v>12.284932033775799</v>
      </c>
      <c r="T3044" s="4">
        <f t="shared" si="187"/>
        <v>12.260762617639401</v>
      </c>
      <c r="W3044" s="4" t="str">
        <f>"rbm-12"</f>
        <v>rbm-12</v>
      </c>
      <c r="X3044" s="4">
        <v>12.3407646282785</v>
      </c>
      <c r="Y3044" s="4">
        <v>11.734989826628601</v>
      </c>
      <c r="Z3044" s="4">
        <v>12.5351016158227</v>
      </c>
      <c r="AA3044" s="4">
        <f t="shared" si="188"/>
        <v>12.203618690243266</v>
      </c>
    </row>
    <row r="3045" spans="16:27" x14ac:dyDescent="0.2">
      <c r="P3045" s="4" t="str">
        <f>"pig-1"</f>
        <v>pig-1</v>
      </c>
      <c r="Q3045" s="4">
        <v>12.081012682043101</v>
      </c>
      <c r="R3045" s="4">
        <v>12.3904246502194</v>
      </c>
      <c r="S3045" s="4">
        <v>12.2997397077588</v>
      </c>
      <c r="T3045" s="4">
        <f t="shared" si="187"/>
        <v>12.257059013340433</v>
      </c>
      <c r="W3045" s="4" t="str">
        <f>"osgl-1"</f>
        <v>osgl-1</v>
      </c>
      <c r="X3045" s="4">
        <v>12.121297460489201</v>
      </c>
      <c r="Y3045" s="4">
        <v>12.075891374567201</v>
      </c>
      <c r="Z3045" s="4">
        <v>12.411001297958499</v>
      </c>
      <c r="AA3045" s="4">
        <f t="shared" si="188"/>
        <v>12.202730044338301</v>
      </c>
    </row>
    <row r="3046" spans="16:27" x14ac:dyDescent="0.2">
      <c r="P3046" s="4" t="str">
        <f>"K05C4.7"</f>
        <v>K05C4.7</v>
      </c>
      <c r="Q3046" s="4">
        <v>11.9705238297128</v>
      </c>
      <c r="R3046" s="4">
        <v>12.5923507428537</v>
      </c>
      <c r="S3046" s="4">
        <v>12.2036020766372</v>
      </c>
      <c r="T3046" s="4">
        <f t="shared" si="187"/>
        <v>12.255492216401231</v>
      </c>
      <c r="W3046" s="4" t="str">
        <f>"nex-1"</f>
        <v>nex-1</v>
      </c>
      <c r="X3046" s="4">
        <v>11.745796002731501</v>
      </c>
      <c r="Y3046" s="4">
        <v>12.273181989309901</v>
      </c>
      <c r="Z3046" s="4">
        <v>12.5806240091714</v>
      </c>
      <c r="AA3046" s="4">
        <f t="shared" si="188"/>
        <v>12.1998673337376</v>
      </c>
    </row>
    <row r="3047" spans="16:27" x14ac:dyDescent="0.2">
      <c r="P3047" s="4" t="str">
        <f>"cnt-2"</f>
        <v>cnt-2</v>
      </c>
      <c r="Q3047" s="4">
        <v>11.9513557578335</v>
      </c>
      <c r="R3047" s="4">
        <v>12.403338723171199</v>
      </c>
      <c r="S3047" s="4">
        <v>12.411439851187099</v>
      </c>
      <c r="T3047" s="4">
        <f t="shared" si="187"/>
        <v>12.255378110730598</v>
      </c>
      <c r="W3047" s="4" t="str">
        <f>"pis-1"</f>
        <v>pis-1</v>
      </c>
      <c r="X3047" s="4">
        <v>11.805024262796699</v>
      </c>
      <c r="Y3047" s="4">
        <v>12.2607144094608</v>
      </c>
      <c r="Z3047" s="4">
        <v>12.522173255081199</v>
      </c>
      <c r="AA3047" s="4">
        <f t="shared" si="188"/>
        <v>12.195970642446232</v>
      </c>
    </row>
    <row r="3048" spans="16:27" x14ac:dyDescent="0.2">
      <c r="P3048" s="4" t="str">
        <f>"erv-46"</f>
        <v>erv-46</v>
      </c>
      <c r="Q3048" s="4">
        <v>12.2034988246567</v>
      </c>
      <c r="R3048" s="4">
        <v>12.482815596042499</v>
      </c>
      <c r="S3048" s="4">
        <v>12.074746504167299</v>
      </c>
      <c r="T3048" s="4">
        <f t="shared" si="187"/>
        <v>12.2536869749555</v>
      </c>
      <c r="W3048" s="4" t="str">
        <f>"trcs-2"</f>
        <v>trcs-2</v>
      </c>
      <c r="X3048" s="4">
        <v>11.8165856134147</v>
      </c>
      <c r="Y3048" s="4">
        <v>12.475481611044099</v>
      </c>
      <c r="Z3048" s="4">
        <v>12.294272837120101</v>
      </c>
      <c r="AA3048" s="4">
        <f t="shared" si="188"/>
        <v>12.195446687192964</v>
      </c>
    </row>
    <row r="3049" spans="16:27" x14ac:dyDescent="0.2">
      <c r="P3049" s="4" t="str">
        <f>"rbm-5"</f>
        <v>rbm-5</v>
      </c>
      <c r="Q3049" s="4">
        <v>12.1465163995876</v>
      </c>
      <c r="R3049" s="4">
        <v>12.480172605529001</v>
      </c>
      <c r="S3049" s="4">
        <v>12.133907670866501</v>
      </c>
      <c r="T3049" s="4">
        <f t="shared" si="187"/>
        <v>12.253532225327701</v>
      </c>
      <c r="W3049" s="4" t="str">
        <f>"ule-4"</f>
        <v>ule-4</v>
      </c>
      <c r="X3049" s="4">
        <v>12.3494730091536</v>
      </c>
      <c r="Y3049" s="4">
        <v>12.143517682833901</v>
      </c>
      <c r="Z3049" s="4">
        <v>12.0806419778894</v>
      </c>
      <c r="AA3049" s="4">
        <f t="shared" si="188"/>
        <v>12.191210889958967</v>
      </c>
    </row>
    <row r="3050" spans="16:27" x14ac:dyDescent="0.2">
      <c r="P3050" s="4" t="str">
        <f>"puf-3"</f>
        <v>puf-3</v>
      </c>
      <c r="Q3050" s="4">
        <v>11.7097398870707</v>
      </c>
      <c r="R3050" s="4">
        <v>12.614522792608501</v>
      </c>
      <c r="S3050" s="4">
        <v>12.433701569207599</v>
      </c>
      <c r="T3050" s="4">
        <f t="shared" si="187"/>
        <v>12.252654749628933</v>
      </c>
      <c r="W3050" s="4" t="str">
        <f>"gpcp-1"</f>
        <v>gpcp-1</v>
      </c>
      <c r="X3050" s="4">
        <v>12.4076830887875</v>
      </c>
      <c r="Y3050" s="4">
        <v>11.981369930910001</v>
      </c>
      <c r="Z3050" s="4">
        <v>12.176132053195101</v>
      </c>
      <c r="AA3050" s="4">
        <f t="shared" si="188"/>
        <v>12.188395024297535</v>
      </c>
    </row>
    <row r="3051" spans="16:27" x14ac:dyDescent="0.2">
      <c r="P3051" s="4" t="str">
        <f>"fzy-1"</f>
        <v>fzy-1</v>
      </c>
      <c r="Q3051" s="4">
        <v>11.7135651649706</v>
      </c>
      <c r="R3051" s="4">
        <v>12.4561824080864</v>
      </c>
      <c r="S3051" s="4">
        <v>12.5843728049184</v>
      </c>
      <c r="T3051" s="4">
        <f t="shared" si="187"/>
        <v>12.251373459325135</v>
      </c>
      <c r="W3051" s="4" t="str">
        <f>"tag-296"</f>
        <v>tag-296</v>
      </c>
      <c r="X3051" s="4">
        <v>12.002610428194201</v>
      </c>
      <c r="Y3051" s="4">
        <v>12.290568032667499</v>
      </c>
      <c r="Z3051" s="4">
        <v>12.2522086521245</v>
      </c>
      <c r="AA3051" s="4">
        <f t="shared" si="188"/>
        <v>12.181795704328733</v>
      </c>
    </row>
    <row r="3052" spans="16:27" x14ac:dyDescent="0.2">
      <c r="P3052" s="4" t="str">
        <f>"alg-1"</f>
        <v>alg-1</v>
      </c>
      <c r="Q3052" s="4">
        <v>12.3129520370112</v>
      </c>
      <c r="R3052" s="4">
        <v>12.2223115006041</v>
      </c>
      <c r="S3052" s="4">
        <v>12.2182316352347</v>
      </c>
      <c r="T3052" s="4">
        <f t="shared" si="187"/>
        <v>12.251165057616667</v>
      </c>
      <c r="W3052" s="4" t="str">
        <f>"M01F1.4"</f>
        <v>M01F1.4</v>
      </c>
      <c r="X3052" s="4">
        <v>12.420042291292001</v>
      </c>
      <c r="Y3052" s="4">
        <v>11.9489478974356</v>
      </c>
      <c r="Z3052" s="4">
        <v>12.170991722956501</v>
      </c>
      <c r="AA3052" s="4">
        <f t="shared" si="188"/>
        <v>12.179993970561368</v>
      </c>
    </row>
    <row r="3053" spans="16:27" x14ac:dyDescent="0.2">
      <c r="P3053" s="4" t="str">
        <f>"nfx-1"</f>
        <v>nfx-1</v>
      </c>
      <c r="Q3053" s="4">
        <v>12.044475539573501</v>
      </c>
      <c r="R3053" s="4">
        <v>12.0205476718625</v>
      </c>
      <c r="S3053" s="4">
        <v>12.6859577956858</v>
      </c>
      <c r="T3053" s="4">
        <f t="shared" si="187"/>
        <v>12.250327002373934</v>
      </c>
      <c r="W3053" s="4" t="str">
        <f>"tcer-1"</f>
        <v>tcer-1</v>
      </c>
      <c r="X3053" s="4">
        <v>12.2079936341625</v>
      </c>
      <c r="Y3053" s="4">
        <v>12.1361539176355</v>
      </c>
      <c r="Z3053" s="4">
        <v>12.1656589927809</v>
      </c>
      <c r="AA3053" s="4">
        <f t="shared" si="188"/>
        <v>12.169935514859633</v>
      </c>
    </row>
    <row r="3054" spans="16:27" x14ac:dyDescent="0.2">
      <c r="P3054" s="4" t="str">
        <f>"W05F2.3"</f>
        <v>W05F2.3</v>
      </c>
      <c r="Q3054" s="4">
        <v>11.7087535537152</v>
      </c>
      <c r="R3054" s="4">
        <v>12.702399117748</v>
      </c>
      <c r="S3054" s="4">
        <v>12.339444189487899</v>
      </c>
      <c r="T3054" s="4">
        <f t="shared" si="187"/>
        <v>12.250198953650367</v>
      </c>
      <c r="W3054" s="4" t="str">
        <f>"T05B9.1"</f>
        <v>T05B9.1</v>
      </c>
      <c r="X3054" s="4">
        <v>12.587115399874699</v>
      </c>
      <c r="Y3054" s="4">
        <v>12.2210590511774</v>
      </c>
      <c r="Z3054" s="4">
        <v>11.700717247597201</v>
      </c>
      <c r="AA3054" s="4">
        <f t="shared" si="188"/>
        <v>12.169630566216433</v>
      </c>
    </row>
    <row r="3055" spans="16:27" x14ac:dyDescent="0.2">
      <c r="P3055" s="4" t="str">
        <f>"F11D5.1"</f>
        <v>F11D5.1</v>
      </c>
      <c r="Q3055" s="4">
        <v>12.1903445810546</v>
      </c>
      <c r="R3055" s="4">
        <v>11.999313298811201</v>
      </c>
      <c r="S3055" s="4">
        <v>12.5503737435261</v>
      </c>
      <c r="T3055" s="4">
        <f t="shared" si="187"/>
        <v>12.246677207797299</v>
      </c>
      <c r="W3055" s="4" t="str">
        <f>"F58A6.1"</f>
        <v>F58A6.1</v>
      </c>
      <c r="X3055" s="4">
        <v>11.9511334971265</v>
      </c>
      <c r="Y3055" s="4">
        <v>12.238811714485401</v>
      </c>
      <c r="Z3055" s="4">
        <v>12.2897590378267</v>
      </c>
      <c r="AA3055" s="4">
        <f t="shared" si="188"/>
        <v>12.159901416479533</v>
      </c>
    </row>
    <row r="3056" spans="16:27" x14ac:dyDescent="0.2">
      <c r="P3056" s="4" t="str">
        <f>"C26C6.9"</f>
        <v>C26C6.9</v>
      </c>
      <c r="Q3056" s="4">
        <v>11.698798586791</v>
      </c>
      <c r="R3056" s="4">
        <v>12.542189482723799</v>
      </c>
      <c r="S3056" s="4">
        <v>12.4717318061283</v>
      </c>
      <c r="T3056" s="4">
        <f t="shared" si="187"/>
        <v>12.237573291881034</v>
      </c>
      <c r="W3056" s="4" t="str">
        <f>"F25F8.1"</f>
        <v>F25F8.1</v>
      </c>
      <c r="X3056" s="4">
        <v>12.8069110455891</v>
      </c>
      <c r="Y3056" s="4">
        <v>12.004963993649</v>
      </c>
      <c r="Z3056" s="4">
        <v>11.6638594219952</v>
      </c>
      <c r="AA3056" s="4">
        <f t="shared" si="188"/>
        <v>12.158578153744434</v>
      </c>
    </row>
    <row r="3057" spans="16:27" x14ac:dyDescent="0.2">
      <c r="P3057" s="4" t="str">
        <f>"mmab-1"</f>
        <v>mmab-1</v>
      </c>
      <c r="Q3057" s="4">
        <v>12.375395422527101</v>
      </c>
      <c r="R3057" s="4">
        <v>12.218896686233901</v>
      </c>
      <c r="S3057" s="4">
        <v>12.1157528244094</v>
      </c>
      <c r="T3057" s="4">
        <f t="shared" si="187"/>
        <v>12.236681644390133</v>
      </c>
      <c r="W3057" s="4" t="str">
        <f>"klp-15"</f>
        <v>klp-15</v>
      </c>
      <c r="X3057" s="4">
        <v>12.762596663323301</v>
      </c>
      <c r="Y3057" s="4">
        <v>11.6099445163937</v>
      </c>
      <c r="Z3057" s="4">
        <v>12.096596396598899</v>
      </c>
      <c r="AA3057" s="4">
        <f t="shared" si="188"/>
        <v>12.1563791921053</v>
      </c>
    </row>
    <row r="3058" spans="16:27" x14ac:dyDescent="0.2">
      <c r="P3058" s="4" t="str">
        <f>"mep-1"</f>
        <v>mep-1</v>
      </c>
      <c r="Q3058" s="4">
        <v>11.8331911343248</v>
      </c>
      <c r="R3058" s="4">
        <v>12.3377641098759</v>
      </c>
      <c r="S3058" s="4">
        <v>12.538795680953999</v>
      </c>
      <c r="T3058" s="4">
        <f t="shared" si="187"/>
        <v>12.236583641718232</v>
      </c>
      <c r="W3058" s="4" t="str">
        <f>"exc-5"</f>
        <v>exc-5</v>
      </c>
      <c r="X3058" s="4">
        <v>11.9636889747265</v>
      </c>
      <c r="Y3058" s="4">
        <v>11.8968357529856</v>
      </c>
      <c r="Z3058" s="4">
        <v>12.607236755011799</v>
      </c>
      <c r="AA3058" s="4">
        <f t="shared" si="188"/>
        <v>12.1559204942413</v>
      </c>
    </row>
    <row r="3059" spans="16:27" x14ac:dyDescent="0.2">
      <c r="P3059" s="4" t="str">
        <f>"R05D3.9/R05D3.10"</f>
        <v>R05D3.9/R05D3.10</v>
      </c>
      <c r="Q3059" s="4">
        <v>12.112550648844501</v>
      </c>
      <c r="R3059" s="4">
        <v>12.569434379923401</v>
      </c>
      <c r="S3059" s="4">
        <v>12.0249586297339</v>
      </c>
      <c r="T3059" s="4">
        <f t="shared" si="187"/>
        <v>12.235647886167266</v>
      </c>
      <c r="W3059" s="4" t="str">
        <f>"atg-16.1"</f>
        <v>atg-16.1</v>
      </c>
      <c r="X3059" s="4">
        <v>11.9950804029758</v>
      </c>
      <c r="Y3059" s="4">
        <v>12.281507872074499</v>
      </c>
      <c r="Z3059" s="4">
        <v>12.184371468293101</v>
      </c>
      <c r="AA3059" s="4">
        <f t="shared" si="188"/>
        <v>12.153653247781135</v>
      </c>
    </row>
    <row r="3060" spans="16:27" x14ac:dyDescent="0.2">
      <c r="P3060" s="4" t="str">
        <f>"cdkr-3"</f>
        <v>cdkr-3</v>
      </c>
      <c r="Q3060" s="4">
        <v>12.1142954186521</v>
      </c>
      <c r="R3060" s="4">
        <v>12.579701473933699</v>
      </c>
      <c r="S3060" s="4">
        <v>12.0109259129066</v>
      </c>
      <c r="T3060" s="4">
        <f t="shared" si="187"/>
        <v>12.234974268497467</v>
      </c>
      <c r="W3060" s="4" t="str">
        <f>"pifk-1"</f>
        <v>pifk-1</v>
      </c>
      <c r="X3060" s="4">
        <v>11.468135340520099</v>
      </c>
      <c r="Y3060" s="4">
        <v>12.0069857761567</v>
      </c>
      <c r="Z3060" s="4">
        <v>12.9843963514897</v>
      </c>
      <c r="AA3060" s="4">
        <f t="shared" si="188"/>
        <v>12.153172489388831</v>
      </c>
    </row>
    <row r="3061" spans="16:27" x14ac:dyDescent="0.2">
      <c r="P3061" s="4" t="str">
        <f>"apr-1"</f>
        <v>apr-1</v>
      </c>
      <c r="Q3061" s="4">
        <v>12.4643803625787</v>
      </c>
      <c r="R3061" s="4">
        <v>12.300836987575201</v>
      </c>
      <c r="S3061" s="4">
        <v>11.935310205323599</v>
      </c>
      <c r="T3061" s="4">
        <f t="shared" si="187"/>
        <v>12.233509185159166</v>
      </c>
      <c r="W3061" s="4" t="str">
        <f>"mtcu-2"</f>
        <v>mtcu-2</v>
      </c>
      <c r="X3061" s="4">
        <v>11.8588189796706</v>
      </c>
      <c r="Y3061" s="4">
        <v>11.907465395458001</v>
      </c>
      <c r="Z3061" s="4">
        <v>12.6899401208945</v>
      </c>
      <c r="AA3061" s="4">
        <f t="shared" si="188"/>
        <v>12.152074832007699</v>
      </c>
    </row>
    <row r="3062" spans="16:27" x14ac:dyDescent="0.2">
      <c r="P3062" s="4" t="str">
        <f>"dut-1"</f>
        <v>dut-1</v>
      </c>
      <c r="Q3062" s="4">
        <v>12.329853797356</v>
      </c>
      <c r="R3062" s="4">
        <v>11.8714899996305</v>
      </c>
      <c r="S3062" s="4">
        <v>12.493418377925501</v>
      </c>
      <c r="T3062" s="4">
        <f t="shared" si="187"/>
        <v>12.231587391637333</v>
      </c>
      <c r="W3062" s="4" t="str">
        <f>"fat-2"</f>
        <v>fat-2</v>
      </c>
      <c r="X3062" s="4">
        <v>12.268331966844601</v>
      </c>
      <c r="Y3062" s="4">
        <v>11.822706912891</v>
      </c>
      <c r="Z3062" s="4">
        <v>12.3585340562386</v>
      </c>
      <c r="AA3062" s="4">
        <f t="shared" si="188"/>
        <v>12.149857645324735</v>
      </c>
    </row>
    <row r="3063" spans="16:27" x14ac:dyDescent="0.2">
      <c r="P3063" s="4" t="str">
        <f>"cor-1"</f>
        <v>cor-1</v>
      </c>
      <c r="Q3063" s="4">
        <v>12.542623071731899</v>
      </c>
      <c r="R3063" s="4">
        <v>12.2831504916957</v>
      </c>
      <c r="S3063" s="4">
        <v>11.859309291045999</v>
      </c>
      <c r="T3063" s="4">
        <f t="shared" si="187"/>
        <v>12.228360951491199</v>
      </c>
      <c r="W3063" s="4" t="str">
        <f>"nhl-2"</f>
        <v>nhl-2</v>
      </c>
      <c r="X3063" s="4">
        <v>12.1271155702921</v>
      </c>
      <c r="Y3063" s="4">
        <v>12.2395404838761</v>
      </c>
      <c r="Z3063" s="4">
        <v>12.0779431160125</v>
      </c>
      <c r="AA3063" s="4">
        <f t="shared" si="188"/>
        <v>12.148199723393567</v>
      </c>
    </row>
    <row r="3064" spans="16:27" x14ac:dyDescent="0.2">
      <c r="P3064" s="4" t="str">
        <f>"clh-1"</f>
        <v>clh-1</v>
      </c>
      <c r="Q3064" s="4">
        <v>11.862195284467999</v>
      </c>
      <c r="R3064" s="4">
        <v>12.6483874714284</v>
      </c>
      <c r="S3064" s="4">
        <v>12.1663678939624</v>
      </c>
      <c r="T3064" s="4">
        <f t="shared" si="187"/>
        <v>12.2256502166196</v>
      </c>
      <c r="W3064" s="4" t="str">
        <f>"xdh-1"</f>
        <v>xdh-1</v>
      </c>
      <c r="X3064" s="4">
        <v>11.342897550475101</v>
      </c>
      <c r="Y3064" s="4">
        <v>12.7161587628188</v>
      </c>
      <c r="Z3064" s="4">
        <v>12.3751506345611</v>
      </c>
      <c r="AA3064" s="4">
        <f t="shared" si="188"/>
        <v>12.144735649285002</v>
      </c>
    </row>
    <row r="3065" spans="16:27" x14ac:dyDescent="0.2">
      <c r="P3065" s="4" t="str">
        <f>"Y53G8AR.9"</f>
        <v>Y53G8AR.9</v>
      </c>
      <c r="Q3065" s="4">
        <v>11.6977792807297</v>
      </c>
      <c r="R3065" s="4">
        <v>12.3652915485119</v>
      </c>
      <c r="S3065" s="4">
        <v>12.6110918113441</v>
      </c>
      <c r="T3065" s="4">
        <f t="shared" si="187"/>
        <v>12.224720880195234</v>
      </c>
      <c r="W3065" s="4" t="str">
        <f>"nbet-1"</f>
        <v>nbet-1</v>
      </c>
      <c r="X3065" s="4">
        <v>11.899710424710999</v>
      </c>
      <c r="Y3065" s="4">
        <v>12.0720372616</v>
      </c>
      <c r="Z3065" s="4">
        <v>12.4610420921525</v>
      </c>
      <c r="AA3065" s="4">
        <f t="shared" si="188"/>
        <v>12.144263259487834</v>
      </c>
    </row>
    <row r="3066" spans="16:27" x14ac:dyDescent="0.2">
      <c r="P3066" s="4" t="str">
        <f>"epg-7"</f>
        <v>epg-7</v>
      </c>
      <c r="Q3066" s="4">
        <v>12.199988174927901</v>
      </c>
      <c r="R3066" s="4">
        <v>12.2252299101463</v>
      </c>
      <c r="S3066" s="4">
        <v>12.2451102726475</v>
      </c>
      <c r="T3066" s="4">
        <f t="shared" si="187"/>
        <v>12.223442785907233</v>
      </c>
      <c r="W3066" s="4" t="str">
        <f>"ctf-4"</f>
        <v>ctf-4</v>
      </c>
      <c r="X3066" s="4">
        <v>12.3241649471688</v>
      </c>
      <c r="Y3066" s="4">
        <v>11.872706842788601</v>
      </c>
      <c r="Z3066" s="4">
        <v>12.2211529579564</v>
      </c>
      <c r="AA3066" s="4">
        <f t="shared" si="188"/>
        <v>12.139341582637933</v>
      </c>
    </row>
    <row r="3067" spans="16:27" x14ac:dyDescent="0.2">
      <c r="P3067" s="4" t="str">
        <f>"agl-1"</f>
        <v>agl-1</v>
      </c>
      <c r="Q3067" s="4">
        <v>12.176390681420299</v>
      </c>
      <c r="R3067" s="4">
        <v>12.249266890189499</v>
      </c>
      <c r="S3067" s="4">
        <v>12.2417118619046</v>
      </c>
      <c r="T3067" s="4">
        <f t="shared" si="187"/>
        <v>12.222456477838131</v>
      </c>
      <c r="W3067" s="4" t="str">
        <f>"pept-2"</f>
        <v>pept-2</v>
      </c>
      <c r="X3067" s="4">
        <v>12.693897622752001</v>
      </c>
      <c r="Y3067" s="4">
        <v>11.6603335292404</v>
      </c>
      <c r="Z3067" s="4">
        <v>12.0622219885806</v>
      </c>
      <c r="AA3067" s="4">
        <f t="shared" si="188"/>
        <v>12.138817713524332</v>
      </c>
    </row>
    <row r="3068" spans="16:27" x14ac:dyDescent="0.2">
      <c r="P3068" s="4" t="str">
        <f>"fbxa-63"</f>
        <v>fbxa-63</v>
      </c>
      <c r="Q3068" s="4">
        <v>11.972278904309301</v>
      </c>
      <c r="R3068" s="4">
        <v>12.3798085964024</v>
      </c>
      <c r="S3068" s="4">
        <v>12.314679969414099</v>
      </c>
      <c r="T3068" s="4">
        <f t="shared" si="187"/>
        <v>12.222255823375265</v>
      </c>
      <c r="W3068" s="4" t="str">
        <f>"vha-9"</f>
        <v>vha-9</v>
      </c>
      <c r="X3068" s="4">
        <v>12.366996034376101</v>
      </c>
      <c r="Y3068" s="4">
        <v>11.8616800351225</v>
      </c>
      <c r="Z3068" s="4">
        <v>12.165834932291499</v>
      </c>
      <c r="AA3068" s="4">
        <f t="shared" si="188"/>
        <v>12.131503667263367</v>
      </c>
    </row>
    <row r="3069" spans="16:27" x14ac:dyDescent="0.2">
      <c r="P3069" s="4" t="str">
        <f>"sacy-1"</f>
        <v>sacy-1</v>
      </c>
      <c r="Q3069" s="4">
        <v>12.040492255339799</v>
      </c>
      <c r="R3069" s="4">
        <v>12.5075601714782</v>
      </c>
      <c r="S3069" s="4">
        <v>12.1184391165399</v>
      </c>
      <c r="T3069" s="4">
        <f t="shared" si="187"/>
        <v>12.222163847785966</v>
      </c>
      <c r="W3069" s="4" t="str">
        <f>"K09E9.3"</f>
        <v>K09E9.3</v>
      </c>
      <c r="X3069" s="4">
        <v>12.092108044342</v>
      </c>
      <c r="Y3069" s="4">
        <v>12.5686374732323</v>
      </c>
      <c r="Z3069" s="4">
        <v>11.730968229060499</v>
      </c>
      <c r="AA3069" s="4">
        <f t="shared" si="188"/>
        <v>12.130571248878267</v>
      </c>
    </row>
    <row r="3070" spans="16:27" x14ac:dyDescent="0.2">
      <c r="P3070" s="4" t="str">
        <f>"nduo-5"</f>
        <v>nduo-5</v>
      </c>
      <c r="Q3070" s="4">
        <v>11.6879080297374</v>
      </c>
      <c r="R3070" s="4">
        <v>12.311932621009101</v>
      </c>
      <c r="S3070" s="4">
        <v>12.662374707673401</v>
      </c>
      <c r="T3070" s="4">
        <f t="shared" si="187"/>
        <v>12.220738452806634</v>
      </c>
      <c r="W3070" s="4" t="str">
        <f>"Y82E9BR.19"</f>
        <v>Y82E9BR.19</v>
      </c>
      <c r="X3070" s="4">
        <v>12.370218600133301</v>
      </c>
      <c r="Y3070" s="4">
        <v>12.496329484562899</v>
      </c>
      <c r="Z3070" s="4">
        <v>11.5235176989978</v>
      </c>
      <c r="AA3070" s="4">
        <f t="shared" si="188"/>
        <v>12.130021927897999</v>
      </c>
    </row>
    <row r="3071" spans="16:27" x14ac:dyDescent="0.2">
      <c r="P3071" s="4" t="str">
        <f>"cas-1"</f>
        <v>cas-1</v>
      </c>
      <c r="Q3071" s="4">
        <v>11.784491777126499</v>
      </c>
      <c r="R3071" s="4">
        <v>12.220573281829299</v>
      </c>
      <c r="S3071" s="4">
        <v>12.652788601843399</v>
      </c>
      <c r="T3071" s="4">
        <f t="shared" si="187"/>
        <v>12.219284553599733</v>
      </c>
      <c r="W3071" s="4" t="str">
        <f>"ipla-3"</f>
        <v>ipla-3</v>
      </c>
      <c r="X3071" s="4">
        <v>12.226345012655701</v>
      </c>
      <c r="Y3071" s="4">
        <v>11.958143673141301</v>
      </c>
      <c r="Z3071" s="4">
        <v>12.1948347278213</v>
      </c>
      <c r="AA3071" s="4">
        <f t="shared" si="188"/>
        <v>12.126441137872767</v>
      </c>
    </row>
    <row r="3072" spans="16:27" x14ac:dyDescent="0.2">
      <c r="P3072" s="4" t="str">
        <f>"C37A5.7"</f>
        <v>C37A5.7</v>
      </c>
      <c r="Q3072" s="4">
        <v>12.319311696927</v>
      </c>
      <c r="R3072" s="4">
        <v>12.240846849771</v>
      </c>
      <c r="S3072" s="4">
        <v>12.0947154611431</v>
      </c>
      <c r="T3072" s="4">
        <f t="shared" si="187"/>
        <v>12.218291335947034</v>
      </c>
      <c r="W3072" s="4" t="str">
        <f>"aqp-11"</f>
        <v>aqp-11</v>
      </c>
      <c r="X3072" s="4">
        <v>12.827238341329201</v>
      </c>
      <c r="Y3072" s="4">
        <v>11.885616813640199</v>
      </c>
      <c r="Z3072" s="4">
        <v>11.6625535562775</v>
      </c>
      <c r="AA3072" s="4">
        <f t="shared" si="188"/>
        <v>12.1251362370823</v>
      </c>
    </row>
    <row r="3073" spans="16:27" x14ac:dyDescent="0.2">
      <c r="P3073" s="4" t="str">
        <f>"nmy-2"</f>
        <v>nmy-2</v>
      </c>
      <c r="Q3073" s="4">
        <v>12.203511428357499</v>
      </c>
      <c r="R3073" s="4">
        <v>12.091586647326601</v>
      </c>
      <c r="S3073" s="4">
        <v>12.3535394794906</v>
      </c>
      <c r="T3073" s="4">
        <f t="shared" si="187"/>
        <v>12.216212518391567</v>
      </c>
      <c r="W3073" s="4" t="str">
        <f>"cdkr-3"</f>
        <v>cdkr-3</v>
      </c>
      <c r="X3073" s="4">
        <v>12.150109406776</v>
      </c>
      <c r="Y3073" s="4">
        <v>11.978172424815501</v>
      </c>
      <c r="Z3073" s="4">
        <v>12.2439834128791</v>
      </c>
      <c r="AA3073" s="4">
        <f t="shared" si="188"/>
        <v>12.124088414823532</v>
      </c>
    </row>
    <row r="3074" spans="16:27" x14ac:dyDescent="0.2">
      <c r="P3074" s="4" t="str">
        <f>"mut-7"</f>
        <v>mut-7</v>
      </c>
      <c r="Q3074" s="4">
        <v>12.2667119436062</v>
      </c>
      <c r="R3074" s="4">
        <v>12.656250386641901</v>
      </c>
      <c r="S3074" s="4">
        <v>11.723516622019501</v>
      </c>
      <c r="T3074" s="4">
        <f t="shared" ref="T3074:T3137" si="189">(Q3074+R3074+S3074)/3</f>
        <v>12.215492984089201</v>
      </c>
      <c r="W3074" s="4" t="str">
        <f>"nuo-3"</f>
        <v>nuo-3</v>
      </c>
      <c r="X3074" s="4">
        <v>10.200941627735601</v>
      </c>
      <c r="Y3074" s="4">
        <v>12.920630039815</v>
      </c>
      <c r="Z3074" s="4">
        <v>13.242545261416501</v>
      </c>
      <c r="AA3074" s="4">
        <f t="shared" ref="AA3074:AA3137" si="190">(X3074+Y3074+Z3074)/3</f>
        <v>12.121372309655699</v>
      </c>
    </row>
    <row r="3075" spans="16:27" x14ac:dyDescent="0.2">
      <c r="P3075" s="4" t="str">
        <f>"F43B10.1"</f>
        <v>F43B10.1</v>
      </c>
      <c r="Q3075" s="4">
        <v>12.4464461010846</v>
      </c>
      <c r="R3075" s="4">
        <v>12.7079204909701</v>
      </c>
      <c r="S3075" s="4">
        <v>11.4911349602132</v>
      </c>
      <c r="T3075" s="4">
        <f t="shared" si="189"/>
        <v>12.215167184089301</v>
      </c>
      <c r="W3075" s="4" t="str">
        <f>"T26C5.3"</f>
        <v>T26C5.3</v>
      </c>
      <c r="X3075" s="4">
        <v>13.788054517768</v>
      </c>
      <c r="Y3075" s="4">
        <v>10.454926471247299</v>
      </c>
      <c r="Z3075" s="4">
        <v>12.0944638653328</v>
      </c>
      <c r="AA3075" s="4">
        <f t="shared" si="190"/>
        <v>12.112481618116034</v>
      </c>
    </row>
    <row r="3076" spans="16:27" x14ac:dyDescent="0.2">
      <c r="P3076" s="4" t="str">
        <f>"Y87G2A.2"</f>
        <v>Y87G2A.2</v>
      </c>
      <c r="Q3076" s="4">
        <v>12.0425342147359</v>
      </c>
      <c r="R3076" s="4">
        <v>12.217072709332101</v>
      </c>
      <c r="S3076" s="4">
        <v>12.3827448305743</v>
      </c>
      <c r="T3076" s="4">
        <f t="shared" si="189"/>
        <v>12.214117251547435</v>
      </c>
      <c r="W3076" s="4" t="str">
        <f>"acl-6"</f>
        <v>acl-6</v>
      </c>
      <c r="X3076" s="4">
        <v>12.146708408298799</v>
      </c>
      <c r="Y3076" s="4">
        <v>12.0469631279938</v>
      </c>
      <c r="Z3076" s="4">
        <v>12.141969236324099</v>
      </c>
      <c r="AA3076" s="4">
        <f t="shared" si="190"/>
        <v>12.1118802575389</v>
      </c>
    </row>
    <row r="3077" spans="16:27" x14ac:dyDescent="0.2">
      <c r="P3077" s="4" t="str">
        <f>"nhr-45"</f>
        <v>nhr-45</v>
      </c>
      <c r="Q3077" s="4">
        <v>12.3548795982096</v>
      </c>
      <c r="R3077" s="4">
        <v>12.1105611743839</v>
      </c>
      <c r="S3077" s="4">
        <v>12.1709048254218</v>
      </c>
      <c r="T3077" s="4">
        <f t="shared" si="189"/>
        <v>12.212115199338433</v>
      </c>
      <c r="W3077" s="4" t="str">
        <f>"aakb-1"</f>
        <v>aakb-1</v>
      </c>
      <c r="X3077" s="4">
        <v>12.0353957575535</v>
      </c>
      <c r="Y3077" s="4">
        <v>12.047753808381399</v>
      </c>
      <c r="Z3077" s="4">
        <v>12.249392989029101</v>
      </c>
      <c r="AA3077" s="4">
        <f t="shared" si="190"/>
        <v>12.110847518321334</v>
      </c>
    </row>
    <row r="3078" spans="16:27" x14ac:dyDescent="0.2">
      <c r="P3078" s="4" t="str">
        <f>"unc-82"</f>
        <v>unc-82</v>
      </c>
      <c r="Q3078" s="4">
        <v>12.825129371769499</v>
      </c>
      <c r="R3078" s="4">
        <v>11.7402463124661</v>
      </c>
      <c r="S3078" s="4">
        <v>12.063936155741301</v>
      </c>
      <c r="T3078" s="4">
        <f t="shared" si="189"/>
        <v>12.209770613325633</v>
      </c>
      <c r="W3078" s="4" t="str">
        <f>"pgp-1"</f>
        <v>pgp-1</v>
      </c>
      <c r="X3078" s="4">
        <v>11.889059158590699</v>
      </c>
      <c r="Y3078" s="4">
        <v>12.2351033922409</v>
      </c>
      <c r="Z3078" s="4">
        <v>12.188761114825599</v>
      </c>
      <c r="AA3078" s="4">
        <f t="shared" si="190"/>
        <v>12.104307888552398</v>
      </c>
    </row>
    <row r="3079" spans="16:27" x14ac:dyDescent="0.2">
      <c r="P3079" s="4" t="str">
        <f>"ubc-19"</f>
        <v>ubc-19</v>
      </c>
      <c r="Q3079" s="4">
        <v>12.152401839339101</v>
      </c>
      <c r="R3079" s="4">
        <v>12.5352194527319</v>
      </c>
      <c r="S3079" s="4">
        <v>11.941079095011</v>
      </c>
      <c r="T3079" s="4">
        <f t="shared" si="189"/>
        <v>12.209566795694</v>
      </c>
      <c r="W3079" s="4" t="str">
        <f>"asns-1"</f>
        <v>asns-1</v>
      </c>
      <c r="X3079" s="4">
        <v>11.9547336416926</v>
      </c>
      <c r="Y3079" s="4">
        <v>12.0675194643631</v>
      </c>
      <c r="Z3079" s="4">
        <v>12.2884784509541</v>
      </c>
      <c r="AA3079" s="4">
        <f t="shared" si="190"/>
        <v>12.103577185669934</v>
      </c>
    </row>
    <row r="3080" spans="16:27" x14ac:dyDescent="0.2">
      <c r="P3080" s="4" t="str">
        <f>"trmt-10C.1"</f>
        <v>trmt-10C.1</v>
      </c>
      <c r="Q3080" s="4">
        <v>12.407047058989299</v>
      </c>
      <c r="R3080" s="4">
        <v>12.406886095693</v>
      </c>
      <c r="S3080" s="4">
        <v>11.8117229887146</v>
      </c>
      <c r="T3080" s="4">
        <f t="shared" si="189"/>
        <v>12.208552047798966</v>
      </c>
      <c r="W3080" s="4" t="str">
        <f>"ddl-3"</f>
        <v>ddl-3</v>
      </c>
      <c r="X3080" s="4">
        <v>12.0675821096264</v>
      </c>
      <c r="Y3080" s="4">
        <v>11.8719705964767</v>
      </c>
      <c r="Z3080" s="4">
        <v>12.3636478913572</v>
      </c>
      <c r="AA3080" s="4">
        <f t="shared" si="190"/>
        <v>12.101066865820101</v>
      </c>
    </row>
    <row r="3081" spans="16:27" x14ac:dyDescent="0.2">
      <c r="P3081" s="4" t="str">
        <f>"metl-9"</f>
        <v>metl-9</v>
      </c>
      <c r="Q3081" s="4">
        <v>12.186335712198099</v>
      </c>
      <c r="R3081" s="4">
        <v>12.664693967490599</v>
      </c>
      <c r="S3081" s="4">
        <v>11.7634144740602</v>
      </c>
      <c r="T3081" s="4">
        <f t="shared" si="189"/>
        <v>12.2048147179163</v>
      </c>
      <c r="W3081" s="4" t="str">
        <f>"C50D2.5"</f>
        <v>C50D2.5</v>
      </c>
      <c r="X3081" s="4">
        <v>12.071700967460499</v>
      </c>
      <c r="Y3081" s="4">
        <v>12.5617471714875</v>
      </c>
      <c r="Z3081" s="4">
        <v>11.6661110709731</v>
      </c>
      <c r="AA3081" s="4">
        <f t="shared" si="190"/>
        <v>12.099853069973699</v>
      </c>
    </row>
    <row r="3082" spans="16:27" x14ac:dyDescent="0.2">
      <c r="P3082" s="4" t="str">
        <f>"atg-9"</f>
        <v>atg-9</v>
      </c>
      <c r="Q3082" s="4">
        <v>12.482918722492</v>
      </c>
      <c r="R3082" s="4">
        <v>12.080793869380001</v>
      </c>
      <c r="S3082" s="4">
        <v>12.039335436903</v>
      </c>
      <c r="T3082" s="4">
        <f t="shared" si="189"/>
        <v>12.201016009591667</v>
      </c>
      <c r="W3082" s="4" t="str">
        <f>"egl-21"</f>
        <v>egl-21</v>
      </c>
      <c r="X3082" s="4">
        <v>11.8560623167148</v>
      </c>
      <c r="Y3082" s="4">
        <v>12.336619335445301</v>
      </c>
      <c r="Z3082" s="4">
        <v>12.1043868990166</v>
      </c>
      <c r="AA3082" s="4">
        <f t="shared" si="190"/>
        <v>12.099022850392233</v>
      </c>
    </row>
    <row r="3083" spans="16:27" x14ac:dyDescent="0.2">
      <c r="P3083" s="4" t="str">
        <f>"scp-1"</f>
        <v>scp-1</v>
      </c>
      <c r="Q3083" s="4">
        <v>12.345790074374801</v>
      </c>
      <c r="R3083" s="4">
        <v>12.217784302918099</v>
      </c>
      <c r="S3083" s="4">
        <v>12.036127088356199</v>
      </c>
      <c r="T3083" s="4">
        <f t="shared" si="189"/>
        <v>12.199900488549702</v>
      </c>
      <c r="W3083" s="4" t="str">
        <f>"C25H3.11"</f>
        <v>C25H3.11</v>
      </c>
      <c r="X3083" s="4">
        <v>11.925479291070401</v>
      </c>
      <c r="Y3083" s="4">
        <v>12.374489476186801</v>
      </c>
      <c r="Z3083" s="4">
        <v>11.9839443616436</v>
      </c>
      <c r="AA3083" s="4">
        <f t="shared" si="190"/>
        <v>12.0946377096336</v>
      </c>
    </row>
    <row r="3084" spans="16:27" x14ac:dyDescent="0.2">
      <c r="P3084" s="4" t="str">
        <f>"F23F1.5"</f>
        <v>F23F1.5</v>
      </c>
      <c r="Q3084" s="4">
        <v>11.724127320474601</v>
      </c>
      <c r="R3084" s="4">
        <v>12.225455137773</v>
      </c>
      <c r="S3084" s="4">
        <v>12.642175373410801</v>
      </c>
      <c r="T3084" s="4">
        <f t="shared" si="189"/>
        <v>12.1972526105528</v>
      </c>
      <c r="W3084" s="4" t="str">
        <f>"mpk-1"</f>
        <v>mpk-1</v>
      </c>
      <c r="X3084" s="4">
        <v>12.074975106014501</v>
      </c>
      <c r="Y3084" s="4">
        <v>11.571076317106201</v>
      </c>
      <c r="Z3084" s="4">
        <v>12.6352715615169</v>
      </c>
      <c r="AA3084" s="4">
        <f t="shared" si="190"/>
        <v>12.093774328212534</v>
      </c>
    </row>
    <row r="3085" spans="16:27" x14ac:dyDescent="0.2">
      <c r="P3085" s="4" t="str">
        <f>"rbg-1"</f>
        <v>rbg-1</v>
      </c>
      <c r="Q3085" s="4">
        <v>12.238093110502501</v>
      </c>
      <c r="R3085" s="4">
        <v>12.339007237262701</v>
      </c>
      <c r="S3085" s="4">
        <v>11.974498661604599</v>
      </c>
      <c r="T3085" s="4">
        <f t="shared" si="189"/>
        <v>12.183866336456601</v>
      </c>
      <c r="W3085" s="4" t="str">
        <f>"dnj-25"</f>
        <v>dnj-25</v>
      </c>
      <c r="X3085" s="4">
        <v>12.372410925413099</v>
      </c>
      <c r="Y3085" s="4">
        <v>12.195985842675199</v>
      </c>
      <c r="Z3085" s="4">
        <v>11.711415716885099</v>
      </c>
      <c r="AA3085" s="4">
        <f t="shared" si="190"/>
        <v>12.093270828324465</v>
      </c>
    </row>
    <row r="3086" spans="16:27" x14ac:dyDescent="0.2">
      <c r="P3086" s="4" t="str">
        <f>"frm-5.2"</f>
        <v>frm-5.2</v>
      </c>
      <c r="Q3086" s="4">
        <v>11.778267361944399</v>
      </c>
      <c r="R3086" s="4">
        <v>12.3886450338358</v>
      </c>
      <c r="S3086" s="4">
        <v>12.382761241413</v>
      </c>
      <c r="T3086" s="4">
        <f t="shared" si="189"/>
        <v>12.183224545731067</v>
      </c>
      <c r="W3086" s="4" t="str">
        <f>"fbxa-156"</f>
        <v>fbxa-156</v>
      </c>
      <c r="X3086" s="4">
        <v>12.2120072882927</v>
      </c>
      <c r="Y3086" s="4">
        <v>11.7942252874718</v>
      </c>
      <c r="Z3086" s="4">
        <v>12.2619244312483</v>
      </c>
      <c r="AA3086" s="4">
        <f t="shared" si="190"/>
        <v>12.089385669004267</v>
      </c>
    </row>
    <row r="3087" spans="16:27" x14ac:dyDescent="0.2">
      <c r="P3087" s="4" t="str">
        <f>"uaf-2"</f>
        <v>uaf-2</v>
      </c>
      <c r="Q3087" s="4">
        <v>12.1116965832046</v>
      </c>
      <c r="R3087" s="4">
        <v>12.1197408196127</v>
      </c>
      <c r="S3087" s="4">
        <v>12.312280757656</v>
      </c>
      <c r="T3087" s="4">
        <f t="shared" si="189"/>
        <v>12.181239386824432</v>
      </c>
      <c r="W3087" s="4" t="str">
        <f>"B0273.1"</f>
        <v>B0273.1</v>
      </c>
      <c r="X3087" s="4">
        <v>11.894090243104401</v>
      </c>
      <c r="Y3087" s="4">
        <v>12.0592168097909</v>
      </c>
      <c r="Z3087" s="4">
        <v>12.314168413980401</v>
      </c>
      <c r="AA3087" s="4">
        <f t="shared" si="190"/>
        <v>12.089158488958567</v>
      </c>
    </row>
    <row r="3088" spans="16:27" x14ac:dyDescent="0.2">
      <c r="P3088" s="4" t="str">
        <f>"spe-39"</f>
        <v>spe-39</v>
      </c>
      <c r="Q3088" s="4">
        <v>12.124004909290401</v>
      </c>
      <c r="R3088" s="4">
        <v>12.211400580196599</v>
      </c>
      <c r="S3088" s="4">
        <v>12.2063784692469</v>
      </c>
      <c r="T3088" s="4">
        <f t="shared" si="189"/>
        <v>12.180594652911301</v>
      </c>
      <c r="W3088" s="4" t="str">
        <f>"wrn-1"</f>
        <v>wrn-1</v>
      </c>
      <c r="X3088" s="4">
        <v>11.91965009658</v>
      </c>
      <c r="Y3088" s="4">
        <v>12.250611725046999</v>
      </c>
      <c r="Z3088" s="4">
        <v>12.0906285995295</v>
      </c>
      <c r="AA3088" s="4">
        <f t="shared" si="190"/>
        <v>12.086963473718834</v>
      </c>
    </row>
    <row r="3089" spans="16:27" x14ac:dyDescent="0.2">
      <c r="P3089" s="4" t="str">
        <f>"rpap-2"</f>
        <v>rpap-2</v>
      </c>
      <c r="Q3089" s="4">
        <v>12.349653517217901</v>
      </c>
      <c r="R3089" s="4">
        <v>11.991718962776799</v>
      </c>
      <c r="S3089" s="4">
        <v>12.172469166815199</v>
      </c>
      <c r="T3089" s="4">
        <f t="shared" si="189"/>
        <v>12.171280548936634</v>
      </c>
      <c r="W3089" s="4" t="str">
        <f>"cht-3"</f>
        <v>cht-3</v>
      </c>
      <c r="X3089" s="4">
        <v>12.1703193518752</v>
      </c>
      <c r="Y3089" s="4">
        <v>12.1664516845237</v>
      </c>
      <c r="Z3089" s="4">
        <v>11.904192719572899</v>
      </c>
      <c r="AA3089" s="4">
        <f t="shared" si="190"/>
        <v>12.080321251990599</v>
      </c>
    </row>
    <row r="3090" spans="16:27" x14ac:dyDescent="0.2">
      <c r="P3090" s="4" t="str">
        <f>"pept-2"</f>
        <v>pept-2</v>
      </c>
      <c r="Q3090" s="4">
        <v>11.8495357035947</v>
      </c>
      <c r="R3090" s="4">
        <v>12.327559658058201</v>
      </c>
      <c r="S3090" s="4">
        <v>12.3333457918698</v>
      </c>
      <c r="T3090" s="4">
        <f t="shared" si="189"/>
        <v>12.170147051174235</v>
      </c>
      <c r="W3090" s="4" t="str">
        <f>"rad-23"</f>
        <v>rad-23</v>
      </c>
      <c r="X3090" s="4">
        <v>13.3713893953158</v>
      </c>
      <c r="Y3090" s="4">
        <v>12.6343527711494</v>
      </c>
      <c r="Z3090" s="4">
        <v>10.2346666918391</v>
      </c>
      <c r="AA3090" s="4">
        <f t="shared" si="190"/>
        <v>12.080136286101434</v>
      </c>
    </row>
    <row r="3091" spans="16:27" x14ac:dyDescent="0.2">
      <c r="P3091" s="4" t="str">
        <f>"Y47H10A.5"</f>
        <v>Y47H10A.5</v>
      </c>
      <c r="Q3091" s="4">
        <v>11.741416350813701</v>
      </c>
      <c r="R3091" s="4">
        <v>12.438102230789401</v>
      </c>
      <c r="S3091" s="4">
        <v>12.3307524048635</v>
      </c>
      <c r="T3091" s="4">
        <f t="shared" si="189"/>
        <v>12.1700903288222</v>
      </c>
      <c r="W3091" s="4" t="str">
        <f>"F33D4.6"</f>
        <v>F33D4.6</v>
      </c>
      <c r="X3091" s="4">
        <v>11.9147573803206</v>
      </c>
      <c r="Y3091" s="4">
        <v>11.754084489134</v>
      </c>
      <c r="Z3091" s="4">
        <v>12.5699648894751</v>
      </c>
      <c r="AA3091" s="4">
        <f t="shared" si="190"/>
        <v>12.079602252976565</v>
      </c>
    </row>
    <row r="3092" spans="16:27" x14ac:dyDescent="0.2">
      <c r="P3092" s="4" t="str">
        <f>"cyk-1"</f>
        <v>cyk-1</v>
      </c>
      <c r="Q3092" s="4">
        <v>12.114008430271999</v>
      </c>
      <c r="R3092" s="4">
        <v>12.318616681567001</v>
      </c>
      <c r="S3092" s="4">
        <v>12.0731535332155</v>
      </c>
      <c r="T3092" s="4">
        <f t="shared" si="189"/>
        <v>12.168592881684836</v>
      </c>
      <c r="W3092" s="4" t="str">
        <f>"atg-16.2"</f>
        <v>atg-16.2</v>
      </c>
      <c r="X3092" s="4">
        <v>11.4985077897392</v>
      </c>
      <c r="Y3092" s="4">
        <v>12.348082097340001</v>
      </c>
      <c r="Z3092" s="4">
        <v>12.392130732602901</v>
      </c>
      <c r="AA3092" s="4">
        <f t="shared" si="190"/>
        <v>12.079573539894033</v>
      </c>
    </row>
    <row r="3093" spans="16:27" x14ac:dyDescent="0.2">
      <c r="P3093" s="4" t="str">
        <f>"ZK856.7"</f>
        <v>ZK856.7</v>
      </c>
      <c r="Q3093" s="4">
        <v>11.6292316681032</v>
      </c>
      <c r="R3093" s="4">
        <v>12.471486895628299</v>
      </c>
      <c r="S3093" s="4">
        <v>12.4049466107515</v>
      </c>
      <c r="T3093" s="4">
        <f t="shared" si="189"/>
        <v>12.168555058160999</v>
      </c>
      <c r="W3093" s="4" t="str">
        <f>"F23F1.5"</f>
        <v>F23F1.5</v>
      </c>
      <c r="X3093" s="4">
        <v>12.373704566973601</v>
      </c>
      <c r="Y3093" s="4">
        <v>12.3486329702907</v>
      </c>
      <c r="Z3093" s="4">
        <v>11.497490328728</v>
      </c>
      <c r="AA3093" s="4">
        <f t="shared" si="190"/>
        <v>12.073275955330766</v>
      </c>
    </row>
    <row r="3094" spans="16:27" x14ac:dyDescent="0.2">
      <c r="P3094" s="4" t="str">
        <f>"tat-1"</f>
        <v>tat-1</v>
      </c>
      <c r="Q3094" s="4">
        <v>11.9124842790687</v>
      </c>
      <c r="R3094" s="4">
        <v>12.403829023373101</v>
      </c>
      <c r="S3094" s="4">
        <v>12.1862078253462</v>
      </c>
      <c r="T3094" s="4">
        <f t="shared" si="189"/>
        <v>12.167507042596</v>
      </c>
      <c r="W3094" s="4" t="str">
        <f>"taap-1"</f>
        <v>taap-1</v>
      </c>
      <c r="X3094" s="4">
        <v>11.6472571336747</v>
      </c>
      <c r="Y3094" s="4">
        <v>12.401448660309301</v>
      </c>
      <c r="Z3094" s="4">
        <v>12.1662703683147</v>
      </c>
      <c r="AA3094" s="4">
        <f t="shared" si="190"/>
        <v>12.071658720766232</v>
      </c>
    </row>
    <row r="3095" spans="16:27" x14ac:dyDescent="0.2">
      <c r="P3095" s="4" t="str">
        <f>"B0281.3"</f>
        <v>B0281.3</v>
      </c>
      <c r="Q3095" s="4">
        <v>12.1484414537001</v>
      </c>
      <c r="R3095" s="4">
        <v>12.121092770995601</v>
      </c>
      <c r="S3095" s="4">
        <v>12.210686570634399</v>
      </c>
      <c r="T3095" s="4">
        <f t="shared" si="189"/>
        <v>12.160073598443367</v>
      </c>
      <c r="W3095" s="4" t="str">
        <f>"K12D12.5"</f>
        <v>K12D12.5</v>
      </c>
      <c r="X3095" s="4">
        <v>11.967565235537901</v>
      </c>
      <c r="Y3095" s="4">
        <v>12.645865924892201</v>
      </c>
      <c r="Z3095" s="4">
        <v>11.5863851402141</v>
      </c>
      <c r="AA3095" s="4">
        <f t="shared" si="190"/>
        <v>12.066605433548068</v>
      </c>
    </row>
    <row r="3096" spans="16:27" x14ac:dyDescent="0.2">
      <c r="P3096" s="4" t="str">
        <f>"F17A9.5"</f>
        <v>F17A9.5</v>
      </c>
      <c r="Q3096" s="4">
        <v>11.4085082980778</v>
      </c>
      <c r="R3096" s="4">
        <v>12.404475299</v>
      </c>
      <c r="S3096" s="4">
        <v>12.640516785573899</v>
      </c>
      <c r="T3096" s="4">
        <f t="shared" si="189"/>
        <v>12.151166794217232</v>
      </c>
      <c r="W3096" s="4" t="str">
        <f>"mmab-1"</f>
        <v>mmab-1</v>
      </c>
      <c r="X3096" s="4">
        <v>11.8910762876256</v>
      </c>
      <c r="Y3096" s="4">
        <v>11.9256049815786</v>
      </c>
      <c r="Z3096" s="4">
        <v>12.3641306770153</v>
      </c>
      <c r="AA3096" s="4">
        <f t="shared" si="190"/>
        <v>12.060270648739833</v>
      </c>
    </row>
    <row r="3097" spans="16:27" x14ac:dyDescent="0.2">
      <c r="P3097" s="4" t="str">
        <f>"eor-1"</f>
        <v>eor-1</v>
      </c>
      <c r="Q3097" s="4">
        <v>12.3518010094717</v>
      </c>
      <c r="R3097" s="4">
        <v>11.9853473697334</v>
      </c>
      <c r="S3097" s="4">
        <v>12.108048082586199</v>
      </c>
      <c r="T3097" s="4">
        <f t="shared" si="189"/>
        <v>12.1483988205971</v>
      </c>
      <c r="W3097" s="4" t="str">
        <f>"mep-1"</f>
        <v>mep-1</v>
      </c>
      <c r="X3097" s="4">
        <v>12.15576959747</v>
      </c>
      <c r="Y3097" s="4">
        <v>12.080501331518199</v>
      </c>
      <c r="Z3097" s="4">
        <v>11.9249707475141</v>
      </c>
      <c r="AA3097" s="4">
        <f t="shared" si="190"/>
        <v>12.053747225500766</v>
      </c>
    </row>
    <row r="3098" spans="16:27" x14ac:dyDescent="0.2">
      <c r="P3098" s="4" t="str">
        <f>"cth-1"</f>
        <v>cth-1</v>
      </c>
      <c r="Q3098" s="4">
        <v>11.888511734965199</v>
      </c>
      <c r="R3098" s="4">
        <v>12.3979494209936</v>
      </c>
      <c r="S3098" s="4">
        <v>12.158060068255301</v>
      </c>
      <c r="T3098" s="4">
        <f t="shared" si="189"/>
        <v>12.148173741404699</v>
      </c>
      <c r="W3098" s="4" t="str">
        <f>"hpo-11"</f>
        <v>hpo-11</v>
      </c>
      <c r="X3098" s="4">
        <v>12.1991464872935</v>
      </c>
      <c r="Y3098" s="4">
        <v>12.0479998868341</v>
      </c>
      <c r="Z3098" s="4">
        <v>11.9040970439994</v>
      </c>
      <c r="AA3098" s="4">
        <f t="shared" si="190"/>
        <v>12.050414472709001</v>
      </c>
    </row>
    <row r="3099" spans="16:27" x14ac:dyDescent="0.2">
      <c r="P3099" s="4" t="str">
        <f>"aho-3"</f>
        <v>aho-3</v>
      </c>
      <c r="Q3099" s="4">
        <v>12.177541679949201</v>
      </c>
      <c r="R3099" s="4">
        <v>12.2609640770266</v>
      </c>
      <c r="S3099" s="4">
        <v>11.999697534564699</v>
      </c>
      <c r="T3099" s="4">
        <f t="shared" si="189"/>
        <v>12.146067763846835</v>
      </c>
      <c r="W3099" s="4" t="str">
        <f>"prx-11"</f>
        <v>prx-11</v>
      </c>
      <c r="X3099" s="4">
        <v>12.545784798973299</v>
      </c>
      <c r="Y3099" s="4">
        <v>11.3002521557609</v>
      </c>
      <c r="Z3099" s="4">
        <v>12.210563217387</v>
      </c>
      <c r="AA3099" s="4">
        <f t="shared" si="190"/>
        <v>12.0188667240404</v>
      </c>
    </row>
    <row r="3100" spans="16:27" x14ac:dyDescent="0.2">
      <c r="P3100" s="4" t="str">
        <f>"far-1"</f>
        <v>far-1</v>
      </c>
      <c r="Q3100" s="4">
        <v>11.766954924698901</v>
      </c>
      <c r="R3100" s="4">
        <v>12.6424487120407</v>
      </c>
      <c r="S3100" s="4">
        <v>12.021112919979499</v>
      </c>
      <c r="T3100" s="4">
        <f t="shared" si="189"/>
        <v>12.143505518906366</v>
      </c>
      <c r="W3100" s="4" t="str">
        <f>"Y87G2A.2"</f>
        <v>Y87G2A.2</v>
      </c>
      <c r="X3100" s="4">
        <v>11.678977969511701</v>
      </c>
      <c r="Y3100" s="4">
        <v>12.1771945555609</v>
      </c>
      <c r="Z3100" s="4">
        <v>12.1774111839069</v>
      </c>
      <c r="AA3100" s="4">
        <f t="shared" si="190"/>
        <v>12.011194569659834</v>
      </c>
    </row>
    <row r="3101" spans="16:27" x14ac:dyDescent="0.2">
      <c r="P3101" s="4" t="str">
        <f>"T10G3.3"</f>
        <v>T10G3.3</v>
      </c>
      <c r="Q3101" s="4">
        <v>12.2128248328555</v>
      </c>
      <c r="R3101" s="4">
        <v>12.277243795053201</v>
      </c>
      <c r="S3101" s="4">
        <v>11.939482568581401</v>
      </c>
      <c r="T3101" s="4">
        <f t="shared" si="189"/>
        <v>12.143183732163365</v>
      </c>
      <c r="W3101" s="4" t="str">
        <f>"cit-1.2"</f>
        <v>cit-1.2</v>
      </c>
      <c r="X3101" s="4">
        <v>11.4049317026988</v>
      </c>
      <c r="Y3101" s="4">
        <v>12.123366527600201</v>
      </c>
      <c r="Z3101" s="4">
        <v>12.4997032845313</v>
      </c>
      <c r="AA3101" s="4">
        <f t="shared" si="190"/>
        <v>12.009333838276767</v>
      </c>
    </row>
    <row r="3102" spans="16:27" x14ac:dyDescent="0.2">
      <c r="P3102" s="4" t="str">
        <f>"F20D1.3"</f>
        <v>F20D1.3</v>
      </c>
      <c r="Q3102" s="4">
        <v>11.7363257814362</v>
      </c>
      <c r="R3102" s="4">
        <v>12.3055571310529</v>
      </c>
      <c r="S3102" s="4">
        <v>12.361242261417599</v>
      </c>
      <c r="T3102" s="4">
        <f t="shared" si="189"/>
        <v>12.134375057968901</v>
      </c>
      <c r="W3102" s="4" t="str">
        <f>"acp-5"</f>
        <v>acp-5</v>
      </c>
      <c r="X3102" s="4">
        <v>11.7555960172218</v>
      </c>
      <c r="Y3102" s="4">
        <v>11.919894956733801</v>
      </c>
      <c r="Z3102" s="4">
        <v>12.351800487519499</v>
      </c>
      <c r="AA3102" s="4">
        <f t="shared" si="190"/>
        <v>12.009097153825033</v>
      </c>
    </row>
    <row r="3103" spans="16:27" x14ac:dyDescent="0.2">
      <c r="P3103" s="4" t="str">
        <f>"png-1"</f>
        <v>png-1</v>
      </c>
      <c r="Q3103" s="4">
        <v>11.8090884039292</v>
      </c>
      <c r="R3103" s="4">
        <v>12.495310873107901</v>
      </c>
      <c r="S3103" s="4">
        <v>12.095329186849501</v>
      </c>
      <c r="T3103" s="4">
        <f t="shared" si="189"/>
        <v>12.133242821295534</v>
      </c>
      <c r="W3103" s="4" t="str">
        <f>"ptc-1"</f>
        <v>ptc-1</v>
      </c>
      <c r="X3103" s="4">
        <v>12.517248094127201</v>
      </c>
      <c r="Y3103" s="4">
        <v>11.9306654222536</v>
      </c>
      <c r="Z3103" s="4">
        <v>11.5738918763579</v>
      </c>
      <c r="AA3103" s="4">
        <f t="shared" si="190"/>
        <v>12.007268464246232</v>
      </c>
    </row>
    <row r="3104" spans="16:27" x14ac:dyDescent="0.2">
      <c r="P3104" s="4" t="str">
        <f>"sec-22"</f>
        <v>sec-22</v>
      </c>
      <c r="Q3104" s="4">
        <v>11.808019639371199</v>
      </c>
      <c r="R3104" s="4">
        <v>12.303056228647</v>
      </c>
      <c r="S3104" s="4">
        <v>12.275535981356899</v>
      </c>
      <c r="T3104" s="4">
        <f t="shared" si="189"/>
        <v>12.128870616458366</v>
      </c>
      <c r="W3104" s="4" t="str">
        <f>"unc-96"</f>
        <v>unc-96</v>
      </c>
      <c r="X3104" s="4">
        <v>11.934282434782601</v>
      </c>
      <c r="Y3104" s="4">
        <v>12.197244970302</v>
      </c>
      <c r="Z3104" s="4">
        <v>11.8839759174724</v>
      </c>
      <c r="AA3104" s="4">
        <f t="shared" si="190"/>
        <v>12.005167774185667</v>
      </c>
    </row>
    <row r="3105" spans="16:27" x14ac:dyDescent="0.2">
      <c r="P3105" s="4" t="str">
        <f>"dpy-22"</f>
        <v>dpy-22</v>
      </c>
      <c r="Q3105" s="4">
        <v>12.289257908296999</v>
      </c>
      <c r="R3105" s="4">
        <v>11.9694686514695</v>
      </c>
      <c r="S3105" s="4">
        <v>12.125442960475199</v>
      </c>
      <c r="T3105" s="4">
        <f t="shared" si="189"/>
        <v>12.128056506747233</v>
      </c>
      <c r="W3105" s="4" t="str">
        <f>"ctnb-1"</f>
        <v>ctnb-1</v>
      </c>
      <c r="X3105" s="4">
        <v>11.8424147351008</v>
      </c>
      <c r="Y3105" s="4">
        <v>12.028949366847501</v>
      </c>
      <c r="Z3105" s="4">
        <v>12.140745956757399</v>
      </c>
      <c r="AA3105" s="4">
        <f t="shared" si="190"/>
        <v>12.004036686235233</v>
      </c>
    </row>
    <row r="3106" spans="16:27" x14ac:dyDescent="0.2">
      <c r="P3106" s="4" t="str">
        <f>"K01H12.4"</f>
        <v>K01H12.4</v>
      </c>
      <c r="Q3106" s="4">
        <v>12.3254130586177</v>
      </c>
      <c r="R3106" s="4">
        <v>12.3998250522008</v>
      </c>
      <c r="S3106" s="4">
        <v>11.656270042299999</v>
      </c>
      <c r="T3106" s="4">
        <f t="shared" si="189"/>
        <v>12.127169384372834</v>
      </c>
      <c r="W3106" s="4" t="str">
        <f>"rsd-6"</f>
        <v>rsd-6</v>
      </c>
      <c r="X3106" s="4">
        <v>12.098540682717401</v>
      </c>
      <c r="Y3106" s="4">
        <v>11.961222294650799</v>
      </c>
      <c r="Z3106" s="4">
        <v>11.8936259805955</v>
      </c>
      <c r="AA3106" s="4">
        <f t="shared" si="190"/>
        <v>11.984462985987902</v>
      </c>
    </row>
    <row r="3107" spans="16:27" x14ac:dyDescent="0.2">
      <c r="P3107" s="4" t="str">
        <f>"cey-3"</f>
        <v>cey-3</v>
      </c>
      <c r="Q3107" s="4">
        <v>11.9199881679162</v>
      </c>
      <c r="R3107" s="4">
        <v>12.8892886266615</v>
      </c>
      <c r="S3107" s="4">
        <v>11.5719092457563</v>
      </c>
      <c r="T3107" s="4">
        <f t="shared" si="189"/>
        <v>12.127062013444666</v>
      </c>
      <c r="W3107" s="4" t="str">
        <f>"aak-1"</f>
        <v>aak-1</v>
      </c>
      <c r="X3107" s="4">
        <v>11.980589436626399</v>
      </c>
      <c r="Y3107" s="4">
        <v>12.0047889942014</v>
      </c>
      <c r="Z3107" s="4">
        <v>11.9571505663452</v>
      </c>
      <c r="AA3107" s="4">
        <f t="shared" si="190"/>
        <v>11.980842999057666</v>
      </c>
    </row>
    <row r="3108" spans="16:27" x14ac:dyDescent="0.2">
      <c r="P3108" s="4" t="str">
        <f>"vps-33.1"</f>
        <v>vps-33.1</v>
      </c>
      <c r="Q3108" s="4">
        <v>11.948636350422399</v>
      </c>
      <c r="R3108" s="4">
        <v>12.2787513713655</v>
      </c>
      <c r="S3108" s="4">
        <v>12.1441342625824</v>
      </c>
      <c r="T3108" s="4">
        <f t="shared" si="189"/>
        <v>12.123840661456766</v>
      </c>
      <c r="W3108" s="4" t="str">
        <f>"srp-7"</f>
        <v>srp-7</v>
      </c>
      <c r="X3108" s="4">
        <v>12.374667448994501</v>
      </c>
      <c r="Y3108" s="4">
        <v>12.2366041591665</v>
      </c>
      <c r="Z3108" s="4">
        <v>11.3270360599602</v>
      </c>
      <c r="AA3108" s="4">
        <f t="shared" si="190"/>
        <v>11.979435889373732</v>
      </c>
    </row>
    <row r="3109" spans="16:27" x14ac:dyDescent="0.2">
      <c r="P3109" s="4" t="str">
        <f>"ggtb-1"</f>
        <v>ggtb-1</v>
      </c>
      <c r="Q3109" s="4">
        <v>11.7368626497541</v>
      </c>
      <c r="R3109" s="4">
        <v>12.4098811514116</v>
      </c>
      <c r="S3109" s="4">
        <v>12.2244551854464</v>
      </c>
      <c r="T3109" s="4">
        <f t="shared" si="189"/>
        <v>12.123732995537367</v>
      </c>
      <c r="W3109" s="4" t="str">
        <f>"F27D4.4"</f>
        <v>F27D4.4</v>
      </c>
      <c r="X3109" s="4">
        <v>11.6943038465044</v>
      </c>
      <c r="Y3109" s="4">
        <v>11.9811576670467</v>
      </c>
      <c r="Z3109" s="4">
        <v>12.248933222119099</v>
      </c>
      <c r="AA3109" s="4">
        <f t="shared" si="190"/>
        <v>11.974798245223399</v>
      </c>
    </row>
    <row r="3110" spans="16:27" x14ac:dyDescent="0.2">
      <c r="P3110" s="4" t="str">
        <f>"Y50D7A.3"</f>
        <v>Y50D7A.3</v>
      </c>
      <c r="Q3110" s="4">
        <v>11.6412493916876</v>
      </c>
      <c r="R3110" s="4">
        <v>12.606526823804</v>
      </c>
      <c r="S3110" s="4">
        <v>12.1213223402904</v>
      </c>
      <c r="T3110" s="4">
        <f t="shared" si="189"/>
        <v>12.123032851927332</v>
      </c>
      <c r="W3110" s="4" t="str">
        <f>"csn-5"</f>
        <v>csn-5</v>
      </c>
      <c r="X3110" s="4">
        <v>11.9977012475017</v>
      </c>
      <c r="Y3110" s="4">
        <v>11.942717023832101</v>
      </c>
      <c r="Z3110" s="4">
        <v>11.9828990405759</v>
      </c>
      <c r="AA3110" s="4">
        <f t="shared" si="190"/>
        <v>11.9744391039699</v>
      </c>
    </row>
    <row r="3111" spans="16:27" x14ac:dyDescent="0.2">
      <c r="P3111" s="4" t="str">
        <f>"sth-1"</f>
        <v>sth-1</v>
      </c>
      <c r="Q3111" s="4">
        <v>11.8480595671299</v>
      </c>
      <c r="R3111" s="4">
        <v>12.222973389201799</v>
      </c>
      <c r="S3111" s="4">
        <v>12.296326903044299</v>
      </c>
      <c r="T3111" s="4">
        <f t="shared" si="189"/>
        <v>12.122453286458665</v>
      </c>
      <c r="W3111" s="4" t="str">
        <f>"nekl-2"</f>
        <v>nekl-2</v>
      </c>
      <c r="X3111" s="4">
        <v>12.189799838938599</v>
      </c>
      <c r="Y3111" s="4">
        <v>12.0491706856438</v>
      </c>
      <c r="Z3111" s="4">
        <v>11.684149264322601</v>
      </c>
      <c r="AA3111" s="4">
        <f t="shared" si="190"/>
        <v>11.974373262968333</v>
      </c>
    </row>
    <row r="3112" spans="16:27" x14ac:dyDescent="0.2">
      <c r="P3112" s="4" t="str">
        <f>"hpo-11"</f>
        <v>hpo-11</v>
      </c>
      <c r="Q3112" s="4">
        <v>11.6989189590248</v>
      </c>
      <c r="R3112" s="4">
        <v>12.184540771010701</v>
      </c>
      <c r="S3112" s="4">
        <v>12.477103524188401</v>
      </c>
      <c r="T3112" s="4">
        <f t="shared" si="189"/>
        <v>12.120187751407968</v>
      </c>
      <c r="W3112" s="4" t="str">
        <f>"cnt-2"</f>
        <v>cnt-2</v>
      </c>
      <c r="X3112" s="4">
        <v>11.8922549621104</v>
      </c>
      <c r="Y3112" s="4">
        <v>11.9264779923212</v>
      </c>
      <c r="Z3112" s="4">
        <v>12.101340399611299</v>
      </c>
      <c r="AA3112" s="4">
        <f t="shared" si="190"/>
        <v>11.973357784680966</v>
      </c>
    </row>
    <row r="3113" spans="16:27" x14ac:dyDescent="0.2">
      <c r="P3113" s="4" t="str">
        <f>"mak-2"</f>
        <v>mak-2</v>
      </c>
      <c r="Q3113" s="4">
        <v>12.035309570049099</v>
      </c>
      <c r="R3113" s="4">
        <v>12.453651217039701</v>
      </c>
      <c r="S3113" s="4">
        <v>11.867137639765</v>
      </c>
      <c r="T3113" s="4">
        <f t="shared" si="189"/>
        <v>12.118699475617932</v>
      </c>
      <c r="W3113" s="4" t="str">
        <f>"B0281.3"</f>
        <v>B0281.3</v>
      </c>
      <c r="X3113" s="4">
        <v>12.0059652553372</v>
      </c>
      <c r="Y3113" s="4">
        <v>11.9618707133524</v>
      </c>
      <c r="Z3113" s="4">
        <v>11.943136624099299</v>
      </c>
      <c r="AA3113" s="4">
        <f t="shared" si="190"/>
        <v>11.970324197596298</v>
      </c>
    </row>
    <row r="3114" spans="16:27" x14ac:dyDescent="0.2">
      <c r="P3114" s="4" t="str">
        <f>"atg-16.1"</f>
        <v>atg-16.1</v>
      </c>
      <c r="Q3114" s="4">
        <v>11.794617946681701</v>
      </c>
      <c r="R3114" s="4">
        <v>12.3206468605485</v>
      </c>
      <c r="S3114" s="4">
        <v>12.229916013356901</v>
      </c>
      <c r="T3114" s="4">
        <f t="shared" si="189"/>
        <v>12.115060273529034</v>
      </c>
      <c r="W3114" s="4" t="str">
        <f>"git-1"</f>
        <v>git-1</v>
      </c>
      <c r="X3114" s="4">
        <v>11.995500573239999</v>
      </c>
      <c r="Y3114" s="4">
        <v>11.716305769230701</v>
      </c>
      <c r="Z3114" s="4">
        <v>12.182914569568799</v>
      </c>
      <c r="AA3114" s="4">
        <f t="shared" si="190"/>
        <v>11.964906970679834</v>
      </c>
    </row>
    <row r="3115" spans="16:27" x14ac:dyDescent="0.2">
      <c r="P3115" s="4" t="str">
        <f>"srp-2"</f>
        <v>srp-2</v>
      </c>
      <c r="Q3115" s="4">
        <v>12.0373626694003</v>
      </c>
      <c r="R3115" s="4">
        <v>12.2856740957131</v>
      </c>
      <c r="S3115" s="4">
        <v>12.0217543204632</v>
      </c>
      <c r="T3115" s="4">
        <f t="shared" si="189"/>
        <v>12.114930361858868</v>
      </c>
      <c r="W3115" s="4" t="str">
        <f>"F21C10.7"</f>
        <v>F21C10.7</v>
      </c>
      <c r="X3115" s="4">
        <v>10.913492348063601</v>
      </c>
      <c r="Y3115" s="4">
        <v>12.0723140497449</v>
      </c>
      <c r="Z3115" s="4">
        <v>12.895999013773199</v>
      </c>
      <c r="AA3115" s="4">
        <f t="shared" si="190"/>
        <v>11.960601803860568</v>
      </c>
    </row>
    <row r="3116" spans="16:27" x14ac:dyDescent="0.2">
      <c r="P3116" s="4" t="str">
        <f>"taap-1"</f>
        <v>taap-1</v>
      </c>
      <c r="Q3116" s="4">
        <v>11.746687912003701</v>
      </c>
      <c r="R3116" s="4">
        <v>12.495007655866299</v>
      </c>
      <c r="S3116" s="4">
        <v>12.0741412343029</v>
      </c>
      <c r="T3116" s="4">
        <f t="shared" si="189"/>
        <v>12.105278934057631</v>
      </c>
      <c r="W3116" s="4" t="str">
        <f>"spe-39"</f>
        <v>spe-39</v>
      </c>
      <c r="X3116" s="4">
        <v>11.9995793554718</v>
      </c>
      <c r="Y3116" s="4">
        <v>12.205369009268001</v>
      </c>
      <c r="Z3116" s="4">
        <v>11.659963919793601</v>
      </c>
      <c r="AA3116" s="4">
        <f t="shared" si="190"/>
        <v>11.954970761511134</v>
      </c>
    </row>
    <row r="3117" spans="16:27" x14ac:dyDescent="0.2">
      <c r="P3117" s="4" t="str">
        <f>"taf-1"</f>
        <v>taf-1</v>
      </c>
      <c r="Q3117" s="4">
        <v>12.092270063549901</v>
      </c>
      <c r="R3117" s="4">
        <v>12.322927835389899</v>
      </c>
      <c r="S3117" s="4">
        <v>11.8945326271662</v>
      </c>
      <c r="T3117" s="4">
        <f t="shared" si="189"/>
        <v>12.103243508702</v>
      </c>
      <c r="W3117" s="4" t="str">
        <f>"C44E4.5"</f>
        <v>C44E4.5</v>
      </c>
      <c r="X3117" s="4">
        <v>11.530820482472301</v>
      </c>
      <c r="Y3117" s="4">
        <v>11.906525378567601</v>
      </c>
      <c r="Z3117" s="4">
        <v>12.420031726062399</v>
      </c>
      <c r="AA3117" s="4">
        <f t="shared" si="190"/>
        <v>11.952459195700767</v>
      </c>
    </row>
    <row r="3118" spans="16:27" x14ac:dyDescent="0.2">
      <c r="P3118" s="4" t="str">
        <f>"cdc-73"</f>
        <v>cdc-73</v>
      </c>
      <c r="Q3118" s="4">
        <v>12.1495404076997</v>
      </c>
      <c r="R3118" s="4">
        <v>12.2765965313462</v>
      </c>
      <c r="S3118" s="4">
        <v>11.880420414859801</v>
      </c>
      <c r="T3118" s="4">
        <f t="shared" si="189"/>
        <v>12.102185784635234</v>
      </c>
      <c r="W3118" s="4" t="str">
        <f>"ugt-60"</f>
        <v>ugt-60</v>
      </c>
      <c r="X3118" s="4">
        <v>11.405785308625401</v>
      </c>
      <c r="Y3118" s="4">
        <v>12.292184581449</v>
      </c>
      <c r="Z3118" s="4">
        <v>12.1454134252646</v>
      </c>
      <c r="AA3118" s="4">
        <f t="shared" si="190"/>
        <v>11.947794438446332</v>
      </c>
    </row>
    <row r="3119" spans="16:27" x14ac:dyDescent="0.2">
      <c r="P3119" s="4" t="str">
        <f>"git-1"</f>
        <v>git-1</v>
      </c>
      <c r="Q3119" s="4">
        <v>11.939883452778799</v>
      </c>
      <c r="R3119" s="4">
        <v>12.091973446737001</v>
      </c>
      <c r="S3119" s="4">
        <v>12.2724026320418</v>
      </c>
      <c r="T3119" s="4">
        <f t="shared" si="189"/>
        <v>12.101419843852534</v>
      </c>
      <c r="W3119" s="4" t="str">
        <f>"hcp-1"</f>
        <v>hcp-1</v>
      </c>
      <c r="X3119" s="4">
        <v>12.1133215267037</v>
      </c>
      <c r="Y3119" s="4">
        <v>12.044409435844999</v>
      </c>
      <c r="Z3119" s="4">
        <v>11.6833146758465</v>
      </c>
      <c r="AA3119" s="4">
        <f t="shared" si="190"/>
        <v>11.9470152127984</v>
      </c>
    </row>
    <row r="3120" spans="16:27" x14ac:dyDescent="0.2">
      <c r="P3120" s="4" t="str">
        <f>"F41G3.6"</f>
        <v>F41G3.6</v>
      </c>
      <c r="Q3120" s="4">
        <v>12.0869219535713</v>
      </c>
      <c r="R3120" s="4">
        <v>12.223844350283001</v>
      </c>
      <c r="S3120" s="4">
        <v>11.9918920854522</v>
      </c>
      <c r="T3120" s="4">
        <f t="shared" si="189"/>
        <v>12.100886129768833</v>
      </c>
      <c r="W3120" s="4" t="str">
        <f>"F59E11.5"</f>
        <v>F59E11.5</v>
      </c>
      <c r="X3120" s="4">
        <v>11.4751624353141</v>
      </c>
      <c r="Y3120" s="4">
        <v>12.212124450607799</v>
      </c>
      <c r="Z3120" s="4">
        <v>12.1523562141364</v>
      </c>
      <c r="AA3120" s="4">
        <f t="shared" si="190"/>
        <v>11.946547700019432</v>
      </c>
    </row>
    <row r="3121" spans="2:27" x14ac:dyDescent="0.2">
      <c r="P3121" s="4" t="str">
        <f>"nhr-17"</f>
        <v>nhr-17</v>
      </c>
      <c r="Q3121" s="4">
        <v>11.675004096204701</v>
      </c>
      <c r="R3121" s="4">
        <v>12.404764612714301</v>
      </c>
      <c r="S3121" s="4">
        <v>12.222139812715101</v>
      </c>
      <c r="T3121" s="4">
        <f t="shared" si="189"/>
        <v>12.100636173878035</v>
      </c>
      <c r="W3121" s="4" t="str">
        <f>"him-17"</f>
        <v>him-17</v>
      </c>
      <c r="X3121" s="4">
        <v>11.723677426224199</v>
      </c>
      <c r="Y3121" s="4">
        <v>12.442692182468701</v>
      </c>
      <c r="Z3121" s="4">
        <v>11.666175294018201</v>
      </c>
      <c r="AA3121" s="4">
        <f t="shared" si="190"/>
        <v>11.944181634237033</v>
      </c>
    </row>
    <row r="3122" spans="2:27" x14ac:dyDescent="0.2">
      <c r="B3122" s="24"/>
      <c r="C3122" s="24"/>
      <c r="D3122" s="24"/>
      <c r="E3122" s="24"/>
      <c r="P3122" s="4" t="str">
        <f>"atx-3"</f>
        <v>atx-3</v>
      </c>
      <c r="Q3122" s="4">
        <v>11.001509181591</v>
      </c>
      <c r="R3122" s="4">
        <v>12.7654819035288</v>
      </c>
      <c r="S3122" s="4">
        <v>12.5312884448029</v>
      </c>
      <c r="T3122" s="4">
        <f t="shared" si="189"/>
        <v>12.099426509974231</v>
      </c>
      <c r="W3122" s="4" t="str">
        <f>"crn-2"</f>
        <v>crn-2</v>
      </c>
      <c r="X3122" s="4">
        <v>11.8814360201351</v>
      </c>
      <c r="Y3122" s="4">
        <v>11.8883591129294</v>
      </c>
      <c r="Z3122" s="4">
        <v>12.057004350317801</v>
      </c>
      <c r="AA3122" s="4">
        <f t="shared" si="190"/>
        <v>11.942266494460767</v>
      </c>
    </row>
    <row r="3123" spans="2:27" x14ac:dyDescent="0.2">
      <c r="P3123" s="4" t="str">
        <f>"T20B12.3"</f>
        <v>T20B12.3</v>
      </c>
      <c r="Q3123" s="4">
        <v>11.7944109537465</v>
      </c>
      <c r="R3123" s="4">
        <v>12.4800174737614</v>
      </c>
      <c r="S3123" s="4">
        <v>12.023038974042599</v>
      </c>
      <c r="T3123" s="4">
        <f t="shared" si="189"/>
        <v>12.099155800516833</v>
      </c>
      <c r="W3123" s="4" t="str">
        <f>"tmem-189"</f>
        <v>tmem-189</v>
      </c>
      <c r="X3123" s="4">
        <v>11.8126252910359</v>
      </c>
      <c r="Y3123" s="4">
        <v>12.289612958425099</v>
      </c>
      <c r="Z3123" s="4">
        <v>11.6955816087795</v>
      </c>
      <c r="AA3123" s="4">
        <f t="shared" si="190"/>
        <v>11.9326066194135</v>
      </c>
    </row>
    <row r="3124" spans="2:27" x14ac:dyDescent="0.2">
      <c r="P3124" s="4" t="str">
        <f>"Y32H12A.8"</f>
        <v>Y32H12A.8</v>
      </c>
      <c r="Q3124" s="4">
        <v>12.190943198253301</v>
      </c>
      <c r="R3124" s="4">
        <v>12.0161767081002</v>
      </c>
      <c r="S3124" s="4">
        <v>12.089534692279701</v>
      </c>
      <c r="T3124" s="4">
        <f t="shared" si="189"/>
        <v>12.098884866211067</v>
      </c>
      <c r="W3124" s="4" t="str">
        <f>"F52H2.6"</f>
        <v>F52H2.6</v>
      </c>
      <c r="X3124" s="4">
        <v>11.213703441512401</v>
      </c>
      <c r="Y3124" s="4">
        <v>12.257986318849101</v>
      </c>
      <c r="Z3124" s="4">
        <v>12.319919298284301</v>
      </c>
      <c r="AA3124" s="4">
        <f t="shared" si="190"/>
        <v>11.930536352881935</v>
      </c>
    </row>
    <row r="3125" spans="2:27" x14ac:dyDescent="0.2">
      <c r="P3125" s="4" t="str">
        <f>"B0261.7"</f>
        <v>B0261.7</v>
      </c>
      <c r="Q3125" s="4">
        <v>12.118040198851</v>
      </c>
      <c r="R3125" s="4">
        <v>12.1975878386696</v>
      </c>
      <c r="S3125" s="4">
        <v>11.976731715449599</v>
      </c>
      <c r="T3125" s="4">
        <f t="shared" si="189"/>
        <v>12.097453250990066</v>
      </c>
      <c r="W3125" s="4" t="str">
        <f>"mlc-2"</f>
        <v>mlc-2</v>
      </c>
      <c r="X3125" s="4">
        <v>13.0162992141845</v>
      </c>
      <c r="Y3125" s="4">
        <v>11.271833569305301</v>
      </c>
      <c r="Z3125" s="4">
        <v>11.499454448277101</v>
      </c>
      <c r="AA3125" s="4">
        <f t="shared" si="190"/>
        <v>11.9291957439223</v>
      </c>
    </row>
    <row r="3126" spans="2:27" x14ac:dyDescent="0.2">
      <c r="P3126" s="4" t="str">
        <f>"ntl-4"</f>
        <v>ntl-4</v>
      </c>
      <c r="Q3126" s="4">
        <v>11.4043989091158</v>
      </c>
      <c r="R3126" s="4">
        <v>12.4935794006187</v>
      </c>
      <c r="S3126" s="4">
        <v>12.3936129587177</v>
      </c>
      <c r="T3126" s="4">
        <f t="shared" si="189"/>
        <v>12.097197089484064</v>
      </c>
      <c r="W3126" s="4" t="str">
        <f>"tbc-18"</f>
        <v>tbc-18</v>
      </c>
      <c r="X3126" s="4">
        <v>11.4143506654456</v>
      </c>
      <c r="Y3126" s="4">
        <v>11.932066818924399</v>
      </c>
      <c r="Z3126" s="4">
        <v>12.4336983311262</v>
      </c>
      <c r="AA3126" s="4">
        <f t="shared" si="190"/>
        <v>11.926705271832068</v>
      </c>
    </row>
    <row r="3127" spans="2:27" x14ac:dyDescent="0.2">
      <c r="P3127" s="4" t="str">
        <f>"nap-1"</f>
        <v>nap-1</v>
      </c>
      <c r="Q3127" s="4">
        <v>11.9804593391259</v>
      </c>
      <c r="R3127" s="4">
        <v>12.388602974034301</v>
      </c>
      <c r="S3127" s="4">
        <v>11.9130803842519</v>
      </c>
      <c r="T3127" s="4">
        <f t="shared" si="189"/>
        <v>12.094047565804033</v>
      </c>
      <c r="W3127" s="4" t="str">
        <f>"agl-1"</f>
        <v>agl-1</v>
      </c>
      <c r="X3127" s="4">
        <v>12.3378346236432</v>
      </c>
      <c r="Y3127" s="4">
        <v>11.255486552714</v>
      </c>
      <c r="Z3127" s="4">
        <v>12.178986028959001</v>
      </c>
      <c r="AA3127" s="4">
        <f t="shared" si="190"/>
        <v>11.924102401772068</v>
      </c>
    </row>
    <row r="3128" spans="2:27" x14ac:dyDescent="0.2">
      <c r="P3128" s="4" t="str">
        <f>"R148.3"</f>
        <v>R148.3</v>
      </c>
      <c r="Q3128" s="4">
        <v>11.8192143517077</v>
      </c>
      <c r="R3128" s="4">
        <v>12.363247773390301</v>
      </c>
      <c r="S3128" s="4">
        <v>12.083391364420001</v>
      </c>
      <c r="T3128" s="4">
        <f t="shared" si="189"/>
        <v>12.088617829839334</v>
      </c>
      <c r="W3128" s="4" t="str">
        <f>"ttr-46"</f>
        <v>ttr-46</v>
      </c>
      <c r="X3128" s="4">
        <v>12.368245745666499</v>
      </c>
      <c r="Y3128" s="4">
        <v>11.4794241304725</v>
      </c>
      <c r="Z3128" s="4">
        <v>11.870539609107601</v>
      </c>
      <c r="AA3128" s="4">
        <f t="shared" si="190"/>
        <v>11.906069828415534</v>
      </c>
    </row>
    <row r="3129" spans="2:27" x14ac:dyDescent="0.2">
      <c r="P3129" s="4" t="str">
        <f>"ubxn-4"</f>
        <v>ubxn-4</v>
      </c>
      <c r="Q3129" s="4">
        <v>12.0519007423833</v>
      </c>
      <c r="R3129" s="4">
        <v>12.223668986147599</v>
      </c>
      <c r="S3129" s="4">
        <v>11.976330312838099</v>
      </c>
      <c r="T3129" s="4">
        <f t="shared" si="189"/>
        <v>12.083966680456333</v>
      </c>
      <c r="W3129" s="4" t="str">
        <f>"C46F11.4"</f>
        <v>C46F11.4</v>
      </c>
      <c r="X3129" s="4">
        <v>11.7397734366729</v>
      </c>
      <c r="Y3129" s="4">
        <v>11.942650397532701</v>
      </c>
      <c r="Z3129" s="4">
        <v>12.027531392642199</v>
      </c>
      <c r="AA3129" s="4">
        <f t="shared" si="190"/>
        <v>11.903318408949266</v>
      </c>
    </row>
    <row r="3130" spans="2:27" x14ac:dyDescent="0.2">
      <c r="P3130" s="4" t="str">
        <f>"Y54E2A.7"</f>
        <v>Y54E2A.7</v>
      </c>
      <c r="Q3130" s="4">
        <v>11.4478546176263</v>
      </c>
      <c r="R3130" s="4">
        <v>12.4345805189792</v>
      </c>
      <c r="S3130" s="4">
        <v>12.367794049996901</v>
      </c>
      <c r="T3130" s="4">
        <f t="shared" si="189"/>
        <v>12.083409728867467</v>
      </c>
      <c r="W3130" s="4" t="str">
        <f>"ssb-1"</f>
        <v>ssb-1</v>
      </c>
      <c r="X3130" s="4">
        <v>11.287798512541199</v>
      </c>
      <c r="Y3130" s="4">
        <v>12.0817802473669</v>
      </c>
      <c r="Z3130" s="4">
        <v>12.318345560250499</v>
      </c>
      <c r="AA3130" s="4">
        <f t="shared" si="190"/>
        <v>11.8959747733862</v>
      </c>
    </row>
    <row r="3131" spans="2:27" x14ac:dyDescent="0.2">
      <c r="P3131" s="4" t="str">
        <f>"plc-3"</f>
        <v>plc-3</v>
      </c>
      <c r="Q3131" s="4">
        <v>11.430292065218101</v>
      </c>
      <c r="R3131" s="4">
        <v>12.4915097363803</v>
      </c>
      <c r="S3131" s="4">
        <v>12.328227390632099</v>
      </c>
      <c r="T3131" s="4">
        <f t="shared" si="189"/>
        <v>12.083343064076834</v>
      </c>
      <c r="W3131" s="4" t="str">
        <f>"uaf-2"</f>
        <v>uaf-2</v>
      </c>
      <c r="X3131" s="4">
        <v>11.8867814179248</v>
      </c>
      <c r="Y3131" s="4">
        <v>11.758292865504201</v>
      </c>
      <c r="Z3131" s="4">
        <v>12.0299428703762</v>
      </c>
      <c r="AA3131" s="4">
        <f t="shared" si="190"/>
        <v>11.891672384601733</v>
      </c>
    </row>
    <row r="3132" spans="2:27" x14ac:dyDescent="0.2">
      <c r="P3132" s="4" t="str">
        <f>"C37H5.13"</f>
        <v>C37H5.13</v>
      </c>
      <c r="Q3132" s="4">
        <v>12.3168851469065</v>
      </c>
      <c r="R3132" s="4">
        <v>11.8531661216232</v>
      </c>
      <c r="S3132" s="4">
        <v>12.0795340553274</v>
      </c>
      <c r="T3132" s="4">
        <f t="shared" si="189"/>
        <v>12.083195107952369</v>
      </c>
      <c r="W3132" s="4" t="str">
        <f>"sta-2"</f>
        <v>sta-2</v>
      </c>
      <c r="X3132" s="4">
        <v>11.952503895192301</v>
      </c>
      <c r="Y3132" s="4">
        <v>11.8862949557859</v>
      </c>
      <c r="Z3132" s="4">
        <v>11.822665028617701</v>
      </c>
      <c r="AA3132" s="4">
        <f t="shared" si="190"/>
        <v>11.887154626531967</v>
      </c>
    </row>
    <row r="3133" spans="2:27" x14ac:dyDescent="0.2">
      <c r="P3133" s="4" t="str">
        <f>"sma-2"</f>
        <v>sma-2</v>
      </c>
      <c r="Q3133" s="4">
        <v>12.0995568228407</v>
      </c>
      <c r="R3133" s="4">
        <v>12.0799255879231</v>
      </c>
      <c r="S3133" s="4">
        <v>12.043716440094</v>
      </c>
      <c r="T3133" s="4">
        <f t="shared" si="189"/>
        <v>12.074399616952599</v>
      </c>
      <c r="W3133" s="4" t="str">
        <f>"mig-2"</f>
        <v>mig-2</v>
      </c>
      <c r="X3133" s="4">
        <v>12.020955893733101</v>
      </c>
      <c r="Y3133" s="4">
        <v>12.232556274326299</v>
      </c>
      <c r="Z3133" s="4">
        <v>11.3920397782087</v>
      </c>
      <c r="AA3133" s="4">
        <f t="shared" si="190"/>
        <v>11.881850648756034</v>
      </c>
    </row>
    <row r="3134" spans="2:27" x14ac:dyDescent="0.2">
      <c r="P3134" s="4" t="str">
        <f>"ath-1"</f>
        <v>ath-1</v>
      </c>
      <c r="Q3134" s="4">
        <v>12.008896990822899</v>
      </c>
      <c r="R3134" s="4">
        <v>12.313205646272401</v>
      </c>
      <c r="S3134" s="4">
        <v>11.898297023306499</v>
      </c>
      <c r="T3134" s="4">
        <f t="shared" si="189"/>
        <v>12.073466553467265</v>
      </c>
      <c r="W3134" s="4" t="str">
        <f>"smg-8"</f>
        <v>smg-8</v>
      </c>
      <c r="X3134" s="4">
        <v>11.8431832741422</v>
      </c>
      <c r="Y3134" s="4">
        <v>12.3127531595307</v>
      </c>
      <c r="Z3134" s="4">
        <v>11.484835022526401</v>
      </c>
      <c r="AA3134" s="4">
        <f t="shared" si="190"/>
        <v>11.880257152066434</v>
      </c>
    </row>
    <row r="3135" spans="2:27" x14ac:dyDescent="0.2">
      <c r="P3135" s="4" t="str">
        <f>"C54G4.9"</f>
        <v>C54G4.9</v>
      </c>
      <c r="Q3135" s="4">
        <v>11.633081363862599</v>
      </c>
      <c r="R3135" s="4">
        <v>12.3956844688222</v>
      </c>
      <c r="S3135" s="4">
        <v>12.1650193360537</v>
      </c>
      <c r="T3135" s="4">
        <f t="shared" si="189"/>
        <v>12.064595056246167</v>
      </c>
      <c r="W3135" s="4" t="str">
        <f>"fust-1"</f>
        <v>fust-1</v>
      </c>
      <c r="X3135" s="4">
        <v>11.2550058466958</v>
      </c>
      <c r="Y3135" s="4">
        <v>12.7422732824198</v>
      </c>
      <c r="Z3135" s="4">
        <v>11.6313032086747</v>
      </c>
      <c r="AA3135" s="4">
        <f t="shared" si="190"/>
        <v>11.876194112596766</v>
      </c>
    </row>
    <row r="3136" spans="2:27" x14ac:dyDescent="0.2">
      <c r="P3136" s="4" t="str">
        <f>"F21C10.7"</f>
        <v>F21C10.7</v>
      </c>
      <c r="Q3136" s="4">
        <v>12.2443458233691</v>
      </c>
      <c r="R3136" s="4">
        <v>11.778173897054399</v>
      </c>
      <c r="S3136" s="4">
        <v>12.160974489415899</v>
      </c>
      <c r="T3136" s="4">
        <f t="shared" si="189"/>
        <v>12.061164736613131</v>
      </c>
      <c r="W3136" s="4" t="str">
        <f>"scp-1"</f>
        <v>scp-1</v>
      </c>
      <c r="X3136" s="4">
        <v>11.792104087687701</v>
      </c>
      <c r="Y3136" s="4">
        <v>11.8744902281172</v>
      </c>
      <c r="Z3136" s="4">
        <v>11.9194505551765</v>
      </c>
      <c r="AA3136" s="4">
        <f t="shared" si="190"/>
        <v>11.862014956993798</v>
      </c>
    </row>
    <row r="3137" spans="16:27" x14ac:dyDescent="0.2">
      <c r="P3137" s="4" t="str">
        <f>"cpt-5"</f>
        <v>cpt-5</v>
      </c>
      <c r="Q3137" s="4">
        <v>11.744557786463</v>
      </c>
      <c r="R3137" s="4">
        <v>12.472117842284799</v>
      </c>
      <c r="S3137" s="4">
        <v>11.954409814729701</v>
      </c>
      <c r="T3137" s="4">
        <f t="shared" si="189"/>
        <v>12.057028481159167</v>
      </c>
      <c r="W3137" s="4" t="str">
        <f>"cdc-73"</f>
        <v>cdc-73</v>
      </c>
      <c r="X3137" s="4">
        <v>12.332187643071499</v>
      </c>
      <c r="Y3137" s="4">
        <v>11.137364836014299</v>
      </c>
      <c r="Z3137" s="4">
        <v>12.1009223235862</v>
      </c>
      <c r="AA3137" s="4">
        <f t="shared" si="190"/>
        <v>11.856824934223999</v>
      </c>
    </row>
    <row r="3138" spans="16:27" x14ac:dyDescent="0.2">
      <c r="P3138" s="4" t="str">
        <f>"csn-6"</f>
        <v>csn-6</v>
      </c>
      <c r="Q3138" s="4">
        <v>11.824398659530299</v>
      </c>
      <c r="R3138" s="4">
        <v>12.2112943819543</v>
      </c>
      <c r="S3138" s="4">
        <v>12.1078996032014</v>
      </c>
      <c r="T3138" s="4">
        <f t="shared" ref="T3138:T3201" si="191">(Q3138+R3138+S3138)/3</f>
        <v>12.047864214895332</v>
      </c>
      <c r="W3138" s="4" t="str">
        <f>"tnt-2"</f>
        <v>tnt-2</v>
      </c>
      <c r="X3138" s="4">
        <v>12.4227783345065</v>
      </c>
      <c r="Y3138" s="4">
        <v>11.216413702355499</v>
      </c>
      <c r="Z3138" s="4">
        <v>11.931081615936201</v>
      </c>
      <c r="AA3138" s="4">
        <f t="shared" ref="AA3138:AA3201" si="192">(X3138+Y3138+Z3138)/3</f>
        <v>11.856757884266067</v>
      </c>
    </row>
    <row r="3139" spans="16:27" x14ac:dyDescent="0.2">
      <c r="P3139" s="4" t="str">
        <f>"maa-1"</f>
        <v>maa-1</v>
      </c>
      <c r="Q3139" s="4">
        <v>11.826377271154101</v>
      </c>
      <c r="R3139" s="4">
        <v>12.4078605021177</v>
      </c>
      <c r="S3139" s="4">
        <v>11.905968586574801</v>
      </c>
      <c r="T3139" s="4">
        <f t="shared" si="191"/>
        <v>12.046735453282201</v>
      </c>
      <c r="W3139" s="4" t="str">
        <f>"T28C6.7"</f>
        <v>T28C6.7</v>
      </c>
      <c r="X3139" s="4">
        <v>12.196170455180299</v>
      </c>
      <c r="Y3139" s="4">
        <v>12.050107314521901</v>
      </c>
      <c r="Z3139" s="4">
        <v>11.3037481783531</v>
      </c>
      <c r="AA3139" s="4">
        <f t="shared" si="192"/>
        <v>11.850008649351766</v>
      </c>
    </row>
    <row r="3140" spans="16:27" x14ac:dyDescent="0.2">
      <c r="P3140" s="4" t="str">
        <f>"fat-2"</f>
        <v>fat-2</v>
      </c>
      <c r="Q3140" s="4">
        <v>11.6392234420683</v>
      </c>
      <c r="R3140" s="4">
        <v>12.113589471300701</v>
      </c>
      <c r="S3140" s="4">
        <v>12.386301030157901</v>
      </c>
      <c r="T3140" s="4">
        <f t="shared" si="191"/>
        <v>12.046371314508967</v>
      </c>
      <c r="W3140" s="4" t="str">
        <f>"ung-1"</f>
        <v>ung-1</v>
      </c>
      <c r="X3140" s="4">
        <v>12.5454235361349</v>
      </c>
      <c r="Y3140" s="4">
        <v>11.6151080218602</v>
      </c>
      <c r="Z3140" s="4">
        <v>11.363756657330001</v>
      </c>
      <c r="AA3140" s="4">
        <f t="shared" si="192"/>
        <v>11.841429405108366</v>
      </c>
    </row>
    <row r="3141" spans="16:27" x14ac:dyDescent="0.2">
      <c r="P3141" s="4" t="str">
        <f>"lit-1"</f>
        <v>lit-1</v>
      </c>
      <c r="Q3141" s="4">
        <v>11.454174905232801</v>
      </c>
      <c r="R3141" s="4">
        <v>12.5075026499918</v>
      </c>
      <c r="S3141" s="4">
        <v>12.146047740041899</v>
      </c>
      <c r="T3141" s="4">
        <f t="shared" si="191"/>
        <v>12.0359084317555</v>
      </c>
      <c r="W3141" s="4" t="str">
        <f>"hlb-1"</f>
        <v>hlb-1</v>
      </c>
      <c r="X3141" s="4">
        <v>12.0290306625526</v>
      </c>
      <c r="Y3141" s="4">
        <v>11.6944408885428</v>
      </c>
      <c r="Z3141" s="4">
        <v>11.7945669845175</v>
      </c>
      <c r="AA3141" s="4">
        <f t="shared" si="192"/>
        <v>11.839346178537633</v>
      </c>
    </row>
    <row r="3142" spans="16:27" x14ac:dyDescent="0.2">
      <c r="P3142" s="4" t="str">
        <f>"pigs-1"</f>
        <v>pigs-1</v>
      </c>
      <c r="Q3142" s="4">
        <v>11.8929988571078</v>
      </c>
      <c r="R3142" s="4">
        <v>12.082828116973999</v>
      </c>
      <c r="S3142" s="4">
        <v>12.1095406070412</v>
      </c>
      <c r="T3142" s="4">
        <f t="shared" si="191"/>
        <v>12.028455860374331</v>
      </c>
      <c r="W3142" s="4" t="str">
        <f>"nep-2"</f>
        <v>nep-2</v>
      </c>
      <c r="X3142" s="4">
        <v>11.703576623011999</v>
      </c>
      <c r="Y3142" s="4">
        <v>11.851809502489999</v>
      </c>
      <c r="Z3142" s="4">
        <v>11.961988168355999</v>
      </c>
      <c r="AA3142" s="4">
        <f t="shared" si="192"/>
        <v>11.839124764619333</v>
      </c>
    </row>
    <row r="3143" spans="16:27" x14ac:dyDescent="0.2">
      <c r="P3143" s="4" t="str">
        <f>"Y50D4A.4"</f>
        <v>Y50D4A.4</v>
      </c>
      <c r="Q3143" s="4">
        <v>11.830207166579401</v>
      </c>
      <c r="R3143" s="4">
        <v>12.0985107334961</v>
      </c>
      <c r="S3143" s="4">
        <v>12.1385730806896</v>
      </c>
      <c r="T3143" s="4">
        <f t="shared" si="191"/>
        <v>12.0224303269217</v>
      </c>
      <c r="W3143" s="4" t="str">
        <f>"K07C5.2"</f>
        <v>K07C5.2</v>
      </c>
      <c r="X3143" s="4">
        <v>11.550174833974101</v>
      </c>
      <c r="Y3143" s="4">
        <v>11.697194662225</v>
      </c>
      <c r="Z3143" s="4">
        <v>12.242251392808001</v>
      </c>
      <c r="AA3143" s="4">
        <f t="shared" si="192"/>
        <v>11.829873629669033</v>
      </c>
    </row>
    <row r="3144" spans="16:27" x14ac:dyDescent="0.2">
      <c r="P3144" s="4" t="str">
        <f>"txdc-9"</f>
        <v>txdc-9</v>
      </c>
      <c r="Q3144" s="4">
        <v>11.5033389380031</v>
      </c>
      <c r="R3144" s="4">
        <v>12.4903031237984</v>
      </c>
      <c r="S3144" s="4">
        <v>12.073287836962599</v>
      </c>
      <c r="T3144" s="4">
        <f t="shared" si="191"/>
        <v>12.022309966254701</v>
      </c>
      <c r="W3144" s="4" t="str">
        <f>"hmg-12"</f>
        <v>hmg-12</v>
      </c>
      <c r="X3144" s="4">
        <v>11.914262059484299</v>
      </c>
      <c r="Y3144" s="4">
        <v>12.0780214534413</v>
      </c>
      <c r="Z3144" s="4">
        <v>11.494020695905499</v>
      </c>
      <c r="AA3144" s="4">
        <f t="shared" si="192"/>
        <v>11.828768069610367</v>
      </c>
    </row>
    <row r="3145" spans="16:27" x14ac:dyDescent="0.2">
      <c r="P3145" s="4" t="str">
        <f>"vep-1"</f>
        <v>vep-1</v>
      </c>
      <c r="Q3145" s="4">
        <v>12.0484656573718</v>
      </c>
      <c r="R3145" s="4">
        <v>12.1217124162013</v>
      </c>
      <c r="S3145" s="4">
        <v>11.896480915280099</v>
      </c>
      <c r="T3145" s="4">
        <f t="shared" si="191"/>
        <v>12.022219662951066</v>
      </c>
      <c r="W3145" s="4" t="str">
        <f>"aho-3"</f>
        <v>aho-3</v>
      </c>
      <c r="X3145" s="4">
        <v>12.1115875974702</v>
      </c>
      <c r="Y3145" s="4">
        <v>11.6221585767207</v>
      </c>
      <c r="Z3145" s="4">
        <v>11.726041568727601</v>
      </c>
      <c r="AA3145" s="4">
        <f t="shared" si="192"/>
        <v>11.8199292476395</v>
      </c>
    </row>
    <row r="3146" spans="16:27" x14ac:dyDescent="0.2">
      <c r="P3146" s="4" t="str">
        <f>"ssb-1"</f>
        <v>ssb-1</v>
      </c>
      <c r="Q3146" s="4">
        <v>11.4295192150294</v>
      </c>
      <c r="R3146" s="4">
        <v>12.55580005565</v>
      </c>
      <c r="S3146" s="4">
        <v>12.061965073013701</v>
      </c>
      <c r="T3146" s="4">
        <f t="shared" si="191"/>
        <v>12.015761447897701</v>
      </c>
      <c r="W3146" s="4" t="str">
        <f>"kin-3"</f>
        <v>kin-3</v>
      </c>
      <c r="X3146" s="4">
        <v>11.7798602892014</v>
      </c>
      <c r="Y3146" s="4">
        <v>11.46766824539</v>
      </c>
      <c r="Z3146" s="4">
        <v>12.2036268667215</v>
      </c>
      <c r="AA3146" s="4">
        <f t="shared" si="192"/>
        <v>11.817051800437634</v>
      </c>
    </row>
    <row r="3147" spans="16:27" x14ac:dyDescent="0.2">
      <c r="P3147" s="4" t="str">
        <f>"ebax-1"</f>
        <v>ebax-1</v>
      </c>
      <c r="Q3147" s="4">
        <v>12.0708208793293</v>
      </c>
      <c r="R3147" s="4">
        <v>12.302258082710701</v>
      </c>
      <c r="S3147" s="4">
        <v>11.671416028361399</v>
      </c>
      <c r="T3147" s="4">
        <f t="shared" si="191"/>
        <v>12.014831663467135</v>
      </c>
      <c r="W3147" s="4" t="str">
        <f>"bath-40"</f>
        <v>bath-40</v>
      </c>
      <c r="X3147" s="4">
        <v>12.0962872421673</v>
      </c>
      <c r="Y3147" s="4">
        <v>12.051846693993401</v>
      </c>
      <c r="Z3147" s="4">
        <v>11.2870365336591</v>
      </c>
      <c r="AA3147" s="4">
        <f t="shared" si="192"/>
        <v>11.811723489939935</v>
      </c>
    </row>
    <row r="3148" spans="16:27" x14ac:dyDescent="0.2">
      <c r="P3148" s="4" t="str">
        <f>"lec-5"</f>
        <v>lec-5</v>
      </c>
      <c r="Q3148" s="4">
        <v>11.896147825704</v>
      </c>
      <c r="R3148" s="4">
        <v>12.3459601224805</v>
      </c>
      <c r="S3148" s="4">
        <v>11.802352159629001</v>
      </c>
      <c r="T3148" s="4">
        <f t="shared" si="191"/>
        <v>12.014820035937833</v>
      </c>
      <c r="W3148" s="4" t="str">
        <f>"cri-3"</f>
        <v>cri-3</v>
      </c>
      <c r="X3148" s="4">
        <v>11.1199065918135</v>
      </c>
      <c r="Y3148" s="4">
        <v>11.763883454704899</v>
      </c>
      <c r="Z3148" s="4">
        <v>12.5498676723078</v>
      </c>
      <c r="AA3148" s="4">
        <f t="shared" si="192"/>
        <v>11.811219239608732</v>
      </c>
    </row>
    <row r="3149" spans="16:27" x14ac:dyDescent="0.2">
      <c r="P3149" s="4" t="str">
        <f>"ints-13"</f>
        <v>ints-13</v>
      </c>
      <c r="Q3149" s="4">
        <v>11.699580167109</v>
      </c>
      <c r="R3149" s="4">
        <v>12.2023458071912</v>
      </c>
      <c r="S3149" s="4">
        <v>12.135683052760999</v>
      </c>
      <c r="T3149" s="4">
        <f t="shared" si="191"/>
        <v>12.012536342353732</v>
      </c>
      <c r="W3149" s="4" t="str">
        <f>"lig-4"</f>
        <v>lig-4</v>
      </c>
      <c r="X3149" s="4">
        <v>12.0521783340961</v>
      </c>
      <c r="Y3149" s="4">
        <v>11.607886357563199</v>
      </c>
      <c r="Z3149" s="4">
        <v>11.7669689311381</v>
      </c>
      <c r="AA3149" s="4">
        <f t="shared" si="192"/>
        <v>11.809011207599134</v>
      </c>
    </row>
    <row r="3150" spans="16:27" x14ac:dyDescent="0.2">
      <c r="P3150" s="4" t="str">
        <f>"C06E1.9"</f>
        <v>C06E1.9</v>
      </c>
      <c r="Q3150" s="4">
        <v>12.3946433824715</v>
      </c>
      <c r="R3150" s="4">
        <v>11.9632015874893</v>
      </c>
      <c r="S3150" s="4">
        <v>11.678057900337601</v>
      </c>
      <c r="T3150" s="4">
        <f t="shared" si="191"/>
        <v>12.011967623432801</v>
      </c>
      <c r="W3150" s="4" t="str">
        <f>"fbxa-59"</f>
        <v>fbxa-59</v>
      </c>
      <c r="X3150" s="4">
        <v>11.5670237733065</v>
      </c>
      <c r="Y3150" s="4">
        <v>12.0473582412141</v>
      </c>
      <c r="Z3150" s="4">
        <v>11.8103601969281</v>
      </c>
      <c r="AA3150" s="4">
        <f t="shared" si="192"/>
        <v>11.808247403816234</v>
      </c>
    </row>
    <row r="3151" spans="16:27" x14ac:dyDescent="0.2">
      <c r="P3151" s="4" t="str">
        <f>"K07A12.1"</f>
        <v>K07A12.1</v>
      </c>
      <c r="Q3151" s="4">
        <v>11.4539874808472</v>
      </c>
      <c r="R3151" s="4">
        <v>12.4593339656599</v>
      </c>
      <c r="S3151" s="4">
        <v>12.110072089013601</v>
      </c>
      <c r="T3151" s="4">
        <f t="shared" si="191"/>
        <v>12.007797845173565</v>
      </c>
      <c r="W3151" s="4" t="str">
        <f>"ZK742.4"</f>
        <v>ZK742.4</v>
      </c>
      <c r="X3151" s="4">
        <v>11.4215381024202</v>
      </c>
      <c r="Y3151" s="4">
        <v>11.930164323274999</v>
      </c>
      <c r="Z3151" s="4">
        <v>12.0629478768511</v>
      </c>
      <c r="AA3151" s="4">
        <f t="shared" si="192"/>
        <v>11.8048834341821</v>
      </c>
    </row>
    <row r="3152" spans="16:27" x14ac:dyDescent="0.2">
      <c r="P3152" s="4" t="str">
        <f>"csn-5"</f>
        <v>csn-5</v>
      </c>
      <c r="Q3152" s="4">
        <v>11.706704024078901</v>
      </c>
      <c r="R3152" s="4">
        <v>12.217948296528601</v>
      </c>
      <c r="S3152" s="4">
        <v>12.0871406267905</v>
      </c>
      <c r="T3152" s="4">
        <f t="shared" si="191"/>
        <v>12.003930982466001</v>
      </c>
      <c r="W3152" s="4" t="str">
        <f>"lit-1"</f>
        <v>lit-1</v>
      </c>
      <c r="X3152" s="4">
        <v>11.516326010751801</v>
      </c>
      <c r="Y3152" s="4">
        <v>12.0088892386563</v>
      </c>
      <c r="Z3152" s="4">
        <v>11.886230329856099</v>
      </c>
      <c r="AA3152" s="4">
        <f t="shared" si="192"/>
        <v>11.803815193088065</v>
      </c>
    </row>
    <row r="3153" spans="16:27" x14ac:dyDescent="0.2">
      <c r="P3153" s="4" t="str">
        <f>"F54A3.5"</f>
        <v>F54A3.5</v>
      </c>
      <c r="Q3153" s="4">
        <v>11.9251364316817</v>
      </c>
      <c r="R3153" s="4">
        <v>12.268924284790801</v>
      </c>
      <c r="S3153" s="4">
        <v>11.8070562326351</v>
      </c>
      <c r="T3153" s="4">
        <f t="shared" si="191"/>
        <v>12.0003723163692</v>
      </c>
      <c r="W3153" s="4" t="str">
        <f>"asp-3"</f>
        <v>asp-3</v>
      </c>
      <c r="X3153" s="4">
        <v>11.533403735464899</v>
      </c>
      <c r="Y3153" s="4">
        <v>11.9700097706768</v>
      </c>
      <c r="Z3153" s="4">
        <v>11.895001251146301</v>
      </c>
      <c r="AA3153" s="4">
        <f t="shared" si="192"/>
        <v>11.799471585762666</v>
      </c>
    </row>
    <row r="3154" spans="16:27" x14ac:dyDescent="0.2">
      <c r="P3154" s="4" t="str">
        <f>"F21D5.5"</f>
        <v>F21D5.5</v>
      </c>
      <c r="Q3154" s="4">
        <v>11.483628013902999</v>
      </c>
      <c r="R3154" s="4">
        <v>12.568565139675099</v>
      </c>
      <c r="S3154" s="4">
        <v>11.944989624158399</v>
      </c>
      <c r="T3154" s="4">
        <f t="shared" si="191"/>
        <v>11.999060925912167</v>
      </c>
      <c r="W3154" s="4" t="str">
        <f>"cpt-5"</f>
        <v>cpt-5</v>
      </c>
      <c r="X3154" s="4">
        <v>11.152936499615199</v>
      </c>
      <c r="Y3154" s="4">
        <v>12.283762000095701</v>
      </c>
      <c r="Z3154" s="4">
        <v>11.8990760454738</v>
      </c>
      <c r="AA3154" s="4">
        <f t="shared" si="192"/>
        <v>11.778591515061565</v>
      </c>
    </row>
    <row r="3155" spans="16:27" x14ac:dyDescent="0.2">
      <c r="P3155" s="4" t="str">
        <f>"C34D4.4"</f>
        <v>C34D4.4</v>
      </c>
      <c r="Q3155" s="4">
        <v>11.918102398096201</v>
      </c>
      <c r="R3155" s="4">
        <v>12.209370329557499</v>
      </c>
      <c r="S3155" s="4">
        <v>11.868527452872399</v>
      </c>
      <c r="T3155" s="4">
        <f t="shared" si="191"/>
        <v>11.998666726842032</v>
      </c>
      <c r="W3155" s="4" t="str">
        <f>"appg-1"</f>
        <v>appg-1</v>
      </c>
      <c r="X3155" s="4">
        <v>11.418261463846401</v>
      </c>
      <c r="Y3155" s="4">
        <v>11.809991785558999</v>
      </c>
      <c r="Z3155" s="4">
        <v>12.0906612175104</v>
      </c>
      <c r="AA3155" s="4">
        <f t="shared" si="192"/>
        <v>11.772971488971933</v>
      </c>
    </row>
    <row r="3156" spans="16:27" x14ac:dyDescent="0.2">
      <c r="P3156" s="4" t="str">
        <f>"txl-1"</f>
        <v>txl-1</v>
      </c>
      <c r="Q3156" s="4">
        <v>11.5179624740036</v>
      </c>
      <c r="R3156" s="4">
        <v>12.2004222653737</v>
      </c>
      <c r="S3156" s="4">
        <v>12.2747180662706</v>
      </c>
      <c r="T3156" s="4">
        <f t="shared" si="191"/>
        <v>11.997700935215967</v>
      </c>
      <c r="W3156" s="4" t="str">
        <f>"pigs-1"</f>
        <v>pigs-1</v>
      </c>
      <c r="X3156" s="4">
        <v>12.124590430880501</v>
      </c>
      <c r="Y3156" s="4">
        <v>12.1217342849387</v>
      </c>
      <c r="Z3156" s="4">
        <v>11.0666531719113</v>
      </c>
      <c r="AA3156" s="4">
        <f t="shared" si="192"/>
        <v>11.7709926292435</v>
      </c>
    </row>
    <row r="3157" spans="16:27" x14ac:dyDescent="0.2">
      <c r="P3157" s="4" t="str">
        <f>"F52H2.6"</f>
        <v>F52H2.6</v>
      </c>
      <c r="Q3157" s="4">
        <v>11.7302540048937</v>
      </c>
      <c r="R3157" s="4">
        <v>12.1249803308009</v>
      </c>
      <c r="S3157" s="4">
        <v>12.116229922807401</v>
      </c>
      <c r="T3157" s="4">
        <f t="shared" si="191"/>
        <v>11.990488086167334</v>
      </c>
      <c r="W3157" s="4" t="str">
        <f>"rbg-1"</f>
        <v>rbg-1</v>
      </c>
      <c r="X3157" s="4">
        <v>11.0704393174034</v>
      </c>
      <c r="Y3157" s="4">
        <v>11.7280758076014</v>
      </c>
      <c r="Z3157" s="4">
        <v>12.504597042765999</v>
      </c>
      <c r="AA3157" s="4">
        <f t="shared" si="192"/>
        <v>11.7677040559236</v>
      </c>
    </row>
    <row r="3158" spans="16:27" x14ac:dyDescent="0.2">
      <c r="P3158" s="4" t="str">
        <f>"set-18"</f>
        <v>set-18</v>
      </c>
      <c r="Q3158" s="4">
        <v>12.2614323555715</v>
      </c>
      <c r="R3158" s="4">
        <v>12.5938851180036</v>
      </c>
      <c r="S3158" s="4">
        <v>11.111795072576999</v>
      </c>
      <c r="T3158" s="4">
        <f t="shared" si="191"/>
        <v>11.989037515384032</v>
      </c>
      <c r="W3158" s="4" t="str">
        <f>"hpo-35"</f>
        <v>hpo-35</v>
      </c>
      <c r="X3158" s="4">
        <v>11.6706472321096</v>
      </c>
      <c r="Y3158" s="4">
        <v>12.0458535782151</v>
      </c>
      <c r="Z3158" s="4">
        <v>11.569222183629799</v>
      </c>
      <c r="AA3158" s="4">
        <f t="shared" si="192"/>
        <v>11.761907664651501</v>
      </c>
    </row>
    <row r="3159" spans="16:27" x14ac:dyDescent="0.2">
      <c r="P3159" s="4" t="str">
        <f>"M176.4"</f>
        <v>M176.4</v>
      </c>
      <c r="Q3159" s="4">
        <v>11.465037163585301</v>
      </c>
      <c r="R3159" s="4">
        <v>12.213161753962799</v>
      </c>
      <c r="S3159" s="4">
        <v>12.279782914694399</v>
      </c>
      <c r="T3159" s="4">
        <f t="shared" si="191"/>
        <v>11.985993944080834</v>
      </c>
      <c r="W3159" s="4" t="str">
        <f>"Y106G6H.16"</f>
        <v>Y106G6H.16</v>
      </c>
      <c r="X3159" s="4">
        <v>11.5891885017781</v>
      </c>
      <c r="Y3159" s="4">
        <v>12.3651522379571</v>
      </c>
      <c r="Z3159" s="4">
        <v>11.2769319649799</v>
      </c>
      <c r="AA3159" s="4">
        <f t="shared" si="192"/>
        <v>11.743757568238367</v>
      </c>
    </row>
    <row r="3160" spans="16:27" x14ac:dyDescent="0.2">
      <c r="P3160" s="4" t="str">
        <f>"spn-4"</f>
        <v>spn-4</v>
      </c>
      <c r="Q3160" s="4">
        <v>11.451360338489801</v>
      </c>
      <c r="R3160" s="4">
        <v>11.947576916080999</v>
      </c>
      <c r="S3160" s="4">
        <v>12.5430084908245</v>
      </c>
      <c r="T3160" s="4">
        <f t="shared" si="191"/>
        <v>11.980648581798434</v>
      </c>
      <c r="W3160" s="4" t="str">
        <f>"rbm-28"</f>
        <v>rbm-28</v>
      </c>
      <c r="X3160" s="4">
        <v>11.9024100107615</v>
      </c>
      <c r="Y3160" s="4">
        <v>11.6281788160079</v>
      </c>
      <c r="Z3160" s="4">
        <v>11.674858225044799</v>
      </c>
      <c r="AA3160" s="4">
        <f t="shared" si="192"/>
        <v>11.735149017271398</v>
      </c>
    </row>
    <row r="3161" spans="16:27" x14ac:dyDescent="0.2">
      <c r="P3161" s="4" t="str">
        <f>"ZK354.2"</f>
        <v>ZK354.2</v>
      </c>
      <c r="Q3161" s="4">
        <v>11.850189838936901</v>
      </c>
      <c r="R3161" s="4">
        <v>12.3746126450558</v>
      </c>
      <c r="S3161" s="4">
        <v>11.7168746275955</v>
      </c>
      <c r="T3161" s="4">
        <f t="shared" si="191"/>
        <v>11.980559037196066</v>
      </c>
      <c r="W3161" s="4" t="str">
        <f>"glo-1"</f>
        <v>glo-1</v>
      </c>
      <c r="X3161" s="4">
        <v>12.045761500245</v>
      </c>
      <c r="Y3161" s="4">
        <v>11.8563965737081</v>
      </c>
      <c r="Z3161" s="4">
        <v>11.2997094044996</v>
      </c>
      <c r="AA3161" s="4">
        <f t="shared" si="192"/>
        <v>11.733955826150899</v>
      </c>
    </row>
    <row r="3162" spans="16:27" x14ac:dyDescent="0.2">
      <c r="P3162" s="4" t="str">
        <f>"vps-33.2"</f>
        <v>vps-33.2</v>
      </c>
      <c r="Q3162" s="4">
        <v>11.8634463313621</v>
      </c>
      <c r="R3162" s="4">
        <v>12.1470737133893</v>
      </c>
      <c r="S3162" s="4">
        <v>11.9287219196303</v>
      </c>
      <c r="T3162" s="4">
        <f t="shared" si="191"/>
        <v>11.979747321460566</v>
      </c>
      <c r="W3162" s="4" t="str">
        <f>"fat-4"</f>
        <v>fat-4</v>
      </c>
      <c r="X3162" s="4">
        <v>11.178726122364001</v>
      </c>
      <c r="Y3162" s="4">
        <v>12.177764345959501</v>
      </c>
      <c r="Z3162" s="4">
        <v>11.832782310489799</v>
      </c>
      <c r="AA3162" s="4">
        <f t="shared" si="192"/>
        <v>11.729757592937766</v>
      </c>
    </row>
    <row r="3163" spans="16:27" x14ac:dyDescent="0.2">
      <c r="P3163" s="4" t="str">
        <f>"C16A11.2"</f>
        <v>C16A11.2</v>
      </c>
      <c r="Q3163" s="4">
        <v>11.738186663089101</v>
      </c>
      <c r="R3163" s="4">
        <v>12.5149276642346</v>
      </c>
      <c r="S3163" s="4">
        <v>11.6842474712906</v>
      </c>
      <c r="T3163" s="4">
        <f t="shared" si="191"/>
        <v>11.979120599538101</v>
      </c>
      <c r="W3163" s="4" t="str">
        <f>"C16A11.2"</f>
        <v>C16A11.2</v>
      </c>
      <c r="X3163" s="4">
        <v>12.1101741744611</v>
      </c>
      <c r="Y3163" s="4">
        <v>11.5432393489915</v>
      </c>
      <c r="Z3163" s="4">
        <v>11.525013525146701</v>
      </c>
      <c r="AA3163" s="4">
        <f t="shared" si="192"/>
        <v>11.726142349533101</v>
      </c>
    </row>
    <row r="3164" spans="16:27" x14ac:dyDescent="0.2">
      <c r="P3164" s="4" t="str">
        <f>"rbm-12"</f>
        <v>rbm-12</v>
      </c>
      <c r="Q3164" s="4">
        <v>11.5452144814344</v>
      </c>
      <c r="R3164" s="4">
        <v>12.3743301449003</v>
      </c>
      <c r="S3164" s="4">
        <v>11.996664600359599</v>
      </c>
      <c r="T3164" s="4">
        <f t="shared" si="191"/>
        <v>11.972069742231433</v>
      </c>
      <c r="W3164" s="4" t="str">
        <f>"R05G6.4"</f>
        <v>R05G6.4</v>
      </c>
      <c r="X3164" s="4">
        <v>11.593384976264201</v>
      </c>
      <c r="Y3164" s="4">
        <v>11.6458211155815</v>
      </c>
      <c r="Z3164" s="4">
        <v>11.9274569633799</v>
      </c>
      <c r="AA3164" s="4">
        <f t="shared" si="192"/>
        <v>11.722221018408533</v>
      </c>
    </row>
    <row r="3165" spans="16:27" x14ac:dyDescent="0.2">
      <c r="P3165" s="4" t="str">
        <f>"C35D10.12"</f>
        <v>C35D10.12</v>
      </c>
      <c r="Q3165" s="4">
        <v>12.1273206951938</v>
      </c>
      <c r="R3165" s="4">
        <v>11.985628304886299</v>
      </c>
      <c r="S3165" s="4">
        <v>11.791795977086</v>
      </c>
      <c r="T3165" s="4">
        <f t="shared" si="191"/>
        <v>11.968248325722035</v>
      </c>
      <c r="W3165" s="4" t="str">
        <f>"nhr-47"</f>
        <v>nhr-47</v>
      </c>
      <c r="X3165" s="4">
        <v>11.3305849423302</v>
      </c>
      <c r="Y3165" s="4">
        <v>12.1726932728601</v>
      </c>
      <c r="Z3165" s="4">
        <v>11.6397056541095</v>
      </c>
      <c r="AA3165" s="4">
        <f t="shared" si="192"/>
        <v>11.714327956433266</v>
      </c>
    </row>
    <row r="3166" spans="16:27" x14ac:dyDescent="0.2">
      <c r="P3166" s="4" t="str">
        <f>"asp-3"</f>
        <v>asp-3</v>
      </c>
      <c r="Q3166" s="4">
        <v>11.3681156411077</v>
      </c>
      <c r="R3166" s="4">
        <v>12.1627943914295</v>
      </c>
      <c r="S3166" s="4">
        <v>12.3707442650242</v>
      </c>
      <c r="T3166" s="4">
        <f t="shared" si="191"/>
        <v>11.967218099187134</v>
      </c>
      <c r="W3166" s="4" t="str">
        <f>"C31H5.6"</f>
        <v>C31H5.6</v>
      </c>
      <c r="X3166" s="4">
        <v>11.591847853384101</v>
      </c>
      <c r="Y3166" s="4">
        <v>11.040036341337</v>
      </c>
      <c r="Z3166" s="4">
        <v>12.509133288863399</v>
      </c>
      <c r="AA3166" s="4">
        <f t="shared" si="192"/>
        <v>11.713672494528168</v>
      </c>
    </row>
    <row r="3167" spans="16:27" x14ac:dyDescent="0.2">
      <c r="P3167" s="4" t="str">
        <f>"mtss-1"</f>
        <v>mtss-1</v>
      </c>
      <c r="Q3167" s="4">
        <v>11.8806480685064</v>
      </c>
      <c r="R3167" s="4">
        <v>12.1773005028341</v>
      </c>
      <c r="S3167" s="4">
        <v>11.832697034625401</v>
      </c>
      <c r="T3167" s="4">
        <f t="shared" si="191"/>
        <v>11.963548535321967</v>
      </c>
      <c r="W3167" s="4" t="str">
        <f>"W04D2.4"</f>
        <v>W04D2.4</v>
      </c>
      <c r="X3167" s="4">
        <v>10.9131255745377</v>
      </c>
      <c r="Y3167" s="4">
        <v>12.0973575457714</v>
      </c>
      <c r="Z3167" s="4">
        <v>12.097570704452</v>
      </c>
      <c r="AA3167" s="4">
        <f t="shared" si="192"/>
        <v>11.702684608253699</v>
      </c>
    </row>
    <row r="3168" spans="16:27" x14ac:dyDescent="0.2">
      <c r="P3168" s="4" t="str">
        <f>"cec-4"</f>
        <v>cec-4</v>
      </c>
      <c r="Q3168" s="4">
        <v>11.8658564558227</v>
      </c>
      <c r="R3168" s="4">
        <v>12.1834437645535</v>
      </c>
      <c r="S3168" s="4">
        <v>11.8378220611787</v>
      </c>
      <c r="T3168" s="4">
        <f t="shared" si="191"/>
        <v>11.962374093851635</v>
      </c>
      <c r="W3168" s="4" t="str">
        <f>"tbc-13"</f>
        <v>tbc-13</v>
      </c>
      <c r="X3168" s="4">
        <v>11.629328472398599</v>
      </c>
      <c r="Y3168" s="4">
        <v>11.986514976036499</v>
      </c>
      <c r="Z3168" s="4">
        <v>11.486763981246099</v>
      </c>
      <c r="AA3168" s="4">
        <f t="shared" si="192"/>
        <v>11.700869143227067</v>
      </c>
    </row>
    <row r="3169" spans="16:27" x14ac:dyDescent="0.2">
      <c r="P3169" s="4" t="str">
        <f>"D2005.4"</f>
        <v>D2005.4</v>
      </c>
      <c r="Q3169" s="4">
        <v>11.215020484481901</v>
      </c>
      <c r="R3169" s="4">
        <v>12.419521515851301</v>
      </c>
      <c r="S3169" s="4">
        <v>12.2437436079321</v>
      </c>
      <c r="T3169" s="4">
        <f t="shared" si="191"/>
        <v>11.959428536088433</v>
      </c>
      <c r="W3169" s="4" t="str">
        <f>"gpaa-1"</f>
        <v>gpaa-1</v>
      </c>
      <c r="X3169" s="4">
        <v>12.2431090041273</v>
      </c>
      <c r="Y3169" s="4">
        <v>11.849744705273601</v>
      </c>
      <c r="Z3169" s="4">
        <v>10.9794915627241</v>
      </c>
      <c r="AA3169" s="4">
        <f t="shared" si="192"/>
        <v>11.690781757374999</v>
      </c>
    </row>
    <row r="3170" spans="16:27" x14ac:dyDescent="0.2">
      <c r="P3170" s="4" t="str">
        <f>"sup-36"</f>
        <v>sup-36</v>
      </c>
      <c r="Q3170" s="4">
        <v>12.027531284193801</v>
      </c>
      <c r="R3170" s="4">
        <v>12.203424470034101</v>
      </c>
      <c r="S3170" s="4">
        <v>11.631408775943701</v>
      </c>
      <c r="T3170" s="4">
        <f t="shared" si="191"/>
        <v>11.954121510057201</v>
      </c>
      <c r="W3170" s="4" t="str">
        <f>"ttc-17"</f>
        <v>ttc-17</v>
      </c>
      <c r="X3170" s="4">
        <v>11.291654097273501</v>
      </c>
      <c r="Y3170" s="4">
        <v>11.729128191000299</v>
      </c>
      <c r="Z3170" s="4">
        <v>12.0432414965428</v>
      </c>
      <c r="AA3170" s="4">
        <f t="shared" si="192"/>
        <v>11.688007928272199</v>
      </c>
    </row>
    <row r="3171" spans="16:27" x14ac:dyDescent="0.2">
      <c r="P3171" s="4" t="str">
        <f>"ung-1"</f>
        <v>ung-1</v>
      </c>
      <c r="Q3171" s="4">
        <v>12.048953643274499</v>
      </c>
      <c r="R3171" s="4">
        <v>12.147237534459601</v>
      </c>
      <c r="S3171" s="4">
        <v>11.6552430854119</v>
      </c>
      <c r="T3171" s="4">
        <f t="shared" si="191"/>
        <v>11.950478087715334</v>
      </c>
      <c r="W3171" s="4" t="str">
        <f>"mig-6"</f>
        <v>mig-6</v>
      </c>
      <c r="X3171" s="4">
        <v>11.9234236428331</v>
      </c>
      <c r="Y3171" s="4">
        <v>11.4878591259773</v>
      </c>
      <c r="Z3171" s="4">
        <v>11.650604831053201</v>
      </c>
      <c r="AA3171" s="4">
        <f t="shared" si="192"/>
        <v>11.6872958666212</v>
      </c>
    </row>
    <row r="3172" spans="16:27" x14ac:dyDescent="0.2">
      <c r="P3172" s="4" t="str">
        <f>"gyf-1"</f>
        <v>gyf-1</v>
      </c>
      <c r="Q3172" s="4">
        <v>11.883984329209801</v>
      </c>
      <c r="R3172" s="4">
        <v>12.1519556510664</v>
      </c>
      <c r="S3172" s="4">
        <v>11.814723094350301</v>
      </c>
      <c r="T3172" s="4">
        <f t="shared" si="191"/>
        <v>11.950221024875502</v>
      </c>
      <c r="W3172" s="4" t="str">
        <f>"spp-8"</f>
        <v>spp-8</v>
      </c>
      <c r="X3172" s="4">
        <v>10.973039678096701</v>
      </c>
      <c r="Y3172" s="4">
        <v>11.8156507332438</v>
      </c>
      <c r="Z3172" s="4">
        <v>12.272273194455</v>
      </c>
      <c r="AA3172" s="4">
        <f t="shared" si="192"/>
        <v>11.6869878685985</v>
      </c>
    </row>
    <row r="3173" spans="16:27" x14ac:dyDescent="0.2">
      <c r="P3173" s="4" t="str">
        <f>"cdc-5l"</f>
        <v>cdc-5l</v>
      </c>
      <c r="Q3173" s="4">
        <v>11.783662545054399</v>
      </c>
      <c r="R3173" s="4">
        <v>12.1029690498861</v>
      </c>
      <c r="S3173" s="4">
        <v>11.9616857334739</v>
      </c>
      <c r="T3173" s="4">
        <f t="shared" si="191"/>
        <v>11.949439109471465</v>
      </c>
      <c r="W3173" s="4" t="str">
        <f>"R148.3"</f>
        <v>R148.3</v>
      </c>
      <c r="X3173" s="4">
        <v>12.025342965829299</v>
      </c>
      <c r="Y3173" s="4">
        <v>11.3357960916069</v>
      </c>
      <c r="Z3173" s="4">
        <v>11.693644986527101</v>
      </c>
      <c r="AA3173" s="4">
        <f t="shared" si="192"/>
        <v>11.684928014654432</v>
      </c>
    </row>
    <row r="3174" spans="16:27" x14ac:dyDescent="0.2">
      <c r="P3174" s="4" t="str">
        <f>"rmd-1"</f>
        <v>rmd-1</v>
      </c>
      <c r="Q3174" s="4">
        <v>11.4731927777579</v>
      </c>
      <c r="R3174" s="4">
        <v>12.237444971654099</v>
      </c>
      <c r="S3174" s="4">
        <v>12.128987171003301</v>
      </c>
      <c r="T3174" s="4">
        <f t="shared" si="191"/>
        <v>11.946541640138435</v>
      </c>
      <c r="W3174" s="4" t="str">
        <f>"map-2"</f>
        <v>map-2</v>
      </c>
      <c r="X3174" s="4">
        <v>11.2952307569124</v>
      </c>
      <c r="Y3174" s="4">
        <v>12.0364472809531</v>
      </c>
      <c r="Z3174" s="4">
        <v>11.7166951260059</v>
      </c>
      <c r="AA3174" s="4">
        <f t="shared" si="192"/>
        <v>11.682791054623801</v>
      </c>
    </row>
    <row r="3175" spans="16:27" x14ac:dyDescent="0.2">
      <c r="P3175" s="4" t="str">
        <f>"ari-1.1"</f>
        <v>ari-1.1</v>
      </c>
      <c r="Q3175" s="4">
        <v>12.036288898917901</v>
      </c>
      <c r="R3175" s="4">
        <v>11.972968992661899</v>
      </c>
      <c r="S3175" s="4">
        <v>11.820271766609901</v>
      </c>
      <c r="T3175" s="4">
        <f t="shared" si="191"/>
        <v>11.9431765527299</v>
      </c>
      <c r="W3175" s="4" t="str">
        <f>"comt-3"</f>
        <v>comt-3</v>
      </c>
      <c r="X3175" s="4">
        <v>11.6546499256948</v>
      </c>
      <c r="Y3175" s="4">
        <v>11.453878704139401</v>
      </c>
      <c r="Z3175" s="4">
        <v>11.9187836113862</v>
      </c>
      <c r="AA3175" s="4">
        <f t="shared" si="192"/>
        <v>11.675770747073466</v>
      </c>
    </row>
    <row r="3176" spans="16:27" x14ac:dyDescent="0.2">
      <c r="P3176" s="4" t="str">
        <f>"nol-14"</f>
        <v>nol-14</v>
      </c>
      <c r="Q3176" s="4">
        <v>11.994700036636599</v>
      </c>
      <c r="R3176" s="4">
        <v>12.330683672977001</v>
      </c>
      <c r="S3176" s="4">
        <v>11.499704391604</v>
      </c>
      <c r="T3176" s="4">
        <f t="shared" si="191"/>
        <v>11.9416960337392</v>
      </c>
      <c r="W3176" s="4" t="str">
        <f>"sir-2.1"</f>
        <v>sir-2.1</v>
      </c>
      <c r="X3176" s="4">
        <v>11.186693050701599</v>
      </c>
      <c r="Y3176" s="4">
        <v>11.9349968310561</v>
      </c>
      <c r="Z3176" s="4">
        <v>11.8845213289302</v>
      </c>
      <c r="AA3176" s="4">
        <f t="shared" si="192"/>
        <v>11.6687370702293</v>
      </c>
    </row>
    <row r="3177" spans="16:27" x14ac:dyDescent="0.2">
      <c r="P3177" s="4" t="str">
        <f>"trpp-8"</f>
        <v>trpp-8</v>
      </c>
      <c r="Q3177" s="4">
        <v>11.807146377574799</v>
      </c>
      <c r="R3177" s="4">
        <v>12.153041611081299</v>
      </c>
      <c r="S3177" s="4">
        <v>11.8618001221129</v>
      </c>
      <c r="T3177" s="4">
        <f t="shared" si="191"/>
        <v>11.940662703589666</v>
      </c>
      <c r="W3177" s="4" t="str">
        <f>"pas-6"</f>
        <v>pas-6</v>
      </c>
      <c r="X3177" s="4">
        <v>11.405468803998501</v>
      </c>
      <c r="Y3177" s="4">
        <v>12.123354898893099</v>
      </c>
      <c r="Z3177" s="4">
        <v>11.4437986267894</v>
      </c>
      <c r="AA3177" s="4">
        <f t="shared" si="192"/>
        <v>11.657540776560333</v>
      </c>
    </row>
    <row r="3178" spans="16:27" x14ac:dyDescent="0.2">
      <c r="P3178" s="4" t="str">
        <f>"trpp-1"</f>
        <v>trpp-1</v>
      </c>
      <c r="Q3178" s="4">
        <v>11.851451011426301</v>
      </c>
      <c r="R3178" s="4">
        <v>12.0357828501224</v>
      </c>
      <c r="S3178" s="4">
        <v>11.9227569863288</v>
      </c>
      <c r="T3178" s="4">
        <f t="shared" si="191"/>
        <v>11.936663615959167</v>
      </c>
      <c r="W3178" s="4" t="str">
        <f>"figo-1"</f>
        <v>figo-1</v>
      </c>
      <c r="X3178" s="4">
        <v>11.690286659916</v>
      </c>
      <c r="Y3178" s="4">
        <v>12.065088246074099</v>
      </c>
      <c r="Z3178" s="4">
        <v>11.1867187463998</v>
      </c>
      <c r="AA3178" s="4">
        <f t="shared" si="192"/>
        <v>11.647364550796633</v>
      </c>
    </row>
    <row r="3179" spans="16:27" x14ac:dyDescent="0.2">
      <c r="P3179" s="4" t="str">
        <f>"nasp-2"</f>
        <v>nasp-2</v>
      </c>
      <c r="Q3179" s="4">
        <v>11.430884599685699</v>
      </c>
      <c r="R3179" s="4">
        <v>12.1200015658609</v>
      </c>
      <c r="S3179" s="4">
        <v>12.249906757328301</v>
      </c>
      <c r="T3179" s="4">
        <f t="shared" si="191"/>
        <v>11.933597640958302</v>
      </c>
      <c r="W3179" s="4" t="str">
        <f>"citk-2"</f>
        <v>citk-2</v>
      </c>
      <c r="X3179" s="4">
        <v>11.2953389748736</v>
      </c>
      <c r="Y3179" s="4">
        <v>11.4582849201852</v>
      </c>
      <c r="Z3179" s="4">
        <v>12.1726538532421</v>
      </c>
      <c r="AA3179" s="4">
        <f t="shared" si="192"/>
        <v>11.642092582766969</v>
      </c>
    </row>
    <row r="3180" spans="16:27" x14ac:dyDescent="0.2">
      <c r="P3180" s="4" t="str">
        <f>"Y82E9BR.19"</f>
        <v>Y82E9BR.19</v>
      </c>
      <c r="Q3180" s="4">
        <v>11.7110161863325</v>
      </c>
      <c r="R3180" s="4">
        <v>11.896336270004801</v>
      </c>
      <c r="S3180" s="4">
        <v>12.1679919832425</v>
      </c>
      <c r="T3180" s="4">
        <f t="shared" si="191"/>
        <v>11.925114813193268</v>
      </c>
      <c r="W3180" s="4" t="str">
        <f>"clik-1"</f>
        <v>clik-1</v>
      </c>
      <c r="X3180" s="4">
        <v>12.4867830679195</v>
      </c>
      <c r="Y3180" s="4">
        <v>10.2482688164145</v>
      </c>
      <c r="Z3180" s="4">
        <v>12.182340580712401</v>
      </c>
      <c r="AA3180" s="4">
        <f t="shared" si="192"/>
        <v>11.639130821682132</v>
      </c>
    </row>
    <row r="3181" spans="16:27" x14ac:dyDescent="0.2">
      <c r="P3181" s="4" t="str">
        <f>"F27D4.4"</f>
        <v>F27D4.4</v>
      </c>
      <c r="Q3181" s="4">
        <v>11.685347556461</v>
      </c>
      <c r="R3181" s="4">
        <v>11.9308663761584</v>
      </c>
      <c r="S3181" s="4">
        <v>12.1192309788165</v>
      </c>
      <c r="T3181" s="4">
        <f t="shared" si="191"/>
        <v>11.911814970478636</v>
      </c>
      <c r="W3181" s="4" t="str">
        <f>"mlt-8"</f>
        <v>mlt-8</v>
      </c>
      <c r="X3181" s="4">
        <v>11.6063450247328</v>
      </c>
      <c r="Y3181" s="4">
        <v>11.478721797527101</v>
      </c>
      <c r="Z3181" s="4">
        <v>11.782168392388099</v>
      </c>
      <c r="AA3181" s="4">
        <f t="shared" si="192"/>
        <v>11.622411738216</v>
      </c>
    </row>
    <row r="3182" spans="16:27" x14ac:dyDescent="0.2">
      <c r="P3182" s="4" t="str">
        <f>"nhr-62"</f>
        <v>nhr-62</v>
      </c>
      <c r="Q3182" s="4">
        <v>12.1344296125959</v>
      </c>
      <c r="R3182" s="4">
        <v>11.735023065675399</v>
      </c>
      <c r="S3182" s="4">
        <v>11.864951514500699</v>
      </c>
      <c r="T3182" s="4">
        <f t="shared" si="191"/>
        <v>11.911468064257335</v>
      </c>
      <c r="W3182" s="4" t="str">
        <f>"crn-3"</f>
        <v>crn-3</v>
      </c>
      <c r="X3182" s="4">
        <v>11.985344588678499</v>
      </c>
      <c r="Y3182" s="4">
        <v>12.124832061017999</v>
      </c>
      <c r="Z3182" s="4">
        <v>10.6946048610949</v>
      </c>
      <c r="AA3182" s="4">
        <f t="shared" si="192"/>
        <v>11.601593836930467</v>
      </c>
    </row>
    <row r="3183" spans="16:27" x14ac:dyDescent="0.2">
      <c r="P3183" s="4" t="str">
        <f>"nhr-134"</f>
        <v>nhr-134</v>
      </c>
      <c r="Q3183" s="4">
        <v>11.9718334079886</v>
      </c>
      <c r="R3183" s="4">
        <v>12.2241963184174</v>
      </c>
      <c r="S3183" s="4">
        <v>11.534394071509499</v>
      </c>
      <c r="T3183" s="4">
        <f t="shared" si="191"/>
        <v>11.910141265971832</v>
      </c>
      <c r="W3183" s="4" t="str">
        <f>"saeg-2"</f>
        <v>saeg-2</v>
      </c>
      <c r="X3183" s="4">
        <v>11.4757169218285</v>
      </c>
      <c r="Y3183" s="4">
        <v>12.5221071651409</v>
      </c>
      <c r="Z3183" s="4">
        <v>10.804149318409101</v>
      </c>
      <c r="AA3183" s="4">
        <f t="shared" si="192"/>
        <v>11.600657801792835</v>
      </c>
    </row>
    <row r="3184" spans="16:27" x14ac:dyDescent="0.2">
      <c r="P3184" s="4" t="str">
        <f>"abts-2"</f>
        <v>abts-2</v>
      </c>
      <c r="Q3184" s="4">
        <v>11.303726273454499</v>
      </c>
      <c r="R3184" s="4">
        <v>12.3290867466369</v>
      </c>
      <c r="S3184" s="4">
        <v>12.090559474671901</v>
      </c>
      <c r="T3184" s="4">
        <f t="shared" si="191"/>
        <v>11.907790831587766</v>
      </c>
      <c r="W3184" s="4" t="str">
        <f>"C37H5.13"</f>
        <v>C37H5.13</v>
      </c>
      <c r="X3184" s="4">
        <v>12.1399442857221</v>
      </c>
      <c r="Y3184" s="4">
        <v>11.9487218983537</v>
      </c>
      <c r="Z3184" s="4">
        <v>10.7106739495543</v>
      </c>
      <c r="AA3184" s="4">
        <f t="shared" si="192"/>
        <v>11.599780044543365</v>
      </c>
    </row>
    <row r="3185" spans="16:27" x14ac:dyDescent="0.2">
      <c r="P3185" s="4" t="str">
        <f>"clik-1"</f>
        <v>clik-1</v>
      </c>
      <c r="Q3185" s="4">
        <v>11.649552507944501</v>
      </c>
      <c r="R3185" s="4">
        <v>12.2169300360114</v>
      </c>
      <c r="S3185" s="4">
        <v>11.8376300800889</v>
      </c>
      <c r="T3185" s="4">
        <f t="shared" si="191"/>
        <v>11.901370874681598</v>
      </c>
      <c r="W3185" s="4" t="str">
        <f>"ints-13"</f>
        <v>ints-13</v>
      </c>
      <c r="X3185" s="4">
        <v>11.5771554914677</v>
      </c>
      <c r="Y3185" s="4">
        <v>11.5535728961591</v>
      </c>
      <c r="Z3185" s="4">
        <v>11.6233577189165</v>
      </c>
      <c r="AA3185" s="4">
        <f t="shared" si="192"/>
        <v>11.584695368847767</v>
      </c>
    </row>
    <row r="3186" spans="16:27" x14ac:dyDescent="0.2">
      <c r="P3186" s="4" t="str">
        <f>"npp-1"</f>
        <v>npp-1</v>
      </c>
      <c r="Q3186" s="4">
        <v>11.674425150055299</v>
      </c>
      <c r="R3186" s="4">
        <v>12.0697133017391</v>
      </c>
      <c r="S3186" s="4">
        <v>11.9540783611106</v>
      </c>
      <c r="T3186" s="4">
        <f t="shared" si="191"/>
        <v>11.899405604301668</v>
      </c>
      <c r="W3186" s="4" t="str">
        <f>"clec-91"</f>
        <v>clec-91</v>
      </c>
      <c r="X3186" s="4">
        <v>11.3664149982268</v>
      </c>
      <c r="Y3186" s="4">
        <v>11.5185357945126</v>
      </c>
      <c r="Z3186" s="4">
        <v>11.832280418923499</v>
      </c>
      <c r="AA3186" s="4">
        <f t="shared" si="192"/>
        <v>11.572410403887632</v>
      </c>
    </row>
    <row r="3187" spans="16:27" x14ac:dyDescent="0.2">
      <c r="P3187" s="4" t="str">
        <f>"aak-1"</f>
        <v>aak-1</v>
      </c>
      <c r="Q3187" s="4">
        <v>11.650944319225299</v>
      </c>
      <c r="R3187" s="4">
        <v>12.0551620286905</v>
      </c>
      <c r="S3187" s="4">
        <v>11.9890724620907</v>
      </c>
      <c r="T3187" s="4">
        <f t="shared" si="191"/>
        <v>11.898392936668833</v>
      </c>
      <c r="W3187" s="4" t="str">
        <f>"oac-59"</f>
        <v>oac-59</v>
      </c>
      <c r="X3187" s="4">
        <v>11.9025021002083</v>
      </c>
      <c r="Y3187" s="4">
        <v>11.537351028295999</v>
      </c>
      <c r="Z3187" s="4">
        <v>11.270655307967401</v>
      </c>
      <c r="AA3187" s="4">
        <f t="shared" si="192"/>
        <v>11.5701694788239</v>
      </c>
    </row>
    <row r="3188" spans="16:27" x14ac:dyDescent="0.2">
      <c r="P3188" s="4" t="str">
        <f>"daf-4"</f>
        <v>daf-4</v>
      </c>
      <c r="Q3188" s="4">
        <v>11.8740871953748</v>
      </c>
      <c r="R3188" s="4">
        <v>11.9835185938121</v>
      </c>
      <c r="S3188" s="4">
        <v>11.821317933858399</v>
      </c>
      <c r="T3188" s="4">
        <f t="shared" si="191"/>
        <v>11.892974574348434</v>
      </c>
      <c r="W3188" s="4" t="str">
        <f>"ubxn-4"</f>
        <v>ubxn-4</v>
      </c>
      <c r="X3188" s="4">
        <v>11.575780661556401</v>
      </c>
      <c r="Y3188" s="4">
        <v>11.964732540491299</v>
      </c>
      <c r="Z3188" s="4">
        <v>11.169777719353499</v>
      </c>
      <c r="AA3188" s="4">
        <f t="shared" si="192"/>
        <v>11.570096973800398</v>
      </c>
    </row>
    <row r="3189" spans="16:27" x14ac:dyDescent="0.2">
      <c r="P3189" s="4" t="str">
        <f>"kin-3"</f>
        <v>kin-3</v>
      </c>
      <c r="Q3189" s="4">
        <v>11.7866621527712</v>
      </c>
      <c r="R3189" s="4">
        <v>11.9531066985023</v>
      </c>
      <c r="S3189" s="4">
        <v>11.931498569276499</v>
      </c>
      <c r="T3189" s="4">
        <f t="shared" si="191"/>
        <v>11.890422473516665</v>
      </c>
      <c r="W3189" s="4" t="str">
        <f>"Y116A8C.10"</f>
        <v>Y116A8C.10</v>
      </c>
      <c r="X3189" s="4">
        <v>11.1386992823551</v>
      </c>
      <c r="Y3189" s="4">
        <v>11.7490981923231</v>
      </c>
      <c r="Z3189" s="4">
        <v>11.816051834982501</v>
      </c>
      <c r="AA3189" s="4">
        <f t="shared" si="192"/>
        <v>11.567949769886901</v>
      </c>
    </row>
    <row r="3190" spans="16:27" x14ac:dyDescent="0.2">
      <c r="P3190" s="4" t="str">
        <f>"col-164"</f>
        <v>col-164</v>
      </c>
      <c r="Q3190" s="4">
        <v>11.868697683218</v>
      </c>
      <c r="R3190" s="4">
        <v>11.7537094354303</v>
      </c>
      <c r="S3190" s="4">
        <v>12.0417129155619</v>
      </c>
      <c r="T3190" s="4">
        <f t="shared" si="191"/>
        <v>11.888040011403399</v>
      </c>
      <c r="W3190" s="4" t="str">
        <f>"nud-1"</f>
        <v>nud-1</v>
      </c>
      <c r="X3190" s="4">
        <v>11.855473542201899</v>
      </c>
      <c r="Y3190" s="4">
        <v>12.029083649266299</v>
      </c>
      <c r="Z3190" s="4">
        <v>10.807426631137201</v>
      </c>
      <c r="AA3190" s="4">
        <f t="shared" si="192"/>
        <v>11.563994607535131</v>
      </c>
    </row>
    <row r="3191" spans="16:27" x14ac:dyDescent="0.2">
      <c r="P3191" s="4" t="str">
        <f>"sqst-2"</f>
        <v>sqst-2</v>
      </c>
      <c r="Q3191" s="4">
        <v>11.474184024929899</v>
      </c>
      <c r="R3191" s="4">
        <v>11.9733096930921</v>
      </c>
      <c r="S3191" s="4">
        <v>12.210800937590299</v>
      </c>
      <c r="T3191" s="4">
        <f t="shared" si="191"/>
        <v>11.886098218537432</v>
      </c>
      <c r="W3191" s="4" t="str">
        <f>"smk-1"</f>
        <v>smk-1</v>
      </c>
      <c r="X3191" s="4">
        <v>10.658159726153899</v>
      </c>
      <c r="Y3191" s="4">
        <v>11.9704572494778</v>
      </c>
      <c r="Z3191" s="4">
        <v>12.0236800927664</v>
      </c>
      <c r="AA3191" s="4">
        <f t="shared" si="192"/>
        <v>11.550765689466033</v>
      </c>
    </row>
    <row r="3192" spans="16:27" x14ac:dyDescent="0.2">
      <c r="P3192" s="4" t="str">
        <f>"smk-1"</f>
        <v>smk-1</v>
      </c>
      <c r="Q3192" s="4">
        <v>10.8956041895713</v>
      </c>
      <c r="R3192" s="4">
        <v>12.418907885572899</v>
      </c>
      <c r="S3192" s="4">
        <v>12.3225254987148</v>
      </c>
      <c r="T3192" s="4">
        <f t="shared" si="191"/>
        <v>11.879012524619668</v>
      </c>
      <c r="W3192" s="4" t="str">
        <f>"pole-2"</f>
        <v>pole-2</v>
      </c>
      <c r="X3192" s="4">
        <v>11.7506802369327</v>
      </c>
      <c r="Y3192" s="4">
        <v>11.9680532094283</v>
      </c>
      <c r="Z3192" s="4">
        <v>10.9298681962487</v>
      </c>
      <c r="AA3192" s="4">
        <f t="shared" si="192"/>
        <v>11.5495338808699</v>
      </c>
    </row>
    <row r="3193" spans="16:27" x14ac:dyDescent="0.2">
      <c r="P3193" s="4" t="str">
        <f>"cri-3"</f>
        <v>cri-3</v>
      </c>
      <c r="Q3193" s="4">
        <v>11.9160572459622</v>
      </c>
      <c r="R3193" s="4">
        <v>12.188010837356</v>
      </c>
      <c r="S3193" s="4">
        <v>11.5203257418458</v>
      </c>
      <c r="T3193" s="4">
        <f t="shared" si="191"/>
        <v>11.874797941721333</v>
      </c>
      <c r="W3193" s="4" t="str">
        <f>"rpap-2"</f>
        <v>rpap-2</v>
      </c>
      <c r="X3193" s="4">
        <v>11.706242084961101</v>
      </c>
      <c r="Y3193" s="4">
        <v>11.991691062064101</v>
      </c>
      <c r="Z3193" s="4">
        <v>10.9382061483384</v>
      </c>
      <c r="AA3193" s="4">
        <f t="shared" si="192"/>
        <v>11.545379765121202</v>
      </c>
    </row>
    <row r="3194" spans="16:27" x14ac:dyDescent="0.2">
      <c r="P3194" s="4" t="str">
        <f>"BE0003N10.1"</f>
        <v>BE0003N10.1</v>
      </c>
      <c r="Q3194" s="4">
        <v>11.8746811060625</v>
      </c>
      <c r="R3194" s="4">
        <v>11.978274635795</v>
      </c>
      <c r="S3194" s="4">
        <v>11.7594940635977</v>
      </c>
      <c r="T3194" s="4">
        <f t="shared" si="191"/>
        <v>11.870816601818399</v>
      </c>
      <c r="W3194" s="4" t="str">
        <f>"orc-3"</f>
        <v>orc-3</v>
      </c>
      <c r="X3194" s="4">
        <v>12.0971852939782</v>
      </c>
      <c r="Y3194" s="4">
        <v>10.965116991326999</v>
      </c>
      <c r="Z3194" s="4">
        <v>11.570717434311099</v>
      </c>
      <c r="AA3194" s="4">
        <f t="shared" si="192"/>
        <v>11.544339906538767</v>
      </c>
    </row>
    <row r="3195" spans="16:27" x14ac:dyDescent="0.2">
      <c r="P3195" s="4" t="str">
        <f>"pole-1"</f>
        <v>pole-1</v>
      </c>
      <c r="Q3195" s="4">
        <v>11.315959878491601</v>
      </c>
      <c r="R3195" s="4">
        <v>12.449249210071301</v>
      </c>
      <c r="S3195" s="4">
        <v>11.832902972507201</v>
      </c>
      <c r="T3195" s="4">
        <f t="shared" si="191"/>
        <v>11.866037353690034</v>
      </c>
      <c r="W3195" s="4" t="str">
        <f>"Y57A10A.31"</f>
        <v>Y57A10A.31</v>
      </c>
      <c r="X3195" s="4">
        <v>12.3668764462561</v>
      </c>
      <c r="Y3195" s="4">
        <v>10.5420667581008</v>
      </c>
      <c r="Z3195" s="4">
        <v>11.699054307395199</v>
      </c>
      <c r="AA3195" s="4">
        <f t="shared" si="192"/>
        <v>11.535999170584034</v>
      </c>
    </row>
    <row r="3196" spans="16:27" x14ac:dyDescent="0.2">
      <c r="P3196" s="4" t="str">
        <f>"smg-8"</f>
        <v>smg-8</v>
      </c>
      <c r="Q3196" s="4">
        <v>11.606369437389301</v>
      </c>
      <c r="R3196" s="4">
        <v>11.960665894283499</v>
      </c>
      <c r="S3196" s="4">
        <v>12.0023453592359</v>
      </c>
      <c r="T3196" s="4">
        <f t="shared" si="191"/>
        <v>11.856460230302901</v>
      </c>
      <c r="W3196" s="4" t="str">
        <f>"nhr-17"</f>
        <v>nhr-17</v>
      </c>
      <c r="X3196" s="4">
        <v>12.128614884556701</v>
      </c>
      <c r="Y3196" s="4">
        <v>11.783180097622999</v>
      </c>
      <c r="Z3196" s="4">
        <v>10.6924314402753</v>
      </c>
      <c r="AA3196" s="4">
        <f t="shared" si="192"/>
        <v>11.534742140818333</v>
      </c>
    </row>
    <row r="3197" spans="16:27" x14ac:dyDescent="0.2">
      <c r="P3197" s="4" t="str">
        <f>"nhr-86"</f>
        <v>nhr-86</v>
      </c>
      <c r="Q3197" s="4">
        <v>11.9142440627661</v>
      </c>
      <c r="R3197" s="4">
        <v>11.776471901055301</v>
      </c>
      <c r="S3197" s="4">
        <v>11.865611700961001</v>
      </c>
      <c r="T3197" s="4">
        <f t="shared" si="191"/>
        <v>11.852109221594134</v>
      </c>
      <c r="W3197" s="4" t="str">
        <f>"rfk-1"</f>
        <v>rfk-1</v>
      </c>
      <c r="X3197" s="4">
        <v>11.6436063068463</v>
      </c>
      <c r="Y3197" s="4">
        <v>11.169840696109301</v>
      </c>
      <c r="Z3197" s="4">
        <v>11.778271839013501</v>
      </c>
      <c r="AA3197" s="4">
        <f t="shared" si="192"/>
        <v>11.530572947323032</v>
      </c>
    </row>
    <row r="3198" spans="16:27" x14ac:dyDescent="0.2">
      <c r="P3198" s="24" t="str">
        <f>"mlt-3"</f>
        <v>mlt-3</v>
      </c>
      <c r="Q3198" s="24">
        <v>11.495831822396999</v>
      </c>
      <c r="R3198" s="24">
        <v>11.9292067632318</v>
      </c>
      <c r="S3198" s="24">
        <v>12.1140109859851</v>
      </c>
      <c r="T3198" s="4">
        <f t="shared" si="191"/>
        <v>11.846349857204634</v>
      </c>
      <c r="W3198" s="4" t="str">
        <f>"rtcb-1"</f>
        <v>rtcb-1</v>
      </c>
      <c r="X3198" s="4">
        <v>11.6722542989509</v>
      </c>
      <c r="Y3198" s="4">
        <v>11.793552729351999</v>
      </c>
      <c r="Z3198" s="4">
        <v>11.081266978155799</v>
      </c>
      <c r="AA3198" s="4">
        <f t="shared" si="192"/>
        <v>11.515691335486233</v>
      </c>
    </row>
    <row r="3199" spans="16:27" x14ac:dyDescent="0.2">
      <c r="P3199" s="4" t="str">
        <f>"ndub-3"</f>
        <v>ndub-3</v>
      </c>
      <c r="Q3199" s="4">
        <v>11.5683848752732</v>
      </c>
      <c r="R3199" s="4">
        <v>12.116441387120799</v>
      </c>
      <c r="S3199" s="4">
        <v>11.853467208507301</v>
      </c>
      <c r="T3199" s="4">
        <f t="shared" si="191"/>
        <v>11.846097823633764</v>
      </c>
      <c r="W3199" s="4" t="str">
        <f>"C08B6.8"</f>
        <v>C08B6.8</v>
      </c>
      <c r="X3199" s="4">
        <v>12.5770242828363</v>
      </c>
      <c r="Y3199" s="4">
        <v>11.172960890737199</v>
      </c>
      <c r="Z3199" s="4">
        <v>10.785174456151299</v>
      </c>
      <c r="AA3199" s="4">
        <f t="shared" si="192"/>
        <v>11.511719876574935</v>
      </c>
    </row>
    <row r="3200" spans="16:27" x14ac:dyDescent="0.2">
      <c r="P3200" s="4" t="str">
        <f>"unc-98"</f>
        <v>unc-98</v>
      </c>
      <c r="Q3200" s="4">
        <v>11.413810347538</v>
      </c>
      <c r="R3200" s="4">
        <v>12.1419477355134</v>
      </c>
      <c r="S3200" s="4">
        <v>11.9602890026376</v>
      </c>
      <c r="T3200" s="4">
        <f t="shared" si="191"/>
        <v>11.838682361896334</v>
      </c>
      <c r="W3200" s="4" t="str">
        <f>"cpf-1"</f>
        <v>cpf-1</v>
      </c>
      <c r="X3200" s="4">
        <v>11.441744742130799</v>
      </c>
      <c r="Y3200" s="4">
        <v>11.5157581401262</v>
      </c>
      <c r="Z3200" s="4">
        <v>11.5342543988868</v>
      </c>
      <c r="AA3200" s="4">
        <f t="shared" si="192"/>
        <v>11.497252427047933</v>
      </c>
    </row>
    <row r="3201" spans="16:27" x14ac:dyDescent="0.2">
      <c r="P3201" s="4" t="str">
        <f>"srp-7"</f>
        <v>srp-7</v>
      </c>
      <c r="Q3201" s="4">
        <v>11.87667718686</v>
      </c>
      <c r="R3201" s="4">
        <v>12.370362888730799</v>
      </c>
      <c r="S3201" s="4">
        <v>11.2621842721368</v>
      </c>
      <c r="T3201" s="4">
        <f t="shared" si="191"/>
        <v>11.836408115909199</v>
      </c>
      <c r="W3201" s="4" t="str">
        <f>"evl-18"</f>
        <v>evl-18</v>
      </c>
      <c r="X3201" s="4">
        <v>11.553836720826199</v>
      </c>
      <c r="Y3201" s="4">
        <v>11.2877330001053</v>
      </c>
      <c r="Z3201" s="4">
        <v>11.6387832140726</v>
      </c>
      <c r="AA3201" s="4">
        <f t="shared" si="192"/>
        <v>11.4934509783347</v>
      </c>
    </row>
    <row r="3202" spans="16:27" x14ac:dyDescent="0.2">
      <c r="P3202" s="4" t="str">
        <f>"sptl-2"</f>
        <v>sptl-2</v>
      </c>
      <c r="Q3202" s="4">
        <v>11.6236511684139</v>
      </c>
      <c r="R3202" s="4">
        <v>11.781469577029</v>
      </c>
      <c r="S3202" s="4">
        <v>12.092665766806901</v>
      </c>
      <c r="T3202" s="4">
        <f t="shared" ref="T3202:T3265" si="193">(Q3202+R3202+S3202)/3</f>
        <v>11.832595504083267</v>
      </c>
      <c r="W3202" s="4" t="str">
        <f>"T01H3.2"</f>
        <v>T01H3.2</v>
      </c>
      <c r="X3202" s="4">
        <v>11.688469683052</v>
      </c>
      <c r="Y3202" s="4">
        <v>11.4401310887785</v>
      </c>
      <c r="Z3202" s="4">
        <v>11.3302528970108</v>
      </c>
      <c r="AA3202" s="4">
        <f t="shared" ref="AA3202:AA3262" si="194">(X3202+Y3202+Z3202)/3</f>
        <v>11.486284556280433</v>
      </c>
    </row>
    <row r="3203" spans="16:27" x14ac:dyDescent="0.2">
      <c r="P3203" s="4" t="str">
        <f>"F33D4.6"</f>
        <v>F33D4.6</v>
      </c>
      <c r="Q3203" s="4">
        <v>10.806621666821499</v>
      </c>
      <c r="R3203" s="4">
        <v>12.206744352940101</v>
      </c>
      <c r="S3203" s="4">
        <v>12.4776244288401</v>
      </c>
      <c r="T3203" s="4">
        <f t="shared" si="193"/>
        <v>11.8303301495339</v>
      </c>
      <c r="W3203" s="4" t="str">
        <f>"C34D4.4"</f>
        <v>C34D4.4</v>
      </c>
      <c r="X3203" s="4">
        <v>12.1536814026258</v>
      </c>
      <c r="Y3203" s="4">
        <v>11.533248792555099</v>
      </c>
      <c r="Z3203" s="4">
        <v>10.7175328364082</v>
      </c>
      <c r="AA3203" s="4">
        <f t="shared" si="194"/>
        <v>11.468154343863034</v>
      </c>
    </row>
    <row r="3204" spans="16:27" x14ac:dyDescent="0.2">
      <c r="P3204" s="4" t="str">
        <f>"gbh-2"</f>
        <v>gbh-2</v>
      </c>
      <c r="Q3204" s="4">
        <v>11.977967973443</v>
      </c>
      <c r="R3204" s="4">
        <v>11.9865303237859</v>
      </c>
      <c r="S3204" s="4">
        <v>11.520018340453101</v>
      </c>
      <c r="T3204" s="4">
        <f t="shared" si="193"/>
        <v>11.828172212560666</v>
      </c>
      <c r="W3204" s="4" t="str">
        <f>"cey-1"</f>
        <v>cey-1</v>
      </c>
      <c r="X3204" s="4">
        <v>11.002112846277599</v>
      </c>
      <c r="Y3204" s="4">
        <v>11.7057016431454</v>
      </c>
      <c r="Z3204" s="4">
        <v>11.685656635661999</v>
      </c>
      <c r="AA3204" s="4">
        <f t="shared" si="194"/>
        <v>11.464490375028333</v>
      </c>
    </row>
    <row r="3205" spans="16:27" x14ac:dyDescent="0.2">
      <c r="P3205" s="4" t="str">
        <f>"spp-8"</f>
        <v>spp-8</v>
      </c>
      <c r="Q3205" s="4">
        <v>11.5867151497048</v>
      </c>
      <c r="R3205" s="4">
        <v>12.134180370187901</v>
      </c>
      <c r="S3205" s="4">
        <v>11.7396560964805</v>
      </c>
      <c r="T3205" s="4">
        <f t="shared" si="193"/>
        <v>11.820183872124401</v>
      </c>
      <c r="W3205" s="4" t="str">
        <f>"hyl-1"</f>
        <v>hyl-1</v>
      </c>
      <c r="X3205" s="4">
        <v>11.175982963928201</v>
      </c>
      <c r="Y3205" s="4">
        <v>11.352151727821701</v>
      </c>
      <c r="Z3205" s="4">
        <v>11.859439354440999</v>
      </c>
      <c r="AA3205" s="4">
        <f t="shared" si="194"/>
        <v>11.462524682063632</v>
      </c>
    </row>
    <row r="3206" spans="16:27" x14ac:dyDescent="0.2">
      <c r="P3206" s="4" t="str">
        <f>"asp-6"</f>
        <v>asp-6</v>
      </c>
      <c r="Q3206" s="4">
        <v>10.3096767770559</v>
      </c>
      <c r="R3206" s="4">
        <v>12.547668686220501</v>
      </c>
      <c r="S3206" s="4">
        <v>12.599149034832701</v>
      </c>
      <c r="T3206" s="4">
        <f t="shared" si="193"/>
        <v>11.818831499369701</v>
      </c>
      <c r="W3206" s="4" t="str">
        <f>"Y54E2A.7"</f>
        <v>Y54E2A.7</v>
      </c>
      <c r="X3206" s="4">
        <v>11.3448817899642</v>
      </c>
      <c r="Y3206" s="4">
        <v>11.5051265474315</v>
      </c>
      <c r="Z3206" s="4">
        <v>11.493108486285101</v>
      </c>
      <c r="AA3206" s="4">
        <f t="shared" si="194"/>
        <v>11.447705607893601</v>
      </c>
    </row>
    <row r="3207" spans="16:27" x14ac:dyDescent="0.2">
      <c r="P3207" s="4" t="str">
        <f>"T23F2.2"</f>
        <v>T23F2.2</v>
      </c>
      <c r="Q3207" s="4">
        <v>11.4162481170333</v>
      </c>
      <c r="R3207" s="4">
        <v>12.243565517527999</v>
      </c>
      <c r="S3207" s="4">
        <v>11.791999097922499</v>
      </c>
      <c r="T3207" s="4">
        <f t="shared" si="193"/>
        <v>11.817270910827935</v>
      </c>
      <c r="W3207" s="4" t="str">
        <f>"Y54E5B.2"</f>
        <v>Y54E5B.2</v>
      </c>
      <c r="X3207" s="4">
        <v>11.5910494957566</v>
      </c>
      <c r="Y3207" s="4">
        <v>11.271026848118099</v>
      </c>
      <c r="Z3207" s="4">
        <v>11.456412079660801</v>
      </c>
      <c r="AA3207" s="4">
        <f t="shared" si="194"/>
        <v>11.4394961411785</v>
      </c>
    </row>
    <row r="3208" spans="16:27" x14ac:dyDescent="0.2">
      <c r="P3208" s="4" t="str">
        <f>"cyp-13A2"</f>
        <v>cyp-13A2</v>
      </c>
      <c r="Q3208" s="4">
        <v>11.708444932862999</v>
      </c>
      <c r="R3208" s="4">
        <v>11.848599626760199</v>
      </c>
      <c r="S3208" s="4">
        <v>11.8860249961514</v>
      </c>
      <c r="T3208" s="4">
        <f t="shared" si="193"/>
        <v>11.814356518591532</v>
      </c>
      <c r="W3208" s="4" t="str">
        <f>"Y50D7A.10"</f>
        <v>Y50D7A.10</v>
      </c>
      <c r="X3208" s="4">
        <v>11.775838490987599</v>
      </c>
      <c r="Y3208" s="4">
        <v>11.258469836504901</v>
      </c>
      <c r="Z3208" s="4">
        <v>11.2724368417138</v>
      </c>
      <c r="AA3208" s="4">
        <f t="shared" si="194"/>
        <v>11.435581723068767</v>
      </c>
    </row>
    <row r="3209" spans="16:27" x14ac:dyDescent="0.2">
      <c r="P3209" s="4" t="str">
        <f>"ttll-5"</f>
        <v>ttll-5</v>
      </c>
      <c r="Q3209" s="4">
        <v>12.082978907272601</v>
      </c>
      <c r="R3209" s="4">
        <v>11.9653630972089</v>
      </c>
      <c r="S3209" s="4">
        <v>11.3729347980185</v>
      </c>
      <c r="T3209" s="4">
        <f t="shared" si="193"/>
        <v>11.807092267500002</v>
      </c>
      <c r="W3209" s="4" t="str">
        <f>"F38A5.22"</f>
        <v>F38A5.22</v>
      </c>
      <c r="X3209" s="4">
        <v>10.5651327559787</v>
      </c>
      <c r="Y3209" s="4">
        <v>11.646015993690201</v>
      </c>
      <c r="Z3209" s="4">
        <v>12.0924545767851</v>
      </c>
      <c r="AA3209" s="4">
        <f t="shared" si="194"/>
        <v>11.434534442151334</v>
      </c>
    </row>
    <row r="3210" spans="16:27" x14ac:dyDescent="0.2">
      <c r="P3210" s="4" t="str">
        <f>"fbxa-156"</f>
        <v>fbxa-156</v>
      </c>
      <c r="Q3210" s="4">
        <v>11.3235350885637</v>
      </c>
      <c r="R3210" s="4">
        <v>11.9505748254285</v>
      </c>
      <c r="S3210" s="4">
        <v>12.1224859098163</v>
      </c>
      <c r="T3210" s="4">
        <f t="shared" si="193"/>
        <v>11.798865274602832</v>
      </c>
      <c r="W3210" s="4" t="str">
        <f>"lam-3"</f>
        <v>lam-3</v>
      </c>
      <c r="X3210" s="4">
        <v>10.516114063071701</v>
      </c>
      <c r="Y3210" s="4">
        <v>11.543583491519099</v>
      </c>
      <c r="Z3210" s="4">
        <v>12.227608795649701</v>
      </c>
      <c r="AA3210" s="4">
        <f t="shared" si="194"/>
        <v>11.429102116746833</v>
      </c>
    </row>
    <row r="3211" spans="16:27" x14ac:dyDescent="0.2">
      <c r="P3211" s="4" t="str">
        <f>"F28H6.4"</f>
        <v>F28H6.4</v>
      </c>
      <c r="Q3211" s="4">
        <v>11.428223985312799</v>
      </c>
      <c r="R3211" s="4">
        <v>12.214313908136599</v>
      </c>
      <c r="S3211" s="4">
        <v>11.7518148360606</v>
      </c>
      <c r="T3211" s="4">
        <f t="shared" si="193"/>
        <v>11.798117576503335</v>
      </c>
      <c r="W3211" s="4" t="str">
        <f>"abts-2"</f>
        <v>abts-2</v>
      </c>
      <c r="X3211" s="4">
        <v>11.5121327204556</v>
      </c>
      <c r="Y3211" s="4">
        <v>11.118748265701599</v>
      </c>
      <c r="Z3211" s="4">
        <v>11.540335668371601</v>
      </c>
      <c r="AA3211" s="4">
        <f t="shared" si="194"/>
        <v>11.390405551509602</v>
      </c>
    </row>
    <row r="3212" spans="16:27" x14ac:dyDescent="0.2">
      <c r="P3212" s="4" t="str">
        <f>"daf-36"</f>
        <v>daf-36</v>
      </c>
      <c r="Q3212" s="4">
        <v>11.363887735426401</v>
      </c>
      <c r="R3212" s="4">
        <v>12.0715518616939</v>
      </c>
      <c r="S3212" s="4">
        <v>11.950146543512799</v>
      </c>
      <c r="T3212" s="4">
        <f t="shared" si="193"/>
        <v>11.795195380211034</v>
      </c>
      <c r="W3212" s="4" t="str">
        <f>"F31E3.4"</f>
        <v>F31E3.4</v>
      </c>
      <c r="X3212" s="4">
        <v>11.473417880607601</v>
      </c>
      <c r="Y3212" s="4">
        <v>10.9895204323185</v>
      </c>
      <c r="Z3212" s="4">
        <v>11.7077027491423</v>
      </c>
      <c r="AA3212" s="4">
        <f t="shared" si="194"/>
        <v>11.390213687356132</v>
      </c>
    </row>
    <row r="3213" spans="16:27" x14ac:dyDescent="0.2">
      <c r="P3213" s="4" t="str">
        <f>"Y113G7C.1"</f>
        <v>Y113G7C.1</v>
      </c>
      <c r="Q3213" s="4">
        <v>11.4170676466124</v>
      </c>
      <c r="R3213" s="4">
        <v>12.380412171055299</v>
      </c>
      <c r="S3213" s="4">
        <v>11.5711359647756</v>
      </c>
      <c r="T3213" s="4">
        <f t="shared" si="193"/>
        <v>11.789538594147766</v>
      </c>
      <c r="W3213" s="4" t="str">
        <f>"vps-33.2"</f>
        <v>vps-33.2</v>
      </c>
      <c r="X3213" s="4">
        <v>11.3616631930467</v>
      </c>
      <c r="Y3213" s="4">
        <v>11.276062166311601</v>
      </c>
      <c r="Z3213" s="4">
        <v>11.5157524387461</v>
      </c>
      <c r="AA3213" s="4">
        <f t="shared" si="194"/>
        <v>11.384492599368132</v>
      </c>
    </row>
    <row r="3214" spans="16:27" x14ac:dyDescent="0.2">
      <c r="P3214" s="4" t="str">
        <f>"exos-7"</f>
        <v>exos-7</v>
      </c>
      <c r="Q3214" s="4">
        <v>11.3293658721295</v>
      </c>
      <c r="R3214" s="4">
        <v>11.828588773993401</v>
      </c>
      <c r="S3214" s="4">
        <v>12.2076625302188</v>
      </c>
      <c r="T3214" s="4">
        <f t="shared" si="193"/>
        <v>11.788539058780566</v>
      </c>
      <c r="W3214" s="4" t="str">
        <f>"xpf-1"</f>
        <v>xpf-1</v>
      </c>
      <c r="X3214" s="4">
        <v>11.6883660748274</v>
      </c>
      <c r="Y3214" s="4">
        <v>10.949885463668799</v>
      </c>
      <c r="Z3214" s="4">
        <v>11.4890832935557</v>
      </c>
      <c r="AA3214" s="4">
        <f t="shared" si="194"/>
        <v>11.375778277350634</v>
      </c>
    </row>
    <row r="3215" spans="16:27" x14ac:dyDescent="0.2">
      <c r="P3215" s="4" t="str">
        <f>"ncx-3"</f>
        <v>ncx-3</v>
      </c>
      <c r="Q3215" s="4">
        <v>11.1841746507788</v>
      </c>
      <c r="R3215" s="4">
        <v>12.1624435526192</v>
      </c>
      <c r="S3215" s="4">
        <v>12.004284043890101</v>
      </c>
      <c r="T3215" s="4">
        <f t="shared" si="193"/>
        <v>11.783634082429367</v>
      </c>
      <c r="W3215" s="4" t="str">
        <f>"T20B12.3"</f>
        <v>T20B12.3</v>
      </c>
      <c r="X3215" s="4">
        <v>11.1656188278514</v>
      </c>
      <c r="Y3215" s="4">
        <v>11.6766880811438</v>
      </c>
      <c r="Z3215" s="4">
        <v>11.2167937908241</v>
      </c>
      <c r="AA3215" s="4">
        <f t="shared" si="194"/>
        <v>11.353033566606433</v>
      </c>
    </row>
    <row r="3216" spans="16:27" x14ac:dyDescent="0.2">
      <c r="P3216" s="4" t="str">
        <f>"F55A11.6"</f>
        <v>F55A11.6</v>
      </c>
      <c r="Q3216" s="4">
        <v>11.948194396300201</v>
      </c>
      <c r="R3216" s="4">
        <v>11.6298925174529</v>
      </c>
      <c r="S3216" s="4">
        <v>11.7418492296836</v>
      </c>
      <c r="T3216" s="4">
        <f t="shared" si="193"/>
        <v>11.773312047812233</v>
      </c>
      <c r="W3216" s="4" t="str">
        <f>"ZK1055.6"</f>
        <v>ZK1055.6</v>
      </c>
      <c r="X3216" s="4">
        <v>11.734914111309299</v>
      </c>
      <c r="Y3216" s="4">
        <v>11.3533635969097</v>
      </c>
      <c r="Z3216" s="4">
        <v>10.950499838788501</v>
      </c>
      <c r="AA3216" s="4">
        <f t="shared" si="194"/>
        <v>11.346259182335833</v>
      </c>
    </row>
    <row r="3217" spans="16:27" x14ac:dyDescent="0.2">
      <c r="P3217" s="4" t="str">
        <f>"hmt-1"</f>
        <v>hmt-1</v>
      </c>
      <c r="Q3217" s="4">
        <v>10.259593588741501</v>
      </c>
      <c r="R3217" s="4">
        <v>12.489198164243801</v>
      </c>
      <c r="S3217" s="4">
        <v>12.546857355064899</v>
      </c>
      <c r="T3217" s="4">
        <f t="shared" si="193"/>
        <v>11.765216369350066</v>
      </c>
      <c r="W3217" s="4" t="str">
        <f>"tag-297"</f>
        <v>tag-297</v>
      </c>
      <c r="X3217" s="4">
        <v>11.395042313000999</v>
      </c>
      <c r="Y3217" s="4">
        <v>11.432179545790699</v>
      </c>
      <c r="Z3217" s="4">
        <v>11.178115150293401</v>
      </c>
      <c r="AA3217" s="4">
        <f t="shared" si="194"/>
        <v>11.335112336361698</v>
      </c>
    </row>
    <row r="3218" spans="16:27" x14ac:dyDescent="0.2">
      <c r="P3218" s="4" t="str">
        <f>"cup-5"</f>
        <v>cup-5</v>
      </c>
      <c r="Q3218" s="4">
        <v>11.6582105867009</v>
      </c>
      <c r="R3218" s="4">
        <v>11.842509824986401</v>
      </c>
      <c r="S3218" s="4">
        <v>11.777387747961001</v>
      </c>
      <c r="T3218" s="4">
        <f t="shared" si="193"/>
        <v>11.759369386549432</v>
      </c>
      <c r="W3218" s="4" t="str">
        <f>"aka-1"</f>
        <v>aka-1</v>
      </c>
      <c r="X3218" s="4">
        <v>11.600510127014999</v>
      </c>
      <c r="Y3218" s="4">
        <v>10.4355189424938</v>
      </c>
      <c r="Z3218" s="4">
        <v>11.916008585296201</v>
      </c>
      <c r="AA3218" s="4">
        <f t="shared" si="194"/>
        <v>11.317345884934999</v>
      </c>
    </row>
    <row r="3219" spans="16:27" x14ac:dyDescent="0.2">
      <c r="P3219" s="4" t="str">
        <f>"F49E2.2"</f>
        <v>F49E2.2</v>
      </c>
      <c r="Q3219" s="4">
        <v>11.6507645379307</v>
      </c>
      <c r="R3219" s="4">
        <v>11.674282625475501</v>
      </c>
      <c r="S3219" s="4">
        <v>11.947208467134001</v>
      </c>
      <c r="T3219" s="4">
        <f t="shared" si="193"/>
        <v>11.757418543513401</v>
      </c>
      <c r="W3219" s="4" t="str">
        <f>"F13E9.11"</f>
        <v>F13E9.11</v>
      </c>
      <c r="X3219" s="4">
        <v>10.523486175213099</v>
      </c>
      <c r="Y3219" s="4">
        <v>11.4578036478778</v>
      </c>
      <c r="Z3219" s="4">
        <v>11.9669711838563</v>
      </c>
      <c r="AA3219" s="4">
        <f t="shared" si="194"/>
        <v>11.316087002315733</v>
      </c>
    </row>
    <row r="3220" spans="16:27" x14ac:dyDescent="0.2">
      <c r="P3220" s="4" t="str">
        <f>"F13H10.8"</f>
        <v>F13H10.8</v>
      </c>
      <c r="Q3220" s="4">
        <v>11.9004615473438</v>
      </c>
      <c r="R3220" s="4">
        <v>11.8179922005812</v>
      </c>
      <c r="S3220" s="4">
        <v>11.5488425717437</v>
      </c>
      <c r="T3220" s="4">
        <f t="shared" si="193"/>
        <v>11.755765439889567</v>
      </c>
      <c r="W3220" s="4" t="str">
        <f>"scm-1"</f>
        <v>scm-1</v>
      </c>
      <c r="X3220" s="4">
        <v>11.347219934666899</v>
      </c>
      <c r="Y3220" s="4">
        <v>11.570543135614001</v>
      </c>
      <c r="Z3220" s="4">
        <v>11.013699613590299</v>
      </c>
      <c r="AA3220" s="4">
        <f t="shared" si="194"/>
        <v>11.310487561290399</v>
      </c>
    </row>
    <row r="3221" spans="16:27" x14ac:dyDescent="0.2">
      <c r="P3221" s="4" t="str">
        <f>"hpo-35"</f>
        <v>hpo-35</v>
      </c>
      <c r="Q3221" s="4">
        <v>12.2444363531023</v>
      </c>
      <c r="R3221" s="4">
        <v>11.6296512167903</v>
      </c>
      <c r="S3221" s="4">
        <v>11.391344488097699</v>
      </c>
      <c r="T3221" s="4">
        <f t="shared" si="193"/>
        <v>11.755144019330102</v>
      </c>
      <c r="W3221" s="4" t="str">
        <f>"pks-1"</f>
        <v>pks-1</v>
      </c>
      <c r="X3221" s="4">
        <v>11.4038735122229</v>
      </c>
      <c r="Y3221" s="4">
        <v>11.0210748518077</v>
      </c>
      <c r="Z3221" s="4">
        <v>11.4606916330209</v>
      </c>
      <c r="AA3221" s="4">
        <f t="shared" si="194"/>
        <v>11.2952133323505</v>
      </c>
    </row>
    <row r="3222" spans="16:27" x14ac:dyDescent="0.2">
      <c r="P3222" s="4" t="str">
        <f>"elo-2"</f>
        <v>elo-2</v>
      </c>
      <c r="Q3222" s="4">
        <v>11.068602701483799</v>
      </c>
      <c r="R3222" s="4">
        <v>12.151600004118601</v>
      </c>
      <c r="S3222" s="4">
        <v>12.000452576593201</v>
      </c>
      <c r="T3222" s="4">
        <f t="shared" si="193"/>
        <v>11.740218427398533</v>
      </c>
      <c r="W3222" s="4" t="str">
        <f>"T24G10.2"</f>
        <v>T24G10.2</v>
      </c>
      <c r="X3222" s="4">
        <v>10.636370918620299</v>
      </c>
      <c r="Y3222" s="4">
        <v>11.3718982640835</v>
      </c>
      <c r="Z3222" s="4">
        <v>11.8483138239433</v>
      </c>
      <c r="AA3222" s="4">
        <f t="shared" si="194"/>
        <v>11.285527668882366</v>
      </c>
    </row>
    <row r="3223" spans="16:27" x14ac:dyDescent="0.2">
      <c r="P3223" s="4" t="str">
        <f>"cht-3"</f>
        <v>cht-3</v>
      </c>
      <c r="Q3223" s="4">
        <v>11.923490960599</v>
      </c>
      <c r="R3223" s="4">
        <v>11.7337167948385</v>
      </c>
      <c r="S3223" s="4">
        <v>11.5144582110988</v>
      </c>
      <c r="T3223" s="4">
        <f t="shared" si="193"/>
        <v>11.7238886555121</v>
      </c>
      <c r="W3223" s="4" t="str">
        <f>"Y71H2AM.20"</f>
        <v>Y71H2AM.20</v>
      </c>
      <c r="X3223" s="4">
        <v>11.403747588496801</v>
      </c>
      <c r="Y3223" s="4">
        <v>11.135035171339901</v>
      </c>
      <c r="Z3223" s="4">
        <v>11.313060700845</v>
      </c>
      <c r="AA3223" s="4">
        <f t="shared" si="194"/>
        <v>11.283947820227233</v>
      </c>
    </row>
    <row r="3224" spans="16:27" x14ac:dyDescent="0.2">
      <c r="P3224" s="4" t="str">
        <f>"rme-2"</f>
        <v>rme-2</v>
      </c>
      <c r="Q3224" s="4">
        <v>10.4320178659761</v>
      </c>
      <c r="R3224" s="4">
        <v>12.6219965619229</v>
      </c>
      <c r="S3224" s="4">
        <v>12.0952620889634</v>
      </c>
      <c r="T3224" s="4">
        <f t="shared" si="193"/>
        <v>11.7164255056208</v>
      </c>
      <c r="W3224" s="4" t="str">
        <f>"picd-1"</f>
        <v>picd-1</v>
      </c>
      <c r="X3224" s="4">
        <v>11.194514223614499</v>
      </c>
      <c r="Y3224" s="4">
        <v>10.9556110247307</v>
      </c>
      <c r="Z3224" s="4">
        <v>11.5709368576175</v>
      </c>
      <c r="AA3224" s="4">
        <f t="shared" si="194"/>
        <v>11.2403540353209</v>
      </c>
    </row>
    <row r="3225" spans="16:27" x14ac:dyDescent="0.2">
      <c r="P3225" s="4" t="str">
        <f>"prx-11"</f>
        <v>prx-11</v>
      </c>
      <c r="Q3225" s="4">
        <v>11.013768949294599</v>
      </c>
      <c r="R3225" s="4">
        <v>12.508163020185901</v>
      </c>
      <c r="S3225" s="4">
        <v>11.622632199495101</v>
      </c>
      <c r="T3225" s="4">
        <f t="shared" si="193"/>
        <v>11.714854722991866</v>
      </c>
      <c r="W3225" s="4" t="str">
        <f>"F42A10.5"</f>
        <v>F42A10.5</v>
      </c>
      <c r="X3225" s="4">
        <v>11.214061431835299</v>
      </c>
      <c r="Y3225" s="4">
        <v>11.4258840468685</v>
      </c>
      <c r="Z3225" s="4">
        <v>11.0649969324389</v>
      </c>
      <c r="AA3225" s="4">
        <f t="shared" si="194"/>
        <v>11.234980803714235</v>
      </c>
    </row>
    <row r="3226" spans="16:27" x14ac:dyDescent="0.2">
      <c r="P3226" s="4" t="str">
        <f>"xpf-1"</f>
        <v>xpf-1</v>
      </c>
      <c r="Q3226" s="4">
        <v>11.48952406047</v>
      </c>
      <c r="R3226" s="4">
        <v>11.9972151269929</v>
      </c>
      <c r="S3226" s="4">
        <v>11.6554524941621</v>
      </c>
      <c r="T3226" s="4">
        <f t="shared" si="193"/>
        <v>11.714063893875</v>
      </c>
      <c r="W3226" s="4" t="str">
        <f>"cul-6"</f>
        <v>cul-6</v>
      </c>
      <c r="X3226" s="4">
        <v>11.366408837562</v>
      </c>
      <c r="Y3226" s="4">
        <v>11.527545379881101</v>
      </c>
      <c r="Z3226" s="4">
        <v>10.7447751024672</v>
      </c>
      <c r="AA3226" s="4">
        <f t="shared" si="194"/>
        <v>11.212909773303435</v>
      </c>
    </row>
    <row r="3227" spans="16:27" x14ac:dyDescent="0.2">
      <c r="P3227" s="4" t="str">
        <f>"tag-151"</f>
        <v>tag-151</v>
      </c>
      <c r="Q3227" s="4">
        <v>11.4299937184801</v>
      </c>
      <c r="R3227" s="4">
        <v>12.1497111020622</v>
      </c>
      <c r="S3227" s="4">
        <v>11.561856939681901</v>
      </c>
      <c r="T3227" s="4">
        <f t="shared" si="193"/>
        <v>11.713853920074733</v>
      </c>
      <c r="W3227" s="4" t="str">
        <f>"unc-31"</f>
        <v>unc-31</v>
      </c>
      <c r="X3227" s="4">
        <v>11.087953556342001</v>
      </c>
      <c r="Y3227" s="4">
        <v>11.420793573021999</v>
      </c>
      <c r="Z3227" s="4">
        <v>11.067419874650099</v>
      </c>
      <c r="AA3227" s="4">
        <f t="shared" si="194"/>
        <v>11.192055668004699</v>
      </c>
    </row>
    <row r="3228" spans="16:27" x14ac:dyDescent="0.2">
      <c r="P3228" s="4" t="str">
        <f>"gcn-2"</f>
        <v>gcn-2</v>
      </c>
      <c r="Q3228" s="4">
        <v>11.2540661474515</v>
      </c>
      <c r="R3228" s="4">
        <v>12.124712316590101</v>
      </c>
      <c r="S3228" s="4">
        <v>11.748209626106499</v>
      </c>
      <c r="T3228" s="4">
        <f t="shared" si="193"/>
        <v>11.708996030049368</v>
      </c>
      <c r="W3228" s="4" t="str">
        <f>"wht-7"</f>
        <v>wht-7</v>
      </c>
      <c r="X3228" s="4">
        <v>11.0628258403058</v>
      </c>
      <c r="Y3228" s="4">
        <v>11.6272251370482</v>
      </c>
      <c r="Z3228" s="4">
        <v>10.885774610762301</v>
      </c>
      <c r="AA3228" s="4">
        <f t="shared" si="194"/>
        <v>11.191941862705434</v>
      </c>
    </row>
    <row r="3229" spans="16:27" x14ac:dyDescent="0.2">
      <c r="P3229" s="4" t="str">
        <f>"akir-1"</f>
        <v>akir-1</v>
      </c>
      <c r="Q3229" s="4">
        <v>11.3797446465619</v>
      </c>
      <c r="R3229" s="4">
        <v>12.098769874714201</v>
      </c>
      <c r="S3229" s="4">
        <v>11.641276763487999</v>
      </c>
      <c r="T3229" s="4">
        <f t="shared" si="193"/>
        <v>11.706597094921365</v>
      </c>
      <c r="W3229" s="4" t="str">
        <f>"did-2"</f>
        <v>did-2</v>
      </c>
      <c r="X3229" s="4">
        <v>11.790405121828901</v>
      </c>
      <c r="Y3229" s="4">
        <v>11.576456550922201</v>
      </c>
      <c r="Z3229" s="4">
        <v>10.1865025293369</v>
      </c>
      <c r="AA3229" s="4">
        <f t="shared" si="194"/>
        <v>11.184454734029332</v>
      </c>
    </row>
    <row r="3230" spans="16:27" x14ac:dyDescent="0.2">
      <c r="P3230" s="4" t="str">
        <f>"cgef-1"</f>
        <v>cgef-1</v>
      </c>
      <c r="Q3230" s="4">
        <v>11.5630749232363</v>
      </c>
      <c r="R3230" s="4">
        <v>11.7562911314406</v>
      </c>
      <c r="S3230" s="4">
        <v>11.784804847278901</v>
      </c>
      <c r="T3230" s="4">
        <f t="shared" si="193"/>
        <v>11.701390300651932</v>
      </c>
      <c r="W3230" s="4" t="str">
        <f>"M176.4"</f>
        <v>M176.4</v>
      </c>
      <c r="X3230" s="4">
        <v>9.76623743453972</v>
      </c>
      <c r="Y3230" s="4">
        <v>11.778175487081301</v>
      </c>
      <c r="Z3230" s="4">
        <v>12.000943922931</v>
      </c>
      <c r="AA3230" s="4">
        <f t="shared" si="194"/>
        <v>11.181785614850673</v>
      </c>
    </row>
    <row r="3231" spans="16:27" x14ac:dyDescent="0.2">
      <c r="P3231" s="4" t="str">
        <f>"tpi-1"</f>
        <v>tpi-1</v>
      </c>
      <c r="Q3231" s="4">
        <v>10.7372834939769</v>
      </c>
      <c r="R3231" s="4">
        <v>12.286975005992</v>
      </c>
      <c r="S3231" s="4">
        <v>12.0798686352262</v>
      </c>
      <c r="T3231" s="4">
        <f t="shared" si="193"/>
        <v>11.7013757117317</v>
      </c>
      <c r="W3231" s="4" t="str">
        <f>"gtf-2h1"</f>
        <v>gtf-2h1</v>
      </c>
      <c r="X3231" s="4">
        <v>11.748347939275</v>
      </c>
      <c r="Y3231" s="4">
        <v>11.003348519266</v>
      </c>
      <c r="Z3231" s="4">
        <v>10.75379513233</v>
      </c>
      <c r="AA3231" s="4">
        <f t="shared" si="194"/>
        <v>11.168497196956999</v>
      </c>
    </row>
    <row r="3232" spans="16:27" x14ac:dyDescent="0.2">
      <c r="P3232" s="4" t="str">
        <f>"picd-1"</f>
        <v>picd-1</v>
      </c>
      <c r="Q3232" s="4">
        <v>11.841896438945501</v>
      </c>
      <c r="R3232" s="4">
        <v>12.0335240327429</v>
      </c>
      <c r="S3232" s="4">
        <v>11.1965046297833</v>
      </c>
      <c r="T3232" s="4">
        <f t="shared" si="193"/>
        <v>11.690641700490566</v>
      </c>
      <c r="W3232" s="4" t="str">
        <f>"T23F2.2"</f>
        <v>T23F2.2</v>
      </c>
      <c r="X3232" s="4">
        <v>10.3246154263412</v>
      </c>
      <c r="Y3232" s="4">
        <v>11.681532978128701</v>
      </c>
      <c r="Z3232" s="4">
        <v>11.452707159177001</v>
      </c>
      <c r="AA3232" s="4">
        <f t="shared" si="194"/>
        <v>11.152951854548967</v>
      </c>
    </row>
    <row r="3233" spans="16:27" x14ac:dyDescent="0.2">
      <c r="P3233" s="4" t="str">
        <f>"cec-1"</f>
        <v>cec-1</v>
      </c>
      <c r="Q3233" s="4">
        <v>11.188216532477201</v>
      </c>
      <c r="R3233" s="4">
        <v>12.2982714820082</v>
      </c>
      <c r="S3233" s="4">
        <v>11.5725874665233</v>
      </c>
      <c r="T3233" s="4">
        <f t="shared" si="193"/>
        <v>11.686358493669568</v>
      </c>
      <c r="W3233" s="4" t="str">
        <f>"Y47G6A.18"</f>
        <v>Y47G6A.18</v>
      </c>
      <c r="X3233" s="4">
        <v>11.202106994787499</v>
      </c>
      <c r="Y3233" s="4">
        <v>11.4177708182375</v>
      </c>
      <c r="Z3233" s="4">
        <v>10.8359238016365</v>
      </c>
      <c r="AA3233" s="4">
        <f t="shared" si="194"/>
        <v>11.151933871553831</v>
      </c>
    </row>
    <row r="3234" spans="16:27" x14ac:dyDescent="0.2">
      <c r="P3234" s="4" t="str">
        <f>"spd-5"</f>
        <v>spd-5</v>
      </c>
      <c r="Q3234" s="4">
        <v>11.426798837477399</v>
      </c>
      <c r="R3234" s="4">
        <v>11.5665925573033</v>
      </c>
      <c r="S3234" s="4">
        <v>12.0567599846995</v>
      </c>
      <c r="T3234" s="4">
        <f t="shared" si="193"/>
        <v>11.683383793160067</v>
      </c>
      <c r="W3234" s="4" t="str">
        <f>"cdc-5l"</f>
        <v>cdc-5l</v>
      </c>
      <c r="X3234" s="4">
        <v>11.1715704054458</v>
      </c>
      <c r="Y3234" s="4">
        <v>10.9925933938732</v>
      </c>
      <c r="Z3234" s="4">
        <v>11.245572708222699</v>
      </c>
      <c r="AA3234" s="4">
        <f t="shared" si="194"/>
        <v>11.136578835847232</v>
      </c>
    </row>
    <row r="3235" spans="16:27" x14ac:dyDescent="0.2">
      <c r="P3235" s="4" t="str">
        <f>"asd-2"</f>
        <v>asd-2</v>
      </c>
      <c r="Q3235" s="4">
        <v>11.6749130715835</v>
      </c>
      <c r="R3235" s="4">
        <v>11.467890823251899</v>
      </c>
      <c r="S3235" s="4">
        <v>11.892839274694699</v>
      </c>
      <c r="T3235" s="4">
        <f t="shared" si="193"/>
        <v>11.678547723176699</v>
      </c>
      <c r="W3235" s="4" t="str">
        <f>"sqv-6"</f>
        <v>sqv-6</v>
      </c>
      <c r="X3235" s="4">
        <v>10.559049206629</v>
      </c>
      <c r="Y3235" s="4">
        <v>12.098639628410099</v>
      </c>
      <c r="Z3235" s="4">
        <v>10.685861670720699</v>
      </c>
      <c r="AA3235" s="4">
        <f t="shared" si="194"/>
        <v>11.114516835253268</v>
      </c>
    </row>
    <row r="3236" spans="16:27" x14ac:dyDescent="0.2">
      <c r="P3236" s="4" t="str">
        <f>"rfk-1"</f>
        <v>rfk-1</v>
      </c>
      <c r="Q3236" s="4">
        <v>12.053190724659601</v>
      </c>
      <c r="R3236" s="4">
        <v>11.859036885203601</v>
      </c>
      <c r="S3236" s="4">
        <v>11.105683087943699</v>
      </c>
      <c r="T3236" s="4">
        <f t="shared" si="193"/>
        <v>11.672636899268966</v>
      </c>
      <c r="W3236" s="4" t="str">
        <f>"fre-1"</f>
        <v>fre-1</v>
      </c>
      <c r="X3236" s="4">
        <v>11.0959005284562</v>
      </c>
      <c r="Y3236" s="4">
        <v>11.186194006116001</v>
      </c>
      <c r="Z3236" s="4">
        <v>11.052537586932999</v>
      </c>
      <c r="AA3236" s="4">
        <f t="shared" si="194"/>
        <v>11.111544040501734</v>
      </c>
    </row>
    <row r="3237" spans="16:27" x14ac:dyDescent="0.2">
      <c r="P3237" s="4" t="str">
        <f>"rcs-1"</f>
        <v>rcs-1</v>
      </c>
      <c r="Q3237" s="4">
        <v>11.6556246368958</v>
      </c>
      <c r="R3237" s="4">
        <v>11.890631565010001</v>
      </c>
      <c r="S3237" s="4">
        <v>11.416510722154101</v>
      </c>
      <c r="T3237" s="4">
        <f t="shared" si="193"/>
        <v>11.6542556413533</v>
      </c>
      <c r="W3237" s="4" t="str">
        <f>"dpy-22"</f>
        <v>dpy-22</v>
      </c>
      <c r="X3237" s="4">
        <v>9.3276688263953993</v>
      </c>
      <c r="Y3237" s="4">
        <v>11.4874013808484</v>
      </c>
      <c r="Z3237" s="4">
        <v>12.3563235559627</v>
      </c>
      <c r="AA3237" s="4">
        <f t="shared" si="194"/>
        <v>11.057131254402165</v>
      </c>
    </row>
    <row r="3238" spans="16:27" x14ac:dyDescent="0.2">
      <c r="P3238" s="4" t="str">
        <f>"vps-51"</f>
        <v>vps-51</v>
      </c>
      <c r="Q3238" s="4">
        <v>11.471005234602201</v>
      </c>
      <c r="R3238" s="4">
        <v>11.886859932802899</v>
      </c>
      <c r="S3238" s="4">
        <v>11.5975478692678</v>
      </c>
      <c r="T3238" s="4">
        <f t="shared" si="193"/>
        <v>11.651804345557634</v>
      </c>
      <c r="W3238" s="4" t="str">
        <f>"F28H6.4"</f>
        <v>F28H6.4</v>
      </c>
      <c r="X3238" s="4">
        <v>10.4343971926181</v>
      </c>
      <c r="Y3238" s="4">
        <v>11.4014792996353</v>
      </c>
      <c r="Z3238" s="4">
        <v>11.3298025557897</v>
      </c>
      <c r="AA3238" s="4">
        <f t="shared" si="194"/>
        <v>11.055226349347699</v>
      </c>
    </row>
    <row r="3239" spans="16:27" x14ac:dyDescent="0.2">
      <c r="P3239" s="4" t="str">
        <f>"grk-2"</f>
        <v>grk-2</v>
      </c>
      <c r="Q3239" s="4">
        <v>11.438772312193199</v>
      </c>
      <c r="R3239" s="4">
        <v>11.9378623826075</v>
      </c>
      <c r="S3239" s="4">
        <v>11.5643235685131</v>
      </c>
      <c r="T3239" s="4">
        <f t="shared" si="193"/>
        <v>11.646986087771268</v>
      </c>
      <c r="W3239" s="4" t="str">
        <f>"ndub-3"</f>
        <v>ndub-3</v>
      </c>
      <c r="X3239" s="4">
        <v>10.3319896880869</v>
      </c>
      <c r="Y3239" s="4">
        <v>11.3019355707057</v>
      </c>
      <c r="Z3239" s="4">
        <v>11.5251214866145</v>
      </c>
      <c r="AA3239" s="4">
        <f t="shared" si="194"/>
        <v>11.053015581802368</v>
      </c>
    </row>
    <row r="3240" spans="16:27" x14ac:dyDescent="0.2">
      <c r="P3240" s="4" t="str">
        <f>"panl-3"</f>
        <v>panl-3</v>
      </c>
      <c r="Q3240" s="4">
        <v>11.3498025448484</v>
      </c>
      <c r="R3240" s="4">
        <v>11.9193313882077</v>
      </c>
      <c r="S3240" s="4">
        <v>11.6692733949989</v>
      </c>
      <c r="T3240" s="4">
        <f t="shared" si="193"/>
        <v>11.646135776018333</v>
      </c>
      <c r="W3240" s="4" t="str">
        <f>"grk-2"</f>
        <v>grk-2</v>
      </c>
      <c r="X3240" s="4">
        <v>10.922391507162001</v>
      </c>
      <c r="Y3240" s="4">
        <v>11.2006151553661</v>
      </c>
      <c r="Z3240" s="4">
        <v>11.0351120861824</v>
      </c>
      <c r="AA3240" s="4">
        <f t="shared" si="194"/>
        <v>11.052706249570166</v>
      </c>
    </row>
    <row r="3241" spans="16:27" x14ac:dyDescent="0.2">
      <c r="P3241" s="4" t="str">
        <f>"ptr-21"</f>
        <v>ptr-21</v>
      </c>
      <c r="Q3241" s="4">
        <v>11.4795224517528</v>
      </c>
      <c r="R3241" s="4">
        <v>11.5220995459355</v>
      </c>
      <c r="S3241" s="4">
        <v>11.9355079188201</v>
      </c>
      <c r="T3241" s="4">
        <f t="shared" si="193"/>
        <v>11.645709972169465</v>
      </c>
      <c r="W3241" s="4" t="str">
        <f>"vep-1"</f>
        <v>vep-1</v>
      </c>
      <c r="X3241" s="4">
        <v>10.566742981491201</v>
      </c>
      <c r="Y3241" s="4">
        <v>11.1143037695517</v>
      </c>
      <c r="Z3241" s="4">
        <v>11.4060775924951</v>
      </c>
      <c r="AA3241" s="4">
        <f t="shared" si="194"/>
        <v>11.029041447846</v>
      </c>
    </row>
    <row r="3242" spans="16:27" x14ac:dyDescent="0.2">
      <c r="P3242" s="4" t="str">
        <f>"rep-1"</f>
        <v>rep-1</v>
      </c>
      <c r="Q3242" s="4">
        <v>10.7045614184185</v>
      </c>
      <c r="R3242" s="4">
        <v>12.4790801129777</v>
      </c>
      <c r="S3242" s="4">
        <v>11.7512340240411</v>
      </c>
      <c r="T3242" s="4">
        <f t="shared" si="193"/>
        <v>11.6449585184791</v>
      </c>
      <c r="W3242" s="4" t="str">
        <f>"F13E6.1"</f>
        <v>F13E6.1</v>
      </c>
      <c r="X3242" s="4">
        <v>10.435511628895799</v>
      </c>
      <c r="Y3242" s="4">
        <v>11.4448219157556</v>
      </c>
      <c r="Z3242" s="4">
        <v>11.1258047687074</v>
      </c>
      <c r="AA3242" s="4">
        <f t="shared" si="194"/>
        <v>11.002046104452935</v>
      </c>
    </row>
    <row r="3243" spans="16:27" x14ac:dyDescent="0.2">
      <c r="P3243" s="4" t="str">
        <f>"Y106G6H.16"</f>
        <v>Y106G6H.16</v>
      </c>
      <c r="Q3243" s="4">
        <v>11.3277893035149</v>
      </c>
      <c r="R3243" s="4">
        <v>11.8199802425939</v>
      </c>
      <c r="S3243" s="4">
        <v>11.7748149396063</v>
      </c>
      <c r="T3243" s="4">
        <f t="shared" si="193"/>
        <v>11.640861495238367</v>
      </c>
      <c r="W3243" s="4" t="str">
        <f>"bpnt-1"</f>
        <v>bpnt-1</v>
      </c>
      <c r="X3243" s="4">
        <v>10.8040987277599</v>
      </c>
      <c r="Y3243" s="4">
        <v>9.9084497969042005</v>
      </c>
      <c r="Z3243" s="4">
        <v>12.2873373824292</v>
      </c>
      <c r="AA3243" s="4">
        <f t="shared" si="194"/>
        <v>10.9999619690311</v>
      </c>
    </row>
    <row r="3244" spans="16:27" x14ac:dyDescent="0.2">
      <c r="P3244" s="4" t="str">
        <f>"F13H8.11"</f>
        <v>F13H8.11</v>
      </c>
      <c r="Q3244" s="4">
        <v>11.929380526373601</v>
      </c>
      <c r="R3244" s="4">
        <v>10.9941849460055</v>
      </c>
      <c r="S3244" s="4">
        <v>11.980122168461801</v>
      </c>
      <c r="T3244" s="4">
        <f t="shared" si="193"/>
        <v>11.634562546946967</v>
      </c>
      <c r="W3244" s="4" t="str">
        <f>"Y17G7B.18"</f>
        <v>Y17G7B.18</v>
      </c>
      <c r="X3244" s="4">
        <v>11.892987464974601</v>
      </c>
      <c r="Y3244" s="4">
        <v>11.125737398085599</v>
      </c>
      <c r="Z3244" s="4">
        <v>9.97544922970385</v>
      </c>
      <c r="AA3244" s="4">
        <f t="shared" si="194"/>
        <v>10.998058030921349</v>
      </c>
    </row>
    <row r="3245" spans="16:27" x14ac:dyDescent="0.2">
      <c r="P3245" s="4" t="str">
        <f>"sdc-1"</f>
        <v>sdc-1</v>
      </c>
      <c r="Q3245" s="4">
        <v>11.5158675030998</v>
      </c>
      <c r="R3245" s="4">
        <v>11.533127180666201</v>
      </c>
      <c r="S3245" s="4">
        <v>11.854255174831501</v>
      </c>
      <c r="T3245" s="4">
        <f t="shared" si="193"/>
        <v>11.634416619532502</v>
      </c>
      <c r="W3245" s="4" t="str">
        <f>"F56G4.6"</f>
        <v>F56G4.6</v>
      </c>
      <c r="X3245" s="4">
        <v>11.1852167012443</v>
      </c>
      <c r="Y3245" s="4">
        <v>11.028131241038301</v>
      </c>
      <c r="Z3245" s="4">
        <v>10.628032720381199</v>
      </c>
      <c r="AA3245" s="4">
        <f t="shared" si="194"/>
        <v>10.947126887554601</v>
      </c>
    </row>
    <row r="3246" spans="16:27" x14ac:dyDescent="0.2">
      <c r="P3246" s="4" t="str">
        <f>"clec-91"</f>
        <v>clec-91</v>
      </c>
      <c r="Q3246" s="4">
        <v>11.2770146751827</v>
      </c>
      <c r="R3246" s="4">
        <v>11.8327074752144</v>
      </c>
      <c r="S3246" s="4">
        <v>11.775271950819</v>
      </c>
      <c r="T3246" s="4">
        <f t="shared" si="193"/>
        <v>11.628331367072034</v>
      </c>
      <c r="W3246" s="4" t="str">
        <f>"col-93"</f>
        <v>col-93</v>
      </c>
      <c r="X3246" s="4">
        <v>10.922768111295101</v>
      </c>
      <c r="Y3246" s="4">
        <v>11.430049509401901</v>
      </c>
      <c r="Z3246" s="4">
        <v>10.415291004782601</v>
      </c>
      <c r="AA3246" s="4">
        <f t="shared" si="194"/>
        <v>10.922702875159869</v>
      </c>
    </row>
    <row r="3247" spans="16:27" x14ac:dyDescent="0.2">
      <c r="P3247" s="4" t="str">
        <f>"Y17G7B.18"</f>
        <v>Y17G7B.18</v>
      </c>
      <c r="Q3247" s="4">
        <v>11.2464719478189</v>
      </c>
      <c r="R3247" s="4">
        <v>11.728243105341299</v>
      </c>
      <c r="S3247" s="4">
        <v>11.899036956317399</v>
      </c>
      <c r="T3247" s="4">
        <f t="shared" si="193"/>
        <v>11.6245840031592</v>
      </c>
      <c r="W3247" s="4" t="str">
        <f>"pqbp-1.1"</f>
        <v>pqbp-1.1</v>
      </c>
      <c r="X3247" s="4">
        <v>10.908908144266301</v>
      </c>
      <c r="Y3247" s="4">
        <v>10.9161196022417</v>
      </c>
      <c r="Z3247" s="4">
        <v>10.743964982466199</v>
      </c>
      <c r="AA3247" s="4">
        <f t="shared" si="194"/>
        <v>10.856330909658064</v>
      </c>
    </row>
    <row r="3248" spans="16:27" x14ac:dyDescent="0.2">
      <c r="P3248" s="4" t="str">
        <f>"nhr-32"</f>
        <v>nhr-32</v>
      </c>
      <c r="Q3248" s="4">
        <v>11.7214313158709</v>
      </c>
      <c r="R3248" s="4">
        <v>11.802911288158899</v>
      </c>
      <c r="S3248" s="4">
        <v>11.3398229661587</v>
      </c>
      <c r="T3248" s="4">
        <f t="shared" si="193"/>
        <v>11.621388523396165</v>
      </c>
      <c r="W3248" s="4" t="str">
        <f>"sdc-1"</f>
        <v>sdc-1</v>
      </c>
      <c r="X3248" s="4">
        <v>11.708386716923901</v>
      </c>
      <c r="Y3248" s="4">
        <v>10.2782605356132</v>
      </c>
      <c r="Z3248" s="4">
        <v>10.5628330146075</v>
      </c>
      <c r="AA3248" s="4">
        <f t="shared" si="194"/>
        <v>10.849826755714867</v>
      </c>
    </row>
    <row r="3249" spans="16:27" x14ac:dyDescent="0.2">
      <c r="P3249" s="4" t="str">
        <f>"ccm-2"</f>
        <v>ccm-2</v>
      </c>
      <c r="Q3249" s="4">
        <v>11.597105799174701</v>
      </c>
      <c r="R3249" s="4">
        <v>11.602552279767099</v>
      </c>
      <c r="S3249" s="4">
        <v>11.661537092268899</v>
      </c>
      <c r="T3249" s="4">
        <f t="shared" si="193"/>
        <v>11.620398390403567</v>
      </c>
      <c r="W3249" s="4" t="str">
        <f>"F47G3.3"</f>
        <v>F47G3.3</v>
      </c>
      <c r="X3249" s="4">
        <v>11.866407960036801</v>
      </c>
      <c r="Y3249" s="4">
        <v>10.1513499932299</v>
      </c>
      <c r="Z3249" s="4">
        <v>10.4132253946322</v>
      </c>
      <c r="AA3249" s="4">
        <f t="shared" si="194"/>
        <v>10.810327782632967</v>
      </c>
    </row>
    <row r="3250" spans="16:27" x14ac:dyDescent="0.2">
      <c r="P3250" s="4" t="str">
        <f>"sago-2"</f>
        <v>sago-2</v>
      </c>
      <c r="Q3250" s="4">
        <v>10.9340926569595</v>
      </c>
      <c r="R3250" s="4">
        <v>12.013675824472999</v>
      </c>
      <c r="S3250" s="4">
        <v>11.911057520476</v>
      </c>
      <c r="T3250" s="4">
        <f t="shared" si="193"/>
        <v>11.619608667302833</v>
      </c>
      <c r="W3250" s="4" t="str">
        <f>"sur-2"</f>
        <v>sur-2</v>
      </c>
      <c r="X3250" s="4">
        <v>10.5910056730121</v>
      </c>
      <c r="Y3250" s="4">
        <v>11.142748767751</v>
      </c>
      <c r="Z3250" s="4">
        <v>10.673430613257</v>
      </c>
      <c r="AA3250" s="4">
        <f t="shared" si="194"/>
        <v>10.802395018006701</v>
      </c>
    </row>
    <row r="3251" spans="16:27" x14ac:dyDescent="0.2">
      <c r="P3251" s="4" t="str">
        <f>"Y50D7A.10"</f>
        <v>Y50D7A.10</v>
      </c>
      <c r="Q3251" s="4">
        <v>11.625428246288401</v>
      </c>
      <c r="R3251" s="4">
        <v>11.5573213360403</v>
      </c>
      <c r="S3251" s="4">
        <v>11.660626423625301</v>
      </c>
      <c r="T3251" s="4">
        <f t="shared" si="193"/>
        <v>11.614458668651332</v>
      </c>
      <c r="W3251" s="4" t="str">
        <f>"ced-3"</f>
        <v>ced-3</v>
      </c>
      <c r="X3251" s="4">
        <v>11.2026396129198</v>
      </c>
      <c r="Y3251" s="4">
        <v>10.7160278926468</v>
      </c>
      <c r="Z3251" s="4">
        <v>10.4725390776442</v>
      </c>
      <c r="AA3251" s="4">
        <f t="shared" si="194"/>
        <v>10.797068861070267</v>
      </c>
    </row>
    <row r="3252" spans="16:27" x14ac:dyDescent="0.2">
      <c r="P3252" s="4" t="str">
        <f>"F59E11.5"</f>
        <v>F59E11.5</v>
      </c>
      <c r="Q3252" s="4">
        <v>10.6836385749294</v>
      </c>
      <c r="R3252" s="4">
        <v>12.266915173749901</v>
      </c>
      <c r="S3252" s="4">
        <v>11.8872621457341</v>
      </c>
      <c r="T3252" s="4">
        <f t="shared" si="193"/>
        <v>11.612605298137801</v>
      </c>
      <c r="W3252" s="4" t="str">
        <f>"F10G7.10"</f>
        <v>F10G7.10</v>
      </c>
      <c r="X3252" s="4">
        <v>10.6852543853313</v>
      </c>
      <c r="Y3252" s="4">
        <v>10.8779337549378</v>
      </c>
      <c r="Z3252" s="4">
        <v>10.717135221152001</v>
      </c>
      <c r="AA3252" s="4">
        <f t="shared" si="194"/>
        <v>10.760107787140365</v>
      </c>
    </row>
    <row r="3253" spans="16:27" x14ac:dyDescent="0.2">
      <c r="P3253" s="4" t="str">
        <f>"Y53C12B.1"</f>
        <v>Y53C12B.1</v>
      </c>
      <c r="Q3253" s="4">
        <v>11.371613232024201</v>
      </c>
      <c r="R3253" s="4">
        <v>11.670178912582999</v>
      </c>
      <c r="S3253" s="4">
        <v>11.790171924424399</v>
      </c>
      <c r="T3253" s="4">
        <f t="shared" si="193"/>
        <v>11.610654689677199</v>
      </c>
      <c r="W3253" s="4" t="str">
        <f>"gst-4"</f>
        <v>gst-4</v>
      </c>
      <c r="X3253" s="4">
        <v>10.7683048030917</v>
      </c>
      <c r="Y3253" s="4">
        <v>10.818393851454699</v>
      </c>
      <c r="Z3253" s="4">
        <v>10.634063508833799</v>
      </c>
      <c r="AA3253" s="4">
        <f t="shared" si="194"/>
        <v>10.740254054460067</v>
      </c>
    </row>
    <row r="3254" spans="16:27" x14ac:dyDescent="0.2">
      <c r="P3254" s="4" t="str">
        <f>"Y71H2AM.20"</f>
        <v>Y71H2AM.20</v>
      </c>
      <c r="Q3254" s="4">
        <v>11.340899922443899</v>
      </c>
      <c r="R3254" s="4">
        <v>11.9503035321061</v>
      </c>
      <c r="S3254" s="4">
        <v>11.535111830081499</v>
      </c>
      <c r="T3254" s="4">
        <f t="shared" si="193"/>
        <v>11.608771761543833</v>
      </c>
      <c r="W3254" s="4" t="str">
        <f>"Y39E4B.5"</f>
        <v>Y39E4B.5</v>
      </c>
      <c r="X3254" s="4">
        <v>10.5843000340406</v>
      </c>
      <c r="Y3254" s="4">
        <v>10.819496841599801</v>
      </c>
      <c r="Z3254" s="4">
        <v>10.7881212572004</v>
      </c>
      <c r="AA3254" s="4">
        <f t="shared" si="194"/>
        <v>10.730639377613601</v>
      </c>
    </row>
    <row r="3255" spans="16:27" x14ac:dyDescent="0.2">
      <c r="P3255" s="4" t="str">
        <f>"dpy-19"</f>
        <v>dpy-19</v>
      </c>
      <c r="Q3255" s="4">
        <v>11.598087558583</v>
      </c>
      <c r="R3255" s="4">
        <v>11.6033178124923</v>
      </c>
      <c r="S3255" s="4">
        <v>11.6227888295754</v>
      </c>
      <c r="T3255" s="4">
        <f t="shared" si="193"/>
        <v>11.608064733550234</v>
      </c>
      <c r="W3255" s="4" t="str">
        <f>"unc-98"</f>
        <v>unc-98</v>
      </c>
      <c r="X3255" s="4">
        <v>10.4782219941888</v>
      </c>
      <c r="Y3255" s="4">
        <v>11.1709544916305</v>
      </c>
      <c r="Z3255" s="4">
        <v>10.518336077322299</v>
      </c>
      <c r="AA3255" s="4">
        <f t="shared" si="194"/>
        <v>10.722504187713866</v>
      </c>
    </row>
    <row r="3256" spans="16:27" x14ac:dyDescent="0.2">
      <c r="P3256" s="4" t="str">
        <f>"let-611"</f>
        <v>let-611</v>
      </c>
      <c r="Q3256" s="4">
        <v>11.400559240685601</v>
      </c>
      <c r="R3256" s="4">
        <v>12.003691229429499</v>
      </c>
      <c r="S3256" s="4">
        <v>11.4022297948896</v>
      </c>
      <c r="T3256" s="4">
        <f t="shared" si="193"/>
        <v>11.6021600883349</v>
      </c>
      <c r="W3256" s="4" t="str">
        <f>"tag-151"</f>
        <v>tag-151</v>
      </c>
      <c r="X3256" s="4">
        <v>10.5178366663236</v>
      </c>
      <c r="Y3256" s="4">
        <v>10.9838094437573</v>
      </c>
      <c r="Z3256" s="4">
        <v>10.5964294177016</v>
      </c>
      <c r="AA3256" s="4">
        <f t="shared" si="194"/>
        <v>10.699358509260833</v>
      </c>
    </row>
    <row r="3257" spans="16:27" x14ac:dyDescent="0.2">
      <c r="P3257" s="4" t="str">
        <f>"pas-6"</f>
        <v>pas-6</v>
      </c>
      <c r="Q3257" s="4">
        <v>10.5999965362289</v>
      </c>
      <c r="R3257" s="4">
        <v>12.570073715422801</v>
      </c>
      <c r="S3257" s="4">
        <v>11.633036273258799</v>
      </c>
      <c r="T3257" s="4">
        <f t="shared" si="193"/>
        <v>11.601035508303502</v>
      </c>
      <c r="W3257" s="4" t="str">
        <f>"F53A10.2"</f>
        <v>F53A10.2</v>
      </c>
      <c r="X3257" s="4">
        <v>10.7869058827771</v>
      </c>
      <c r="Y3257" s="4">
        <v>10.0815291435669</v>
      </c>
      <c r="Z3257" s="4">
        <v>11.142831334793501</v>
      </c>
      <c r="AA3257" s="4">
        <f t="shared" si="194"/>
        <v>10.670422120379166</v>
      </c>
    </row>
    <row r="3258" spans="16:27" x14ac:dyDescent="0.2">
      <c r="P3258" s="4" t="str">
        <f>"sid-3"</f>
        <v>sid-3</v>
      </c>
      <c r="Q3258" s="4">
        <v>11.5102836618154</v>
      </c>
      <c r="R3258" s="4">
        <v>11.835006983324</v>
      </c>
      <c r="S3258" s="4">
        <v>11.413730739138201</v>
      </c>
      <c r="T3258" s="4">
        <f t="shared" si="193"/>
        <v>11.586340461425868</v>
      </c>
      <c r="W3258" s="4" t="str">
        <f>"gbh-2"</f>
        <v>gbh-2</v>
      </c>
      <c r="X3258" s="4">
        <v>10.0817186690134</v>
      </c>
      <c r="Y3258" s="4">
        <v>10.003770236043</v>
      </c>
      <c r="Z3258" s="4">
        <v>11.4053963229206</v>
      </c>
      <c r="AA3258" s="4">
        <f t="shared" si="194"/>
        <v>10.496961742659002</v>
      </c>
    </row>
    <row r="3259" spans="16:27" x14ac:dyDescent="0.2">
      <c r="P3259" s="4" t="str">
        <f>"klp-15"</f>
        <v>klp-15</v>
      </c>
      <c r="Q3259" s="4">
        <v>11.7063827869161</v>
      </c>
      <c r="R3259" s="4">
        <v>11.902206135565701</v>
      </c>
      <c r="S3259" s="4">
        <v>11.1049469232867</v>
      </c>
      <c r="T3259" s="4">
        <f t="shared" si="193"/>
        <v>11.571178615256168</v>
      </c>
      <c r="W3259" s="4" t="str">
        <f>"F52E4.5"</f>
        <v>F52E4.5</v>
      </c>
      <c r="X3259" s="4">
        <v>10.1041565255859</v>
      </c>
      <c r="Y3259" s="4">
        <v>10.6216709805873</v>
      </c>
      <c r="Z3259" s="4">
        <v>10.6485634367055</v>
      </c>
      <c r="AA3259" s="4">
        <f t="shared" si="194"/>
        <v>10.4581303142929</v>
      </c>
    </row>
    <row r="3260" spans="16:27" x14ac:dyDescent="0.2">
      <c r="P3260" s="4" t="str">
        <f>"aka-1"</f>
        <v>aka-1</v>
      </c>
      <c r="Q3260" s="4">
        <v>11.5999386726685</v>
      </c>
      <c r="R3260" s="4">
        <v>11.400171921581901</v>
      </c>
      <c r="S3260" s="4">
        <v>11.6875144491472</v>
      </c>
      <c r="T3260" s="4">
        <f t="shared" si="193"/>
        <v>11.562541681132535</v>
      </c>
      <c r="W3260" s="4" t="str">
        <f>"daf-4"</f>
        <v>daf-4</v>
      </c>
      <c r="X3260" s="4">
        <v>10.2438661237054</v>
      </c>
      <c r="Y3260" s="4">
        <v>11.01104443082</v>
      </c>
      <c r="Z3260" s="4">
        <v>10.0747103876681</v>
      </c>
      <c r="AA3260" s="4">
        <f t="shared" si="194"/>
        <v>10.443206980731167</v>
      </c>
    </row>
    <row r="3261" spans="16:27" x14ac:dyDescent="0.2">
      <c r="P3261" s="4" t="str">
        <f>"F56G4.6"</f>
        <v>F56G4.6</v>
      </c>
      <c r="Q3261" s="4">
        <v>11.1887935580154</v>
      </c>
      <c r="R3261" s="4">
        <v>12.074054930542999</v>
      </c>
      <c r="S3261" s="4">
        <v>11.4233740838303</v>
      </c>
      <c r="T3261" s="4">
        <f t="shared" si="193"/>
        <v>11.562074190796233</v>
      </c>
      <c r="W3261" s="4" t="str">
        <f>"C48B4.6"</f>
        <v>C48B4.6</v>
      </c>
      <c r="X3261" s="4">
        <v>10.837562986086001</v>
      </c>
      <c r="Y3261" s="4">
        <v>10.0145867169108</v>
      </c>
      <c r="Z3261" s="4">
        <v>10.2775325287343</v>
      </c>
      <c r="AA3261" s="4">
        <f t="shared" si="194"/>
        <v>10.376560743910368</v>
      </c>
    </row>
    <row r="3262" spans="16:27" x14ac:dyDescent="0.2">
      <c r="P3262" s="4" t="str">
        <f>"mtm-9"</f>
        <v>mtm-9</v>
      </c>
      <c r="Q3262" s="4">
        <v>11.897712469396399</v>
      </c>
      <c r="R3262" s="4">
        <v>11.466104312209101</v>
      </c>
      <c r="S3262" s="4">
        <v>11.312225653502299</v>
      </c>
      <c r="T3262" s="4">
        <f t="shared" si="193"/>
        <v>11.558680811702601</v>
      </c>
      <c r="W3262" s="4" t="str">
        <f>"clic-1"</f>
        <v>clic-1</v>
      </c>
      <c r="X3262" s="4">
        <v>10.351253997891</v>
      </c>
      <c r="Y3262" s="4">
        <v>10.10599500863</v>
      </c>
      <c r="Z3262" s="4">
        <v>10.4735921687329</v>
      </c>
      <c r="AA3262" s="4">
        <f t="shared" si="194"/>
        <v>10.3102803917513</v>
      </c>
    </row>
    <row r="3263" spans="16:27" x14ac:dyDescent="0.2">
      <c r="P3263" s="4" t="str">
        <f>"gtf-2h1"</f>
        <v>gtf-2h1</v>
      </c>
      <c r="Q3263" s="4">
        <v>11.076070008231</v>
      </c>
      <c r="R3263" s="4">
        <v>11.8319234404717</v>
      </c>
      <c r="S3263" s="4">
        <v>11.757101100661799</v>
      </c>
      <c r="T3263" s="4">
        <f t="shared" si="193"/>
        <v>11.555031516454832</v>
      </c>
    </row>
    <row r="3264" spans="16:27" x14ac:dyDescent="0.2">
      <c r="P3264" s="4" t="str">
        <f>"K12D12.5"</f>
        <v>K12D12.5</v>
      </c>
      <c r="Q3264" s="4">
        <v>11.3748312929202</v>
      </c>
      <c r="R3264" s="4">
        <v>11.2666120673222</v>
      </c>
      <c r="S3264" s="4">
        <v>11.972549416100501</v>
      </c>
      <c r="T3264" s="4">
        <f t="shared" si="193"/>
        <v>11.5379975921143</v>
      </c>
    </row>
    <row r="3265" spans="16:20" x14ac:dyDescent="0.2">
      <c r="P3265" s="4" t="str">
        <f>"mlt-4"</f>
        <v>mlt-4</v>
      </c>
      <c r="Q3265" s="4">
        <v>11.426914187898999</v>
      </c>
      <c r="R3265" s="4">
        <v>11.957405489765099</v>
      </c>
      <c r="S3265" s="4">
        <v>11.224661836058299</v>
      </c>
      <c r="T3265" s="4">
        <f t="shared" si="193"/>
        <v>11.536327171240799</v>
      </c>
    </row>
    <row r="3266" spans="16:20" x14ac:dyDescent="0.2">
      <c r="P3266" s="4" t="str">
        <f>"nex-1"</f>
        <v>nex-1</v>
      </c>
      <c r="Q3266" s="4">
        <v>11.2999529101072</v>
      </c>
      <c r="R3266" s="4">
        <v>12.2767963303041</v>
      </c>
      <c r="S3266" s="4">
        <v>10.977682535518399</v>
      </c>
      <c r="T3266" s="4">
        <f t="shared" ref="T3266:T3305" si="195">(Q3266+R3266+S3266)/3</f>
        <v>11.5181439253099</v>
      </c>
    </row>
    <row r="3267" spans="16:20" x14ac:dyDescent="0.2">
      <c r="P3267" s="4" t="str">
        <f>"F53A10.2"</f>
        <v>F53A10.2</v>
      </c>
      <c r="Q3267" s="4">
        <v>10.781350593817701</v>
      </c>
      <c r="R3267" s="4">
        <v>11.9960308022908</v>
      </c>
      <c r="S3267" s="4">
        <v>11.7678767309809</v>
      </c>
      <c r="T3267" s="4">
        <f t="shared" si="195"/>
        <v>11.515086042363135</v>
      </c>
    </row>
    <row r="3268" spans="16:20" x14ac:dyDescent="0.2">
      <c r="P3268" s="4" t="str">
        <f>"eri-12"</f>
        <v>eri-12</v>
      </c>
      <c r="Q3268" s="4">
        <v>11.3194929488991</v>
      </c>
      <c r="R3268" s="4">
        <v>11.704263164651801</v>
      </c>
      <c r="S3268" s="4">
        <v>11.498625005867</v>
      </c>
      <c r="T3268" s="4">
        <f t="shared" si="195"/>
        <v>11.507460373139301</v>
      </c>
    </row>
    <row r="3269" spans="16:20" x14ac:dyDescent="0.2">
      <c r="P3269" s="4" t="str">
        <f>"F38A5.22"</f>
        <v>F38A5.22</v>
      </c>
      <c r="Q3269" s="4">
        <v>11.262179221193801</v>
      </c>
      <c r="R3269" s="4">
        <v>11.706094328769799</v>
      </c>
      <c r="S3269" s="4">
        <v>11.547863901237401</v>
      </c>
      <c r="T3269" s="4">
        <f t="shared" si="195"/>
        <v>11.505379150400332</v>
      </c>
    </row>
    <row r="3270" spans="16:20" x14ac:dyDescent="0.2">
      <c r="P3270" s="4" t="str">
        <f>"C37A2.7"</f>
        <v>C37A2.7</v>
      </c>
      <c r="Q3270" s="4">
        <v>11.343516683453499</v>
      </c>
      <c r="R3270" s="4">
        <v>11.879888822067199</v>
      </c>
      <c r="S3270" s="4">
        <v>11.2925567115362</v>
      </c>
      <c r="T3270" s="4">
        <f t="shared" si="195"/>
        <v>11.505320739018964</v>
      </c>
    </row>
    <row r="3271" spans="16:20" x14ac:dyDescent="0.2">
      <c r="P3271" s="4" t="str">
        <f>"T01H3.2"</f>
        <v>T01H3.2</v>
      </c>
      <c r="Q3271" s="4">
        <v>11.0014026328534</v>
      </c>
      <c r="R3271" s="4">
        <v>11.846885167658399</v>
      </c>
      <c r="S3271" s="4">
        <v>11.652708849663</v>
      </c>
      <c r="T3271" s="4">
        <f t="shared" si="195"/>
        <v>11.500332216724933</v>
      </c>
    </row>
    <row r="3272" spans="16:20" x14ac:dyDescent="0.2">
      <c r="P3272" s="4" t="str">
        <f>"sqv-6"</f>
        <v>sqv-6</v>
      </c>
      <c r="Q3272" s="4">
        <v>11.4197737982392</v>
      </c>
      <c r="R3272" s="4">
        <v>11.4947741452168</v>
      </c>
      <c r="S3272" s="4">
        <v>11.5685600357954</v>
      </c>
      <c r="T3272" s="4">
        <f t="shared" si="195"/>
        <v>11.494369326417134</v>
      </c>
    </row>
    <row r="3273" spans="16:20" x14ac:dyDescent="0.2">
      <c r="P3273" s="4" t="str">
        <f>"K07C5.2"</f>
        <v>K07C5.2</v>
      </c>
      <c r="Q3273" s="4">
        <v>11.2062149575888</v>
      </c>
      <c r="R3273" s="4">
        <v>11.708651931034201</v>
      </c>
      <c r="S3273" s="4">
        <v>11.5612973801792</v>
      </c>
      <c r="T3273" s="4">
        <f t="shared" si="195"/>
        <v>11.4920547562674</v>
      </c>
    </row>
    <row r="3274" spans="16:20" x14ac:dyDescent="0.2">
      <c r="P3274" s="4" t="str">
        <f>"cyp-32a1"</f>
        <v>cyp-32a1</v>
      </c>
      <c r="Q3274" s="4">
        <v>11.1350091912281</v>
      </c>
      <c r="R3274" s="4">
        <v>11.744083633302299</v>
      </c>
      <c r="S3274" s="4">
        <v>11.561447400905401</v>
      </c>
      <c r="T3274" s="4">
        <f t="shared" si="195"/>
        <v>11.480180075145265</v>
      </c>
    </row>
    <row r="3275" spans="16:20" x14ac:dyDescent="0.2">
      <c r="P3275" s="4" t="str">
        <f>"lam-3"</f>
        <v>lam-3</v>
      </c>
      <c r="Q3275" s="4">
        <v>11.0972131326981</v>
      </c>
      <c r="R3275" s="4">
        <v>11.641746414042</v>
      </c>
      <c r="S3275" s="4">
        <v>11.644672115832099</v>
      </c>
      <c r="T3275" s="4">
        <f t="shared" si="195"/>
        <v>11.461210554190734</v>
      </c>
    </row>
    <row r="3276" spans="16:20" x14ac:dyDescent="0.2">
      <c r="P3276" s="4" t="str">
        <f>"T05H4.4"</f>
        <v>T05H4.4</v>
      </c>
      <c r="Q3276" s="4">
        <v>11.5234018041113</v>
      </c>
      <c r="R3276" s="4">
        <v>11.646095943228501</v>
      </c>
      <c r="S3276" s="4">
        <v>11.177759132132101</v>
      </c>
      <c r="T3276" s="4">
        <f t="shared" si="195"/>
        <v>11.449085626490634</v>
      </c>
    </row>
    <row r="3277" spans="16:20" x14ac:dyDescent="0.2">
      <c r="P3277" s="4" t="str">
        <f>"F17C11.11"</f>
        <v>F17C11.11</v>
      </c>
      <c r="Q3277" s="4">
        <v>11.057652710488</v>
      </c>
      <c r="R3277" s="4">
        <v>11.8708723214146</v>
      </c>
      <c r="S3277" s="4">
        <v>11.3893652490266</v>
      </c>
      <c r="T3277" s="4">
        <f t="shared" si="195"/>
        <v>11.439296760309736</v>
      </c>
    </row>
    <row r="3278" spans="16:20" x14ac:dyDescent="0.2">
      <c r="P3278" s="4" t="str">
        <f>"F34H10.3"</f>
        <v>F34H10.3</v>
      </c>
      <c r="Q3278" s="4">
        <v>11.345900878951101</v>
      </c>
      <c r="R3278" s="4">
        <v>11.8551269721534</v>
      </c>
      <c r="S3278" s="4">
        <v>11.0774510414417</v>
      </c>
      <c r="T3278" s="4">
        <f t="shared" si="195"/>
        <v>11.426159630848732</v>
      </c>
    </row>
    <row r="3279" spans="16:20" x14ac:dyDescent="0.2">
      <c r="P3279" s="4" t="str">
        <f>"cul-6"</f>
        <v>cul-6</v>
      </c>
      <c r="Q3279" s="4">
        <v>10.826809137619</v>
      </c>
      <c r="R3279" s="4">
        <v>12.040116494675701</v>
      </c>
      <c r="S3279" s="4">
        <v>11.364035617171799</v>
      </c>
      <c r="T3279" s="4">
        <f t="shared" si="195"/>
        <v>11.410320416488835</v>
      </c>
    </row>
    <row r="3280" spans="16:20" x14ac:dyDescent="0.2">
      <c r="P3280" s="4" t="str">
        <f>"piki-1"</f>
        <v>piki-1</v>
      </c>
      <c r="Q3280" s="4">
        <v>11.049330735512299</v>
      </c>
      <c r="R3280" s="4">
        <v>11.7101899115326</v>
      </c>
      <c r="S3280" s="4">
        <v>11.4214465477265</v>
      </c>
      <c r="T3280" s="4">
        <f t="shared" si="195"/>
        <v>11.393655731590465</v>
      </c>
    </row>
    <row r="3281" spans="16:20" x14ac:dyDescent="0.2">
      <c r="P3281" s="4" t="str">
        <f>"B0507.6"</f>
        <v>B0507.6</v>
      </c>
      <c r="Q3281" s="4">
        <v>10.723149124856601</v>
      </c>
      <c r="R3281" s="4">
        <v>11.7720692606876</v>
      </c>
      <c r="S3281" s="4">
        <v>11.6819060571619</v>
      </c>
      <c r="T3281" s="4">
        <f t="shared" si="195"/>
        <v>11.392374814235367</v>
      </c>
    </row>
    <row r="3282" spans="16:20" x14ac:dyDescent="0.2">
      <c r="P3282" s="4" t="str">
        <f>"fre-1"</f>
        <v>fre-1</v>
      </c>
      <c r="Q3282" s="4">
        <v>10.9030223968561</v>
      </c>
      <c r="R3282" s="4">
        <v>11.902398566575</v>
      </c>
      <c r="S3282" s="4">
        <v>11.3345296841705</v>
      </c>
      <c r="T3282" s="4">
        <f t="shared" si="195"/>
        <v>11.379983549200533</v>
      </c>
    </row>
    <row r="3283" spans="16:20" x14ac:dyDescent="0.2">
      <c r="P3283" s="4" t="str">
        <f>"Y47G6A.18"</f>
        <v>Y47G6A.18</v>
      </c>
      <c r="Q3283" s="4">
        <v>11.064616838760401</v>
      </c>
      <c r="R3283" s="4">
        <v>12.0773166043437</v>
      </c>
      <c r="S3283" s="4">
        <v>10.986606232072401</v>
      </c>
      <c r="T3283" s="4">
        <f t="shared" si="195"/>
        <v>11.376179891725499</v>
      </c>
    </row>
    <row r="3284" spans="16:20" x14ac:dyDescent="0.2">
      <c r="P3284" s="4" t="str">
        <f>"F40G9.5"</f>
        <v>F40G9.5</v>
      </c>
      <c r="Q3284" s="4">
        <v>11.2762010955717</v>
      </c>
      <c r="R3284" s="4">
        <v>11.6200437366183</v>
      </c>
      <c r="S3284" s="4">
        <v>11.0996046527523</v>
      </c>
      <c r="T3284" s="4">
        <f t="shared" si="195"/>
        <v>11.3319498283141</v>
      </c>
    </row>
    <row r="3285" spans="16:20" x14ac:dyDescent="0.2">
      <c r="P3285" s="4" t="str">
        <f>"pals-39"</f>
        <v>pals-39</v>
      </c>
      <c r="Q3285" s="4">
        <v>10.973205845805399</v>
      </c>
      <c r="R3285" s="4">
        <v>11.785206692287501</v>
      </c>
      <c r="S3285" s="4">
        <v>11.2365008614626</v>
      </c>
      <c r="T3285" s="4">
        <f t="shared" si="195"/>
        <v>11.331637799851833</v>
      </c>
    </row>
    <row r="3286" spans="16:20" x14ac:dyDescent="0.2">
      <c r="P3286" s="4" t="str">
        <f>"pqbp-1.1"</f>
        <v>pqbp-1.1</v>
      </c>
      <c r="Q3286" s="4">
        <v>10.725903227509599</v>
      </c>
      <c r="R3286" s="4">
        <v>11.708588703053101</v>
      </c>
      <c r="S3286" s="4">
        <v>11.544129830827799</v>
      </c>
      <c r="T3286" s="4">
        <f t="shared" si="195"/>
        <v>11.326207253796833</v>
      </c>
    </row>
    <row r="3287" spans="16:20" x14ac:dyDescent="0.2">
      <c r="P3287" s="4" t="str">
        <f>"mfb-1"</f>
        <v>mfb-1</v>
      </c>
      <c r="Q3287" s="4">
        <v>10.8324962718672</v>
      </c>
      <c r="R3287" s="4">
        <v>11.7722427462871</v>
      </c>
      <c r="S3287" s="4">
        <v>11.274115769589599</v>
      </c>
      <c r="T3287" s="4">
        <f t="shared" si="195"/>
        <v>11.292951595914632</v>
      </c>
    </row>
    <row r="3288" spans="16:20" x14ac:dyDescent="0.2">
      <c r="P3288" s="4" t="str">
        <f>"adsl-1"</f>
        <v>adsl-1</v>
      </c>
      <c r="Q3288" s="4">
        <v>10.972640725646899</v>
      </c>
      <c r="R3288" s="4">
        <v>11.782439194446701</v>
      </c>
      <c r="S3288" s="4">
        <v>11.123162800413301</v>
      </c>
      <c r="T3288" s="4">
        <f t="shared" si="195"/>
        <v>11.292747573502302</v>
      </c>
    </row>
    <row r="3289" spans="16:20" x14ac:dyDescent="0.2">
      <c r="P3289" s="4" t="str">
        <f>"eea-1"</f>
        <v>eea-1</v>
      </c>
      <c r="Q3289" s="4">
        <v>11.2248619967768</v>
      </c>
      <c r="R3289" s="4">
        <v>11.5511676486467</v>
      </c>
      <c r="S3289" s="4">
        <v>11.066215312230399</v>
      </c>
      <c r="T3289" s="4">
        <f t="shared" si="195"/>
        <v>11.280748319217965</v>
      </c>
    </row>
    <row r="3290" spans="16:20" x14ac:dyDescent="0.2">
      <c r="P3290" s="4" t="str">
        <f>"vps-50"</f>
        <v>vps-50</v>
      </c>
      <c r="Q3290" s="4">
        <v>10.5548459428672</v>
      </c>
      <c r="R3290" s="4">
        <v>11.861726460462</v>
      </c>
      <c r="S3290" s="4">
        <v>11.425166278170099</v>
      </c>
      <c r="T3290" s="4">
        <f t="shared" si="195"/>
        <v>11.280579560499765</v>
      </c>
    </row>
    <row r="3291" spans="16:20" x14ac:dyDescent="0.2">
      <c r="P3291" s="4" t="str">
        <f>"F10G7.10"</f>
        <v>F10G7.10</v>
      </c>
      <c r="Q3291" s="4">
        <v>10.8276936852091</v>
      </c>
      <c r="R3291" s="4">
        <v>11.602931606514</v>
      </c>
      <c r="S3291" s="4">
        <v>11.3623906326761</v>
      </c>
      <c r="T3291" s="4">
        <f t="shared" si="195"/>
        <v>11.2643386414664</v>
      </c>
    </row>
    <row r="3292" spans="16:20" x14ac:dyDescent="0.2">
      <c r="P3292" s="4" t="str">
        <f>"Y39A1A.3"</f>
        <v>Y39A1A.3</v>
      </c>
      <c r="Q3292" s="4">
        <v>10.8126601997192</v>
      </c>
      <c r="R3292" s="4">
        <v>11.706778684883</v>
      </c>
      <c r="S3292" s="4">
        <v>11.1333236454486</v>
      </c>
      <c r="T3292" s="4">
        <f t="shared" si="195"/>
        <v>11.217587510016934</v>
      </c>
    </row>
    <row r="3293" spans="16:20" x14ac:dyDescent="0.2">
      <c r="P3293" s="4" t="str">
        <f>"vha-9"</f>
        <v>vha-9</v>
      </c>
      <c r="Q3293" s="4">
        <v>11.4636836070319</v>
      </c>
      <c r="R3293" s="4">
        <v>11.360321929143399</v>
      </c>
      <c r="S3293" s="4">
        <v>10.786899528340699</v>
      </c>
      <c r="T3293" s="4">
        <f t="shared" si="195"/>
        <v>11.203635021505333</v>
      </c>
    </row>
    <row r="3294" spans="16:20" x14ac:dyDescent="0.2">
      <c r="P3294" s="4" t="str">
        <f>"cup-14"</f>
        <v>cup-14</v>
      </c>
      <c r="Q3294" s="4">
        <v>10.987860997644701</v>
      </c>
      <c r="R3294" s="4">
        <v>11.6371339260892</v>
      </c>
      <c r="S3294" s="4">
        <v>10.9739466241407</v>
      </c>
      <c r="T3294" s="4">
        <f t="shared" si="195"/>
        <v>11.199647182624867</v>
      </c>
    </row>
    <row r="3295" spans="16:20" x14ac:dyDescent="0.2">
      <c r="P3295" s="4" t="str">
        <f>"scm-1"</f>
        <v>scm-1</v>
      </c>
      <c r="Q3295" s="4">
        <v>10.252503244430599</v>
      </c>
      <c r="R3295" s="4">
        <v>11.5628163240993</v>
      </c>
      <c r="S3295" s="4">
        <v>11.766153982028801</v>
      </c>
      <c r="T3295" s="4">
        <f t="shared" si="195"/>
        <v>11.193824516852899</v>
      </c>
    </row>
    <row r="3296" spans="16:20" x14ac:dyDescent="0.2">
      <c r="P3296" s="4" t="str">
        <f>"npp-4"</f>
        <v>npp-4</v>
      </c>
      <c r="Q3296" s="4">
        <v>11.2486929406359</v>
      </c>
      <c r="R3296" s="4">
        <v>11.6111242693406</v>
      </c>
      <c r="S3296" s="4">
        <v>10.7143367841356</v>
      </c>
      <c r="T3296" s="4">
        <f t="shared" si="195"/>
        <v>11.191384664704032</v>
      </c>
    </row>
    <row r="3297" spans="16:20" x14ac:dyDescent="0.2">
      <c r="P3297" s="4" t="str">
        <f>"orc-3"</f>
        <v>orc-3</v>
      </c>
      <c r="Q3297" s="4">
        <v>10.939588509519099</v>
      </c>
      <c r="R3297" s="4">
        <v>11.462065116543799</v>
      </c>
      <c r="S3297" s="4">
        <v>11.1398987018511</v>
      </c>
      <c r="T3297" s="4">
        <f t="shared" si="195"/>
        <v>11.180517442637999</v>
      </c>
    </row>
    <row r="3298" spans="16:20" x14ac:dyDescent="0.2">
      <c r="P3298" s="4" t="str">
        <f>"sem-4"</f>
        <v>sem-4</v>
      </c>
      <c r="Q3298" s="4">
        <v>10.7900489043842</v>
      </c>
      <c r="R3298" s="4">
        <v>11.544483769948499</v>
      </c>
      <c r="S3298" s="4">
        <v>11.1495100336198</v>
      </c>
      <c r="T3298" s="4">
        <f t="shared" si="195"/>
        <v>11.161347569317499</v>
      </c>
    </row>
    <row r="3299" spans="16:20" x14ac:dyDescent="0.2">
      <c r="P3299" s="4" t="str">
        <f>"srw-95"</f>
        <v>srw-95</v>
      </c>
      <c r="Q3299" s="4">
        <v>10.7706553923702</v>
      </c>
      <c r="R3299" s="4">
        <v>11.713648599539001</v>
      </c>
      <c r="S3299" s="4">
        <v>10.9630869632088</v>
      </c>
      <c r="T3299" s="4">
        <f t="shared" si="195"/>
        <v>11.149130318372668</v>
      </c>
    </row>
    <row r="3300" spans="16:20" x14ac:dyDescent="0.2">
      <c r="P3300" s="4" t="str">
        <f>"map-1"</f>
        <v>map-1</v>
      </c>
      <c r="Q3300" s="4">
        <v>10.663117962246099</v>
      </c>
      <c r="R3300" s="4">
        <v>11.6453215482828</v>
      </c>
      <c r="S3300" s="4">
        <v>10.968229545987199</v>
      </c>
      <c r="T3300" s="4">
        <f t="shared" si="195"/>
        <v>11.0922230188387</v>
      </c>
    </row>
    <row r="3301" spans="16:20" x14ac:dyDescent="0.2">
      <c r="P3301" s="4" t="str">
        <f>"far-2"</f>
        <v>far-2</v>
      </c>
      <c r="Q3301" s="4">
        <v>10.044348526193501</v>
      </c>
      <c r="R3301" s="4">
        <v>11.6937924370307</v>
      </c>
      <c r="S3301" s="4">
        <v>11.303779076922799</v>
      </c>
      <c r="T3301" s="4">
        <f t="shared" si="195"/>
        <v>11.013973346715666</v>
      </c>
    </row>
    <row r="3302" spans="16:20" x14ac:dyDescent="0.2">
      <c r="P3302" s="4" t="str">
        <f>"idi-1"</f>
        <v>idi-1</v>
      </c>
      <c r="Q3302" s="4">
        <v>10.940595207652899</v>
      </c>
      <c r="R3302" s="4">
        <v>11.249122106487301</v>
      </c>
      <c r="S3302" s="4">
        <v>10.6028261672082</v>
      </c>
      <c r="T3302" s="4">
        <f t="shared" si="195"/>
        <v>10.930847827116134</v>
      </c>
    </row>
    <row r="3303" spans="16:20" x14ac:dyDescent="0.2">
      <c r="P3303" s="4" t="str">
        <f>"F52E4.5"</f>
        <v>F52E4.5</v>
      </c>
      <c r="Q3303" s="4">
        <v>10.327049533732</v>
      </c>
      <c r="R3303" s="4">
        <v>11.448743375807901</v>
      </c>
      <c r="S3303" s="4">
        <v>10.9362492235199</v>
      </c>
      <c r="T3303" s="4">
        <f t="shared" si="195"/>
        <v>10.904014044353268</v>
      </c>
    </row>
    <row r="3304" spans="16:20" x14ac:dyDescent="0.2">
      <c r="P3304" s="4" t="str">
        <f>"dot-1.1"</f>
        <v>dot-1.1</v>
      </c>
      <c r="Q3304" s="4">
        <v>9.8755319131496098</v>
      </c>
      <c r="R3304" s="4">
        <v>11.5125904409859</v>
      </c>
      <c r="S3304" s="4">
        <v>11.1261435299803</v>
      </c>
      <c r="T3304" s="4">
        <f t="shared" si="195"/>
        <v>10.838088628038605</v>
      </c>
    </row>
    <row r="3305" spans="16:20" x14ac:dyDescent="0.2">
      <c r="P3305" s="4" t="str">
        <f>"C35B1.5"</f>
        <v>C35B1.5</v>
      </c>
      <c r="Q3305" s="4">
        <v>10.183024425537701</v>
      </c>
      <c r="R3305" s="4">
        <v>11.0304945921261</v>
      </c>
      <c r="S3305" s="4">
        <v>10.982957066174199</v>
      </c>
      <c r="T3305" s="4">
        <f t="shared" si="195"/>
        <v>10.732158694612666</v>
      </c>
    </row>
  </sheetData>
  <sortState xmlns:xlrd2="http://schemas.microsoft.com/office/spreadsheetml/2017/richdata2" ref="AJ2:AJ3286">
    <sortCondition ref="AJ1:AJ3286"/>
  </sortState>
  <conditionalFormatting sqref="AJ1:AJ1048576">
    <cfRule type="duplicateValues" dxfId="82" priority="2"/>
  </conditionalFormatting>
  <conditionalFormatting sqref="AJ716:AJ796">
    <cfRule type="duplicateValues" dxfId="81" priority="12"/>
  </conditionalFormatting>
  <conditionalFormatting sqref="AJ716:AJ802">
    <cfRule type="duplicateValues" dxfId="80" priority="11"/>
  </conditionalFormatting>
  <conditionalFormatting sqref="AJ716:AJ813">
    <cfRule type="duplicateValues" dxfId="79" priority="8"/>
    <cfRule type="duplicateValues" dxfId="78" priority="9"/>
    <cfRule type="duplicateValues" dxfId="77" priority="10"/>
  </conditionalFormatting>
  <conditionalFormatting sqref="AJ716:AJ825">
    <cfRule type="duplicateValues" dxfId="76" priority="7"/>
  </conditionalFormatting>
  <conditionalFormatting sqref="AJ716:AJ831">
    <cfRule type="duplicateValues" dxfId="75" priority="6"/>
  </conditionalFormatting>
  <conditionalFormatting sqref="AJ716:AJ842">
    <cfRule type="duplicateValues" dxfId="74" priority="3"/>
    <cfRule type="duplicateValues" dxfId="73" priority="4"/>
    <cfRule type="duplicateValues" dxfId="72" priority="5"/>
  </conditionalFormatting>
  <conditionalFormatting sqref="AJ843:AJ1048576 AJ1">
    <cfRule type="duplicateValues" dxfId="71" priority="14"/>
    <cfRule type="duplicateValues" dxfId="70" priority="13"/>
  </conditionalFormatting>
  <conditionalFormatting sqref="AK2:AK22">
    <cfRule type="duplicateValues" dxfId="69" priority="1"/>
  </conditionalFormatting>
  <conditionalFormatting sqref="AL1:AL1048576">
    <cfRule type="duplicateValues" dxfId="68" priority="32"/>
  </conditionalFormatting>
  <conditionalFormatting sqref="AL2:AL51">
    <cfRule type="duplicateValues" dxfId="67" priority="591"/>
  </conditionalFormatting>
  <conditionalFormatting sqref="AL2:AL57">
    <cfRule type="duplicateValues" dxfId="66" priority="592"/>
  </conditionalFormatting>
  <conditionalFormatting sqref="AL2:AL68">
    <cfRule type="duplicateValues" dxfId="65" priority="595"/>
    <cfRule type="duplicateValues" dxfId="64" priority="594"/>
    <cfRule type="duplicateValues" dxfId="63" priority="593"/>
  </conditionalFormatting>
  <conditionalFormatting sqref="AL2:AL80">
    <cfRule type="duplicateValues" dxfId="62" priority="596"/>
  </conditionalFormatting>
  <conditionalFormatting sqref="AL2:AL86">
    <cfRule type="duplicateValues" dxfId="61" priority="597"/>
  </conditionalFormatting>
  <conditionalFormatting sqref="AL2:AL97">
    <cfRule type="duplicateValues" dxfId="60" priority="600"/>
    <cfRule type="duplicateValues" dxfId="59" priority="599"/>
    <cfRule type="duplicateValues" dxfId="58" priority="598"/>
  </conditionalFormatting>
  <conditionalFormatting sqref="AN1:AN1048576">
    <cfRule type="duplicateValues" dxfId="57" priority="650"/>
  </conditionalFormatting>
  <conditionalFormatting sqref="AN2">
    <cfRule type="duplicateValues" dxfId="56" priority="605"/>
  </conditionalFormatting>
  <conditionalFormatting sqref="AN2:AN6">
    <cfRule type="duplicateValues" dxfId="55" priority="606"/>
  </conditionalFormatting>
  <conditionalFormatting sqref="AN2:AN7">
    <cfRule type="duplicateValues" dxfId="54" priority="607"/>
  </conditionalFormatting>
  <conditionalFormatting sqref="AN7">
    <cfRule type="duplicateValues" dxfId="53" priority="45"/>
    <cfRule type="duplicateValues" dxfId="52" priority="46"/>
  </conditionalFormatting>
  <conditionalFormatting sqref="AN8:AN673 AJ843:AK1048576 AJ1:AK1 AO13:AO715 AN1:AO1 AO843:AO1048576 AN801:AN1048576 AK23:AK715">
    <cfRule type="duplicateValues" dxfId="51" priority="69"/>
    <cfRule type="duplicateValues" dxfId="50" priority="70"/>
  </conditionalFormatting>
  <conditionalFormatting sqref="AN8:AN1048576 AJ1:AK1 AO13:AO1048576 AN1:AO1 AJ843:AJ1048576 AK23:AK1048576">
    <cfRule type="duplicateValues" dxfId="49" priority="58"/>
  </conditionalFormatting>
  <conditionalFormatting sqref="AN674:AN754 AO716:AO796 AK716:AK796">
    <cfRule type="duplicateValues" dxfId="48" priority="68"/>
  </conditionalFormatting>
  <conditionalFormatting sqref="AN674:AN760 AO716:AO802 AK716:AK802">
    <cfRule type="duplicateValues" dxfId="47" priority="67"/>
  </conditionalFormatting>
  <conditionalFormatting sqref="AN674:AN771 AO716:AO813 AK716:AK813">
    <cfRule type="duplicateValues" dxfId="46" priority="66"/>
    <cfRule type="duplicateValues" dxfId="45" priority="64"/>
    <cfRule type="duplicateValues" dxfId="44" priority="65"/>
  </conditionalFormatting>
  <conditionalFormatting sqref="AN674:AN783 AO716:AO825 AK716:AK825">
    <cfRule type="duplicateValues" dxfId="43" priority="63"/>
  </conditionalFormatting>
  <conditionalFormatting sqref="AN674:AN789 AO716:AO831 AK716:AK831">
    <cfRule type="duplicateValues" dxfId="42" priority="62"/>
  </conditionalFormatting>
  <conditionalFormatting sqref="AN674:AN800 AO716:AO842 AK716:AK842">
    <cfRule type="duplicateValues" dxfId="41" priority="59"/>
    <cfRule type="duplicateValues" dxfId="40" priority="60"/>
    <cfRule type="duplicateValues" dxfId="39" priority="61"/>
  </conditionalFormatting>
  <conditionalFormatting sqref="AQ1:AS1048576">
    <cfRule type="duplicateValues" dxfId="38" priority="134"/>
  </conditionalFormatting>
  <conditionalFormatting sqref="AQ10:AS16">
    <cfRule type="duplicateValues" dxfId="37" priority="148"/>
  </conditionalFormatting>
  <conditionalFormatting sqref="AQ17:AS19">
    <cfRule type="duplicateValues" dxfId="36" priority="146"/>
  </conditionalFormatting>
  <conditionalFormatting sqref="AQ20:AS22">
    <cfRule type="duplicateValues" dxfId="35" priority="144"/>
  </conditionalFormatting>
  <conditionalFormatting sqref="AQ38:AS64">
    <cfRule type="duplicateValues" dxfId="34" priority="136"/>
    <cfRule type="duplicateValues" dxfId="33" priority="135"/>
  </conditionalFormatting>
  <conditionalFormatting sqref="AQ65:AS1048576 AQ1:AS37">
    <cfRule type="duplicateValues" dxfId="32" priority="137"/>
  </conditionalFormatting>
  <conditionalFormatting sqref="AQ193:AS227">
    <cfRule type="duplicateValues" dxfId="31" priority="138"/>
    <cfRule type="duplicateValues" dxfId="30" priority="139"/>
  </conditionalFormatting>
  <conditionalFormatting sqref="AQ228:AS1048576 AQ1:AS9">
    <cfRule type="duplicateValues" dxfId="29" priority="150"/>
    <cfRule type="duplicateValues" dxfId="28" priority="149"/>
  </conditionalFormatting>
  <conditionalFormatting sqref="AQ228:AS1048576 AQ1:AS16">
    <cfRule type="duplicateValues" dxfId="27" priority="147"/>
  </conditionalFormatting>
  <conditionalFormatting sqref="AQ228:AS1048576 AQ1:AS19">
    <cfRule type="duplicateValues" dxfId="26" priority="145"/>
  </conditionalFormatting>
  <conditionalFormatting sqref="AQ228:AS1048576 AQ1:AS22">
    <cfRule type="duplicateValues" dxfId="25" priority="143"/>
  </conditionalFormatting>
  <conditionalFormatting sqref="AQ228:AS1048576 AQ1:AS29">
    <cfRule type="duplicateValues" dxfId="24" priority="141"/>
  </conditionalFormatting>
  <conditionalFormatting sqref="AQ228:AS1048576 AQ1:AS33">
    <cfRule type="duplicateValues" dxfId="23" priority="140"/>
  </conditionalFormatting>
  <conditionalFormatting sqref="AQ228:AS1048576">
    <cfRule type="duplicateValues" dxfId="22" priority="142"/>
  </conditionalFormatting>
  <conditionalFormatting sqref="AT1">
    <cfRule type="duplicateValues" dxfId="21" priority="131"/>
    <cfRule type="duplicateValues" dxfId="20" priority="128"/>
    <cfRule type="duplicateValues" dxfId="19" priority="129"/>
    <cfRule type="duplicateValues" dxfId="18" priority="127"/>
    <cfRule type="duplicateValues" dxfId="17" priority="130"/>
    <cfRule type="duplicateValues" dxfId="16" priority="126"/>
    <cfRule type="duplicateValues" dxfId="15" priority="133"/>
    <cfRule type="duplicateValues" dxfId="14" priority="132"/>
  </conditionalFormatting>
  <conditionalFormatting sqref="AT1:AT1048576">
    <cfRule type="duplicateValues" dxfId="13" priority="113"/>
    <cfRule type="duplicateValues" dxfId="12" priority="112"/>
  </conditionalFormatting>
  <conditionalFormatting sqref="AT129:AT155">
    <cfRule type="duplicateValues" dxfId="11" priority="115"/>
    <cfRule type="duplicateValues" dxfId="10" priority="114"/>
  </conditionalFormatting>
  <conditionalFormatting sqref="AT157:AT1048576 AT1:AT128">
    <cfRule type="duplicateValues" dxfId="9" priority="116"/>
  </conditionalFormatting>
  <conditionalFormatting sqref="AT277:AT311">
    <cfRule type="duplicateValues" dxfId="8" priority="118"/>
    <cfRule type="duplicateValues" dxfId="7" priority="117"/>
  </conditionalFormatting>
  <conditionalFormatting sqref="AT312:AT1048576 AT1:AT82">
    <cfRule type="duplicateValues" dxfId="6" priority="125"/>
  </conditionalFormatting>
  <conditionalFormatting sqref="AT312:AT1048576 AT1:AT88">
    <cfRule type="duplicateValues" dxfId="5" priority="124"/>
  </conditionalFormatting>
  <conditionalFormatting sqref="AT312:AT1048576 AT1:AT99">
    <cfRule type="duplicateValues" dxfId="4" priority="122"/>
    <cfRule type="duplicateValues" dxfId="3" priority="121"/>
    <cfRule type="duplicateValues" dxfId="2" priority="123"/>
  </conditionalFormatting>
  <conditionalFormatting sqref="AT312:AT1048576 AT1:AT111">
    <cfRule type="duplicateValues" dxfId="1" priority="120"/>
  </conditionalFormatting>
  <conditionalFormatting sqref="AT312:AT1048576 AT1:AT117">
    <cfRule type="duplicateValues" dxfId="0" priority="119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Contents</vt:lpstr>
      <vt:lpstr>(1) NEKL-2–TurboID</vt:lpstr>
      <vt:lpstr>(2) NEKL-3–TurboID</vt:lpstr>
      <vt:lpstr>(3) MLT-2–TurboID</vt:lpstr>
      <vt:lpstr>(4) MLT-3–TurboID</vt:lpstr>
      <vt:lpstr>(5) MLT-4–TurboID</vt:lpstr>
      <vt:lpstr>(6) N2, NEKL-3; Exp 1 vs Exp 6</vt:lpstr>
      <vt:lpstr>(7) N2, MLT-4; Exp 4 vs Exp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S. Fay</dc:creator>
  <cp:lastModifiedBy>David S. Fay</cp:lastModifiedBy>
  <dcterms:created xsi:type="dcterms:W3CDTF">2025-03-06T19:24:13Z</dcterms:created>
  <dcterms:modified xsi:type="dcterms:W3CDTF">2025-10-04T23:01:27Z</dcterms:modified>
</cp:coreProperties>
</file>